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bftpsepa-my.sharepoint.com/personal/josiah_richetti_sep_benfranklin_org1/Documents/Desktop/"/>
    </mc:Choice>
  </mc:AlternateContent>
  <xr:revisionPtr revIDLastSave="1" documentId="8_{8ACB8500-47AA-464B-9C91-65C6A277F806}" xr6:coauthVersionLast="47" xr6:coauthVersionMax="47" xr10:uidLastSave="{9C983068-22B1-4EC9-8A21-02D53D86C88C}"/>
  <bookViews>
    <workbookView xWindow="-108" yWindow="-108" windowWidth="23256" windowHeight="12576" firstSheet="1" activeTab="1" xr2:uid="{3FCAC181-D970-4B82-81E5-64350C2344D4}"/>
  </bookViews>
  <sheets>
    <sheet name="Definitions" sheetId="5" r:id="rId1"/>
    <sheet name="Convertible Notes" sheetId="4" r:id="rId2"/>
    <sheet name="PB_CACHE" sheetId="6" state="veryHidden" r:id="rId3"/>
    <sheet name="Pro Forma Summary Cap Table" sheetId="3" r:id="rId4"/>
  </sheets>
  <externalReferences>
    <externalReference r:id="rId5"/>
    <externalReference r:id="rId6"/>
  </externalReferences>
  <definedNames>
    <definedName name="DetailedCapShares">'[1]Detailed Cap'!$L$43</definedName>
    <definedName name="IntermediateCapShares">'[1]Intermediate cap'!$L$20</definedName>
    <definedName name="SummaryCapTableFullyDilutedShares" localSheetId="0">'[1]Summary cap table'!$D$28</definedName>
    <definedName name="SummaryCapTableFullyDilutedShares" localSheetId="3">'[1]Summary cap table'!$D$28</definedName>
    <definedName name="SummaryCapTableFullyDilutedShares">[2]Summary!$D$29</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3" l="1"/>
  <c r="H28" i="3"/>
  <c r="I28" i="3" s="1"/>
  <c r="H27" i="3"/>
  <c r="I27" i="3" s="1"/>
  <c r="J26" i="3"/>
  <c r="H26" i="3"/>
  <c r="I26" i="3" s="1"/>
  <c r="J25" i="3"/>
  <c r="H25" i="3"/>
  <c r="I25" i="3" s="1"/>
  <c r="L24" i="3"/>
  <c r="J24" i="3"/>
  <c r="H24" i="3"/>
  <c r="I24" i="3" s="1"/>
  <c r="L23" i="3"/>
  <c r="J23" i="3"/>
  <c r="H23" i="3"/>
  <c r="I23" i="3" s="1"/>
  <c r="F22" i="3"/>
  <c r="F29" i="3" s="1"/>
  <c r="L21" i="3"/>
  <c r="J21" i="3"/>
  <c r="H21" i="3"/>
  <c r="I21" i="3" s="1"/>
  <c r="L19" i="3"/>
  <c r="J19" i="3"/>
  <c r="H19" i="3"/>
  <c r="I19" i="3" s="1"/>
  <c r="J18" i="3"/>
  <c r="H18" i="3"/>
  <c r="I18" i="3" s="1"/>
  <c r="J17" i="3"/>
  <c r="H17" i="3"/>
  <c r="I17" i="3" s="1"/>
  <c r="I16" i="3"/>
  <c r="H16" i="3"/>
  <c r="G16" i="3"/>
  <c r="E16" i="3"/>
  <c r="H15" i="3"/>
  <c r="B6" i="3"/>
  <c r="A1" i="3"/>
  <c r="B15" i="4"/>
  <c r="N14" i="4"/>
  <c r="M14" i="4"/>
  <c r="L14" i="4"/>
  <c r="K14" i="4"/>
  <c r="J14" i="4"/>
  <c r="I14" i="4"/>
  <c r="I5" i="4"/>
  <c r="I37" i="5"/>
  <c r="I10" i="5"/>
  <c r="O14" i="4" l="1"/>
  <c r="I15" i="4"/>
  <c r="J5" i="4"/>
  <c r="J15" i="4" s="1"/>
  <c r="D20" i="3" s="1"/>
  <c r="D29" i="3" s="1"/>
  <c r="K5" i="4" l="1"/>
  <c r="L5" i="4"/>
  <c r="M5" i="4"/>
  <c r="N5" i="4"/>
  <c r="O5" i="4"/>
  <c r="M15" i="4"/>
  <c r="N15" i="4"/>
  <c r="O15" i="4"/>
  <c r="B7" i="3"/>
  <c r="B9" i="3"/>
  <c r="C17" i="3"/>
  <c r="K17" i="3"/>
  <c r="L17" i="3"/>
  <c r="C18" i="3"/>
  <c r="K18" i="3"/>
  <c r="L18" i="3"/>
  <c r="E20" i="3"/>
  <c r="G20" i="3"/>
  <c r="H20" i="3"/>
  <c r="I20" i="3"/>
  <c r="J20" i="3"/>
  <c r="K20" i="3"/>
  <c r="L20" i="3"/>
  <c r="G22" i="3"/>
  <c r="H22" i="3"/>
  <c r="I22" i="3"/>
  <c r="J22" i="3"/>
  <c r="K22" i="3"/>
  <c r="L22" i="3"/>
  <c r="C25" i="3"/>
  <c r="K25" i="3"/>
  <c r="L25" i="3"/>
  <c r="C26" i="3"/>
  <c r="K26" i="3"/>
  <c r="L26" i="3"/>
  <c r="B27" i="3"/>
  <c r="C27" i="3"/>
  <c r="J27" i="3"/>
  <c r="K27" i="3"/>
  <c r="L27" i="3"/>
  <c r="B29" i="3"/>
  <c r="C29" i="3"/>
  <c r="E29" i="3"/>
  <c r="G29" i="3"/>
  <c r="H29" i="3"/>
  <c r="I29" i="3"/>
  <c r="J29" i="3"/>
  <c r="K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A16" authorId="0" shapeId="0" xr:uid="{3B94B9B9-0D91-42C4-B76C-CABFEE84EA21}">
      <text/>
    </comment>
    <comment ref="F25" authorId="0" shapeId="0" xr:uid="{36A6624A-C7D7-4076-BAAA-26CAF396659E}">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H4" authorId="0" shapeId="0" xr:uid="{B0423402-C90F-4AFD-9FBF-B4E5D2D7A7BA}">
      <text>
        <r>
          <rPr>
            <b/>
            <sz val="9"/>
            <color indexed="81"/>
            <rFont val="Tahoma"/>
            <family val="2"/>
          </rPr>
          <t>Josiah Richetti:</t>
        </r>
        <r>
          <rPr>
            <sz val="9"/>
            <color indexed="81"/>
            <rFont val="Tahoma"/>
            <family val="2"/>
          </rPr>
          <t xml:space="preserve">
If converted, otherwise today used to calculate current Total Amount</t>
        </r>
      </text>
    </comment>
  </commentList>
</comments>
</file>

<file path=xl/sharedStrings.xml><?xml version="1.0" encoding="utf-8"?>
<sst xmlns="http://schemas.openxmlformats.org/spreadsheetml/2006/main" count="179" uniqueCount="142">
  <si>
    <t>General Notes</t>
  </si>
  <si>
    <t>Convertible Notes</t>
  </si>
  <si>
    <t>Pro Forma Summmary Cap Table</t>
  </si>
  <si>
    <t>Additional Terminology</t>
  </si>
  <si>
    <t>Purpose:</t>
  </si>
  <si>
    <t>The purpose of this workbook is to generate a Pro Forma Summary Capitalization Table for early stage companies entering their first preferred funding round.  This workbook accounts for Note Conversion and Option Pool Expansion.   To get started, read through this General Notes section and scan over the rest of the Definitions tab as needed.  Then, delete the place holder values in the Tan colored cells and replace them with data relevant to your company!  Any questions or requests to modify the model can be directed to Josiah.Richetti@SEP.BenFranklin.org and Vishnu.Atimyala@SEP.BenFranklin.org</t>
  </si>
  <si>
    <t>To track and display information regarding Convertible Notes issued prior to the preferred funding round</t>
  </si>
  <si>
    <t>To present total ownership and cash raised following the preferred funding round, broken down by Share Class, Warrants, and Convertible Notes. Displays fully diluted ownership post-funding round</t>
  </si>
  <si>
    <t>This section is not connected to any specific tabs.  The purpose of this section is to describe additional terminology that may be encountered during a preferred funding round, but is not built into or covered in the model</t>
  </si>
  <si>
    <t>Definitions</t>
  </si>
  <si>
    <t>Potential Rights &amp; Preferences of Preferred Stock</t>
  </si>
  <si>
    <t>The "Definitions" tab describes how the workbook is used and explains terminology appearing throughout</t>
  </si>
  <si>
    <t>Stakeholder</t>
  </si>
  <si>
    <t>This is a debt investor whose debt investment was in the form of a Convertible Note.  The Convertible Note gives the debt investor the option to convert the principle + interest accumulated into an equity investment based on either a Discount Price or Conversion Cap Price</t>
  </si>
  <si>
    <t>Pre-Money Valuation</t>
  </si>
  <si>
    <t>This is the valuation of the company immediately before receiving funds from the preferred equity financing round.  This value is used to determine the Financing Round Price per share, at which shares will be issued to new investors</t>
  </si>
  <si>
    <t>Stock Purchase Agreement</t>
  </si>
  <si>
    <t>This document will outline the details of the stock purchase/equity investment, and describe the rights and preferences of each respective share class</t>
  </si>
  <si>
    <t>Principal Invested</t>
  </si>
  <si>
    <t>This is the total amount the Stakeholder invested, as debt, into the company</t>
  </si>
  <si>
    <t>New Money $$ Raised</t>
  </si>
  <si>
    <t xml:space="preserve">This is the dollar amount received from equity investors during the preferred financing round, not including any warrants exercised or debt converted as a result of the funding round </t>
  </si>
  <si>
    <t>Redemption rights</t>
  </si>
  <si>
    <t>These allows investor to redeem investments before a liquidity event occurs, however investors cannot redeem shares if it would lead the company to lose significant liquidity</t>
  </si>
  <si>
    <t>Highlighted Cells (outside of Definitions tab)</t>
  </si>
  <si>
    <t>Interest start date</t>
  </si>
  <si>
    <t>This is the date the principal begins to accumulate interest</t>
  </si>
  <si>
    <t>Post-Money Valuation</t>
  </si>
  <si>
    <t>This is the Pre-Money valuation increased to account for the funds raised during the preferred funding round. Post-Money can also be determined using the Financing Round Price per share and the Total Fully Diluted Post-Money Shares.</t>
  </si>
  <si>
    <t>Conversion Rights</t>
  </si>
  <si>
    <t>These allow preferred investors to convert their preferred shares into common, as desired.  The conversion rate can either be fixed, or variable.  While preferred shares may hold many shares common may not, there may be incentive to convert to common shares to receive a higher payout or gain voting rights</t>
  </si>
  <si>
    <t>Blue</t>
  </si>
  <si>
    <t>Blue cells with a red triangle in the top corner indicate that there is a note on that cell.  The note can be viewed by holding your cursor over the cell</t>
  </si>
  <si>
    <t>Interest rate</t>
  </si>
  <si>
    <t>This is the rate at which the principal accumulates interest on an annual basis</t>
  </si>
  <si>
    <t>Total pre-money shares outstanding, including conversions and expanded option pool</t>
  </si>
  <si>
    <t>This is the total amount of shares outstanding, including common investors, exercised warrants, converted notes and an expanded option pool, prior to issuing shares to preferred investors.   The Pre-Money Valuation is divided by this number to determine the Financing Round Price/ Issue price for new investors</t>
  </si>
  <si>
    <t>Registration Rights</t>
  </si>
  <si>
    <t>These rights are relevant if a company is going for IPO but do not complete it in a timely manner.  Preferred investors have the right to demand the company exercise its best efforts to complete the IPO.  If the IPO did occur, and preferred shares converted into common but weren't all issued with the Initial Public Offering, Registration rights allow for shareholders to demand the company to exercise its best efforts to complete a Secondary Public Offering or Register their shares for public trading.  These rights remain past IPO</t>
  </si>
  <si>
    <t>Tan</t>
  </si>
  <si>
    <t>Tan cells are input cells, all other cells contain functions and should generally not be edited</t>
  </si>
  <si>
    <t>Interest Converts</t>
  </si>
  <si>
    <t>This tracks whether the total accumlated interst, based on the either today's date or a given date of conversion, is converted into shares along with the Principal</t>
  </si>
  <si>
    <t>New Share Class</t>
  </si>
  <si>
    <t>This is the new class of shares being issued to preferred investors during this New Funding Round</t>
  </si>
  <si>
    <t>Voting Rights</t>
  </si>
  <si>
    <t>Preferred shareholders can be given the right to vote along with common shareholders.  Each preferred share receives the number of votes equal to the number of issuable common shares based on applicable conversion and anti-dilution rights</t>
  </si>
  <si>
    <t>Yellow</t>
  </si>
  <si>
    <t>A cell will be yellow when it contains a circular reference to calculate a share price or number of shares.  These can "break" sometimes.  To correct, type any number into the broken cells in the column with the yellow cell, then copy the corresponding formula, also highlighted yellow and in that same column,  type = , then paste the formula into the highlighted cell.  The cell should then show a real value, and the formula can be applied to the rest of the broken cells in that column.</t>
  </si>
  <si>
    <t>Conversion Cap</t>
  </si>
  <si>
    <t>The Conversion Cap is a company Valuation agreed upon in the terms of the convertible note of the initial debt investment.  If, at the time the note is converted, the company is valued higher than the Conversion Cap, note holders will receive the benefit of using a lower valuation to determine the Conversion Cap Price.  The Conversion Cap is divided by the total shares, to determine the Conversion Cap Price. The Conversion Cap Price is used during note conversion if it yields more shares for the note holder than using the Conversion Discount</t>
  </si>
  <si>
    <t>Financing Round Price / Issue price for new investor</t>
  </si>
  <si>
    <t>This is the price new investors will be charged for each share they receive.  This value is determined using the Pre-Money Valuation and the Total pre-money shares outstanding, including conversions, and an expanded option pool</t>
  </si>
  <si>
    <t>Protective provisions and veto rights</t>
  </si>
  <si>
    <t>Preferred shareholders can be given the power to veto major corporate actions.  These rights require the company receives approval from a minimum specified percentage of preferred shareholders.  Certain investors may receive individual, series-based provisional rights, essentially compounding the veto power of holders of specific preferred share classes</t>
  </si>
  <si>
    <t>To allow these circular references to function</t>
  </si>
  <si>
    <t>Conversion Discount</t>
  </si>
  <si>
    <t>The Conversion Discount is percent agreed upon in the terms of the convertible note of the initial debt investment.  The share price at the time of conversion is discounted by the agreed upon percent to determine the Discount Price.  Using this discounted share price during conversion will yield more shares for the note holder than using non-discounted share price. The Discount Price is used during note conversion if it yields more shares for the note holder than using the Conversion Cap</t>
  </si>
  <si>
    <t>Post-Money Available Pool, per term sheet</t>
  </si>
  <si>
    <t>This is % Ownership of the available option pool, not including options that have already been granted, after shares are issued to new equity investors</t>
  </si>
  <si>
    <t>Board Composition Rights</t>
  </si>
  <si>
    <t>The holders of each share class are entirely to elect a fixed number of directors.  Early stage investors usually require board representation.  Large investors may require the right to appoint a majority of the board, concentrating control into a single share class</t>
  </si>
  <si>
    <t>Iterative calculations are required for certain calculations in this spreadsheet (go to: File --&gt; Options --&gt; Formula -on Windows //Preference --&gt; Calculations-on Mac).  Check the appropriate box and set to at least 100 iterations.</t>
  </si>
  <si>
    <t>Conversion Date</t>
  </si>
  <si>
    <t>This is the date that the note was converted.  Interest will stop accumulating on this date.  If no date is given, interest accumulation will be displayed as of today's date</t>
  </si>
  <si>
    <t>Pre-Money + Common Warrants</t>
  </si>
  <si>
    <t>This section tracks and reports total shares and ownership in Common class shares, including Common Warrants, and an expanded option pool</t>
  </si>
  <si>
    <t>Drag-along rights</t>
  </si>
  <si>
    <t>These rights allow a majority of one class to require holders of one or more other share classes to vote as directed in matters regarding the sale of the company</t>
  </si>
  <si>
    <t>Interest accrued</t>
  </si>
  <si>
    <t>This is the total amount of interest that has accumulated on the Stakeholder's initial debt investment (principal).  If no conversion date is provided, interest accumulated will be displayed as of Today.</t>
  </si>
  <si>
    <t>Stock Grants Outstanding</t>
  </si>
  <si>
    <t>This is the total amount of shares, or options granted to employees and the corresponding % ownership of total Common shares</t>
  </si>
  <si>
    <t>Right to participate in future rounds</t>
  </si>
  <si>
    <t xml:space="preserve">These rights allow preferred shareholders to maintain their % ownership in the company by purchasing shares in future financing rounds in proportion to their current % ownership, on an as-converted basis. </t>
  </si>
  <si>
    <t>Conversion amount</t>
  </si>
  <si>
    <t>This is the Principal + Interest Accrued, the total value that can be converted from a debt obligation into an equity position.</t>
  </si>
  <si>
    <t>Shares Available</t>
  </si>
  <si>
    <t>This is how many shares, or options, remain available under the Initial Option Pool, and the corresponding % ownership of total Common shares</t>
  </si>
  <si>
    <t>First refusal rights and tag-along rights</t>
  </si>
  <si>
    <t>These rights allow preferred shareholders the right to limit the sale of common stock by the company's management by providing preferred shareholders the right to purchase those share at a price designated by a third party (first refusal) and require the company's management to allow preferred shareholders to substitute their share for shares to be sold, in proportion to their percentage ownership of the company.  These rights limit the liquidity of common shares, increasing the value of preferred shares.</t>
  </si>
  <si>
    <t>Discount Price</t>
  </si>
  <si>
    <t xml:space="preserve">This is the current funding round's Share Price discounted at a rate agreed upon in the terms of the convertible note of the initial debt investment.  The current funding round's share price is determined by dividing the Pre-Money by the sum of the Total # Share in the Option Pool (including an expansion), all issued common shares, and any shares issued from notes converting or warrants being exercised as a result of this funding round. </t>
  </si>
  <si>
    <t>Share Increase</t>
  </si>
  <si>
    <t>This is the total amount of shares added to the Initial Option Pool to achieve the desired Post-Money Available Pool % ownership.  This value needs to be considered at this point so it does not dilute the ownership of Preferred investors.  So, the combined % ownership of the Shares Increase and Shares Available will initially be greater than the desired Post-Money Available Pool, but the addition of Series Preferred shares will dilute the ownership down to the desired value.</t>
  </si>
  <si>
    <t>Management Rights</t>
  </si>
  <si>
    <t>These rights provide inspection (right to review financials) and board attendance rights.  These may substitute Board Composition Rights or provided if shareholders do not wish to use their right to nominate board members</t>
  </si>
  <si>
    <t>Conversion Cap Price</t>
  </si>
  <si>
    <t>This is a share price determined using a Conversion Cap, agreed upon in the terms of the convertible note of the initial debt investment.  Rather than using the round's Pre-Money, the Conversion Cap is divided by the total shares, to determine the Conversion Cap Price.</t>
  </si>
  <si>
    <t>Note Conversion</t>
  </si>
  <si>
    <t>This section tracks and reports the total value being converted from convertible debt into Series Preferred Shares as a result of the preferred equity financing round</t>
  </si>
  <si>
    <t>Information Rights</t>
  </si>
  <si>
    <t xml:space="preserve">These rights allow preferred shareholders to review specified information, such as receiving financials at defined time intervals </t>
  </si>
  <si>
    <t>Discount Shares</t>
  </si>
  <si>
    <t>This is the total amount of shares the Total Amount of the convertible note could purchase at the Discount Price per share</t>
  </si>
  <si>
    <t xml:space="preserve">New Investment </t>
  </si>
  <si>
    <t>This is the dollar amount and corresponding Series Preferred shares (determined using the Financing Round Price) for all investors participating in the preferred equity financing round</t>
  </si>
  <si>
    <t>Anti-Dilution Rights</t>
  </si>
  <si>
    <t>Anti-Dilution Rights are meant to prevent/reduce the loss of value from future, lower (down) rounds of financing.  With Anti-Dilution rights, the conversion ratio from Preferred to Common automatically adjusts if subsequent preferred shares are issued at a lower issue price than existing preferred shares</t>
  </si>
  <si>
    <t>Conversion Cap Shares</t>
  </si>
  <si>
    <t>This is the total amount of shares the Total Amount of the convertible note could purchase at the Conversion Cap Price per share</t>
  </si>
  <si>
    <t>This shows the total new preferred shares being issued during this financing round, and compares the % of shares from direct equity financing and note conversion</t>
  </si>
  <si>
    <t>Anti-Dilution Rights: Ratcheting</t>
  </si>
  <si>
    <t>Scenario</t>
  </si>
  <si>
    <t>Initial Shares:10,000 Preferred, 10,000 Common &amp; option pool, Original Issue Price = $10, Conversion Price =$10
New funding round: Shares Issued: 1,000, New Share Price: $5, New Amount Raised: $5,000</t>
  </si>
  <si>
    <t>Shares to be issued</t>
  </si>
  <si>
    <t>This is the number of shares to be issued if the note is converted from a debt obligation to an equity position. The Convertible Note converts into shares using whichever share price (Discount Price or Conversion Cap Price) is lower and so yields a higher # of shares</t>
  </si>
  <si>
    <t>Post Money</t>
  </si>
  <si>
    <t>This section tracks the new % ownership and total number of shares held by all current shareholders, granted as options and available in the option pool after the preferred funding round.  It also tracks how  ownership changed during the preferred equity financing round</t>
  </si>
  <si>
    <t>Full Ratchet</t>
  </si>
  <si>
    <t>The price of the new round is used as the conversion price in the conversion ratio (Original issue price/Conversion Price).  A lower Conversion Price would result in each preferred share converting into a greater number of common shares ($10/$10) -&gt; ($10/$5)</t>
  </si>
  <si>
    <t>Total Stock</t>
  </si>
  <si>
    <t>This is the total number shares held by all current shareholders, granted as options, and available in the option pool.  This totals all owned or potentially owned shares, including Common,  Preferred, and Issued Warrants</t>
  </si>
  <si>
    <t>Partial Ratchet: Narrow-based weighted average</t>
  </si>
  <si>
    <r>
      <t xml:space="preserve">This differs from Fully Ratchet by taking into account the size of the new preferred financing round relative to existing preferred shares.  For this, the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Previous Preferred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 Price</t>
    </r>
    <r>
      <rPr>
        <sz val="12"/>
        <color theme="1"/>
        <rFont val="Calibri"/>
        <family val="2"/>
        <scheme val="minor"/>
      </rPr>
      <t>))/(</t>
    </r>
    <r>
      <rPr>
        <b/>
        <sz val="11"/>
        <color theme="1"/>
        <rFont val="Calibri"/>
        <family val="2"/>
        <scheme val="minor"/>
      </rPr>
      <t>Previous Preferred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t>
    </r>
    <r>
      <rPr>
        <sz val="12"/>
        <color theme="1"/>
        <rFont val="Calibri"/>
        <family val="2"/>
        <scheme val="minor"/>
      </rPr>
      <t xml:space="preserve"> 10*[(10,000 + (5,000/10))/(10,000+(5,000/5))] = $9.55.  This new value is used for the denominator of the new conversion ratio.  ($10/$10) -&gt; ($10/$9.55)</t>
    </r>
  </si>
  <si>
    <t>% of Fully-Diluted</t>
  </si>
  <si>
    <t>This is the total current ownership of all current shareholders, diluted to account for Shares Available and the Shares Increase in the option pool.  This level of Fully Diluted ownership assumes that the entire option pool will be granted.  If a liquidity event happened before the Available options were granted, each individual shareholder would have a greater % total Ownership</t>
  </si>
  <si>
    <t>Partial Ratchet: Broad-Based weighted average</t>
  </si>
  <si>
    <r>
      <t xml:space="preserve">This is the most common method, and it takes into account the amount of fully diluted shares, rather than just the shares from the previous preferred round, as with the Narrow-based partial ratchet.  The formula is the same as Partial Ratchet, but the total fully diluted share number is used, rather than the number of previous round preferred shares.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Total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t>
    </r>
    <r>
      <rPr>
        <sz val="12"/>
        <color theme="1"/>
        <rFont val="Calibri"/>
        <family val="2"/>
        <scheme val="minor"/>
      </rPr>
      <t xml:space="preserve"> </t>
    </r>
    <r>
      <rPr>
        <b/>
        <sz val="11"/>
        <color theme="1"/>
        <rFont val="Calibri"/>
        <family val="2"/>
        <scheme val="minor"/>
      </rPr>
      <t>Price</t>
    </r>
    <r>
      <rPr>
        <sz val="12"/>
        <color theme="1"/>
        <rFont val="Calibri"/>
        <family val="2"/>
        <scheme val="minor"/>
      </rPr>
      <t>))/(</t>
    </r>
    <r>
      <rPr>
        <b/>
        <sz val="11"/>
        <color theme="1"/>
        <rFont val="Calibri"/>
        <family val="2"/>
        <scheme val="minor"/>
      </rPr>
      <t>Total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 xml:space="preserve">: </t>
    </r>
    <r>
      <rPr>
        <sz val="12"/>
        <color theme="1"/>
        <rFont val="Calibri"/>
        <family val="2"/>
        <scheme val="minor"/>
      </rPr>
      <t>10*[(20,000 + (5,000/10))/(20,000+(5,000/5))] = $9.76</t>
    </r>
  </si>
  <si>
    <t>Change in Ownership</t>
  </si>
  <si>
    <t>This is the change in % of Fully Diluted Ownership due to the conversion of notes, increase in option pool size, and addition of preferred shares</t>
  </si>
  <si>
    <t>IF(G5&gt;0,'Pro Forma Detailed Cap Table'!$B$9*(1-G5),"")</t>
  </si>
  <si>
    <t>IF(F5&gt;0,F5/'Pro Forma Detailed Cap Table'!$B$28,"")</t>
  </si>
  <si>
    <t>Debt Investor 1</t>
  </si>
  <si>
    <t>No</t>
  </si>
  <si>
    <t>Series Preferred 1</t>
  </si>
  <si>
    <t>New Investment</t>
  </si>
  <si>
    <t>Common Stock</t>
  </si>
  <si>
    <t>% of Common</t>
  </si>
  <si>
    <t>Conversion Value</t>
  </si>
  <si>
    <t>Amount Invested</t>
  </si>
  <si>
    <t>Common</t>
  </si>
  <si>
    <t>Common Warrants</t>
  </si>
  <si>
    <t>Preferred Investors</t>
  </si>
  <si>
    <t>Option Plan</t>
  </si>
  <si>
    <t>Total Fully Diluted</t>
  </si>
  <si>
    <t>IFERROR((B10-K25)*J28,0)</t>
  </si>
  <si>
    <t>Convertible Notes'!O15</t>
  </si>
  <si>
    <t>Option Pool Expansion?</t>
  </si>
  <si>
    <t>Post-Money Available Pool, per term sheet (including expansion)</t>
  </si>
  <si>
    <t>H4sIAAAAAAAEAM2QvU7DMBSF0wZEEDyEdyIrTVtKhywEBBIdilKxVFVxrCti1bGDf5DSx+gLgx2lMLAwcgffa0vnu8cnGARB8OnKd1+XQ3c8L5mh1a2UO7RqG9BowUpFVBujF1CaSZGlSTrGKU5wEqPccmMVZAKsUYTHaGlLzugTtCu5A5EJy/mp5xff2G2H3fZYXIBihLM9KTnkhFbw++VqJZsFfADvbneMGmfDaUPHPetdRbmsG6JARY9EVwXbQxAG0WFQtNpAjXPJOXQ6jR9AuA302O/frdtm2iPgdbRe96rCKCbeYlRrKhVn5U8GE//9vwRQzmZkSqfXo/l4AsnNfLOJhn3c52E/nPjhP1r15i6+ADyZLrUnAgAA</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</si>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</sst>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
    <numFmt numFmtId="166" formatCode="#,##0.000000"/>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b/>
      <u/>
      <sz val="12"/>
      <color rgb="FF000000"/>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rgb="FF1F1F1F"/>
      <name val="Calibri"/>
      <family val="2"/>
      <scheme val="minor"/>
    </font>
    <font>
      <i/>
      <sz val="12"/>
      <color theme="1"/>
      <name val="Calibri"/>
      <family val="2"/>
      <scheme val="minor"/>
    </font>
    <font>
      <b/>
      <sz val="14"/>
      <color theme="1"/>
      <name val="Calibri"/>
      <family val="2"/>
      <scheme val="minor"/>
    </font>
    <font>
      <sz val="8"/>
      <name val="Calibri"/>
      <family val="2"/>
      <scheme val="minor"/>
    </font>
    <font>
      <b/>
      <sz val="18"/>
      <name val="Calibri"/>
      <family val="2"/>
      <scheme val="minor"/>
    </font>
    <font>
      <sz val="11"/>
      <name val="Calibri"/>
      <family val="2"/>
      <scheme val="minor"/>
    </font>
    <font>
      <b/>
      <sz val="14"/>
      <name val="Calibri"/>
      <family val="2"/>
      <scheme val="minor"/>
    </font>
    <font>
      <b/>
      <sz val="12"/>
      <name val="Calibri"/>
      <family val="2"/>
      <scheme val="minor"/>
    </font>
    <font>
      <b/>
      <sz val="9"/>
      <color indexed="81"/>
      <name val="Tahoma"/>
      <family val="2"/>
    </font>
    <font>
      <sz val="9"/>
      <color indexed="81"/>
      <name val="Tahoma"/>
      <family val="2"/>
    </font>
    <font>
      <sz val="16"/>
      <color theme="1"/>
      <name val="Calibri"/>
      <family val="2"/>
      <scheme val="minor"/>
    </font>
    <font>
      <b/>
      <sz val="16"/>
      <color theme="1"/>
      <name val="Calibri"/>
      <family val="2"/>
      <scheme val="minor"/>
    </font>
    <font>
      <sz val="12"/>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79998168889431442"/>
        <bgColor indexed="64"/>
      </patternFill>
    </fill>
  </fills>
  <borders count="4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thin">
        <color auto="1"/>
      </top>
      <bottom/>
      <diagonal/>
    </border>
    <border>
      <left style="thin">
        <color auto="1"/>
      </left>
      <right style="thin">
        <color auto="1"/>
      </right>
      <top style="thin">
        <color auto="1"/>
      </top>
      <bottom/>
      <diagonal/>
    </border>
    <border>
      <left style="medium">
        <color indexed="64"/>
      </left>
      <right style="thin">
        <color auto="1"/>
      </right>
      <top style="thin">
        <color auto="1"/>
      </top>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indexed="64"/>
      </left>
      <right/>
      <top style="thin">
        <color indexed="64"/>
      </top>
      <bottom style="thin">
        <color auto="1"/>
      </bottom>
      <diagonal/>
    </border>
    <border>
      <left style="thin">
        <color auto="1"/>
      </left>
      <right style="medium">
        <color indexed="64"/>
      </right>
      <top/>
      <bottom style="thin">
        <color auto="1"/>
      </bottom>
      <diagonal/>
    </border>
    <border>
      <left style="thin">
        <color auto="1"/>
      </left>
      <right style="thin">
        <color auto="1"/>
      </right>
      <top/>
      <bottom style="thin">
        <color auto="1"/>
      </bottom>
      <diagonal/>
    </border>
    <border>
      <left/>
      <right style="thin">
        <color indexed="64"/>
      </right>
      <top/>
      <bottom style="thin">
        <color auto="1"/>
      </bottom>
      <diagonal/>
    </border>
    <border>
      <left style="medium">
        <color indexed="64"/>
      </left>
      <right style="thin">
        <color auto="1"/>
      </right>
      <top/>
      <bottom style="thin">
        <color auto="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double">
        <color indexed="64"/>
      </bottom>
      <diagonal/>
    </border>
    <border>
      <left style="medium">
        <color indexed="64"/>
      </left>
      <right style="medium">
        <color indexed="64"/>
      </right>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double">
        <color indexed="64"/>
      </bottom>
      <diagonal/>
    </border>
    <border>
      <left/>
      <right style="medium">
        <color indexed="64"/>
      </right>
      <top/>
      <bottom style="thin">
        <color auto="1"/>
      </bottom>
      <diagonal/>
    </border>
    <border>
      <left style="medium">
        <color indexed="64"/>
      </left>
      <right/>
      <top/>
      <bottom style="thin">
        <color auto="1"/>
      </bottom>
      <diagonal/>
    </border>
    <border>
      <left style="medium">
        <color indexed="64"/>
      </left>
      <right/>
      <top style="thin">
        <color indexed="64"/>
      </top>
      <bottom/>
      <diagonal/>
    </border>
    <border>
      <left style="thin">
        <color auto="1"/>
      </left>
      <right style="medium">
        <color indexed="64"/>
      </right>
      <top/>
      <bottom/>
      <diagonal/>
    </border>
    <border>
      <left/>
      <right/>
      <top style="thin">
        <color indexed="64"/>
      </top>
      <bottom style="thin">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right style="thin">
        <color auto="1"/>
      </right>
      <top/>
      <bottom/>
      <diagonal/>
    </border>
    <border>
      <left/>
      <right style="thin">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auto="1"/>
      </bottom>
      <diagonal/>
    </border>
    <border>
      <left style="medium">
        <color indexed="64"/>
      </left>
      <right/>
      <top style="medium">
        <color indexed="64"/>
      </top>
      <bottom style="thin">
        <color auto="1"/>
      </bottom>
      <diagonal/>
    </border>
  </borders>
  <cellStyleXfs count="6">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3" fillId="0" borderId="0" applyFont="0" applyFill="0" applyBorder="0" applyAlignment="0" applyProtection="0"/>
  </cellStyleXfs>
  <cellXfs count="221">
    <xf numFmtId="0" fontId="0" fillId="0" borderId="0" xfId="0"/>
    <xf numFmtId="0" fontId="2" fillId="0" borderId="0" xfId="1"/>
    <xf numFmtId="0" fontId="2" fillId="0" borderId="0" xfId="1" applyAlignment="1">
      <alignment horizontal="center" vertical="center"/>
    </xf>
    <xf numFmtId="8" fontId="3" fillId="0" borderId="0" xfId="1" applyNumberFormat="1" applyFont="1" applyAlignment="1">
      <alignment horizontal="center" vertical="center"/>
    </xf>
    <xf numFmtId="0" fontId="4" fillId="0" borderId="1" xfId="1" applyFont="1" applyBorder="1" applyAlignment="1">
      <alignment horizontal="center" vertical="center" wrapText="1" readingOrder="1"/>
    </xf>
    <xf numFmtId="0" fontId="4" fillId="0" borderId="15" xfId="1" applyFont="1" applyBorder="1" applyAlignment="1">
      <alignment horizontal="center" vertical="center" wrapText="1" readingOrder="1"/>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0" borderId="26" xfId="0" applyFont="1" applyBorder="1" applyAlignment="1">
      <alignment horizontal="center" vertical="center" wrapText="1"/>
    </xf>
    <xf numFmtId="0" fontId="18" fillId="0" borderId="28" xfId="0" applyFont="1" applyBorder="1" applyAlignment="1">
      <alignment horizontal="center" vertical="center"/>
    </xf>
    <xf numFmtId="6" fontId="18" fillId="0" borderId="29" xfId="0" applyNumberFormat="1" applyFont="1" applyBorder="1" applyAlignment="1">
      <alignment horizontal="center" vertical="center"/>
    </xf>
    <xf numFmtId="14" fontId="18" fillId="0" borderId="29" xfId="0" applyNumberFormat="1" applyFont="1" applyBorder="1" applyAlignment="1">
      <alignment horizontal="center" vertical="center"/>
    </xf>
    <xf numFmtId="165" fontId="18" fillId="0" borderId="29" xfId="3" applyNumberFormat="1" applyFont="1" applyFill="1" applyBorder="1" applyAlignment="1">
      <alignment horizontal="center" vertical="center"/>
    </xf>
    <xf numFmtId="165" fontId="18" fillId="0" borderId="30" xfId="3" applyNumberFormat="1" applyFont="1" applyFill="1" applyBorder="1" applyAlignment="1">
      <alignment horizontal="center" vertical="center"/>
    </xf>
    <xf numFmtId="0" fontId="16" fillId="0" borderId="0" xfId="0" applyFont="1" applyAlignment="1">
      <alignment horizontal="center" vertical="center"/>
    </xf>
    <xf numFmtId="9" fontId="0" fillId="5" borderId="31" xfId="0" applyNumberFormat="1" applyFill="1" applyBorder="1" applyAlignment="1">
      <alignment horizontal="center" vertical="center"/>
    </xf>
    <xf numFmtId="6" fontId="0" fillId="5" borderId="31" xfId="0" applyNumberFormat="1" applyFill="1" applyBorder="1" applyAlignment="1">
      <alignment horizontal="center" vertical="center"/>
    </xf>
    <xf numFmtId="14" fontId="0" fillId="5" borderId="31" xfId="0" applyNumberFormat="1" applyFill="1" applyBorder="1" applyAlignment="1">
      <alignment horizontal="center" vertical="center"/>
    </xf>
    <xf numFmtId="0" fontId="0" fillId="5" borderId="31" xfId="0" applyFill="1" applyBorder="1" applyAlignment="1">
      <alignment horizontal="center" vertical="center"/>
    </xf>
    <xf numFmtId="6" fontId="0" fillId="5" borderId="32" xfId="0" applyNumberFormat="1" applyFill="1" applyBorder="1" applyAlignment="1">
      <alignment horizontal="center" vertical="center"/>
    </xf>
    <xf numFmtId="0" fontId="0" fillId="5" borderId="32" xfId="0" applyFill="1" applyBorder="1" applyAlignment="1">
      <alignment horizontal="center" vertical="center"/>
    </xf>
    <xf numFmtId="0" fontId="13" fillId="6" borderId="33" xfId="0" applyFont="1" applyFill="1" applyBorder="1" applyAlignment="1">
      <alignment horizontal="center" vertical="center" wrapText="1"/>
    </xf>
    <xf numFmtId="0" fontId="13" fillId="0" borderId="33" xfId="0" applyFont="1" applyBorder="1" applyAlignment="1">
      <alignment horizontal="center" vertical="center" wrapText="1"/>
    </xf>
    <xf numFmtId="6" fontId="0" fillId="0" borderId="31" xfId="0" applyNumberFormat="1" applyBorder="1" applyAlignment="1">
      <alignment horizontal="center" vertical="center"/>
    </xf>
    <xf numFmtId="165" fontId="6" fillId="0" borderId="31" xfId="3" applyNumberFormat="1" applyFont="1" applyFill="1" applyBorder="1" applyAlignment="1">
      <alignment horizontal="center" vertical="center"/>
    </xf>
    <xf numFmtId="0" fontId="13" fillId="0" borderId="27" xfId="0" applyFont="1" applyBorder="1" applyAlignment="1">
      <alignment horizontal="center" vertical="center" wrapText="1"/>
    </xf>
    <xf numFmtId="165" fontId="6" fillId="0" borderId="35" xfId="3" applyNumberFormat="1" applyFont="1" applyFill="1" applyBorder="1" applyAlignment="1">
      <alignment horizontal="center" vertical="center"/>
    </xf>
    <xf numFmtId="9" fontId="0" fillId="5" borderId="32" xfId="0" applyNumberFormat="1" applyFill="1" applyBorder="1" applyAlignment="1">
      <alignment horizontal="center" vertical="center"/>
    </xf>
    <xf numFmtId="14" fontId="0" fillId="5" borderId="32" xfId="0" applyNumberFormat="1" applyFill="1" applyBorder="1" applyAlignment="1">
      <alignment horizontal="center" vertical="center"/>
    </xf>
    <xf numFmtId="6" fontId="0" fillId="0" borderId="32" xfId="0" applyNumberFormat="1" applyBorder="1" applyAlignment="1">
      <alignment horizontal="center" vertical="center"/>
    </xf>
    <xf numFmtId="165" fontId="6" fillId="0" borderId="32" xfId="3" applyNumberFormat="1" applyFont="1" applyFill="1" applyBorder="1" applyAlignment="1">
      <alignment horizontal="center" vertical="center"/>
    </xf>
    <xf numFmtId="165" fontId="6" fillId="0" borderId="36" xfId="3" applyNumberFormat="1" applyFont="1" applyFill="1" applyBorder="1" applyAlignment="1">
      <alignment horizontal="center" vertical="center"/>
    </xf>
    <xf numFmtId="0" fontId="0" fillId="0" borderId="0" xfId="0" applyAlignment="1">
      <alignment horizontal="center" vertical="center"/>
    </xf>
    <xf numFmtId="0" fontId="16" fillId="0" borderId="0" xfId="0" applyFont="1" applyAlignment="1">
      <alignment horizontal="center" vertical="center" wrapText="1"/>
    </xf>
    <xf numFmtId="0" fontId="16" fillId="2" borderId="0" xfId="0" applyFont="1" applyFill="1" applyAlignment="1">
      <alignment horizontal="center" vertical="center" wrapText="1"/>
    </xf>
    <xf numFmtId="8" fontId="0" fillId="0" borderId="31" xfId="0" applyNumberFormat="1" applyBorder="1" applyAlignment="1">
      <alignment horizontal="center" vertical="center"/>
    </xf>
    <xf numFmtId="8" fontId="0" fillId="0" borderId="32" xfId="0" applyNumberFormat="1" applyBorder="1" applyAlignment="1">
      <alignment horizontal="center" vertical="center"/>
    </xf>
    <xf numFmtId="0" fontId="2" fillId="7" borderId="0" xfId="1" applyFill="1" applyAlignment="1">
      <alignment horizontal="center" vertical="center"/>
    </xf>
    <xf numFmtId="0" fontId="2" fillId="7" borderId="0" xfId="1" applyFill="1" applyAlignment="1">
      <alignment horizontal="center" vertical="center" wrapText="1"/>
    </xf>
    <xf numFmtId="0" fontId="8" fillId="7" borderId="0" xfId="1" applyFont="1" applyFill="1" applyAlignment="1">
      <alignment horizontal="center" vertical="center"/>
    </xf>
    <xf numFmtId="0" fontId="2" fillId="0" borderId="28" xfId="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2" fillId="0" borderId="27" xfId="1" applyBorder="1" applyAlignment="1">
      <alignment horizontal="center" vertical="center" wrapText="1"/>
    </xf>
    <xf numFmtId="0" fontId="2" fillId="0" borderId="0" xfId="1" applyAlignment="1">
      <alignment horizontal="center" vertical="center" wrapText="1"/>
    </xf>
    <xf numFmtId="0" fontId="2" fillId="6" borderId="26" xfId="1" applyFill="1" applyBorder="1" applyAlignment="1">
      <alignment horizontal="center" vertical="center" wrapText="1"/>
    </xf>
    <xf numFmtId="0" fontId="10" fillId="0" borderId="26" xfId="1" applyFont="1" applyBorder="1" applyAlignment="1">
      <alignment horizontal="center" vertical="center" wrapText="1"/>
    </xf>
    <xf numFmtId="0" fontId="10" fillId="0" borderId="39" xfId="1" applyFont="1" applyBorder="1" applyAlignment="1">
      <alignment horizontal="center" vertical="center" wrapText="1"/>
    </xf>
    <xf numFmtId="0" fontId="2" fillId="0" borderId="27" xfId="1" applyBorder="1" applyAlignment="1">
      <alignment horizontal="center" vertical="center"/>
    </xf>
    <xf numFmtId="0" fontId="2" fillId="2" borderId="26" xfId="1" applyFill="1" applyBorder="1" applyAlignment="1">
      <alignment horizontal="center" vertical="center" wrapText="1"/>
    </xf>
    <xf numFmtId="0" fontId="2" fillId="5" borderId="26" xfId="1" applyFill="1" applyBorder="1" applyAlignment="1">
      <alignment horizontal="center" vertical="center" wrapText="1"/>
    </xf>
    <xf numFmtId="0" fontId="9" fillId="0" borderId="26" xfId="1" applyFont="1" applyBorder="1" applyAlignment="1">
      <alignment horizontal="center" vertical="center" wrapText="1"/>
    </xf>
    <xf numFmtId="0" fontId="2" fillId="7" borderId="0" xfId="1" applyFill="1"/>
    <xf numFmtId="0" fontId="2" fillId="0" borderId="27" xfId="1" applyBorder="1" applyAlignment="1">
      <alignment vertical="top" wrapText="1"/>
    </xf>
    <xf numFmtId="0" fontId="9" fillId="0" borderId="26" xfId="1" applyFont="1" applyBorder="1" applyAlignment="1">
      <alignment horizontal="center" wrapText="1"/>
    </xf>
    <xf numFmtId="0" fontId="2" fillId="0" borderId="0" xfId="1" applyAlignment="1">
      <alignment vertical="top" wrapText="1"/>
    </xf>
    <xf numFmtId="0" fontId="2" fillId="0" borderId="27" xfId="1" applyBorder="1"/>
    <xf numFmtId="0" fontId="2" fillId="0" borderId="26" xfId="1" applyBorder="1" applyAlignment="1">
      <alignment wrapText="1"/>
    </xf>
    <xf numFmtId="0" fontId="21" fillId="7" borderId="0" xfId="1" applyFont="1" applyFill="1" applyAlignment="1">
      <alignment horizontal="center" vertical="center"/>
    </xf>
    <xf numFmtId="0" fontId="2" fillId="7" borderId="0" xfId="1" applyFill="1" applyAlignment="1">
      <alignment wrapText="1"/>
    </xf>
    <xf numFmtId="8" fontId="0" fillId="2" borderId="31" xfId="0" applyNumberFormat="1" applyFill="1" applyBorder="1" applyAlignment="1">
      <alignment horizontal="center" vertical="center"/>
    </xf>
    <xf numFmtId="0" fontId="4" fillId="0" borderId="0" xfId="1" applyFont="1" applyAlignment="1">
      <alignment horizontal="center" vertical="center" wrapText="1" readingOrder="1"/>
    </xf>
    <xf numFmtId="0" fontId="6" fillId="0" borderId="0" xfId="1" applyFont="1" applyAlignment="1">
      <alignment horizontal="center" vertical="center" wrapText="1"/>
    </xf>
    <xf numFmtId="0" fontId="12" fillId="0" borderId="0" xfId="1" applyFont="1" applyAlignment="1">
      <alignment horizontal="center" vertical="center"/>
    </xf>
    <xf numFmtId="3" fontId="10" fillId="0" borderId="39" xfId="1" applyNumberFormat="1" applyFont="1" applyBorder="1" applyAlignment="1">
      <alignment horizontal="center" vertical="center" wrapText="1"/>
    </xf>
    <xf numFmtId="0" fontId="3" fillId="0" borderId="0" xfId="1" applyFont="1" applyAlignment="1">
      <alignment horizontal="center" vertical="center"/>
    </xf>
    <xf numFmtId="0" fontId="5" fillId="0" borderId="0" xfId="1" applyFont="1" applyAlignment="1">
      <alignment horizontal="center" vertical="center" wrapText="1" readingOrder="1"/>
    </xf>
    <xf numFmtId="0" fontId="4" fillId="7" borderId="7" xfId="1" applyFont="1" applyFill="1" applyBorder="1" applyAlignment="1">
      <alignment horizontal="center" vertical="center" wrapText="1" readingOrder="1"/>
    </xf>
    <xf numFmtId="0" fontId="4" fillId="7" borderId="6" xfId="1" applyFont="1" applyFill="1" applyBorder="1" applyAlignment="1">
      <alignment horizontal="center" vertical="center" wrapText="1" readingOrder="1"/>
    </xf>
    <xf numFmtId="0" fontId="4" fillId="3" borderId="7" xfId="1" applyFont="1" applyFill="1" applyBorder="1" applyAlignment="1">
      <alignment horizontal="center" vertical="center" wrapText="1" readingOrder="1"/>
    </xf>
    <xf numFmtId="3" fontId="4" fillId="3" borderId="3" xfId="1" applyNumberFormat="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6" xfId="1" applyFont="1" applyFill="1" applyBorder="1" applyAlignment="1">
      <alignment horizontal="center" vertical="center" wrapText="1" readingOrder="1"/>
    </xf>
    <xf numFmtId="0" fontId="4" fillId="3" borderId="4" xfId="1" applyFont="1" applyFill="1" applyBorder="1" applyAlignment="1">
      <alignment horizontal="center" vertical="center" wrapText="1" readingOrder="1"/>
    </xf>
    <xf numFmtId="0" fontId="4" fillId="3" borderId="3" xfId="1" applyFont="1" applyFill="1" applyBorder="1" applyAlignment="1">
      <alignment horizontal="center" vertical="center" wrapText="1" readingOrder="1"/>
    </xf>
    <xf numFmtId="165" fontId="3" fillId="5" borderId="46" xfId="3" applyNumberFormat="1" applyFont="1" applyFill="1" applyBorder="1" applyAlignment="1">
      <alignment horizontal="center" vertical="center"/>
    </xf>
    <xf numFmtId="10" fontId="5" fillId="0" borderId="47" xfId="2" applyNumberFormat="1" applyFont="1" applyFill="1" applyBorder="1" applyAlignment="1">
      <alignment horizontal="center" vertical="center" wrapText="1" readingOrder="1"/>
    </xf>
    <xf numFmtId="44" fontId="5" fillId="0" borderId="46" xfId="4" applyFont="1" applyFill="1" applyBorder="1" applyAlignment="1">
      <alignment horizontal="center" vertical="center" wrapText="1" readingOrder="1"/>
    </xf>
    <xf numFmtId="164" fontId="6" fillId="0" borderId="47" xfId="3" applyNumberFormat="1" applyFont="1" applyFill="1" applyBorder="1" applyAlignment="1">
      <alignment horizontal="center" vertical="center" wrapText="1"/>
    </xf>
    <xf numFmtId="164" fontId="6" fillId="0" borderId="48" xfId="3" applyNumberFormat="1" applyFont="1" applyFill="1" applyBorder="1" applyAlignment="1">
      <alignment horizontal="center" vertical="center" wrapText="1"/>
    </xf>
    <xf numFmtId="165" fontId="3" fillId="0" borderId="18" xfId="3" applyNumberFormat="1" applyFont="1" applyFill="1" applyBorder="1" applyAlignment="1">
      <alignment horizontal="center" vertical="center"/>
    </xf>
    <xf numFmtId="10" fontId="5" fillId="0" borderId="17" xfId="2" applyNumberFormat="1" applyFont="1" applyFill="1" applyBorder="1" applyAlignment="1">
      <alignment horizontal="center" vertical="center" wrapText="1" readingOrder="1"/>
    </xf>
    <xf numFmtId="10" fontId="5" fillId="0" borderId="16" xfId="2" applyNumberFormat="1" applyFont="1" applyFill="1" applyBorder="1" applyAlignment="1">
      <alignment horizontal="center" vertical="center" wrapText="1" readingOrder="1"/>
    </xf>
    <xf numFmtId="165" fontId="3" fillId="5" borderId="14" xfId="3" applyNumberFormat="1" applyFont="1" applyFill="1" applyBorder="1" applyAlignment="1">
      <alignment horizontal="center" vertical="center"/>
    </xf>
    <xf numFmtId="10" fontId="5" fillId="0" borderId="13" xfId="2" applyNumberFormat="1" applyFont="1" applyFill="1" applyBorder="1" applyAlignment="1">
      <alignment horizontal="center" vertical="center" wrapText="1" readingOrder="1"/>
    </xf>
    <xf numFmtId="44" fontId="5" fillId="0" borderId="14" xfId="4" applyFont="1" applyFill="1" applyBorder="1" applyAlignment="1">
      <alignment horizontal="center" vertical="center" wrapText="1" readingOrder="1"/>
    </xf>
    <xf numFmtId="164" fontId="6" fillId="0" borderId="13" xfId="3" applyNumberFormat="1" applyFont="1" applyFill="1" applyBorder="1" applyAlignment="1">
      <alignment horizontal="center" vertical="center" wrapText="1"/>
    </xf>
    <xf numFmtId="164" fontId="6" fillId="0" borderId="38" xfId="3"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readingOrder="1"/>
    </xf>
    <xf numFmtId="164" fontId="5" fillId="0" borderId="34" xfId="3" applyNumberFormat="1" applyFont="1" applyFill="1" applyBorder="1" applyAlignment="1">
      <alignment horizontal="center" vertical="center" wrapText="1" readingOrder="1"/>
    </xf>
    <xf numFmtId="10" fontId="5" fillId="0" borderId="35" xfId="2" applyNumberFormat="1" applyFont="1" applyFill="1" applyBorder="1" applyAlignment="1">
      <alignment horizontal="center" vertical="center" wrapText="1" readingOrder="1"/>
    </xf>
    <xf numFmtId="44" fontId="5" fillId="0" borderId="34" xfId="4" applyFont="1" applyFill="1" applyBorder="1" applyAlignment="1">
      <alignment horizontal="center" vertical="center" wrapText="1" readingOrder="1"/>
    </xf>
    <xf numFmtId="164" fontId="6" fillId="0" borderId="35" xfId="3" applyNumberFormat="1" applyFont="1" applyFill="1" applyBorder="1" applyAlignment="1">
      <alignment horizontal="center" vertical="center" wrapText="1"/>
    </xf>
    <xf numFmtId="6" fontId="5" fillId="0" borderId="34" xfId="4" applyNumberFormat="1" applyFont="1" applyFill="1" applyBorder="1" applyAlignment="1">
      <alignment horizontal="center" vertical="center" wrapText="1" readingOrder="1"/>
    </xf>
    <xf numFmtId="165" fontId="3" fillId="0" borderId="35" xfId="3" applyNumberFormat="1" applyFont="1" applyFill="1" applyBorder="1" applyAlignment="1">
      <alignment horizontal="center" vertical="center"/>
    </xf>
    <xf numFmtId="164" fontId="6" fillId="0" borderId="34" xfId="3" applyNumberFormat="1" applyFont="1" applyFill="1" applyBorder="1" applyAlignment="1">
      <alignment horizontal="center" vertical="center" wrapText="1"/>
    </xf>
    <xf numFmtId="165" fontId="3" fillId="0" borderId="41" xfId="3" applyNumberFormat="1" applyFont="1" applyFill="1" applyBorder="1" applyAlignment="1">
      <alignment horizontal="center" vertical="center"/>
    </xf>
    <xf numFmtId="10" fontId="5" fillId="0" borderId="41" xfId="2" applyNumberFormat="1" applyFont="1" applyFill="1" applyBorder="1" applyAlignment="1">
      <alignment horizontal="center" vertical="center" wrapText="1" readingOrder="1"/>
    </xf>
    <xf numFmtId="6" fontId="5" fillId="0" borderId="14" xfId="4" applyNumberFormat="1" applyFont="1" applyFill="1" applyBorder="1" applyAlignment="1">
      <alignment horizontal="center" vertical="center" wrapText="1" readingOrder="1"/>
    </xf>
    <xf numFmtId="165" fontId="3" fillId="2" borderId="13" xfId="3" applyNumberFormat="1" applyFont="1" applyFill="1" applyBorder="1" applyAlignment="1">
      <alignment horizontal="center" vertical="center"/>
    </xf>
    <xf numFmtId="165" fontId="3" fillId="0" borderId="13" xfId="3" applyNumberFormat="1" applyFont="1" applyFill="1" applyBorder="1" applyAlignment="1">
      <alignment horizontal="center" vertical="center"/>
    </xf>
    <xf numFmtId="164" fontId="5" fillId="0" borderId="10" xfId="3" applyNumberFormat="1" applyFont="1" applyFill="1" applyBorder="1" applyAlignment="1">
      <alignment horizontal="center" vertical="center" wrapText="1" readingOrder="1"/>
    </xf>
    <xf numFmtId="10" fontId="5" fillId="0" borderId="8" xfId="2" applyNumberFormat="1" applyFont="1" applyFill="1" applyBorder="1" applyAlignment="1">
      <alignment horizontal="center" vertical="center" wrapText="1" readingOrder="1"/>
    </xf>
    <xf numFmtId="44" fontId="5" fillId="0" borderId="10" xfId="4" applyFont="1" applyFill="1" applyBorder="1" applyAlignment="1">
      <alignment horizontal="center" vertical="center" wrapText="1" readingOrder="1"/>
    </xf>
    <xf numFmtId="164" fontId="6" fillId="0" borderId="8" xfId="3" applyNumberFormat="1" applyFont="1" applyFill="1" applyBorder="1" applyAlignment="1">
      <alignment horizontal="center" vertical="center" wrapText="1"/>
    </xf>
    <xf numFmtId="6" fontId="5" fillId="0" borderId="10" xfId="4" applyNumberFormat="1" applyFont="1" applyFill="1" applyBorder="1" applyAlignment="1">
      <alignment horizontal="center" vertical="center" wrapText="1" readingOrder="1"/>
    </xf>
    <xf numFmtId="165" fontId="3" fillId="0" borderId="8" xfId="3" applyNumberFormat="1" applyFont="1" applyFill="1" applyBorder="1" applyAlignment="1">
      <alignment horizontal="center" vertical="center"/>
    </xf>
    <xf numFmtId="10" fontId="5" fillId="0" borderId="40" xfId="2" applyNumberFormat="1" applyFont="1" applyFill="1" applyBorder="1" applyAlignment="1">
      <alignment horizontal="center" vertical="center" wrapText="1" readingOrder="1"/>
    </xf>
    <xf numFmtId="165" fontId="3" fillId="0" borderId="44" xfId="3" applyNumberFormat="1" applyFont="1" applyFill="1" applyBorder="1" applyAlignment="1">
      <alignment horizontal="center" vertical="center"/>
    </xf>
    <xf numFmtId="10" fontId="5" fillId="0" borderId="9" xfId="2" applyNumberFormat="1" applyFont="1" applyFill="1" applyBorder="1" applyAlignment="1">
      <alignment horizontal="center" vertical="center" wrapText="1" readingOrder="1"/>
    </xf>
    <xf numFmtId="0" fontId="7" fillId="0" borderId="0" xfId="1" applyFont="1" applyAlignment="1">
      <alignment horizontal="center" vertical="center" wrapText="1" readingOrder="1"/>
    </xf>
    <xf numFmtId="164" fontId="5" fillId="0" borderId="19" xfId="3" applyNumberFormat="1" applyFont="1" applyFill="1" applyBorder="1" applyAlignment="1">
      <alignment horizontal="center" vertical="center" wrapText="1" readingOrder="1"/>
    </xf>
    <xf numFmtId="44" fontId="5" fillId="0" borderId="19" xfId="4" applyFont="1" applyFill="1" applyBorder="1" applyAlignment="1">
      <alignment horizontal="center" vertical="center" wrapText="1" readingOrder="1"/>
    </xf>
    <xf numFmtId="164" fontId="6" fillId="0" borderId="16" xfId="3" applyNumberFormat="1" applyFont="1" applyFill="1" applyBorder="1" applyAlignment="1">
      <alignment horizontal="center" vertical="center" wrapText="1"/>
    </xf>
    <xf numFmtId="44" fontId="23" fillId="0" borderId="14" xfId="4" applyFont="1" applyFill="1" applyBorder="1" applyAlignment="1">
      <alignment horizontal="center" vertical="center" wrapText="1" readingOrder="1"/>
    </xf>
    <xf numFmtId="165" fontId="3" fillId="2" borderId="12" xfId="3" applyNumberFormat="1" applyFont="1" applyFill="1" applyBorder="1" applyAlignment="1">
      <alignment horizontal="center" vertical="center"/>
    </xf>
    <xf numFmtId="10" fontId="5" fillId="0" borderId="11" xfId="2" applyNumberFormat="1" applyFont="1" applyFill="1" applyBorder="1" applyAlignment="1">
      <alignment horizontal="center" vertical="center" wrapText="1" readingOrder="1"/>
    </xf>
    <xf numFmtId="44" fontId="5" fillId="0" borderId="12" xfId="4" applyFont="1" applyFill="1" applyBorder="1" applyAlignment="1">
      <alignment horizontal="center" vertical="center" wrapText="1" readingOrder="1"/>
    </xf>
    <xf numFmtId="164" fontId="6" fillId="0" borderId="11" xfId="3" applyNumberFormat="1" applyFont="1" applyFill="1" applyBorder="1" applyAlignment="1">
      <alignment horizontal="center" vertical="center" wrapText="1"/>
    </xf>
    <xf numFmtId="164" fontId="6" fillId="0" borderId="28" xfId="3" applyNumberFormat="1" applyFont="1" applyFill="1" applyBorder="1" applyAlignment="1">
      <alignment horizontal="center" vertical="center" wrapText="1"/>
    </xf>
    <xf numFmtId="10" fontId="5" fillId="0" borderId="43" xfId="2" applyNumberFormat="1" applyFont="1" applyFill="1" applyBorder="1" applyAlignment="1">
      <alignment horizontal="center" vertical="center" wrapText="1" readingOrder="1"/>
    </xf>
    <xf numFmtId="165" fontId="3" fillId="0" borderId="45" xfId="3" applyNumberFormat="1" applyFont="1" applyFill="1" applyBorder="1" applyAlignment="1">
      <alignment horizontal="center" vertical="center"/>
    </xf>
    <xf numFmtId="10" fontId="5" fillId="0" borderId="42" xfId="2" applyNumberFormat="1" applyFont="1" applyFill="1" applyBorder="1" applyAlignment="1">
      <alignment horizontal="center" vertical="center" wrapText="1" readingOrder="1"/>
    </xf>
    <xf numFmtId="164" fontId="5" fillId="0" borderId="2" xfId="3" applyNumberFormat="1" applyFont="1" applyFill="1" applyBorder="1" applyAlignment="1">
      <alignment horizontal="center" vertical="center" wrapText="1" readingOrder="1"/>
    </xf>
    <xf numFmtId="10" fontId="5" fillId="0" borderId="2" xfId="2" applyNumberFormat="1" applyFont="1" applyFill="1" applyBorder="1" applyAlignment="1">
      <alignment horizontal="center" vertical="center" wrapText="1" readingOrder="1"/>
    </xf>
    <xf numFmtId="44" fontId="5" fillId="0" borderId="2" xfId="4" applyFont="1" applyFill="1" applyBorder="1" applyAlignment="1">
      <alignment horizontal="center" vertical="center" wrapText="1" readingOrder="1"/>
    </xf>
    <xf numFmtId="164" fontId="6" fillId="0" borderId="2" xfId="3" applyNumberFormat="1" applyFont="1" applyFill="1" applyBorder="1" applyAlignment="1">
      <alignment horizontal="center" vertical="center" wrapText="1"/>
    </xf>
    <xf numFmtId="6" fontId="5" fillId="0" borderId="2" xfId="4" applyNumberFormat="1" applyFont="1" applyFill="1" applyBorder="1" applyAlignment="1">
      <alignment horizontal="center" vertical="center" wrapText="1" readingOrder="1"/>
    </xf>
    <xf numFmtId="165" fontId="3" fillId="0" borderId="2" xfId="3" applyNumberFormat="1" applyFont="1" applyFill="1" applyBorder="1" applyAlignment="1">
      <alignment horizontal="center" vertical="center"/>
    </xf>
    <xf numFmtId="165" fontId="3" fillId="0" borderId="7" xfId="3" applyNumberFormat="1" applyFont="1" applyFill="1" applyBorder="1" applyAlignment="1">
      <alignment horizontal="center" vertical="center"/>
    </xf>
    <xf numFmtId="9" fontId="5" fillId="0" borderId="3" xfId="2" applyFont="1" applyFill="1" applyBorder="1" applyAlignment="1">
      <alignment horizontal="center" vertical="center" wrapText="1" readingOrder="1"/>
    </xf>
    <xf numFmtId="6" fontId="5" fillId="0" borderId="5" xfId="4" applyNumberFormat="1" applyFont="1" applyFill="1" applyBorder="1" applyAlignment="1">
      <alignment horizontal="center" vertical="center" wrapText="1" readingOrder="1"/>
    </xf>
    <xf numFmtId="165" fontId="3" fillId="0" borderId="3" xfId="3" applyNumberFormat="1" applyFont="1" applyFill="1" applyBorder="1" applyAlignment="1">
      <alignment horizontal="center" vertical="center"/>
    </xf>
    <xf numFmtId="6" fontId="5" fillId="0" borderId="7" xfId="4" applyNumberFormat="1" applyFont="1" applyFill="1" applyBorder="1" applyAlignment="1">
      <alignment horizontal="center" vertical="center" wrapText="1" readingOrder="1"/>
    </xf>
    <xf numFmtId="165" fontId="3" fillId="0" borderId="21" xfId="3" applyNumberFormat="1" applyFont="1" applyFill="1" applyBorder="1" applyAlignment="1">
      <alignment horizontal="center" vertical="center"/>
    </xf>
    <xf numFmtId="10" fontId="5" fillId="0" borderId="6" xfId="2" applyNumberFormat="1" applyFont="1" applyFill="1" applyBorder="1" applyAlignment="1">
      <alignment horizontal="center" vertical="center" wrapText="1" readingOrder="1"/>
    </xf>
    <xf numFmtId="10" fontId="5" fillId="0" borderId="4" xfId="2" applyNumberFormat="1" applyFont="1" applyFill="1" applyBorder="1" applyAlignment="1">
      <alignment horizontal="center" vertical="center" wrapText="1" readingOrder="1"/>
    </xf>
    <xf numFmtId="10" fontId="5" fillId="0" borderId="3" xfId="2" applyNumberFormat="1" applyFont="1" applyFill="1" applyBorder="1" applyAlignment="1">
      <alignment horizontal="center" vertical="center" wrapText="1" readingOrder="1"/>
    </xf>
    <xf numFmtId="0" fontId="3" fillId="2" borderId="0" xfId="1" quotePrefix="1" applyFont="1" applyFill="1" applyAlignment="1">
      <alignment horizontal="center" vertical="center" wrapText="1"/>
    </xf>
    <xf numFmtId="0" fontId="3" fillId="0" borderId="0" xfId="1" applyFont="1" applyAlignment="1">
      <alignment horizontal="center" vertical="center" wrapText="1"/>
    </xf>
    <xf numFmtId="0" fontId="12" fillId="0" borderId="0" xfId="1" quotePrefix="1" applyFont="1" applyAlignment="1">
      <alignment horizontal="center" vertical="center"/>
    </xf>
    <xf numFmtId="166" fontId="12" fillId="0" borderId="0" xfId="1" applyNumberFormat="1" applyFont="1" applyAlignment="1">
      <alignment horizontal="center" vertical="center"/>
    </xf>
    <xf numFmtId="6" fontId="3" fillId="5" borderId="1" xfId="1" applyNumberFormat="1" applyFont="1" applyFill="1" applyBorder="1" applyAlignment="1">
      <alignment horizontal="center" vertical="center"/>
    </xf>
    <xf numFmtId="6" fontId="3" fillId="0" borderId="1" xfId="1" applyNumberFormat="1" applyFont="1" applyBorder="1" applyAlignment="1">
      <alignment horizontal="center" vertical="center"/>
    </xf>
    <xf numFmtId="3" fontId="3" fillId="0" borderId="1" xfId="1" applyNumberFormat="1" applyFont="1" applyBorder="1" applyAlignment="1">
      <alignment horizontal="center" vertical="center"/>
    </xf>
    <xf numFmtId="8" fontId="3" fillId="0" borderId="1" xfId="1" applyNumberFormat="1" applyFont="1" applyBorder="1" applyAlignment="1">
      <alignment horizontal="center" vertical="center"/>
    </xf>
    <xf numFmtId="10" fontId="5" fillId="5" borderId="1" xfId="2" applyNumberFormat="1" applyFont="1" applyFill="1" applyBorder="1" applyAlignment="1">
      <alignment horizontal="center" vertical="center" wrapText="1" readingOrder="1"/>
    </xf>
    <xf numFmtId="3" fontId="3" fillId="5" borderId="1" xfId="1" applyNumberFormat="1" applyFont="1" applyFill="1" applyBorder="1" applyAlignment="1">
      <alignment horizontal="center" vertical="center" wrapText="1"/>
    </xf>
    <xf numFmtId="0" fontId="0" fillId="7" borderId="0" xfId="0" applyFill="1" applyAlignment="1">
      <alignment wrapText="1"/>
    </xf>
    <xf numFmtId="0" fontId="0" fillId="7" borderId="0" xfId="0" applyFill="1"/>
    <xf numFmtId="0" fontId="0" fillId="0" borderId="26" xfId="0" applyBorder="1" applyAlignment="1">
      <alignment wrapText="1"/>
    </xf>
    <xf numFmtId="0" fontId="0" fillId="0" borderId="27" xfId="0" applyBorder="1"/>
    <xf numFmtId="0" fontId="9" fillId="0" borderId="26" xfId="0" applyFont="1" applyBorder="1" applyAlignment="1">
      <alignment horizontal="center" wrapText="1"/>
    </xf>
    <xf numFmtId="0" fontId="0" fillId="0" borderId="27" xfId="0" applyBorder="1" applyAlignment="1">
      <alignment vertical="top" wrapText="1"/>
    </xf>
    <xf numFmtId="0" fontId="0" fillId="0" borderId="26" xfId="0" applyBorder="1" applyAlignment="1">
      <alignment horizontal="center" vertical="center" wrapText="1"/>
    </xf>
    <xf numFmtId="0" fontId="0" fillId="0" borderId="27" xfId="0" applyBorder="1" applyAlignment="1">
      <alignment horizontal="center" vertical="center"/>
    </xf>
    <xf numFmtId="0" fontId="3" fillId="0" borderId="2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8" xfId="0" applyFont="1" applyBorder="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horizontal="center" vertical="center"/>
    </xf>
    <xf numFmtId="0" fontId="1" fillId="5" borderId="26" xfId="1"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0" borderId="26" xfId="0" applyFont="1" applyBorder="1" applyAlignment="1">
      <alignment horizontal="center" vertical="center" wrapText="1"/>
    </xf>
    <xf numFmtId="164" fontId="5" fillId="5" borderId="14" xfId="3" applyNumberFormat="1" applyFont="1" applyFill="1" applyBorder="1" applyAlignment="1">
      <alignment horizontal="center" vertical="center" wrapText="1" readingOrder="1"/>
    </xf>
    <xf numFmtId="8" fontId="3" fillId="5" borderId="1" xfId="1" applyNumberFormat="1" applyFont="1" applyFill="1" applyBorder="1" applyAlignment="1">
      <alignment horizontal="center" vertical="center"/>
    </xf>
    <xf numFmtId="0" fontId="2" fillId="0" borderId="0" xfId="1" applyAlignment="1">
      <alignment horizontal="center" vertical="center" wrapText="1"/>
    </xf>
    <xf numFmtId="0" fontId="2" fillId="0" borderId="27" xfId="1" applyBorder="1" applyAlignment="1">
      <alignment horizontal="center" vertical="center" wrapText="1"/>
    </xf>
    <xf numFmtId="0" fontId="2" fillId="0" borderId="29" xfId="1" applyBorder="1" applyAlignment="1">
      <alignment horizontal="center" vertical="center" wrapText="1"/>
    </xf>
    <xf numFmtId="0" fontId="2" fillId="0" borderId="30" xfId="1" applyBorder="1" applyAlignment="1">
      <alignment horizontal="center" vertical="center" wrapText="1"/>
    </xf>
    <xf numFmtId="0" fontId="2" fillId="0" borderId="2" xfId="1" applyBorder="1" applyAlignment="1">
      <alignment horizontal="center" vertical="center" wrapText="1"/>
    </xf>
    <xf numFmtId="0" fontId="2" fillId="0" borderId="37" xfId="1" applyBorder="1" applyAlignment="1">
      <alignment horizontal="center" vertical="center" wrapText="1"/>
    </xf>
    <xf numFmtId="0" fontId="2" fillId="2" borderId="26" xfId="1" applyFill="1" applyBorder="1" applyAlignment="1">
      <alignment horizontal="center" vertical="center"/>
    </xf>
    <xf numFmtId="0" fontId="2" fillId="2" borderId="0" xfId="1" applyFill="1" applyAlignment="1">
      <alignment horizontal="center" vertical="center"/>
    </xf>
    <xf numFmtId="0" fontId="1" fillId="6" borderId="0" xfId="0" applyFont="1" applyFill="1" applyAlignment="1">
      <alignment horizontal="center" vertical="center" wrapText="1"/>
    </xf>
    <xf numFmtId="0" fontId="1" fillId="6" borderId="27" xfId="0" applyFont="1" applyFill="1" applyBorder="1" applyAlignment="1">
      <alignment horizontal="center" vertical="center" wrapText="1"/>
    </xf>
    <xf numFmtId="0" fontId="1" fillId="0" borderId="0" xfId="0" applyFont="1" applyAlignment="1">
      <alignment horizontal="center" vertical="center" wrapText="1"/>
    </xf>
    <xf numFmtId="0" fontId="1" fillId="0" borderId="27" xfId="0" applyFont="1" applyBorder="1" applyAlignment="1">
      <alignment horizontal="center" vertical="center" wrapText="1"/>
    </xf>
    <xf numFmtId="0" fontId="22" fillId="0" borderId="23" xfId="1" applyFont="1" applyBorder="1" applyAlignment="1">
      <alignment horizontal="center" vertical="center"/>
    </xf>
    <xf numFmtId="0" fontId="22" fillId="0" borderId="24" xfId="1" applyFont="1" applyBorder="1" applyAlignment="1">
      <alignment horizontal="center" vertical="center"/>
    </xf>
    <xf numFmtId="0" fontId="22" fillId="0" borderId="25" xfId="1" applyFont="1" applyBorder="1" applyAlignment="1">
      <alignment horizontal="center" vertical="center"/>
    </xf>
    <xf numFmtId="0" fontId="1" fillId="0" borderId="26" xfId="1" applyFont="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10" fillId="0" borderId="26" xfId="1" applyFont="1" applyBorder="1" applyAlignment="1">
      <alignment horizontal="center" vertical="center" wrapText="1"/>
    </xf>
    <xf numFmtId="0" fontId="10" fillId="0" borderId="0" xfId="1" applyFont="1" applyAlignment="1">
      <alignment horizontal="center" vertical="center" wrapText="1"/>
    </xf>
    <xf numFmtId="0" fontId="10" fillId="0" borderId="27" xfId="1" applyFont="1" applyBorder="1" applyAlignment="1">
      <alignment horizontal="center" vertical="center" wrapText="1"/>
    </xf>
    <xf numFmtId="0" fontId="10" fillId="0" borderId="26" xfId="1" applyFont="1" applyBorder="1" applyAlignment="1">
      <alignment horizontal="center" vertical="center"/>
    </xf>
    <xf numFmtId="0" fontId="10" fillId="0" borderId="0" xfId="1" applyFont="1" applyAlignment="1">
      <alignment horizontal="center" vertical="center"/>
    </xf>
    <xf numFmtId="0" fontId="10" fillId="0" borderId="27" xfId="1" applyFont="1" applyBorder="1" applyAlignment="1">
      <alignment horizontal="center" vertical="center"/>
    </xf>
    <xf numFmtId="3" fontId="10" fillId="0" borderId="26" xfId="1" applyNumberFormat="1" applyFont="1" applyBorder="1" applyAlignment="1">
      <alignment horizontal="center" vertical="center"/>
    </xf>
    <xf numFmtId="0" fontId="22" fillId="0" borderId="23" xfId="0" applyFont="1" applyBorder="1" applyAlignment="1">
      <alignment horizontal="center" vertical="center"/>
    </xf>
    <xf numFmtId="0" fontId="22" fillId="0" borderId="24" xfId="0" applyFont="1" applyBorder="1" applyAlignment="1">
      <alignment horizontal="center" vertical="center"/>
    </xf>
    <xf numFmtId="0" fontId="22" fillId="0" borderId="25" xfId="0" applyFont="1" applyBorder="1" applyAlignment="1">
      <alignment horizontal="center" vertical="center"/>
    </xf>
    <xf numFmtId="0" fontId="0" fillId="0" borderId="26"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38" xfId="0" applyBorder="1" applyAlignment="1">
      <alignment horizontal="center" vertical="center" wrapText="1"/>
    </xf>
    <xf numFmtId="0" fontId="0" fillId="0" borderId="2" xfId="0" applyBorder="1" applyAlignment="1">
      <alignment horizontal="center" vertical="center" wrapText="1"/>
    </xf>
    <xf numFmtId="0" fontId="0" fillId="0" borderId="37" xfId="0" applyBorder="1" applyAlignment="1">
      <alignment horizontal="center" vertical="center" wrapText="1"/>
    </xf>
    <xf numFmtId="0" fontId="10" fillId="0" borderId="26" xfId="0" applyFont="1" applyBorder="1" applyAlignment="1">
      <alignment horizontal="center" vertical="center"/>
    </xf>
    <xf numFmtId="0" fontId="10" fillId="0" borderId="0" xfId="0" applyFont="1" applyAlignment="1">
      <alignment horizontal="center" vertical="center"/>
    </xf>
    <xf numFmtId="0" fontId="10" fillId="0" borderId="27" xfId="0"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43" fontId="10" fillId="0" borderId="26" xfId="5" applyFont="1" applyBorder="1" applyAlignment="1">
      <alignment horizontal="center" vertical="center"/>
    </xf>
    <xf numFmtId="43" fontId="10" fillId="0" borderId="0" xfId="5" applyFont="1" applyBorder="1" applyAlignment="1">
      <alignment horizontal="center" vertical="center"/>
    </xf>
    <xf numFmtId="43" fontId="10" fillId="0" borderId="27" xfId="5"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3" fillId="0" borderId="29" xfId="1" applyFont="1" applyBorder="1" applyAlignment="1">
      <alignment horizontal="center" vertical="center"/>
    </xf>
    <xf numFmtId="0" fontId="4" fillId="3" borderId="22" xfId="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20" xfId="1" applyFont="1" applyFill="1" applyBorder="1" applyAlignment="1">
      <alignment horizontal="center" vertical="center" wrapText="1" readingOrder="1"/>
    </xf>
    <xf numFmtId="0" fontId="10" fillId="3" borderId="22" xfId="1" applyFont="1" applyFill="1" applyBorder="1" applyAlignment="1">
      <alignment horizontal="center" vertical="center"/>
    </xf>
    <xf numFmtId="0" fontId="10" fillId="3" borderId="20" xfId="1" applyFont="1" applyFill="1" applyBorder="1" applyAlignment="1">
      <alignment horizontal="center" vertical="center"/>
    </xf>
    <xf numFmtId="3" fontId="10" fillId="3" borderId="22" xfId="1" applyNumberFormat="1" applyFont="1" applyFill="1" applyBorder="1" applyAlignment="1">
      <alignment horizontal="center" vertical="center"/>
    </xf>
    <xf numFmtId="0" fontId="11" fillId="4" borderId="0" xfId="1" applyFont="1" applyFill="1" applyAlignment="1">
      <alignment horizontal="center" vertical="center"/>
    </xf>
    <xf numFmtId="0" fontId="4" fillId="7" borderId="22" xfId="1" applyFont="1" applyFill="1" applyBorder="1" applyAlignment="1">
      <alignment horizontal="center" vertical="center" wrapText="1" readingOrder="1"/>
    </xf>
    <xf numFmtId="0" fontId="4" fillId="7" borderId="20" xfId="1" applyFont="1" applyFill="1" applyBorder="1" applyAlignment="1">
      <alignment horizontal="center" vertical="center" wrapText="1" readingOrder="1"/>
    </xf>
  </cellXfs>
  <cellStyles count="6">
    <cellStyle name="Comma" xfId="5" builtinId="3"/>
    <cellStyle name="Comma 2" xfId="3" xr:uid="{A8D0B655-F36F-4FDC-9AA7-10893160616D}"/>
    <cellStyle name="Currency 2" xfId="4" xr:uid="{85476F1F-497A-48A0-9C63-B1CE80588F26}"/>
    <cellStyle name="Normal" xfId="0" builtinId="0"/>
    <cellStyle name="Normal 2" xfId="1" xr:uid="{7C121EC6-2123-4219-8009-63CB67E0E5C0}"/>
    <cellStyle name="Percent 2" xfId="2" xr:uid="{88947777-AA04-468C-9226-CBABBA8717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Investing/Shared%20Documents/General/Companies/IT.Buyside/ConsideringRaiseAug2021/buyermls-llc_2021-07-19%20_%20RaiseScenarios.working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tristan_ly_sep_benfranklin_org/Documents/Desktop/Cap%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cap table"/>
      <sheetName val="Intermediate cap"/>
      <sheetName val="Detailed Cap"/>
      <sheetName val="Playing"/>
      <sheetName val="Convertible Not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ies A  (2)"/>
      <sheetName val="Series A "/>
      <sheetName val="Methods"/>
      <sheetName val="Summary"/>
      <sheetName val="Option Pool"/>
      <sheetName val="Dividend Accrual"/>
      <sheetName val="Series B"/>
      <sheetName val="Sheet3"/>
      <sheetName val="Advanced Cap Tabl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52849-1581-44CB-95E7-BB0978FCB4C3}">
  <sheetPr codeName="Sheet1"/>
  <dimension ref="A1:O71"/>
  <sheetViews>
    <sheetView workbookViewId="0"/>
  </sheetViews>
  <sheetFormatPr defaultColWidth="9" defaultRowHeight="39.9" customHeight="1" x14ac:dyDescent="0.3"/>
  <cols>
    <col min="1" max="1" width="31.19921875" style="38" customWidth="1"/>
    <col min="2" max="3" width="31.19921875" style="37" customWidth="1"/>
    <col min="4" max="4" width="7.59765625" style="37" customWidth="1"/>
    <col min="5" max="5" width="31.19921875" style="38" customWidth="1"/>
    <col min="6" max="7" width="31.19921875" style="37" customWidth="1"/>
    <col min="8" max="8" width="8.5" style="37" customWidth="1"/>
    <col min="9" max="9" width="31.3984375" style="38" customWidth="1"/>
    <col min="10" max="11" width="31.19921875" style="37" customWidth="1"/>
    <col min="12" max="12" width="8.5" style="37" customWidth="1"/>
    <col min="13" max="13" width="31.19921875" style="159" customWidth="1"/>
    <col min="14" max="15" width="31.19921875" style="160" customWidth="1"/>
    <col min="16" max="16384" width="9" style="37"/>
  </cols>
  <sheetData>
    <row r="1" spans="1:15" s="52" customFormat="1" ht="16.2" thickBot="1" x14ac:dyDescent="0.35">
      <c r="A1" s="59"/>
      <c r="D1" s="37"/>
      <c r="E1" s="59"/>
      <c r="I1" s="38"/>
      <c r="M1" s="148"/>
      <c r="N1" s="149"/>
      <c r="O1" s="149"/>
    </row>
    <row r="2" spans="1:15" s="58" customFormat="1" ht="39.75" customHeight="1" thickBot="1" x14ac:dyDescent="0.35">
      <c r="A2" s="178" t="s">
        <v>0</v>
      </c>
      <c r="B2" s="179"/>
      <c r="C2" s="180"/>
      <c r="E2" s="178" t="s">
        <v>1</v>
      </c>
      <c r="F2" s="179"/>
      <c r="G2" s="180"/>
      <c r="I2" s="178" t="s">
        <v>2</v>
      </c>
      <c r="J2" s="179"/>
      <c r="K2" s="180"/>
      <c r="M2" s="191" t="s">
        <v>3</v>
      </c>
      <c r="N2" s="192"/>
      <c r="O2" s="193"/>
    </row>
    <row r="3" spans="1:15" s="52" customFormat="1" ht="16.2" thickTop="1" x14ac:dyDescent="0.3">
      <c r="A3" s="57"/>
      <c r="B3" s="1"/>
      <c r="C3" s="56"/>
      <c r="E3" s="57"/>
      <c r="F3" s="1"/>
      <c r="G3" s="56"/>
      <c r="I3" s="41"/>
      <c r="J3" s="1"/>
      <c r="K3" s="56"/>
      <c r="M3" s="150"/>
      <c r="N3"/>
      <c r="O3" s="151"/>
    </row>
    <row r="4" spans="1:15" s="52" customFormat="1" ht="15" customHeight="1" x14ac:dyDescent="0.3">
      <c r="A4" s="54" t="s">
        <v>4</v>
      </c>
      <c r="B4" s="55"/>
      <c r="C4" s="53"/>
      <c r="E4" s="54" t="s">
        <v>4</v>
      </c>
      <c r="F4" s="1"/>
      <c r="G4" s="53"/>
      <c r="I4" s="51" t="s">
        <v>4</v>
      </c>
      <c r="J4" s="1"/>
      <c r="K4" s="53"/>
      <c r="M4" s="152" t="s">
        <v>4</v>
      </c>
      <c r="N4"/>
      <c r="O4" s="153"/>
    </row>
    <row r="5" spans="1:15" ht="15" customHeight="1" x14ac:dyDescent="0.3">
      <c r="A5" s="181" t="s">
        <v>5</v>
      </c>
      <c r="B5" s="166"/>
      <c r="C5" s="167"/>
      <c r="E5" s="182" t="s">
        <v>6</v>
      </c>
      <c r="F5" s="166"/>
      <c r="G5" s="167"/>
      <c r="I5" s="181" t="s">
        <v>7</v>
      </c>
      <c r="J5" s="166"/>
      <c r="K5" s="167"/>
      <c r="M5" s="194" t="s">
        <v>8</v>
      </c>
      <c r="N5" s="195"/>
      <c r="O5" s="196"/>
    </row>
    <row r="6" spans="1:15" ht="14.4" x14ac:dyDescent="0.3">
      <c r="A6" s="182"/>
      <c r="B6" s="166"/>
      <c r="C6" s="167"/>
      <c r="E6" s="182"/>
      <c r="F6" s="166"/>
      <c r="G6" s="167"/>
      <c r="I6" s="182"/>
      <c r="J6" s="166"/>
      <c r="K6" s="167"/>
      <c r="M6" s="194"/>
      <c r="N6" s="195"/>
      <c r="O6" s="196"/>
    </row>
    <row r="7" spans="1:15" ht="14.4" x14ac:dyDescent="0.3">
      <c r="A7" s="182"/>
      <c r="B7" s="166"/>
      <c r="C7" s="167"/>
      <c r="E7" s="182"/>
      <c r="F7" s="166"/>
      <c r="G7" s="167"/>
      <c r="I7" s="182"/>
      <c r="J7" s="166"/>
      <c r="K7" s="167"/>
      <c r="M7" s="194"/>
      <c r="N7" s="195"/>
      <c r="O7" s="196"/>
    </row>
    <row r="8" spans="1:15" ht="43.5" customHeight="1" x14ac:dyDescent="0.3">
      <c r="A8" s="183"/>
      <c r="B8" s="170"/>
      <c r="C8" s="171"/>
      <c r="E8" s="183"/>
      <c r="F8" s="170"/>
      <c r="G8" s="171"/>
      <c r="I8" s="183"/>
      <c r="J8" s="170"/>
      <c r="K8" s="171"/>
      <c r="M8" s="197"/>
      <c r="N8" s="198"/>
      <c r="O8" s="199"/>
    </row>
    <row r="9" spans="1:15" ht="30" customHeight="1" x14ac:dyDescent="0.3">
      <c r="A9" s="41"/>
      <c r="B9" s="44"/>
      <c r="C9" s="43"/>
      <c r="E9" s="41"/>
      <c r="F9" s="2"/>
      <c r="G9" s="48"/>
      <c r="I9" s="41"/>
      <c r="J9" s="2"/>
      <c r="K9" s="48"/>
      <c r="M9" s="154"/>
      <c r="N9" s="32"/>
      <c r="O9" s="155"/>
    </row>
    <row r="10" spans="1:15" ht="54.75" customHeight="1" x14ac:dyDescent="0.3">
      <c r="A10" s="184" t="s">
        <v>9</v>
      </c>
      <c r="B10" s="185"/>
      <c r="C10" s="186"/>
      <c r="E10" s="187" t="s">
        <v>1</v>
      </c>
      <c r="F10" s="188"/>
      <c r="G10" s="189"/>
      <c r="I10" s="190" t="str">
        <f>'Pro Forma Summary Cap Table'!B8</f>
        <v>Series Preferred 1</v>
      </c>
      <c r="J10" s="188"/>
      <c r="K10" s="189"/>
      <c r="M10" s="200" t="s">
        <v>10</v>
      </c>
      <c r="N10" s="201"/>
      <c r="O10" s="202"/>
    </row>
    <row r="11" spans="1:15" ht="60" customHeight="1" x14ac:dyDescent="0.3">
      <c r="A11" s="51" t="s">
        <v>4</v>
      </c>
      <c r="B11" s="166" t="s">
        <v>11</v>
      </c>
      <c r="C11" s="167"/>
      <c r="E11" s="50" t="s">
        <v>12</v>
      </c>
      <c r="F11" s="166" t="s">
        <v>13</v>
      </c>
      <c r="G11" s="167"/>
      <c r="I11" s="50" t="s">
        <v>14</v>
      </c>
      <c r="J11" s="166" t="s">
        <v>15</v>
      </c>
      <c r="K11" s="167"/>
      <c r="M11" s="156" t="s">
        <v>16</v>
      </c>
      <c r="N11" s="195" t="s">
        <v>17</v>
      </c>
      <c r="O11" s="196"/>
    </row>
    <row r="12" spans="1:15" ht="60" customHeight="1" x14ac:dyDescent="0.3">
      <c r="A12" s="42"/>
      <c r="B12" s="170"/>
      <c r="C12" s="171"/>
      <c r="E12" s="41"/>
      <c r="F12" s="166"/>
      <c r="G12" s="167"/>
      <c r="I12" s="41"/>
      <c r="J12" s="166"/>
      <c r="K12" s="167"/>
      <c r="M12" s="157"/>
      <c r="N12" s="195"/>
      <c r="O12" s="196"/>
    </row>
    <row r="13" spans="1:15" ht="60" customHeight="1" x14ac:dyDescent="0.3">
      <c r="A13" s="41"/>
      <c r="B13" s="2"/>
      <c r="C13" s="48"/>
      <c r="E13" s="161" t="s">
        <v>18</v>
      </c>
      <c r="F13" s="166" t="s">
        <v>19</v>
      </c>
      <c r="G13" s="167"/>
      <c r="I13" s="50" t="s">
        <v>20</v>
      </c>
      <c r="J13" s="166" t="s">
        <v>21</v>
      </c>
      <c r="K13" s="167"/>
      <c r="M13" s="156" t="s">
        <v>22</v>
      </c>
      <c r="N13" s="195" t="s">
        <v>23</v>
      </c>
      <c r="O13" s="196"/>
    </row>
    <row r="14" spans="1:15" ht="60" customHeight="1" x14ac:dyDescent="0.3">
      <c r="A14" s="184" t="s">
        <v>24</v>
      </c>
      <c r="B14" s="185"/>
      <c r="C14" s="186"/>
      <c r="E14" s="41"/>
      <c r="F14" s="166"/>
      <c r="G14" s="167"/>
      <c r="I14" s="41"/>
      <c r="J14" s="166"/>
      <c r="K14" s="167"/>
      <c r="M14" s="157"/>
      <c r="N14" s="195"/>
      <c r="O14" s="196"/>
    </row>
    <row r="15" spans="1:15" ht="60" customHeight="1" x14ac:dyDescent="0.3">
      <c r="A15" s="41"/>
      <c r="B15" s="44"/>
      <c r="C15" s="43"/>
      <c r="E15" s="50" t="s">
        <v>25</v>
      </c>
      <c r="F15" s="166" t="s">
        <v>26</v>
      </c>
      <c r="G15" s="167"/>
      <c r="I15" s="41" t="s">
        <v>27</v>
      </c>
      <c r="J15" s="166" t="s">
        <v>28</v>
      </c>
      <c r="K15" s="167"/>
      <c r="M15" s="156" t="s">
        <v>29</v>
      </c>
      <c r="N15" s="195" t="s">
        <v>30</v>
      </c>
      <c r="O15" s="196"/>
    </row>
    <row r="16" spans="1:15" ht="60" customHeight="1" x14ac:dyDescent="0.3">
      <c r="A16" s="45" t="s">
        <v>31</v>
      </c>
      <c r="B16" s="166" t="s">
        <v>32</v>
      </c>
      <c r="C16" s="167"/>
      <c r="E16" s="41"/>
      <c r="F16" s="166"/>
      <c r="G16" s="167"/>
      <c r="I16" s="41"/>
      <c r="J16" s="166"/>
      <c r="K16" s="167"/>
      <c r="M16" s="157"/>
      <c r="N16" s="195"/>
      <c r="O16" s="196"/>
    </row>
    <row r="17" spans="1:15" ht="74.25" customHeight="1" x14ac:dyDescent="0.3">
      <c r="A17" s="41"/>
      <c r="B17" s="166"/>
      <c r="C17" s="167"/>
      <c r="E17" s="50" t="s">
        <v>33</v>
      </c>
      <c r="F17" s="166" t="s">
        <v>34</v>
      </c>
      <c r="G17" s="167"/>
      <c r="I17" s="41" t="s">
        <v>35</v>
      </c>
      <c r="J17" s="166" t="s">
        <v>36</v>
      </c>
      <c r="K17" s="167"/>
      <c r="M17" s="156" t="s">
        <v>37</v>
      </c>
      <c r="N17" s="195" t="s">
        <v>38</v>
      </c>
      <c r="O17" s="196"/>
    </row>
    <row r="18" spans="1:15" ht="60" customHeight="1" x14ac:dyDescent="0.3">
      <c r="A18" s="50" t="s">
        <v>39</v>
      </c>
      <c r="B18" s="166" t="s">
        <v>40</v>
      </c>
      <c r="C18" s="167"/>
      <c r="E18" s="41"/>
      <c r="F18" s="166"/>
      <c r="G18" s="167"/>
      <c r="I18" s="41"/>
      <c r="J18" s="166"/>
      <c r="K18" s="167"/>
      <c r="M18" s="157"/>
      <c r="N18" s="195"/>
      <c r="O18" s="196"/>
    </row>
    <row r="19" spans="1:15" ht="60" customHeight="1" x14ac:dyDescent="0.3">
      <c r="A19" s="41"/>
      <c r="B19" s="166"/>
      <c r="C19" s="167"/>
      <c r="E19" s="50" t="s">
        <v>41</v>
      </c>
      <c r="F19" s="166" t="s">
        <v>42</v>
      </c>
      <c r="G19" s="167"/>
      <c r="I19" s="50" t="s">
        <v>43</v>
      </c>
      <c r="J19" s="166" t="s">
        <v>44</v>
      </c>
      <c r="K19" s="167"/>
      <c r="M19" s="156" t="s">
        <v>45</v>
      </c>
      <c r="N19" s="195" t="s">
        <v>46</v>
      </c>
      <c r="O19" s="196"/>
    </row>
    <row r="20" spans="1:15" ht="60" customHeight="1" x14ac:dyDescent="0.3">
      <c r="A20" s="49" t="s">
        <v>47</v>
      </c>
      <c r="B20" s="166" t="s">
        <v>48</v>
      </c>
      <c r="C20" s="167"/>
      <c r="E20" s="41"/>
      <c r="F20" s="166"/>
      <c r="G20" s="167"/>
      <c r="I20" s="41"/>
      <c r="J20" s="166"/>
      <c r="K20" s="167"/>
      <c r="M20" s="157"/>
      <c r="N20" s="195"/>
      <c r="O20" s="196"/>
    </row>
    <row r="21" spans="1:15" ht="60" customHeight="1" x14ac:dyDescent="0.3">
      <c r="A21" s="41"/>
      <c r="B21" s="166"/>
      <c r="C21" s="167"/>
      <c r="E21" s="162" t="s">
        <v>49</v>
      </c>
      <c r="F21" s="176" t="s">
        <v>50</v>
      </c>
      <c r="G21" s="177"/>
      <c r="I21" s="41" t="s">
        <v>51</v>
      </c>
      <c r="J21" s="166" t="s">
        <v>52</v>
      </c>
      <c r="K21" s="167"/>
      <c r="M21" s="156" t="s">
        <v>53</v>
      </c>
      <c r="N21" s="195" t="s">
        <v>54</v>
      </c>
      <c r="O21" s="196"/>
    </row>
    <row r="22" spans="1:15" ht="60" customHeight="1" x14ac:dyDescent="0.3">
      <c r="A22" s="41"/>
      <c r="B22" s="44"/>
      <c r="C22" s="43"/>
      <c r="E22" s="163"/>
      <c r="F22" s="176"/>
      <c r="G22" s="177"/>
      <c r="I22" s="41"/>
      <c r="J22" s="166"/>
      <c r="K22" s="167"/>
      <c r="M22" s="157"/>
      <c r="N22" s="195"/>
      <c r="O22" s="196"/>
    </row>
    <row r="23" spans="1:15" ht="60" customHeight="1" x14ac:dyDescent="0.3">
      <c r="A23" s="172" t="s">
        <v>55</v>
      </c>
      <c r="B23" s="173"/>
      <c r="C23" s="43"/>
      <c r="E23" s="162" t="s">
        <v>56</v>
      </c>
      <c r="F23" s="176" t="s">
        <v>57</v>
      </c>
      <c r="G23" s="177"/>
      <c r="I23" s="50" t="s">
        <v>58</v>
      </c>
      <c r="J23" s="166" t="s">
        <v>59</v>
      </c>
      <c r="K23" s="167"/>
      <c r="M23" s="156" t="s">
        <v>60</v>
      </c>
      <c r="N23" s="195" t="s">
        <v>61</v>
      </c>
      <c r="O23" s="196"/>
    </row>
    <row r="24" spans="1:15" ht="60" customHeight="1" x14ac:dyDescent="0.3">
      <c r="A24" s="41"/>
      <c r="B24" s="166" t="s">
        <v>62</v>
      </c>
      <c r="C24" s="167"/>
      <c r="E24" s="163"/>
      <c r="F24" s="176"/>
      <c r="G24" s="177"/>
      <c r="I24" s="42"/>
      <c r="J24" s="170"/>
      <c r="K24" s="171"/>
      <c r="M24" s="157"/>
      <c r="N24" s="195"/>
      <c r="O24" s="196"/>
    </row>
    <row r="25" spans="1:15" ht="60" customHeight="1" thickBot="1" x14ac:dyDescent="0.35">
      <c r="A25" s="40"/>
      <c r="B25" s="168"/>
      <c r="C25" s="169"/>
      <c r="E25" s="162" t="s">
        <v>63</v>
      </c>
      <c r="F25" s="174" t="s">
        <v>64</v>
      </c>
      <c r="G25" s="175"/>
      <c r="I25" s="51" t="s">
        <v>65</v>
      </c>
      <c r="J25" s="166" t="s">
        <v>66</v>
      </c>
      <c r="K25" s="167"/>
      <c r="M25" s="156" t="s">
        <v>67</v>
      </c>
      <c r="N25" s="195" t="s">
        <v>68</v>
      </c>
      <c r="O25" s="196"/>
    </row>
    <row r="26" spans="1:15" ht="60" customHeight="1" x14ac:dyDescent="0.3">
      <c r="B26" s="38"/>
      <c r="C26" s="38"/>
      <c r="E26" s="163"/>
      <c r="F26" s="174"/>
      <c r="G26" s="175"/>
      <c r="I26" s="41"/>
      <c r="J26" s="166"/>
      <c r="K26" s="167"/>
      <c r="M26" s="157"/>
      <c r="N26" s="195"/>
      <c r="O26" s="196"/>
    </row>
    <row r="27" spans="1:15" ht="60" customHeight="1" x14ac:dyDescent="0.3">
      <c r="B27" s="38"/>
      <c r="C27" s="38"/>
      <c r="E27" s="41" t="s">
        <v>69</v>
      </c>
      <c r="F27" s="166" t="s">
        <v>70</v>
      </c>
      <c r="G27" s="167"/>
      <c r="I27" s="41" t="s">
        <v>71</v>
      </c>
      <c r="J27" s="166" t="s">
        <v>72</v>
      </c>
      <c r="K27" s="167"/>
      <c r="M27" s="156" t="s">
        <v>73</v>
      </c>
      <c r="N27" s="195" t="s">
        <v>74</v>
      </c>
      <c r="O27" s="196"/>
    </row>
    <row r="28" spans="1:15" ht="60" customHeight="1" x14ac:dyDescent="0.3">
      <c r="E28" s="41"/>
      <c r="F28" s="166"/>
      <c r="G28" s="167"/>
      <c r="I28" s="41"/>
      <c r="J28" s="166"/>
      <c r="K28" s="167"/>
      <c r="M28" s="157"/>
      <c r="N28" s="195"/>
      <c r="O28" s="196"/>
    </row>
    <row r="29" spans="1:15" ht="70.5" customHeight="1" x14ac:dyDescent="0.3">
      <c r="E29" s="41" t="s">
        <v>75</v>
      </c>
      <c r="F29" s="166" t="s">
        <v>76</v>
      </c>
      <c r="G29" s="167"/>
      <c r="I29" s="41" t="s">
        <v>77</v>
      </c>
      <c r="J29" s="166" t="s">
        <v>78</v>
      </c>
      <c r="K29" s="167"/>
      <c r="M29" s="156" t="s">
        <v>79</v>
      </c>
      <c r="N29" s="195" t="s">
        <v>80</v>
      </c>
      <c r="O29" s="196"/>
    </row>
    <row r="30" spans="1:15" ht="60" customHeight="1" x14ac:dyDescent="0.3">
      <c r="E30" s="41"/>
      <c r="F30" s="166"/>
      <c r="G30" s="167"/>
      <c r="I30" s="41"/>
      <c r="J30" s="166"/>
      <c r="K30" s="167"/>
      <c r="M30" s="157"/>
      <c r="N30" s="195"/>
      <c r="O30" s="196"/>
    </row>
    <row r="31" spans="1:15" ht="60" customHeight="1" x14ac:dyDescent="0.3">
      <c r="E31" s="49" t="s">
        <v>81</v>
      </c>
      <c r="F31" s="166" t="s">
        <v>82</v>
      </c>
      <c r="G31" s="167"/>
      <c r="I31" s="49" t="s">
        <v>83</v>
      </c>
      <c r="J31" s="166" t="s">
        <v>84</v>
      </c>
      <c r="K31" s="167"/>
      <c r="M31" s="156" t="s">
        <v>85</v>
      </c>
      <c r="N31" s="195" t="s">
        <v>86</v>
      </c>
      <c r="O31" s="196"/>
    </row>
    <row r="32" spans="1:15" ht="60" customHeight="1" x14ac:dyDescent="0.3">
      <c r="B32" s="38"/>
      <c r="C32" s="38"/>
      <c r="E32" s="41"/>
      <c r="F32" s="166"/>
      <c r="G32" s="167"/>
      <c r="I32" s="42"/>
      <c r="J32" s="170"/>
      <c r="K32" s="171"/>
      <c r="M32" s="157"/>
      <c r="N32" s="195"/>
      <c r="O32" s="196"/>
    </row>
    <row r="33" spans="5:15" ht="60" customHeight="1" x14ac:dyDescent="0.3">
      <c r="E33" s="49" t="s">
        <v>87</v>
      </c>
      <c r="F33" s="166" t="s">
        <v>88</v>
      </c>
      <c r="G33" s="167"/>
      <c r="I33" s="46" t="s">
        <v>89</v>
      </c>
      <c r="J33" s="166" t="s">
        <v>90</v>
      </c>
      <c r="K33" s="167"/>
      <c r="M33" s="156" t="s">
        <v>91</v>
      </c>
      <c r="N33" s="195" t="s">
        <v>92</v>
      </c>
      <c r="O33" s="196"/>
    </row>
    <row r="34" spans="5:15" ht="60" customHeight="1" x14ac:dyDescent="0.3">
      <c r="E34" s="41"/>
      <c r="F34" s="166"/>
      <c r="G34" s="167"/>
      <c r="I34" s="42"/>
      <c r="J34" s="170"/>
      <c r="K34" s="171"/>
      <c r="M34" s="157"/>
      <c r="N34" s="195"/>
      <c r="O34" s="196"/>
    </row>
    <row r="35" spans="5:15" ht="60" customHeight="1" x14ac:dyDescent="0.3">
      <c r="E35" s="41" t="s">
        <v>93</v>
      </c>
      <c r="F35" s="166" t="s">
        <v>94</v>
      </c>
      <c r="G35" s="167"/>
      <c r="I35" s="47" t="s">
        <v>95</v>
      </c>
      <c r="J35" s="166" t="s">
        <v>96</v>
      </c>
      <c r="K35" s="167"/>
      <c r="M35" s="156" t="s">
        <v>97</v>
      </c>
      <c r="N35" s="195" t="s">
        <v>98</v>
      </c>
      <c r="O35" s="196"/>
    </row>
    <row r="36" spans="5:15" ht="60" customHeight="1" x14ac:dyDescent="0.3">
      <c r="E36" s="41"/>
      <c r="F36" s="166"/>
      <c r="G36" s="167"/>
      <c r="I36" s="42"/>
      <c r="J36" s="170"/>
      <c r="K36" s="171"/>
      <c r="M36" s="157"/>
      <c r="N36" s="195"/>
      <c r="O36" s="196"/>
    </row>
    <row r="37" spans="5:15" ht="60" customHeight="1" x14ac:dyDescent="0.3">
      <c r="E37" s="41" t="s">
        <v>99</v>
      </c>
      <c r="F37" s="166" t="s">
        <v>100</v>
      </c>
      <c r="G37" s="167"/>
      <c r="I37" s="64" t="str">
        <f>'Pro Forma Summary Cap Table'!B8</f>
        <v>Series Preferred 1</v>
      </c>
      <c r="J37" s="166" t="s">
        <v>101</v>
      </c>
      <c r="K37" s="167"/>
      <c r="M37" s="205" t="s">
        <v>102</v>
      </c>
      <c r="N37" s="206"/>
      <c r="O37" s="207"/>
    </row>
    <row r="38" spans="5:15" ht="60" customHeight="1" x14ac:dyDescent="0.3">
      <c r="E38" s="41"/>
      <c r="F38" s="166"/>
      <c r="G38" s="167"/>
      <c r="I38" s="42"/>
      <c r="J38" s="170"/>
      <c r="K38" s="171"/>
      <c r="M38" s="157" t="s">
        <v>103</v>
      </c>
      <c r="N38" s="195" t="s">
        <v>104</v>
      </c>
      <c r="O38" s="196"/>
    </row>
    <row r="39" spans="5:15" ht="60" customHeight="1" x14ac:dyDescent="0.3">
      <c r="E39" s="41" t="s">
        <v>105</v>
      </c>
      <c r="F39" s="166" t="s">
        <v>106</v>
      </c>
      <c r="G39" s="167"/>
      <c r="I39" s="46" t="s">
        <v>107</v>
      </c>
      <c r="J39" s="166" t="s">
        <v>108</v>
      </c>
      <c r="K39" s="167"/>
      <c r="M39" s="157"/>
      <c r="N39" s="195"/>
      <c r="O39" s="196"/>
    </row>
    <row r="40" spans="5:15" ht="60" customHeight="1" thickBot="1" x14ac:dyDescent="0.35">
      <c r="E40" s="40"/>
      <c r="F40" s="168"/>
      <c r="G40" s="169"/>
      <c r="I40" s="41"/>
      <c r="J40" s="166"/>
      <c r="K40" s="167"/>
      <c r="M40" s="156" t="s">
        <v>109</v>
      </c>
      <c r="N40" s="195" t="s">
        <v>110</v>
      </c>
      <c r="O40" s="196"/>
    </row>
    <row r="41" spans="5:15" ht="60" customHeight="1" x14ac:dyDescent="0.3">
      <c r="I41" s="41" t="s">
        <v>111</v>
      </c>
      <c r="J41" s="166" t="s">
        <v>112</v>
      </c>
      <c r="K41" s="167"/>
      <c r="M41" s="157"/>
      <c r="N41" s="195"/>
      <c r="O41" s="196"/>
    </row>
    <row r="42" spans="5:15" ht="60" customHeight="1" x14ac:dyDescent="0.3">
      <c r="I42" s="41"/>
      <c r="J42" s="166"/>
      <c r="K42" s="167"/>
      <c r="M42" s="156" t="s">
        <v>113</v>
      </c>
      <c r="N42" s="195" t="s">
        <v>114</v>
      </c>
      <c r="O42" s="196"/>
    </row>
    <row r="43" spans="5:15" ht="67.5" customHeight="1" x14ac:dyDescent="0.3">
      <c r="I43" s="41" t="s">
        <v>115</v>
      </c>
      <c r="J43" s="166" t="s">
        <v>116</v>
      </c>
      <c r="K43" s="167"/>
      <c r="M43" s="157"/>
      <c r="N43" s="195"/>
      <c r="O43" s="196"/>
    </row>
    <row r="44" spans="5:15" ht="60" customHeight="1" x14ac:dyDescent="0.3">
      <c r="I44" s="41"/>
      <c r="J44" s="166"/>
      <c r="K44" s="167"/>
      <c r="M44" s="156" t="s">
        <v>117</v>
      </c>
      <c r="N44" s="195" t="s">
        <v>118</v>
      </c>
      <c r="O44" s="196"/>
    </row>
    <row r="45" spans="5:15" ht="92.25" customHeight="1" thickBot="1" x14ac:dyDescent="0.35">
      <c r="I45" s="41" t="s">
        <v>119</v>
      </c>
      <c r="J45" s="166" t="s">
        <v>120</v>
      </c>
      <c r="K45" s="167"/>
      <c r="M45" s="158"/>
      <c r="N45" s="203"/>
      <c r="O45" s="204"/>
    </row>
    <row r="46" spans="5:15" ht="60" customHeight="1" thickBot="1" x14ac:dyDescent="0.35">
      <c r="I46" s="40"/>
      <c r="J46" s="168"/>
      <c r="K46" s="169"/>
    </row>
    <row r="47" spans="5:15" ht="60" customHeight="1" x14ac:dyDescent="0.3"/>
    <row r="48" spans="5:15" ht="60" customHeight="1" x14ac:dyDescent="0.3"/>
    <row r="49" ht="60" customHeight="1" x14ac:dyDescent="0.3"/>
    <row r="50" ht="60" customHeight="1" x14ac:dyDescent="0.3"/>
    <row r="51" ht="60" customHeight="1" x14ac:dyDescent="0.3"/>
    <row r="52" ht="60" customHeight="1" x14ac:dyDescent="0.3"/>
    <row r="53" ht="60" customHeight="1" x14ac:dyDescent="0.3"/>
    <row r="54" ht="60" customHeight="1" x14ac:dyDescent="0.3"/>
    <row r="55" ht="60" customHeight="1" x14ac:dyDescent="0.3"/>
    <row r="56" ht="60" customHeight="1" x14ac:dyDescent="0.3"/>
    <row r="57" ht="60" customHeight="1" x14ac:dyDescent="0.3"/>
    <row r="58" ht="60" customHeight="1" x14ac:dyDescent="0.3"/>
    <row r="59" ht="60" customHeight="1" x14ac:dyDescent="0.3"/>
    <row r="60" ht="60" customHeight="1" x14ac:dyDescent="0.3"/>
    <row r="61" ht="60" customHeight="1" x14ac:dyDescent="0.3"/>
    <row r="62" ht="60" customHeight="1" x14ac:dyDescent="0.3"/>
    <row r="63" ht="60" customHeight="1" x14ac:dyDescent="0.3"/>
    <row r="64" ht="60" customHeight="1" x14ac:dyDescent="0.3"/>
    <row r="65" spans="4:4" ht="60" customHeight="1" x14ac:dyDescent="0.3"/>
    <row r="66" spans="4:4" ht="60" customHeight="1" x14ac:dyDescent="0.3"/>
    <row r="67" spans="4:4" ht="60" customHeight="1" x14ac:dyDescent="0.3"/>
    <row r="68" spans="4:4" ht="60" customHeight="1" x14ac:dyDescent="0.3"/>
    <row r="69" spans="4:4" ht="60" customHeight="1" x14ac:dyDescent="0.3"/>
    <row r="70" spans="4:4" ht="60" customHeight="1" x14ac:dyDescent="0.3"/>
    <row r="71" spans="4:4" ht="39.9" customHeight="1" x14ac:dyDescent="0.3">
      <c r="D71" s="39"/>
    </row>
  </sheetData>
  <mergeCells count="70">
    <mergeCell ref="N44:O45"/>
    <mergeCell ref="N35:O36"/>
    <mergeCell ref="M37:O37"/>
    <mergeCell ref="N38:O39"/>
    <mergeCell ref="N40:O41"/>
    <mergeCell ref="N42:O43"/>
    <mergeCell ref="N25:O26"/>
    <mergeCell ref="N27:O28"/>
    <mergeCell ref="N29:O30"/>
    <mergeCell ref="N31:O32"/>
    <mergeCell ref="N33:O34"/>
    <mergeCell ref="N15:O16"/>
    <mergeCell ref="N17:O18"/>
    <mergeCell ref="N19:O20"/>
    <mergeCell ref="N21:O22"/>
    <mergeCell ref="N23:O24"/>
    <mergeCell ref="M2:O2"/>
    <mergeCell ref="M5:O8"/>
    <mergeCell ref="M10:O10"/>
    <mergeCell ref="N11:O12"/>
    <mergeCell ref="N13:O14"/>
    <mergeCell ref="F13:G14"/>
    <mergeCell ref="J13:K14"/>
    <mergeCell ref="A14:C14"/>
    <mergeCell ref="A10:C10"/>
    <mergeCell ref="E10:G10"/>
    <mergeCell ref="I10:K10"/>
    <mergeCell ref="B11:C12"/>
    <mergeCell ref="F11:G12"/>
    <mergeCell ref="J11:K12"/>
    <mergeCell ref="A2:C2"/>
    <mergeCell ref="E2:G2"/>
    <mergeCell ref="I2:K2"/>
    <mergeCell ref="A5:C8"/>
    <mergeCell ref="E5:G8"/>
    <mergeCell ref="I5:K8"/>
    <mergeCell ref="B18:C19"/>
    <mergeCell ref="F29:G30"/>
    <mergeCell ref="B16:C17"/>
    <mergeCell ref="J23:K24"/>
    <mergeCell ref="B20:C21"/>
    <mergeCell ref="F21:G22"/>
    <mergeCell ref="F19:G20"/>
    <mergeCell ref="F17:G18"/>
    <mergeCell ref="J19:K20"/>
    <mergeCell ref="F27:G28"/>
    <mergeCell ref="J15:K16"/>
    <mergeCell ref="F15:G16"/>
    <mergeCell ref="J21:K22"/>
    <mergeCell ref="J17:K18"/>
    <mergeCell ref="F23:G24"/>
    <mergeCell ref="J25:K26"/>
    <mergeCell ref="A23:B23"/>
    <mergeCell ref="F33:G34"/>
    <mergeCell ref="J27:K28"/>
    <mergeCell ref="B24:C25"/>
    <mergeCell ref="F25:G26"/>
    <mergeCell ref="J29:K30"/>
    <mergeCell ref="J41:K42"/>
    <mergeCell ref="J43:K44"/>
    <mergeCell ref="J45:K46"/>
    <mergeCell ref="F35:G36"/>
    <mergeCell ref="J31:K32"/>
    <mergeCell ref="F37:G38"/>
    <mergeCell ref="J33:K34"/>
    <mergeCell ref="F39:G40"/>
    <mergeCell ref="J35:K36"/>
    <mergeCell ref="J37:K38"/>
    <mergeCell ref="J39:K40"/>
    <mergeCell ref="F31:G3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E26D-BAD7-4D04-B028-837FE97E7711}">
  <sheetPr codeName="Sheet2"/>
  <dimension ref="A1:O15"/>
  <sheetViews>
    <sheetView tabSelected="1" zoomScale="70" zoomScaleNormal="70" workbookViewId="0">
      <selection activeCell="G9" sqref="G9"/>
    </sheetView>
  </sheetViews>
  <sheetFormatPr defaultColWidth="9" defaultRowHeight="15.6" x14ac:dyDescent="0.3"/>
  <cols>
    <col min="1" max="1" width="34.69921875" style="32" customWidth="1"/>
    <col min="2" max="2" width="15.59765625" style="32" customWidth="1"/>
    <col min="3" max="3" width="11.59765625" style="32" customWidth="1"/>
    <col min="4" max="4" width="10.09765625" style="32" customWidth="1"/>
    <col min="5" max="5" width="11.3984375" style="32" customWidth="1"/>
    <col min="6" max="6" width="12.69921875" style="32" bestFit="1" customWidth="1"/>
    <col min="7" max="7" width="12.69921875" style="32" customWidth="1"/>
    <col min="8" max="16" width="15.59765625" style="32" customWidth="1"/>
    <col min="17" max="16384" width="9" style="32"/>
  </cols>
  <sheetData>
    <row r="1" spans="1:15" ht="16.2" thickBot="1" x14ac:dyDescent="0.35"/>
    <row r="2" spans="1:15" ht="24" thickBot="1" x14ac:dyDescent="0.35">
      <c r="A2" s="208" t="s">
        <v>1</v>
      </c>
      <c r="B2" s="209"/>
      <c r="C2" s="209"/>
      <c r="D2" s="209"/>
      <c r="E2" s="209"/>
      <c r="F2" s="209"/>
      <c r="G2" s="209"/>
      <c r="H2" s="209"/>
      <c r="I2" s="209"/>
      <c r="J2" s="209"/>
      <c r="K2" s="209"/>
      <c r="L2" s="209"/>
      <c r="M2" s="209"/>
      <c r="N2" s="209"/>
      <c r="O2" s="210"/>
    </row>
    <row r="3" spans="1:15" ht="18.75" customHeight="1" thickTop="1" x14ac:dyDescent="0.3">
      <c r="A3" s="6"/>
      <c r="B3" s="14"/>
      <c r="C3" s="14"/>
      <c r="D3" s="14"/>
      <c r="E3" s="33"/>
      <c r="F3" s="33"/>
      <c r="G3" s="33"/>
      <c r="H3" s="14"/>
      <c r="I3" s="14"/>
      <c r="J3" s="14"/>
      <c r="K3" s="34" t="s">
        <v>121</v>
      </c>
      <c r="L3" s="34" t="s">
        <v>122</v>
      </c>
      <c r="M3" s="14"/>
      <c r="N3" s="14"/>
      <c r="O3" s="7"/>
    </row>
    <row r="4" spans="1:15" ht="42" customHeight="1" x14ac:dyDescent="0.3">
      <c r="A4" s="8" t="s">
        <v>12</v>
      </c>
      <c r="B4" s="22" t="s">
        <v>18</v>
      </c>
      <c r="C4" s="22" t="s">
        <v>25</v>
      </c>
      <c r="D4" s="22" t="s">
        <v>33</v>
      </c>
      <c r="E4" s="22" t="s">
        <v>41</v>
      </c>
      <c r="F4" s="22" t="s">
        <v>49</v>
      </c>
      <c r="G4" s="22" t="s">
        <v>56</v>
      </c>
      <c r="H4" s="21" t="s">
        <v>63</v>
      </c>
      <c r="I4" s="22" t="s">
        <v>69</v>
      </c>
      <c r="J4" s="22" t="s">
        <v>75</v>
      </c>
      <c r="K4" s="22" t="s">
        <v>81</v>
      </c>
      <c r="L4" s="22" t="s">
        <v>87</v>
      </c>
      <c r="M4" s="22" t="s">
        <v>93</v>
      </c>
      <c r="N4" s="22" t="s">
        <v>99</v>
      </c>
      <c r="O4" s="25" t="s">
        <v>105</v>
      </c>
    </row>
    <row r="5" spans="1:15" ht="19.5" customHeight="1" x14ac:dyDescent="0.3">
      <c r="A5" s="18" t="s">
        <v>123</v>
      </c>
      <c r="B5" s="16">
        <v>1000000</v>
      </c>
      <c r="C5" s="17">
        <v>42005</v>
      </c>
      <c r="D5" s="15">
        <v>0</v>
      </c>
      <c r="E5" s="15" t="s">
        <v>124</v>
      </c>
      <c r="F5" s="16">
        <v>5000000</v>
      </c>
      <c r="G5" s="15">
        <v>0.2</v>
      </c>
      <c r="H5" s="17">
        <v>44470</v>
      </c>
      <c r="I5" s="23" t="str">
        <f ca="1">IF(D5&gt;0,D5/365*B5*(IF(H5&gt;0,H5,TODAY())-C5),"")</f>
        <v/>
      </c>
      <c r="J5" s="23">
        <f>IFERROR(IF(E5="Yes",I5+B5,IF(E5="No",B5,"")),"")</f>
        <v>1000000</v>
      </c>
      <c r="K5" s="60">
        <f ca="1">IF(G5&gt;0,'Pro Forma Summary Cap Table'!$B$9*(1-G5),"")</f>
        <v>1.3869600000000002</v>
      </c>
      <c r="L5" s="60">
        <f ca="1">IF(F5&gt;0,F5/'Pro Forma Summary Cap Table'!$B$29,"")</f>
        <v>0.34673592860495156</v>
      </c>
      <c r="M5" s="24">
        <f t="shared" ref="M5:M14" ca="1" si="0">IF(E5="yes",J5/K5,IF(E5="no",B5/K5,""))</f>
        <v>721001.32664244086</v>
      </c>
      <c r="N5" s="26">
        <f t="shared" ref="N5:N14" ca="1" si="1">IF(E5="yes",J5/L5,IF(E5="no",B5/L5,""))</f>
        <v>2884039.1707411874</v>
      </c>
      <c r="O5" s="26">
        <f ca="1">MAX(M5:N5)</f>
        <v>2884039.1707411874</v>
      </c>
    </row>
    <row r="6" spans="1:15" ht="19.5" customHeight="1" x14ac:dyDescent="0.3">
      <c r="A6" s="18"/>
      <c r="B6" s="16"/>
      <c r="C6" s="17"/>
      <c r="D6" s="15"/>
      <c r="E6" s="15"/>
      <c r="F6" s="16"/>
      <c r="G6" s="15"/>
      <c r="H6" s="17"/>
      <c r="I6" s="23"/>
      <c r="J6" s="23"/>
      <c r="K6" s="60"/>
      <c r="L6" s="60"/>
      <c r="M6" s="24"/>
      <c r="N6" s="26"/>
      <c r="O6" s="26"/>
    </row>
    <row r="7" spans="1:15" ht="19.5" customHeight="1" x14ac:dyDescent="0.3">
      <c r="A7" s="18"/>
      <c r="B7" s="16"/>
      <c r="C7" s="17"/>
      <c r="D7" s="15"/>
      <c r="E7" s="15"/>
      <c r="F7" s="16"/>
      <c r="G7" s="15"/>
      <c r="H7" s="17"/>
      <c r="I7" s="23"/>
      <c r="J7" s="23"/>
      <c r="K7" s="35"/>
      <c r="L7" s="35"/>
      <c r="M7" s="24"/>
      <c r="N7" s="26"/>
      <c r="O7" s="26"/>
    </row>
    <row r="8" spans="1:15" ht="19.5" customHeight="1" x14ac:dyDescent="0.3">
      <c r="A8" s="18"/>
      <c r="B8" s="16"/>
      <c r="C8" s="17"/>
      <c r="D8" s="15"/>
      <c r="E8" s="15"/>
      <c r="F8" s="16"/>
      <c r="G8" s="15"/>
      <c r="H8" s="17"/>
      <c r="I8" s="23"/>
      <c r="J8" s="23"/>
      <c r="K8" s="35"/>
      <c r="L8" s="35"/>
      <c r="M8" s="24"/>
      <c r="N8" s="26"/>
      <c r="O8" s="26"/>
    </row>
    <row r="9" spans="1:15" ht="19.5" customHeight="1" x14ac:dyDescent="0.3">
      <c r="A9" s="18"/>
      <c r="B9" s="16"/>
      <c r="C9" s="17"/>
      <c r="D9" s="15"/>
      <c r="E9" s="15"/>
      <c r="F9" s="16"/>
      <c r="G9" s="15"/>
      <c r="H9" s="17"/>
      <c r="I9" s="23"/>
      <c r="J9" s="23"/>
      <c r="K9" s="35"/>
      <c r="L9" s="35"/>
      <c r="M9" s="24"/>
      <c r="N9" s="26"/>
      <c r="O9" s="26"/>
    </row>
    <row r="10" spans="1:15" ht="19.5" customHeight="1" x14ac:dyDescent="0.3">
      <c r="A10" s="18"/>
      <c r="B10" s="16"/>
      <c r="C10" s="17"/>
      <c r="D10" s="15"/>
      <c r="E10" s="15"/>
      <c r="F10" s="16"/>
      <c r="G10" s="15"/>
      <c r="H10" s="17"/>
      <c r="I10" s="23"/>
      <c r="J10" s="23"/>
      <c r="K10" s="35"/>
      <c r="L10" s="35"/>
      <c r="M10" s="24"/>
      <c r="N10" s="26"/>
      <c r="O10" s="26"/>
    </row>
    <row r="11" spans="1:15" ht="19.5" customHeight="1" x14ac:dyDescent="0.3">
      <c r="A11" s="18"/>
      <c r="B11" s="16"/>
      <c r="C11" s="17"/>
      <c r="D11" s="15"/>
      <c r="E11" s="15"/>
      <c r="F11" s="16"/>
      <c r="G11" s="15"/>
      <c r="H11" s="17"/>
      <c r="I11" s="23"/>
      <c r="J11" s="23"/>
      <c r="K11" s="35"/>
      <c r="L11" s="35"/>
      <c r="M11" s="24"/>
      <c r="N11" s="26"/>
      <c r="O11" s="26"/>
    </row>
    <row r="12" spans="1:15" ht="19.5" customHeight="1" x14ac:dyDescent="0.3">
      <c r="A12" s="18"/>
      <c r="B12" s="16"/>
      <c r="C12" s="17"/>
      <c r="D12" s="15"/>
      <c r="E12" s="15"/>
      <c r="F12" s="16"/>
      <c r="G12" s="15"/>
      <c r="H12" s="17"/>
      <c r="I12" s="23"/>
      <c r="J12" s="23"/>
      <c r="K12" s="35"/>
      <c r="L12" s="35"/>
      <c r="M12" s="24"/>
      <c r="N12" s="26"/>
      <c r="O12" s="26"/>
    </row>
    <row r="13" spans="1:15" ht="19.5" customHeight="1" x14ac:dyDescent="0.3">
      <c r="A13" s="18"/>
      <c r="B13" s="16"/>
      <c r="C13" s="18"/>
      <c r="D13" s="15"/>
      <c r="E13" s="15"/>
      <c r="F13" s="16"/>
      <c r="G13" s="15"/>
      <c r="H13" s="17"/>
      <c r="I13" s="23"/>
      <c r="J13" s="23"/>
      <c r="K13" s="35"/>
      <c r="L13" s="35"/>
      <c r="M13" s="24"/>
      <c r="N13" s="26"/>
      <c r="O13" s="26"/>
    </row>
    <row r="14" spans="1:15" ht="19.5" customHeight="1" thickBot="1" x14ac:dyDescent="0.35">
      <c r="A14" s="20"/>
      <c r="B14" s="19"/>
      <c r="C14" s="20"/>
      <c r="D14" s="27"/>
      <c r="E14" s="27"/>
      <c r="F14" s="19"/>
      <c r="G14" s="27"/>
      <c r="H14" s="28"/>
      <c r="I14" s="29" t="str">
        <f t="shared" ref="I14" ca="1" si="2">IF(D14&gt;0,D14/365*B14*(IF(H14&gt;0,H14,TODAY())-C14),"")</f>
        <v/>
      </c>
      <c r="J14" s="29" t="str">
        <f t="shared" ref="J14" si="3">IFERROR(IF(E14="Yes",I14+B14,IF(E14="No",B14,"")),"")</f>
        <v/>
      </c>
      <c r="K14" s="36" t="str">
        <f>IF(G14&gt;0,'Pro Forma Summary Cap Table'!$B$9*(1-G14),"")</f>
        <v/>
      </c>
      <c r="L14" s="36" t="str">
        <f>IF(F14&gt;0,F14/'Pro Forma Summary Cap Table'!$B$29,"")</f>
        <v/>
      </c>
      <c r="M14" s="30" t="str">
        <f t="shared" si="0"/>
        <v/>
      </c>
      <c r="N14" s="31" t="str">
        <f t="shared" si="1"/>
        <v/>
      </c>
      <c r="O14" s="30">
        <f t="shared" ref="O14" si="4">MAX(M14:N14)</f>
        <v>0</v>
      </c>
    </row>
    <row r="15" spans="1:15" ht="16.8" thickTop="1" thickBot="1" x14ac:dyDescent="0.35">
      <c r="A15" s="9"/>
      <c r="B15" s="10">
        <f>SUM(B5:B14)</f>
        <v>1000000</v>
      </c>
      <c r="C15" s="11"/>
      <c r="D15" s="11"/>
      <c r="E15" s="11"/>
      <c r="F15" s="11"/>
      <c r="G15" s="11"/>
      <c r="H15" s="11"/>
      <c r="I15" s="10">
        <f ca="1">SUM(I5:I14)</f>
        <v>0</v>
      </c>
      <c r="J15" s="10">
        <f>SUM(J5:J14)</f>
        <v>1000000</v>
      </c>
      <c r="K15" s="10"/>
      <c r="L15" s="10"/>
      <c r="M15" s="12">
        <f ca="1">SUM(M5:M14)</f>
        <v>721001.32664244086</v>
      </c>
      <c r="N15" s="12">
        <f ca="1">SUM(N5:N14)</f>
        <v>2884039.1707411874</v>
      </c>
      <c r="O15" s="13">
        <f ca="1">SUM(O5:O14)</f>
        <v>2884039.1707411874</v>
      </c>
    </row>
  </sheetData>
  <mergeCells count="1">
    <mergeCell ref="A2:O2"/>
  </mergeCells>
  <phoneticPr fontId="14" type="noConversion"/>
  <dataValidations count="1">
    <dataValidation type="list" allowBlank="1" showInputMessage="1" showErrorMessage="1" sqref="E5:E14" xr:uid="{866EEA73-BD42-40C6-9B53-CFBD3FC3BC92}">
      <formula1>"Yes, No"</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6530A-358B-4F9D-8228-2E9C287F793D}">
  <dimension ref="A1"/>
  <sheetViews>
    <sheetView workbookViewId="0"/>
  </sheetViews>
  <sheetFormatPr defaultRowHeight="15.6" x14ac:dyDescent="0.3"/>
  <sheetData>
    <row r="1" spans="1:1" x14ac:dyDescent="0.3">
      <c r="A1"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30616-01BC-4ED9-9091-ECE0451FE7AD}">
  <sheetPr codeName="Sheet3"/>
  <dimension ref="A1:L34"/>
  <sheetViews>
    <sheetView workbookViewId="0">
      <selection activeCell="C9" sqref="C9"/>
    </sheetView>
  </sheetViews>
  <sheetFormatPr defaultColWidth="9" defaultRowHeight="15.6" x14ac:dyDescent="0.3"/>
  <cols>
    <col min="1" max="1" width="34.3984375" style="65" customWidth="1"/>
    <col min="2" max="2" width="15.59765625" style="65" customWidth="1"/>
    <col min="3" max="4" width="14.59765625" style="65" customWidth="1"/>
    <col min="5" max="5" width="12.3984375" style="65" customWidth="1"/>
    <col min="6" max="6" width="14.59765625" style="65" customWidth="1"/>
    <col min="7" max="7" width="12.5" style="65" customWidth="1"/>
    <col min="8" max="12" width="14.59765625" style="65" customWidth="1"/>
    <col min="13" max="13" width="7.59765625" style="65" bestFit="1" customWidth="1"/>
    <col min="14" max="14" width="13" style="65" bestFit="1" customWidth="1"/>
    <col min="15" max="16384" width="9" style="65"/>
  </cols>
  <sheetData>
    <row r="1" spans="1:12" ht="15.75" customHeight="1" x14ac:dyDescent="0.3">
      <c r="A1" s="218" t="str">
        <f>_xlfn.CONCAT(B8," Financing")</f>
        <v>Series Preferred 1 Financing</v>
      </c>
      <c r="B1" s="218"/>
    </row>
    <row r="2" spans="1:12" ht="15.75" customHeight="1" x14ac:dyDescent="0.3">
      <c r="A2" s="218"/>
      <c r="B2" s="218"/>
    </row>
    <row r="3" spans="1:12" x14ac:dyDescent="0.3">
      <c r="A3" s="61"/>
      <c r="B3" s="62"/>
    </row>
    <row r="4" spans="1:12" x14ac:dyDescent="0.3">
      <c r="A4" s="5" t="s">
        <v>14</v>
      </c>
      <c r="B4" s="142">
        <v>30000000</v>
      </c>
    </row>
    <row r="5" spans="1:12" x14ac:dyDescent="0.3">
      <c r="A5" s="4" t="s">
        <v>20</v>
      </c>
      <c r="B5" s="142">
        <v>3000000</v>
      </c>
    </row>
    <row r="6" spans="1:12" x14ac:dyDescent="0.3">
      <c r="A6" s="4" t="s">
        <v>27</v>
      </c>
      <c r="B6" s="143">
        <f>B4+B5</f>
        <v>33000000</v>
      </c>
      <c r="C6" s="3"/>
      <c r="D6" s="3"/>
    </row>
    <row r="7" spans="1:12" ht="46.8" x14ac:dyDescent="0.3">
      <c r="A7" s="4" t="s">
        <v>35</v>
      </c>
      <c r="B7" s="144">
        <f ca="1">B29+E29</f>
        <v>17304235.024473581</v>
      </c>
    </row>
    <row r="8" spans="1:12" ht="30.75" customHeight="1" x14ac:dyDescent="0.3">
      <c r="A8" s="4" t="s">
        <v>43</v>
      </c>
      <c r="B8" s="147" t="s">
        <v>125</v>
      </c>
    </row>
    <row r="9" spans="1:12" ht="31.2" x14ac:dyDescent="0.3">
      <c r="A9" s="4" t="s">
        <v>51</v>
      </c>
      <c r="B9" s="145">
        <f ca="1">IFERROR(ROUND(B4/(B7),4),0)</f>
        <v>1.7337</v>
      </c>
    </row>
    <row r="10" spans="1:12" x14ac:dyDescent="0.3">
      <c r="A10" s="4" t="s">
        <v>138</v>
      </c>
      <c r="B10" s="165" t="s">
        <v>141</v>
      </c>
    </row>
    <row r="11" spans="1:12" ht="31.2" x14ac:dyDescent="0.3">
      <c r="A11" s="4" t="s">
        <v>139</v>
      </c>
      <c r="B11" s="146">
        <v>0.15</v>
      </c>
    </row>
    <row r="14" spans="1:12" ht="16.2" thickBot="1" x14ac:dyDescent="0.35">
      <c r="B14" s="211"/>
      <c r="C14" s="211"/>
      <c r="D14" s="211"/>
      <c r="E14" s="211"/>
    </row>
    <row r="15" spans="1:12" ht="37.5" customHeight="1" thickBot="1" x14ac:dyDescent="0.35">
      <c r="A15" s="66"/>
      <c r="B15" s="219" t="s">
        <v>65</v>
      </c>
      <c r="C15" s="220"/>
      <c r="D15" s="219" t="s">
        <v>89</v>
      </c>
      <c r="E15" s="220"/>
      <c r="F15" s="215" t="s">
        <v>126</v>
      </c>
      <c r="G15" s="216"/>
      <c r="H15" s="217" t="str">
        <f>B8</f>
        <v>Series Preferred 1</v>
      </c>
      <c r="I15" s="216"/>
      <c r="J15" s="212" t="s">
        <v>107</v>
      </c>
      <c r="K15" s="213"/>
      <c r="L15" s="214"/>
    </row>
    <row r="16" spans="1:12" ht="37.5" customHeight="1" thickBot="1" x14ac:dyDescent="0.35">
      <c r="A16" s="61"/>
      <c r="B16" s="67" t="s">
        <v>127</v>
      </c>
      <c r="C16" s="68" t="s">
        <v>128</v>
      </c>
      <c r="D16" s="67" t="s">
        <v>129</v>
      </c>
      <c r="E16" s="68" t="str">
        <f>B8</f>
        <v>Series Preferred 1</v>
      </c>
      <c r="F16" s="69" t="s">
        <v>130</v>
      </c>
      <c r="G16" s="70" t="str">
        <f>B8</f>
        <v>Series Preferred 1</v>
      </c>
      <c r="H16" s="71" t="str">
        <f>_xlfn.CONCAT("Total ",B8)</f>
        <v>Total Series Preferred 1</v>
      </c>
      <c r="I16" s="72" t="str">
        <f>_xlfn.CONCAT("% of  ",B8)</f>
        <v>% of  Series Preferred 1</v>
      </c>
      <c r="J16" s="69" t="s">
        <v>111</v>
      </c>
      <c r="K16" s="73" t="s">
        <v>115</v>
      </c>
      <c r="L16" s="74" t="s">
        <v>119</v>
      </c>
    </row>
    <row r="17" spans="1:12" x14ac:dyDescent="0.3">
      <c r="A17" s="61" t="s">
        <v>131</v>
      </c>
      <c r="B17" s="75">
        <v>8500000</v>
      </c>
      <c r="C17" s="76">
        <f ca="1">IFERROR(B17/$B$29,0)</f>
        <v>0.58945107862841772</v>
      </c>
      <c r="D17" s="77"/>
      <c r="E17" s="78"/>
      <c r="F17" s="77"/>
      <c r="G17" s="78"/>
      <c r="H17" s="79" t="str">
        <f t="shared" ref="H17:H28" si="0">IF(E17+G17&gt;0,E17+G17,"")</f>
        <v/>
      </c>
      <c r="I17" s="76" t="str">
        <f t="shared" ref="I17:I28" si="1">IF(H17&lt;&gt;"",H17/$H$29,"")</f>
        <v/>
      </c>
      <c r="J17" s="80">
        <f>G17+E17+B17</f>
        <v>8500000</v>
      </c>
      <c r="K17" s="81">
        <f ca="1">IFERROR(J17/$J$29,0)</f>
        <v>0.44655430497374898</v>
      </c>
      <c r="L17" s="82">
        <f t="shared" ref="L17:L27" ca="1" si="2">IF(K17&gt;0,K17-C17,"")</f>
        <v>-0.14289677365466874</v>
      </c>
    </row>
    <row r="18" spans="1:12" x14ac:dyDescent="0.3">
      <c r="A18" s="61" t="s">
        <v>132</v>
      </c>
      <c r="B18" s="83">
        <v>65000</v>
      </c>
      <c r="C18" s="84">
        <f ca="1">IFERROR(B18/$B$29,0)</f>
        <v>4.5075670718643709E-3</v>
      </c>
      <c r="D18" s="85"/>
      <c r="E18" s="86"/>
      <c r="F18" s="85"/>
      <c r="G18" s="86"/>
      <c r="H18" s="87" t="str">
        <f t="shared" si="0"/>
        <v/>
      </c>
      <c r="I18" s="82" t="str">
        <f t="shared" si="1"/>
        <v/>
      </c>
      <c r="J18" s="80">
        <f t="shared" ref="J18:J28" si="3">G18+E18+B18</f>
        <v>65000</v>
      </c>
      <c r="K18" s="88">
        <f ca="1">IFERROR(J18/$J$29,0)</f>
        <v>3.4148270380345513E-3</v>
      </c>
      <c r="L18" s="82">
        <f t="shared" ca="1" si="2"/>
        <v>-1.0927400338298196E-3</v>
      </c>
    </row>
    <row r="19" spans="1:12" x14ac:dyDescent="0.3">
      <c r="A19" s="61"/>
      <c r="B19" s="89"/>
      <c r="C19" s="90"/>
      <c r="D19" s="91"/>
      <c r="E19" s="92"/>
      <c r="F19" s="93"/>
      <c r="G19" s="94"/>
      <c r="H19" s="95" t="str">
        <f t="shared" si="0"/>
        <v/>
      </c>
      <c r="I19" s="90" t="str">
        <f t="shared" si="1"/>
        <v/>
      </c>
      <c r="J19" s="96">
        <f t="shared" si="3"/>
        <v>0</v>
      </c>
      <c r="K19" s="97"/>
      <c r="L19" s="90" t="str">
        <f t="shared" si="2"/>
        <v/>
      </c>
    </row>
    <row r="20" spans="1:12" x14ac:dyDescent="0.3">
      <c r="A20" s="61" t="s">
        <v>1</v>
      </c>
      <c r="B20" s="164"/>
      <c r="C20" s="84"/>
      <c r="D20" s="98">
        <f>'Convertible Notes'!J15</f>
        <v>1000000</v>
      </c>
      <c r="E20" s="99">
        <f ca="1">'Convertible Notes'!O15</f>
        <v>2884039.1707411874</v>
      </c>
      <c r="F20" s="98"/>
      <c r="G20" s="100">
        <f ca="1">IFERROR(ROUNDUP(F20/$B$9,0),0)</f>
        <v>0</v>
      </c>
      <c r="H20" s="80">
        <f t="shared" ca="1" si="0"/>
        <v>2884039.1707411874</v>
      </c>
      <c r="I20" s="82">
        <f t="shared" ca="1" si="1"/>
        <v>0.62500264149128237</v>
      </c>
      <c r="J20" s="80">
        <f ca="1">G20+E20+B20</f>
        <v>2884039.1707411874</v>
      </c>
      <c r="K20" s="88">
        <f ca="1">IFERROR(J20/$J$29,0)</f>
        <v>0.15151530675381158</v>
      </c>
      <c r="L20" s="82">
        <f t="shared" ca="1" si="2"/>
        <v>0.15151530675381158</v>
      </c>
    </row>
    <row r="21" spans="1:12" x14ac:dyDescent="0.3">
      <c r="A21" s="66"/>
      <c r="B21" s="89"/>
      <c r="C21" s="90"/>
      <c r="D21" s="91"/>
      <c r="E21" s="92"/>
      <c r="F21" s="93"/>
      <c r="G21" s="94"/>
      <c r="H21" s="95" t="str">
        <f t="shared" si="0"/>
        <v/>
      </c>
      <c r="I21" s="90" t="str">
        <f t="shared" si="1"/>
        <v/>
      </c>
      <c r="J21" s="96">
        <f t="shared" si="3"/>
        <v>0</v>
      </c>
      <c r="K21" s="97"/>
      <c r="L21" s="90" t="str">
        <f t="shared" si="2"/>
        <v/>
      </c>
    </row>
    <row r="22" spans="1:12" x14ac:dyDescent="0.3">
      <c r="A22" s="61" t="s">
        <v>133</v>
      </c>
      <c r="B22" s="101"/>
      <c r="C22" s="102"/>
      <c r="D22" s="103"/>
      <c r="E22" s="104"/>
      <c r="F22" s="105">
        <f>B5</f>
        <v>3000000</v>
      </c>
      <c r="G22" s="106">
        <f ca="1">IFERROR(ROUNDUP(F22/$B$9,0),0)</f>
        <v>1730404</v>
      </c>
      <c r="H22" s="108">
        <f t="shared" ca="1" si="0"/>
        <v>1730404</v>
      </c>
      <c r="I22" s="107">
        <f t="shared" ca="1" si="1"/>
        <v>0.37499735850298371</v>
      </c>
      <c r="J22" s="108">
        <f t="shared" ca="1" si="3"/>
        <v>1730404</v>
      </c>
      <c r="K22" s="109">
        <f ca="1">IFERROR(J22/$J$29,0)</f>
        <v>9.0908159475740616E-2</v>
      </c>
      <c r="L22" s="107">
        <f t="shared" ca="1" si="2"/>
        <v>9.0908159475740616E-2</v>
      </c>
    </row>
    <row r="23" spans="1:12" x14ac:dyDescent="0.3">
      <c r="A23" s="66"/>
      <c r="B23" s="89"/>
      <c r="C23" s="90"/>
      <c r="D23" s="91"/>
      <c r="E23" s="92"/>
      <c r="F23" s="93"/>
      <c r="G23" s="94"/>
      <c r="H23" s="95" t="str">
        <f t="shared" si="0"/>
        <v/>
      </c>
      <c r="I23" s="90" t="str">
        <f t="shared" si="1"/>
        <v/>
      </c>
      <c r="J23" s="96">
        <f t="shared" si="3"/>
        <v>0</v>
      </c>
      <c r="K23" s="97"/>
      <c r="L23" s="90" t="str">
        <f t="shared" si="2"/>
        <v/>
      </c>
    </row>
    <row r="24" spans="1:12" x14ac:dyDescent="0.3">
      <c r="A24" s="110" t="s">
        <v>134</v>
      </c>
      <c r="B24" s="111"/>
      <c r="C24" s="82"/>
      <c r="D24" s="112"/>
      <c r="E24" s="113"/>
      <c r="F24" s="112"/>
      <c r="G24" s="113"/>
      <c r="H24" s="87" t="str">
        <f t="shared" si="0"/>
        <v/>
      </c>
      <c r="I24" s="82" t="str">
        <f t="shared" si="1"/>
        <v/>
      </c>
      <c r="J24" s="80">
        <f t="shared" si="3"/>
        <v>0</v>
      </c>
      <c r="K24" s="81"/>
      <c r="L24" s="82" t="str">
        <f t="shared" si="2"/>
        <v/>
      </c>
    </row>
    <row r="25" spans="1:12" x14ac:dyDescent="0.3">
      <c r="A25" s="66" t="s">
        <v>71</v>
      </c>
      <c r="B25" s="83">
        <v>3000000</v>
      </c>
      <c r="C25" s="84">
        <f ca="1">IFERROR(B25/$B$29,0)</f>
        <v>0.20804155716297096</v>
      </c>
      <c r="D25" s="85"/>
      <c r="E25" s="86"/>
      <c r="F25" s="85"/>
      <c r="G25" s="86"/>
      <c r="H25" s="87" t="str">
        <f t="shared" si="0"/>
        <v/>
      </c>
      <c r="I25" s="82" t="str">
        <f t="shared" si="1"/>
        <v/>
      </c>
      <c r="J25" s="80">
        <f t="shared" si="3"/>
        <v>3000000</v>
      </c>
      <c r="K25" s="88">
        <f ca="1">IFERROR(J25/$J$29,0)</f>
        <v>0.15760740175544083</v>
      </c>
      <c r="L25" s="82">
        <f t="shared" ca="1" si="2"/>
        <v>-5.0434155407530129E-2</v>
      </c>
    </row>
    <row r="26" spans="1:12" x14ac:dyDescent="0.3">
      <c r="A26" s="66" t="s">
        <v>77</v>
      </c>
      <c r="B26" s="83">
        <v>1000000</v>
      </c>
      <c r="C26" s="84">
        <f ca="1">IFERROR(B26/$B$29,0)</f>
        <v>6.9347185720990315E-2</v>
      </c>
      <c r="D26" s="85"/>
      <c r="E26" s="86"/>
      <c r="F26" s="114"/>
      <c r="G26" s="86"/>
      <c r="H26" s="87" t="str">
        <f t="shared" si="0"/>
        <v/>
      </c>
      <c r="I26" s="82" t="str">
        <f t="shared" si="1"/>
        <v/>
      </c>
      <c r="J26" s="80">
        <f t="shared" si="3"/>
        <v>1000000</v>
      </c>
      <c r="K26" s="88">
        <f ca="1">IFERROR(J26/$J$29,0)</f>
        <v>5.2535800585146945E-2</v>
      </c>
      <c r="L26" s="82">
        <f t="shared" ca="1" si="2"/>
        <v>-1.6811385135843369E-2</v>
      </c>
    </row>
    <row r="27" spans="1:12" ht="16.2" thickBot="1" x14ac:dyDescent="0.35">
      <c r="A27" s="66" t="s">
        <v>83</v>
      </c>
      <c r="B27" s="115">
        <f ca="1">IFERROR(IF(B10="Yes",(B11-K26)*J29,0),0)</f>
        <v>1855195.8536710369</v>
      </c>
      <c r="C27" s="116">
        <f ca="1">IFERROR(B27/$B$29,0)</f>
        <v>0.12865261141333656</v>
      </c>
      <c r="D27" s="117"/>
      <c r="E27" s="118"/>
      <c r="F27" s="117"/>
      <c r="G27" s="118"/>
      <c r="H27" s="119" t="str">
        <f t="shared" si="0"/>
        <v/>
      </c>
      <c r="I27" s="120" t="str">
        <f t="shared" si="1"/>
        <v/>
      </c>
      <c r="J27" s="121">
        <f ca="1">IFERROR(B27,0)</f>
        <v>1855195.8536710369</v>
      </c>
      <c r="K27" s="122">
        <f ca="1">IFERROR(J27/$J$29,0)</f>
        <v>9.7464199414853042E-2</v>
      </c>
      <c r="L27" s="120">
        <f t="shared" ca="1" si="2"/>
        <v>-3.1188411998483517E-2</v>
      </c>
    </row>
    <row r="28" spans="1:12" ht="16.2" thickBot="1" x14ac:dyDescent="0.35">
      <c r="A28" s="61"/>
      <c r="B28" s="123"/>
      <c r="C28" s="124"/>
      <c r="D28" s="125"/>
      <c r="E28" s="126"/>
      <c r="F28" s="127"/>
      <c r="G28" s="128"/>
      <c r="H28" s="126" t="str">
        <f t="shared" si="0"/>
        <v/>
      </c>
      <c r="I28" s="124" t="str">
        <f t="shared" si="1"/>
        <v/>
      </c>
      <c r="J28" s="128">
        <f t="shared" si="3"/>
        <v>0</v>
      </c>
      <c r="K28" s="124"/>
      <c r="L28" s="124"/>
    </row>
    <row r="29" spans="1:12" ht="16.2" thickBot="1" x14ac:dyDescent="0.35">
      <c r="A29" s="61" t="s">
        <v>135</v>
      </c>
      <c r="B29" s="129">
        <f t="shared" ref="B29:J29" ca="1" si="4">SUM(B17:B28)</f>
        <v>14420195.853671037</v>
      </c>
      <c r="C29" s="130">
        <f t="shared" ca="1" si="4"/>
        <v>0.99999999999757994</v>
      </c>
      <c r="D29" s="131">
        <f t="shared" si="4"/>
        <v>1000000</v>
      </c>
      <c r="E29" s="132">
        <f t="shared" ca="1" si="4"/>
        <v>2884039.1707411874</v>
      </c>
      <c r="F29" s="133">
        <f t="shared" si="4"/>
        <v>3000000</v>
      </c>
      <c r="G29" s="132">
        <f t="shared" ca="1" si="4"/>
        <v>1730404</v>
      </c>
      <c r="H29" s="134">
        <f t="shared" ca="1" si="4"/>
        <v>4614443.1707411874</v>
      </c>
      <c r="I29" s="135">
        <f t="shared" ca="1" si="4"/>
        <v>0.99999999999426614</v>
      </c>
      <c r="J29" s="129">
        <f t="shared" ca="1" si="4"/>
        <v>19034639.024412222</v>
      </c>
      <c r="K29" s="136">
        <f ca="1">IFERROR(J29/$J$29,0)</f>
        <v>1</v>
      </c>
      <c r="L29" s="137"/>
    </row>
    <row r="30" spans="1:12" ht="16.5" customHeight="1" x14ac:dyDescent="0.3">
      <c r="B30" s="138" t="s">
        <v>136</v>
      </c>
      <c r="E30" s="138" t="s">
        <v>137</v>
      </c>
      <c r="J30" s="139"/>
    </row>
    <row r="31" spans="1:12" s="63" customFormat="1" x14ac:dyDescent="0.3">
      <c r="E31" s="140"/>
      <c r="I31" s="141"/>
    </row>
    <row r="34" ht="29.25" customHeight="1" x14ac:dyDescent="0.3"/>
  </sheetData>
  <mergeCells count="7">
    <mergeCell ref="B14:E14"/>
    <mergeCell ref="J15:L15"/>
    <mergeCell ref="F15:G15"/>
    <mergeCell ref="H15:I15"/>
    <mergeCell ref="A1:B2"/>
    <mergeCell ref="B15:C15"/>
    <mergeCell ref="D15:E15"/>
  </mergeCells>
  <phoneticPr fontId="14" type="noConversion"/>
  <dataValidations count="1">
    <dataValidation type="list" allowBlank="1" showInputMessage="1" showErrorMessage="1" sqref="B10" xr:uid="{659B44B5-7BE3-4EB4-A89F-A0DE3A5D6886}">
      <formula1>"Yes, No"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48f3d1a-479d-4374-9e1e-a3f76f68c02e" xsi:nil="true"/>
    <lcf76f155ced4ddcb4097134ff3c332f xmlns="3e3a932b-2140-4603-bd92-316001cc2f32">
      <Terms xmlns="http://schemas.microsoft.com/office/infopath/2007/PartnerControls"/>
    </lcf76f155ced4ddcb4097134ff3c332f>
    <MediaLengthInSeconds xmlns="3e3a932b-2140-4603-bd92-316001cc2f32" xsi:nil="true"/>
    <SharedWithUsers xmlns="948f3d1a-479d-4374-9e1e-a3f76f68c02e">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630B7C07EF7A74790038A4E45723B92" ma:contentTypeVersion="16" ma:contentTypeDescription="Create a new document." ma:contentTypeScope="" ma:versionID="eebb918e03a1a5ce76b0de5c5ac86e57">
  <xsd:schema xmlns:xsd="http://www.w3.org/2001/XMLSchema" xmlns:xs="http://www.w3.org/2001/XMLSchema" xmlns:p="http://schemas.microsoft.com/office/2006/metadata/properties" xmlns:ns2="3e3a932b-2140-4603-bd92-316001cc2f32" xmlns:ns3="948f3d1a-479d-4374-9e1e-a3f76f68c02e" targetNamespace="http://schemas.microsoft.com/office/2006/metadata/properties" ma:root="true" ma:fieldsID="3900c4ec3a69741009d614634ba2036f" ns2:_="" ns3:_="">
    <xsd:import namespace="3e3a932b-2140-4603-bd92-316001cc2f32"/>
    <xsd:import namespace="948f3d1a-479d-4374-9e1e-a3f76f68c02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3a932b-2140-4603-bd92-316001cc2f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c30ea6e-749b-4ea3-9866-ff774d09b44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8f3d1a-479d-4374-9e1e-a3f76f68c0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5f0a423-457a-4f58-9902-06df1414e28f}" ma:internalName="TaxCatchAll" ma:showField="CatchAllData" ma:web="948f3d1a-479d-4374-9e1e-a3f76f68c0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D5E081-8CBE-4090-8DB1-3ECE45D23AC0}">
  <ds:schemaRefs>
    <ds:schemaRef ds:uri="http://purl.org/dc/dcmitype/"/>
    <ds:schemaRef ds:uri="948f3d1a-479d-4374-9e1e-a3f76f68c02e"/>
    <ds:schemaRef ds:uri="http://schemas.microsoft.com/office/2006/documentManagement/types"/>
    <ds:schemaRef ds:uri="http://schemas.microsoft.com/office/infopath/2007/PartnerControls"/>
    <ds:schemaRef ds:uri="http://purl.org/dc/elements/1.1/"/>
    <ds:schemaRef ds:uri="3e3a932b-2140-4603-bd92-316001cc2f32"/>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2D9945D-22A5-49DB-8D53-DC23F2F802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3a932b-2140-4603-bd92-316001cc2f32"/>
    <ds:schemaRef ds:uri="948f3d1a-479d-4374-9e1e-a3f76f68c0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67222D-AFA5-4547-A87B-8F9FD31012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Definitions</vt:lpstr>
      <vt:lpstr>Convertible Notes</vt:lpstr>
      <vt:lpstr>Pro Forma Summary Cap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Ly</dc:creator>
  <cp:keywords/>
  <dc:description/>
  <cp:lastModifiedBy>Josiah Richetti</cp:lastModifiedBy>
  <cp:revision/>
  <dcterms:created xsi:type="dcterms:W3CDTF">2021-10-15T18:55:50Z</dcterms:created>
  <dcterms:modified xsi:type="dcterms:W3CDTF">2023-08-15T19:47:40Z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0x0101008630B7C07EF7A74790038A4E45723B92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