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vinfaulkner/Documents/Studies/"/>
    </mc:Choice>
  </mc:AlternateContent>
  <xr:revisionPtr revIDLastSave="0" documentId="13_ncr:1_{24C0507F-DFD3-5D44-855D-3B88AEC676B1}" xr6:coauthVersionLast="47" xr6:coauthVersionMax="47" xr10:uidLastSave="{00000000-0000-0000-0000-000000000000}"/>
  <bookViews>
    <workbookView xWindow="0" yWindow="500" windowWidth="14400" windowHeight="16200" xr2:uid="{9DAAD4C1-4460-0B4C-B9C0-F0A2CE20AAE8}"/>
  </bookViews>
  <sheets>
    <sheet name="Base Game" sheetId="5" r:id="rId1"/>
    <sheet name="Seafarers" sheetId="6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7" i="6" l="1"/>
  <c r="F142" i="6"/>
  <c r="F137" i="6"/>
  <c r="F136" i="6"/>
  <c r="D125" i="6"/>
  <c r="G89" i="6"/>
  <c r="F89" i="6"/>
  <c r="E89" i="6"/>
  <c r="D89" i="6"/>
  <c r="C89" i="6"/>
  <c r="B89" i="6"/>
  <c r="G88" i="6"/>
  <c r="F88" i="6"/>
  <c r="E88" i="6"/>
  <c r="D88" i="6"/>
  <c r="C88" i="6"/>
  <c r="B88" i="6"/>
  <c r="G87" i="6"/>
  <c r="F87" i="6"/>
  <c r="E87" i="6"/>
  <c r="D87" i="6"/>
  <c r="C87" i="6"/>
  <c r="B87" i="6"/>
  <c r="G86" i="6"/>
  <c r="F86" i="6"/>
  <c r="F90" i="6" s="1"/>
  <c r="E86" i="6"/>
  <c r="E90" i="6" s="1"/>
  <c r="D86" i="6"/>
  <c r="C86" i="6"/>
  <c r="C90" i="6" s="1"/>
  <c r="B86" i="6"/>
  <c r="G85" i="6"/>
  <c r="F85" i="6"/>
  <c r="E85" i="6"/>
  <c r="D85" i="6"/>
  <c r="D90" i="6" s="1"/>
  <c r="C85" i="6"/>
  <c r="B85" i="6"/>
  <c r="B90" i="6" s="1"/>
  <c r="D69" i="6"/>
  <c r="D68" i="6"/>
  <c r="D67" i="6"/>
  <c r="D66" i="6"/>
  <c r="D65" i="6"/>
  <c r="C59" i="6"/>
  <c r="C60" i="6" s="1"/>
  <c r="D57" i="6" s="1"/>
  <c r="G47" i="6"/>
  <c r="F47" i="6"/>
  <c r="E47" i="6"/>
  <c r="D47" i="6"/>
  <c r="H46" i="6"/>
  <c r="C47" i="6" s="1"/>
  <c r="C41" i="6"/>
  <c r="D41" i="6" s="1"/>
  <c r="C40" i="6"/>
  <c r="D40" i="6" s="1"/>
  <c r="D39" i="6"/>
  <c r="C39" i="6"/>
  <c r="C38" i="6"/>
  <c r="D38" i="6" s="1"/>
  <c r="C37" i="6"/>
  <c r="D37" i="6" s="1"/>
  <c r="F29" i="6"/>
  <c r="G24" i="6"/>
  <c r="C78" i="6" s="1"/>
  <c r="G4" i="6"/>
  <c r="F4" i="6"/>
  <c r="C56" i="6" s="1"/>
  <c r="E4" i="6"/>
  <c r="C55" i="6" s="1"/>
  <c r="D4" i="6"/>
  <c r="C54" i="6" s="1"/>
  <c r="C4" i="6"/>
  <c r="C53" i="6" s="1"/>
  <c r="B4" i="6"/>
  <c r="C52" i="6" s="1"/>
  <c r="F136" i="5"/>
  <c r="F141" i="5"/>
  <c r="F156" i="5"/>
  <c r="F135" i="5"/>
  <c r="G85" i="5"/>
  <c r="G86" i="5"/>
  <c r="G87" i="5"/>
  <c r="G88" i="5"/>
  <c r="G84" i="5"/>
  <c r="C86" i="5"/>
  <c r="D86" i="5"/>
  <c r="E86" i="5"/>
  <c r="F86" i="5"/>
  <c r="C87" i="5"/>
  <c r="D87" i="5"/>
  <c r="E87" i="5"/>
  <c r="F87" i="5"/>
  <c r="C88" i="5"/>
  <c r="D88" i="5"/>
  <c r="E88" i="5"/>
  <c r="F88" i="5"/>
  <c r="B88" i="5"/>
  <c r="B87" i="5"/>
  <c r="B86" i="5"/>
  <c r="C85" i="5"/>
  <c r="D85" i="5"/>
  <c r="E85" i="5"/>
  <c r="F85" i="5"/>
  <c r="B85" i="5"/>
  <c r="B84" i="5"/>
  <c r="C84" i="5"/>
  <c r="D84" i="5"/>
  <c r="E84" i="5"/>
  <c r="F84" i="5"/>
  <c r="D124" i="5"/>
  <c r="D68" i="5"/>
  <c r="D67" i="5"/>
  <c r="D66" i="5"/>
  <c r="D65" i="5"/>
  <c r="D64" i="5"/>
  <c r="C58" i="5"/>
  <c r="C59" i="5" s="1"/>
  <c r="D56" i="5" s="1"/>
  <c r="H45" i="5"/>
  <c r="F46" i="5" s="1"/>
  <c r="C40" i="5"/>
  <c r="D40" i="5" s="1"/>
  <c r="C39" i="5"/>
  <c r="D39" i="5" s="1"/>
  <c r="C38" i="5"/>
  <c r="D38" i="5" s="1"/>
  <c r="C37" i="5"/>
  <c r="D37" i="5" s="1"/>
  <c r="C36" i="5"/>
  <c r="D36" i="5" s="1"/>
  <c r="F28" i="5"/>
  <c r="G23" i="5"/>
  <c r="C76" i="5" s="1"/>
  <c r="F4" i="5"/>
  <c r="C55" i="5" s="1"/>
  <c r="E4" i="5"/>
  <c r="C54" i="5" s="1"/>
  <c r="D4" i="5"/>
  <c r="C53" i="5" s="1"/>
  <c r="C4" i="5"/>
  <c r="C52" i="5" s="1"/>
  <c r="B4" i="5"/>
  <c r="C51" i="5" s="1"/>
  <c r="G4" i="5" l="1"/>
  <c r="H56" i="6"/>
  <c r="D42" i="6"/>
  <c r="E52" i="6"/>
  <c r="D55" i="6"/>
  <c r="D54" i="6"/>
  <c r="C58" i="6"/>
  <c r="G55" i="6"/>
  <c r="C77" i="6"/>
  <c r="C76" i="6"/>
  <c r="I53" i="6"/>
  <c r="E57" i="6" s="1"/>
  <c r="E55" i="6" s="1"/>
  <c r="B47" i="6"/>
  <c r="C79" i="6"/>
  <c r="C75" i="6"/>
  <c r="I52" i="6"/>
  <c r="D52" i="6" s="1"/>
  <c r="I54" i="6"/>
  <c r="F57" i="6" s="1"/>
  <c r="F52" i="6" s="1"/>
  <c r="I55" i="6"/>
  <c r="G57" i="6" s="1"/>
  <c r="G52" i="6" s="1"/>
  <c r="I56" i="6"/>
  <c r="H57" i="6" s="1"/>
  <c r="H55" i="6" s="1"/>
  <c r="E89" i="5"/>
  <c r="F89" i="5"/>
  <c r="D89" i="5"/>
  <c r="C89" i="5"/>
  <c r="B89" i="5"/>
  <c r="I52" i="5"/>
  <c r="E56" i="5" s="1"/>
  <c r="E52" i="5" s="1"/>
  <c r="G46" i="5"/>
  <c r="I53" i="5"/>
  <c r="F56" i="5" s="1"/>
  <c r="I54" i="5"/>
  <c r="G56" i="5" s="1"/>
  <c r="I51" i="5"/>
  <c r="I55" i="5"/>
  <c r="H56" i="5" s="1"/>
  <c r="H55" i="5" s="1"/>
  <c r="D41" i="5"/>
  <c r="D46" i="5"/>
  <c r="E46" i="5"/>
  <c r="C57" i="5"/>
  <c r="B46" i="5"/>
  <c r="C46" i="5"/>
  <c r="C74" i="5"/>
  <c r="C77" i="5"/>
  <c r="C75" i="5"/>
  <c r="C78" i="5"/>
  <c r="F52" i="5" l="1"/>
  <c r="G54" i="6"/>
  <c r="F55" i="6"/>
  <c r="B55" i="6" s="1"/>
  <c r="C68" i="6" s="1"/>
  <c r="B68" i="6" s="1"/>
  <c r="E56" i="6"/>
  <c r="F56" i="6"/>
  <c r="F54" i="6"/>
  <c r="D53" i="6"/>
  <c r="F53" i="6"/>
  <c r="H52" i="6"/>
  <c r="B52" i="6" s="1"/>
  <c r="H53" i="6"/>
  <c r="G56" i="6"/>
  <c r="D56" i="6"/>
  <c r="E54" i="6"/>
  <c r="H54" i="6"/>
  <c r="B54" i="6"/>
  <c r="C67" i="6" s="1"/>
  <c r="B67" i="6" s="1"/>
  <c r="G53" i="6"/>
  <c r="E53" i="6"/>
  <c r="D52" i="5"/>
  <c r="G51" i="5"/>
  <c r="H52" i="5"/>
  <c r="F55" i="5"/>
  <c r="D55" i="5"/>
  <c r="H51" i="5"/>
  <c r="E55" i="5"/>
  <c r="G55" i="5"/>
  <c r="E53" i="5"/>
  <c r="D53" i="5"/>
  <c r="F54" i="5"/>
  <c r="H53" i="5"/>
  <c r="F51" i="5"/>
  <c r="D54" i="5"/>
  <c r="E54" i="5"/>
  <c r="D51" i="5"/>
  <c r="G54" i="5"/>
  <c r="G53" i="5"/>
  <c r="E51" i="5"/>
  <c r="F53" i="5"/>
  <c r="H54" i="5"/>
  <c r="G52" i="5"/>
  <c r="B52" i="5" s="1"/>
  <c r="C65" i="6" l="1"/>
  <c r="B65" i="6" s="1"/>
  <c r="B6" i="6"/>
  <c r="E68" i="6"/>
  <c r="C100" i="6"/>
  <c r="E67" i="6"/>
  <c r="C99" i="6"/>
  <c r="B56" i="6"/>
  <c r="B53" i="6"/>
  <c r="B51" i="5"/>
  <c r="B53" i="5"/>
  <c r="C66" i="5" s="1"/>
  <c r="B66" i="5" s="1"/>
  <c r="C98" i="5" s="1"/>
  <c r="B55" i="5"/>
  <c r="C68" i="5" s="1"/>
  <c r="B68" i="5" s="1"/>
  <c r="B54" i="5"/>
  <c r="C67" i="5" s="1"/>
  <c r="B67" i="5" s="1"/>
  <c r="E67" i="5" s="1"/>
  <c r="C64" i="5"/>
  <c r="B64" i="5" s="1"/>
  <c r="B6" i="5"/>
  <c r="C6" i="5"/>
  <c r="C65" i="5"/>
  <c r="B65" i="5" s="1"/>
  <c r="E66" i="5" l="1"/>
  <c r="G138" i="5"/>
  <c r="G146" i="5"/>
  <c r="G154" i="5"/>
  <c r="G162" i="5"/>
  <c r="G170" i="5"/>
  <c r="G178" i="5"/>
  <c r="G186" i="5"/>
  <c r="G147" i="5"/>
  <c r="G155" i="5"/>
  <c r="G163" i="5"/>
  <c r="G171" i="5"/>
  <c r="G179" i="5"/>
  <c r="G187" i="5"/>
  <c r="G139" i="5"/>
  <c r="G140" i="5"/>
  <c r="G148" i="5"/>
  <c r="G156" i="5"/>
  <c r="G164" i="5"/>
  <c r="G172" i="5"/>
  <c r="G180" i="5"/>
  <c r="G188" i="5"/>
  <c r="G143" i="5"/>
  <c r="G151" i="5"/>
  <c r="G159" i="5"/>
  <c r="G167" i="5"/>
  <c r="G175" i="5"/>
  <c r="G183" i="5"/>
  <c r="G141" i="5"/>
  <c r="G149" i="5"/>
  <c r="G157" i="5"/>
  <c r="G165" i="5"/>
  <c r="G173" i="5"/>
  <c r="G181" i="5"/>
  <c r="G189" i="5"/>
  <c r="G142" i="5"/>
  <c r="G150" i="5"/>
  <c r="G158" i="5"/>
  <c r="G166" i="5"/>
  <c r="G174" i="5"/>
  <c r="G182" i="5"/>
  <c r="G135" i="5"/>
  <c r="G136" i="5"/>
  <c r="G144" i="5"/>
  <c r="G152" i="5"/>
  <c r="G160" i="5"/>
  <c r="G168" i="5"/>
  <c r="G176" i="5"/>
  <c r="G184" i="5"/>
  <c r="G137" i="5"/>
  <c r="G145" i="5"/>
  <c r="G153" i="5"/>
  <c r="G161" i="5"/>
  <c r="G169" i="5"/>
  <c r="G177" i="5"/>
  <c r="G185" i="5"/>
  <c r="C6" i="6"/>
  <c r="C66" i="6"/>
  <c r="B66" i="6" s="1"/>
  <c r="C108" i="6"/>
  <c r="C109" i="6"/>
  <c r="F6" i="6"/>
  <c r="C69" i="6"/>
  <c r="B69" i="6" s="1"/>
  <c r="G151" i="6"/>
  <c r="G143" i="6"/>
  <c r="E65" i="6"/>
  <c r="B78" i="6"/>
  <c r="D78" i="6" s="1"/>
  <c r="G165" i="6"/>
  <c r="G157" i="6"/>
  <c r="G150" i="6"/>
  <c r="G172" i="6"/>
  <c r="G164" i="6"/>
  <c r="G149" i="6"/>
  <c r="D116" i="6"/>
  <c r="G163" i="6"/>
  <c r="G156" i="6"/>
  <c r="G148" i="6"/>
  <c r="G141" i="6"/>
  <c r="G178" i="6"/>
  <c r="G170" i="6"/>
  <c r="G162" i="6"/>
  <c r="G155" i="6"/>
  <c r="G147" i="6"/>
  <c r="G161" i="6"/>
  <c r="G154" i="6"/>
  <c r="G146" i="6"/>
  <c r="G139" i="6"/>
  <c r="G153" i="6"/>
  <c r="G145" i="6"/>
  <c r="G138" i="6"/>
  <c r="C97" i="6"/>
  <c r="G152" i="6"/>
  <c r="G144" i="6"/>
  <c r="G137" i="6"/>
  <c r="B101" i="6"/>
  <c r="F6" i="5"/>
  <c r="C99" i="5"/>
  <c r="C108" i="5" s="1"/>
  <c r="E68" i="5"/>
  <c r="C100" i="5"/>
  <c r="C109" i="5" s="1"/>
  <c r="B76" i="5"/>
  <c r="D76" i="5" s="1"/>
  <c r="B96" i="5"/>
  <c r="B78" i="5"/>
  <c r="D78" i="5" s="1"/>
  <c r="B75" i="5"/>
  <c r="E115" i="5"/>
  <c r="E17" i="5" s="1"/>
  <c r="E65" i="5"/>
  <c r="C97" i="5"/>
  <c r="C107" i="5"/>
  <c r="E64" i="5"/>
  <c r="C96" i="5"/>
  <c r="B100" i="5"/>
  <c r="B98" i="5"/>
  <c r="D115" i="5"/>
  <c r="B77" i="5"/>
  <c r="D77" i="5" s="1"/>
  <c r="B97" i="5"/>
  <c r="B74" i="5"/>
  <c r="G133" i="5" l="1"/>
  <c r="B121" i="5" s="1"/>
  <c r="B110" i="6"/>
  <c r="D101" i="6"/>
  <c r="D110" i="6" s="1"/>
  <c r="C106" i="6"/>
  <c r="E17" i="6"/>
  <c r="E121" i="6"/>
  <c r="E120" i="6" s="1"/>
  <c r="B73" i="6"/>
  <c r="E69" i="6"/>
  <c r="C101" i="6"/>
  <c r="G158" i="6"/>
  <c r="G159" i="6"/>
  <c r="G171" i="6"/>
  <c r="G179" i="6"/>
  <c r="G169" i="6"/>
  <c r="G181" i="6"/>
  <c r="G167" i="6"/>
  <c r="G186" i="6"/>
  <c r="G189" i="6"/>
  <c r="G175" i="6"/>
  <c r="G187" i="6"/>
  <c r="B77" i="6"/>
  <c r="D77" i="6" s="1"/>
  <c r="E66" i="6"/>
  <c r="B97" i="6"/>
  <c r="E116" i="6"/>
  <c r="E18" i="6" s="1"/>
  <c r="C98" i="6"/>
  <c r="B79" i="6"/>
  <c r="D79" i="6" s="1"/>
  <c r="B76" i="6"/>
  <c r="G173" i="6"/>
  <c r="G160" i="6"/>
  <c r="G180" i="6"/>
  <c r="G166" i="6"/>
  <c r="G168" i="6"/>
  <c r="G177" i="6"/>
  <c r="G188" i="6"/>
  <c r="G174" i="6"/>
  <c r="G176" i="6"/>
  <c r="G185" i="6"/>
  <c r="B98" i="6"/>
  <c r="G136" i="6"/>
  <c r="G134" i="6" s="1"/>
  <c r="B122" i="6" s="1"/>
  <c r="B75" i="6"/>
  <c r="G182" i="6"/>
  <c r="G183" i="6"/>
  <c r="G184" i="6"/>
  <c r="G140" i="6"/>
  <c r="B99" i="6"/>
  <c r="G142" i="6"/>
  <c r="G190" i="6"/>
  <c r="C105" i="5"/>
  <c r="B115" i="5"/>
  <c r="E14" i="5" s="1"/>
  <c r="D74" i="5"/>
  <c r="D79" i="5" s="1"/>
  <c r="B106" i="5"/>
  <c r="D97" i="5"/>
  <c r="D106" i="5" s="1"/>
  <c r="D75" i="5"/>
  <c r="C115" i="5"/>
  <c r="E15" i="5" s="1"/>
  <c r="B99" i="5"/>
  <c r="C121" i="5"/>
  <c r="B72" i="5"/>
  <c r="D96" i="5"/>
  <c r="D105" i="5" s="1"/>
  <c r="B105" i="5"/>
  <c r="E16" i="5"/>
  <c r="E120" i="5"/>
  <c r="E119" i="5" s="1"/>
  <c r="B107" i="5"/>
  <c r="D98" i="5"/>
  <c r="D100" i="5"/>
  <c r="B109" i="5"/>
  <c r="C106" i="5"/>
  <c r="C122" i="6" l="1"/>
  <c r="G6" i="6"/>
  <c r="G121" i="6"/>
  <c r="G120" i="6" s="1"/>
  <c r="F121" i="6"/>
  <c r="F120" i="6" s="1"/>
  <c r="B96" i="6"/>
  <c r="H130" i="6"/>
  <c r="H127" i="6"/>
  <c r="D75" i="6"/>
  <c r="D80" i="6" s="1"/>
  <c r="B116" i="6"/>
  <c r="E15" i="6" s="1"/>
  <c r="D76" i="6"/>
  <c r="C116" i="6"/>
  <c r="E16" i="6" s="1"/>
  <c r="B100" i="6"/>
  <c r="D97" i="6"/>
  <c r="B106" i="6"/>
  <c r="B107" i="6"/>
  <c r="D98" i="6"/>
  <c r="D107" i="6" s="1"/>
  <c r="B108" i="6"/>
  <c r="D99" i="6"/>
  <c r="C107" i="6"/>
  <c r="E98" i="6"/>
  <c r="E107" i="6" s="1"/>
  <c r="F107" i="6" s="1"/>
  <c r="C110" i="6"/>
  <c r="E101" i="6"/>
  <c r="E110" i="6" s="1"/>
  <c r="F110" i="6" s="1"/>
  <c r="E97" i="5"/>
  <c r="E106" i="5" s="1"/>
  <c r="F106" i="5" s="1"/>
  <c r="B122" i="5"/>
  <c r="H128" i="5"/>
  <c r="H129" i="5"/>
  <c r="H126" i="5"/>
  <c r="G120" i="5"/>
  <c r="G119" i="5" s="1"/>
  <c r="F120" i="5"/>
  <c r="F119" i="5" s="1"/>
  <c r="B95" i="5"/>
  <c r="G6" i="5"/>
  <c r="D109" i="5"/>
  <c r="E100" i="5"/>
  <c r="E109" i="5" s="1"/>
  <c r="F109" i="5" s="1"/>
  <c r="D107" i="5"/>
  <c r="E98" i="5"/>
  <c r="E107" i="5" s="1"/>
  <c r="F107" i="5" s="1"/>
  <c r="B108" i="5"/>
  <c r="D99" i="5"/>
  <c r="E96" i="5"/>
  <c r="E105" i="5" s="1"/>
  <c r="F105" i="5" s="1"/>
  <c r="D106" i="6" l="1"/>
  <c r="E97" i="6"/>
  <c r="E106" i="6" s="1"/>
  <c r="F106" i="6" s="1"/>
  <c r="H128" i="6"/>
  <c r="H121" i="6" s="1"/>
  <c r="H120" i="6" s="1"/>
  <c r="D96" i="6"/>
  <c r="D105" i="6" s="1"/>
  <c r="C96" i="6"/>
  <c r="B105" i="6"/>
  <c r="D100" i="6"/>
  <c r="B109" i="6"/>
  <c r="D108" i="6"/>
  <c r="E99" i="6"/>
  <c r="E108" i="6" s="1"/>
  <c r="F108" i="6" s="1"/>
  <c r="B123" i="6"/>
  <c r="H129" i="6"/>
  <c r="D108" i="5"/>
  <c r="E99" i="5"/>
  <c r="E108" i="5" s="1"/>
  <c r="F108" i="5" s="1"/>
  <c r="H127" i="5"/>
  <c r="H120" i="5" s="1"/>
  <c r="H119" i="5" s="1"/>
  <c r="D95" i="5"/>
  <c r="D104" i="5" s="1"/>
  <c r="C95" i="5"/>
  <c r="B104" i="5"/>
  <c r="I120" i="5"/>
  <c r="I119" i="5" s="1"/>
  <c r="C122" i="5"/>
  <c r="C117" i="5" s="1"/>
  <c r="C116" i="5" s="1"/>
  <c r="F15" i="5" s="1"/>
  <c r="D109" i="6" l="1"/>
  <c r="E100" i="6"/>
  <c r="E109" i="6" s="1"/>
  <c r="F109" i="6" s="1"/>
  <c r="E96" i="6"/>
  <c r="E105" i="6" s="1"/>
  <c r="F105" i="6" s="1"/>
  <c r="F111" i="6" s="1"/>
  <c r="B124" i="6" s="1"/>
  <c r="B118" i="6" s="1"/>
  <c r="C105" i="6"/>
  <c r="C123" i="6"/>
  <c r="C118" i="6" s="1"/>
  <c r="C117" i="6" s="1"/>
  <c r="F16" i="6" s="1"/>
  <c r="I121" i="6"/>
  <c r="I120" i="6" s="1"/>
  <c r="E118" i="6" s="1"/>
  <c r="E117" i="6" s="1"/>
  <c r="F18" i="6" s="1"/>
  <c r="E117" i="5"/>
  <c r="E116" i="5" s="1"/>
  <c r="F17" i="5" s="1"/>
  <c r="E95" i="5"/>
  <c r="E104" i="5" s="1"/>
  <c r="F104" i="5" s="1"/>
  <c r="F110" i="5" s="1"/>
  <c r="B123" i="5" s="1"/>
  <c r="B117" i="5" s="1"/>
  <c r="C104" i="5"/>
  <c r="D126" i="6" l="1"/>
  <c r="D118" i="6" s="1"/>
  <c r="D117" i="6" s="1"/>
  <c r="F17" i="6" s="1"/>
  <c r="B117" i="6"/>
  <c r="F15" i="6" s="1"/>
  <c r="D125" i="5"/>
  <c r="D117" i="5" s="1"/>
  <c r="D116" i="5" s="1"/>
  <c r="F16" i="5" s="1"/>
  <c r="B116" i="5"/>
  <c r="F14" i="5" s="1"/>
</calcChain>
</file>

<file path=xl/sharedStrings.xml><?xml version="1.0" encoding="utf-8"?>
<sst xmlns="http://schemas.openxmlformats.org/spreadsheetml/2006/main" count="367" uniqueCount="113">
  <si>
    <t>Lumber</t>
  </si>
  <si>
    <t>Wheat</t>
  </si>
  <si>
    <t>Wool</t>
  </si>
  <si>
    <t>Brick</t>
  </si>
  <si>
    <t>Ore</t>
  </si>
  <si>
    <t>µ</t>
  </si>
  <si>
    <t>L</t>
  </si>
  <si>
    <t>Wh</t>
  </si>
  <si>
    <t>B</t>
  </si>
  <si>
    <t>O</t>
  </si>
  <si>
    <t>Min</t>
  </si>
  <si>
    <t>Max</t>
  </si>
  <si>
    <t>n</t>
  </si>
  <si>
    <t>Data Input</t>
  </si>
  <si>
    <t>Players:</t>
  </si>
  <si>
    <t>P3:1:</t>
  </si>
  <si>
    <t>Abs. Max.</t>
  </si>
  <si>
    <t>Abs. Min</t>
  </si>
  <si>
    <t>Supply</t>
  </si>
  <si>
    <t>Harbor</t>
  </si>
  <si>
    <t>Adjusted Supply Value</t>
  </si>
  <si>
    <t>Wo</t>
  </si>
  <si>
    <t>Trades</t>
  </si>
  <si>
    <t>Adjusted Net Value</t>
  </si>
  <si>
    <t>Adjusted</t>
  </si>
  <si>
    <t>Demand</t>
  </si>
  <si>
    <t>Data Points</t>
  </si>
  <si>
    <t>R*</t>
  </si>
  <si>
    <t>S</t>
  </si>
  <si>
    <t>R</t>
  </si>
  <si>
    <t>Settlements</t>
  </si>
  <si>
    <t>Cities</t>
  </si>
  <si>
    <t>Dev. Cards</t>
  </si>
  <si>
    <t>Total</t>
  </si>
  <si>
    <t>L Road</t>
  </si>
  <si>
    <t>L Army</t>
  </si>
  <si>
    <t>Victory Point Sources</t>
  </si>
  <si>
    <t>Settlement</t>
  </si>
  <si>
    <t>City</t>
  </si>
  <si>
    <t>Dev Card</t>
  </si>
  <si>
    <t>Development Cards</t>
  </si>
  <si>
    <t>Knight</t>
  </si>
  <si>
    <t>VP</t>
  </si>
  <si>
    <t>Roads</t>
  </si>
  <si>
    <t>YoP</t>
  </si>
  <si>
    <t>Monopoly</t>
  </si>
  <si>
    <t>Victory Point Cost</t>
  </si>
  <si>
    <t>LR Length</t>
  </si>
  <si>
    <t>LA Size</t>
  </si>
  <si>
    <t>Cost</t>
  </si>
  <si>
    <t>Likelihood</t>
  </si>
  <si>
    <t>Value</t>
  </si>
  <si>
    <t>Average</t>
  </si>
  <si>
    <t>Construction Valuation</t>
  </si>
  <si>
    <t>Road</t>
  </si>
  <si>
    <t>Mgl. Res.</t>
  </si>
  <si>
    <t>LR</t>
  </si>
  <si>
    <t>Future Sett.</t>
  </si>
  <si>
    <t>RB</t>
  </si>
  <si>
    <t>Return</t>
  </si>
  <si>
    <t>Freed</t>
  </si>
  <si>
    <t>Blocked</t>
  </si>
  <si>
    <t>LA</t>
  </si>
  <si>
    <t>Tiles Bord.</t>
  </si>
  <si>
    <t>Turns</t>
  </si>
  <si>
    <t>Dice Roll</t>
  </si>
  <si>
    <t>Tokens</t>
  </si>
  <si>
    <t>Chance</t>
  </si>
  <si>
    <t>Ratio</t>
  </si>
  <si>
    <t>Hit Lklhd</t>
  </si>
  <si>
    <t>2,12</t>
  </si>
  <si>
    <t>3,11</t>
  </si>
  <si>
    <t>4,10</t>
  </si>
  <si>
    <t>5,9</t>
  </si>
  <si>
    <t>6,8</t>
  </si>
  <si>
    <t>Hit</t>
  </si>
  <si>
    <t>Harbor Valuation</t>
  </si>
  <si>
    <t>Received</t>
  </si>
  <si>
    <t>NH Cost</t>
  </si>
  <si>
    <t>Harbor Cost</t>
  </si>
  <si>
    <t>Savings/td</t>
  </si>
  <si>
    <t>Agnostic</t>
  </si>
  <si>
    <t>2:1 Lumber</t>
  </si>
  <si>
    <t>2:1 Wheat</t>
  </si>
  <si>
    <t>2:1 Wool</t>
  </si>
  <si>
    <t>2:1 Brick</t>
  </si>
  <si>
    <t>2:1 Ore</t>
  </si>
  <si>
    <t>Per-trade</t>
  </si>
  <si>
    <t>Weight</t>
  </si>
  <si>
    <t>Harbors</t>
  </si>
  <si>
    <t>Sum</t>
  </si>
  <si>
    <t>Number</t>
  </si>
  <si>
    <t>Chg. Hands</t>
  </si>
  <si>
    <t>Cards:</t>
  </si>
  <si>
    <t>Stolen</t>
  </si>
  <si>
    <t>&gt;0 Cards:</t>
  </si>
  <si>
    <t>Dev. Card</t>
  </si>
  <si>
    <t>MRT</t>
  </si>
  <si>
    <t>Supply Tracker</t>
  </si>
  <si>
    <t>Numbers</t>
  </si>
  <si>
    <t>Hit Lkld</t>
  </si>
  <si>
    <t>Hit Likelihood</t>
  </si>
  <si>
    <t>2 or 12</t>
  </si>
  <si>
    <t>3 or 11</t>
  </si>
  <si>
    <t>4 or 10</t>
  </si>
  <si>
    <t>5 or 9</t>
  </si>
  <si>
    <t>6 or 8</t>
  </si>
  <si>
    <t>Roll Lkld</t>
  </si>
  <si>
    <t>Marginal Resource Calculation</t>
  </si>
  <si>
    <t>Borders</t>
  </si>
  <si>
    <t>Resources</t>
  </si>
  <si>
    <t>R*/turn</t>
  </si>
  <si>
    <t>Avg.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</si>
</sst>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20" fontId="2" fillId="0" borderId="0" xfId="0" applyNumberFormat="1" applyFont="1"/>
    <xf numFmtId="0" fontId="0" fillId="0" borderId="0" xfId="0" applyFont="1"/>
    <xf numFmtId="0" fontId="2" fillId="2" borderId="0" xfId="0" applyFont="1" applyFill="1" applyAlignment="1"/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70" fontId="0" fillId="0" borderId="0" xfId="1" applyNumberFormat="1" applyFont="1"/>
    <xf numFmtId="170" fontId="0" fillId="0" borderId="0" xfId="1" applyNumberFormat="1" applyFont="1" applyAlignment="1">
      <alignment horizontal="center"/>
    </xf>
    <xf numFmtId="170" fontId="0" fillId="0" borderId="0" xfId="0" applyNumberFormat="1"/>
    <xf numFmtId="0" fontId="2" fillId="0" borderId="0" xfId="0" applyFont="1" applyFill="1" applyAlignment="1"/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23DCA-06D3-2242-9131-FEEE9F6C20BE}">
  <dimension ref="A1:P189"/>
  <sheetViews>
    <sheetView tabSelected="1" topLeftCell="A121" zoomScale="110" zoomScaleNormal="110" workbookViewId="0">
      <selection activeCell="B121" sqref="B121"/>
    </sheetView>
  </sheetViews>
  <sheetFormatPr baseColWidth="10" defaultRowHeight="16" x14ac:dyDescent="0.2"/>
  <sheetData>
    <row r="1" spans="1:16" x14ac:dyDescent="0.2">
      <c r="A1" s="4" t="s">
        <v>13</v>
      </c>
      <c r="B1" s="4"/>
      <c r="C1" s="4"/>
      <c r="D1" s="4"/>
      <c r="E1" s="4"/>
      <c r="F1" s="4"/>
      <c r="G1" s="4"/>
      <c r="H1" s="7"/>
      <c r="I1" s="7"/>
      <c r="K1" s="4" t="s">
        <v>98</v>
      </c>
      <c r="L1" s="4"/>
      <c r="M1" s="4"/>
      <c r="N1" s="4"/>
      <c r="O1" s="4"/>
      <c r="P1" s="14"/>
    </row>
    <row r="3" spans="1:16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33</v>
      </c>
      <c r="K3" s="1" t="s">
        <v>0</v>
      </c>
      <c r="L3" s="1" t="s">
        <v>1</v>
      </c>
      <c r="M3" s="1" t="s">
        <v>2</v>
      </c>
      <c r="N3" s="1" t="s">
        <v>3</v>
      </c>
      <c r="O3" s="1" t="s">
        <v>4</v>
      </c>
    </row>
    <row r="4" spans="1:16" x14ac:dyDescent="0.2">
      <c r="A4" s="1" t="s">
        <v>18</v>
      </c>
      <c r="B4">
        <f>SUM(K4:K1000)</f>
        <v>5</v>
      </c>
      <c r="C4">
        <f>SUM(L4:L1000)</f>
        <v>12</v>
      </c>
      <c r="D4">
        <f>SUM(M4:M1000)</f>
        <v>1</v>
      </c>
      <c r="E4">
        <f>SUM(N4:N1000)</f>
        <v>3</v>
      </c>
      <c r="F4">
        <f>SUM(O4:O1000)</f>
        <v>12</v>
      </c>
      <c r="G4">
        <f>SUM(B4:F4)</f>
        <v>33</v>
      </c>
      <c r="K4">
        <v>3</v>
      </c>
      <c r="L4">
        <v>7</v>
      </c>
      <c r="M4">
        <v>2</v>
      </c>
      <c r="N4">
        <v>4</v>
      </c>
      <c r="O4">
        <v>3</v>
      </c>
    </row>
    <row r="5" spans="1:16" x14ac:dyDescent="0.2">
      <c r="A5" s="1" t="s">
        <v>19</v>
      </c>
      <c r="B5" t="b">
        <v>0</v>
      </c>
      <c r="C5" t="b">
        <v>1</v>
      </c>
      <c r="D5" t="b">
        <v>1</v>
      </c>
      <c r="E5" t="b">
        <v>1</v>
      </c>
      <c r="F5" t="b">
        <v>1</v>
      </c>
      <c r="K5">
        <v>1</v>
      </c>
      <c r="L5">
        <v>1</v>
      </c>
    </row>
    <row r="6" spans="1:16" x14ac:dyDescent="0.2">
      <c r="A6" s="1" t="s">
        <v>51</v>
      </c>
      <c r="B6">
        <f>B51</f>
        <v>1.337142857142857</v>
      </c>
      <c r="C6">
        <f>B52</f>
        <v>0.59761904761904761</v>
      </c>
      <c r="D6">
        <v>4</v>
      </c>
      <c r="E6">
        <v>0.25</v>
      </c>
      <c r="F6">
        <f>B55</f>
        <v>0.59761904761904761</v>
      </c>
      <c r="G6">
        <f>B72</f>
        <v>1.0177965367965369</v>
      </c>
      <c r="M6">
        <v>2</v>
      </c>
    </row>
    <row r="7" spans="1:16" x14ac:dyDescent="0.2">
      <c r="A7" s="1" t="s">
        <v>97</v>
      </c>
      <c r="B7">
        <v>2</v>
      </c>
      <c r="C7">
        <v>1.333</v>
      </c>
      <c r="D7">
        <v>0.75</v>
      </c>
      <c r="E7">
        <v>0.5</v>
      </c>
      <c r="F7">
        <v>0.75</v>
      </c>
      <c r="K7">
        <v>2</v>
      </c>
      <c r="L7">
        <v>4</v>
      </c>
    </row>
    <row r="8" spans="1:16" x14ac:dyDescent="0.2">
      <c r="A8" s="9" t="s">
        <v>99</v>
      </c>
      <c r="B8">
        <v>2</v>
      </c>
      <c r="C8">
        <v>3</v>
      </c>
      <c r="D8">
        <v>4</v>
      </c>
      <c r="E8">
        <v>5</v>
      </c>
      <c r="F8">
        <v>6</v>
      </c>
      <c r="K8">
        <v>-1</v>
      </c>
      <c r="N8">
        <v>-1</v>
      </c>
    </row>
    <row r="9" spans="1:16" x14ac:dyDescent="0.2">
      <c r="A9" s="9"/>
      <c r="B9">
        <v>8</v>
      </c>
      <c r="C9">
        <v>9</v>
      </c>
      <c r="D9">
        <v>10</v>
      </c>
      <c r="E9">
        <v>11</v>
      </c>
      <c r="F9">
        <v>12</v>
      </c>
      <c r="M9">
        <v>-3</v>
      </c>
      <c r="O9">
        <v>9</v>
      </c>
    </row>
    <row r="10" spans="1:16" x14ac:dyDescent="0.2">
      <c r="A10" s="9"/>
      <c r="B10">
        <v>3</v>
      </c>
      <c r="C10">
        <v>4</v>
      </c>
      <c r="D10">
        <v>5</v>
      </c>
      <c r="E10">
        <v>6</v>
      </c>
      <c r="F10">
        <v>8</v>
      </c>
    </row>
    <row r="11" spans="1:16" x14ac:dyDescent="0.2">
      <c r="A11" s="9"/>
      <c r="B11">
        <v>8</v>
      </c>
      <c r="C11">
        <v>10</v>
      </c>
      <c r="D11">
        <v>11</v>
      </c>
    </row>
    <row r="13" spans="1:16" x14ac:dyDescent="0.2">
      <c r="A13" s="1" t="s">
        <v>14</v>
      </c>
      <c r="B13" s="1" t="s">
        <v>15</v>
      </c>
      <c r="E13" s="1" t="s">
        <v>49</v>
      </c>
      <c r="F13" s="1" t="s">
        <v>59</v>
      </c>
    </row>
    <row r="14" spans="1:16" x14ac:dyDescent="0.2">
      <c r="A14">
        <v>4</v>
      </c>
      <c r="B14">
        <v>1</v>
      </c>
      <c r="D14" s="1" t="s">
        <v>37</v>
      </c>
      <c r="E14">
        <f>B115</f>
        <v>5.7088809523809525</v>
      </c>
      <c r="F14" s="13">
        <f>B116</f>
        <v>2.5012030797203297</v>
      </c>
    </row>
    <row r="15" spans="1:16" x14ac:dyDescent="0.2">
      <c r="D15" s="1" t="s">
        <v>38</v>
      </c>
      <c r="E15">
        <f>C115</f>
        <v>3.9520476190476188</v>
      </c>
      <c r="F15" s="13">
        <f>C116</f>
        <v>3.1948765812514361</v>
      </c>
    </row>
    <row r="16" spans="1:16" x14ac:dyDescent="0.2">
      <c r="D16" s="1" t="s">
        <v>54</v>
      </c>
      <c r="E16">
        <f>D115</f>
        <v>2.9185714285714286</v>
      </c>
      <c r="F16" s="13">
        <f>D116</f>
        <v>2.6035347898706092</v>
      </c>
    </row>
    <row r="17" spans="1:9" x14ac:dyDescent="0.2">
      <c r="D17" s="1" t="s">
        <v>96</v>
      </c>
      <c r="E17">
        <f>E115</f>
        <v>3.4641190476190475</v>
      </c>
      <c r="F17" s="13">
        <f>E116</f>
        <v>0.52362502426569268</v>
      </c>
    </row>
    <row r="19" spans="1:9" x14ac:dyDescent="0.2">
      <c r="A19" s="4" t="s">
        <v>26</v>
      </c>
      <c r="B19" s="4"/>
      <c r="C19" s="4"/>
      <c r="D19" s="4"/>
      <c r="E19" s="4"/>
      <c r="F19" s="4"/>
      <c r="G19" s="4"/>
      <c r="H19" s="4"/>
      <c r="I19" s="4"/>
    </row>
    <row r="21" spans="1:9" x14ac:dyDescent="0.2">
      <c r="A21" s="3" t="s">
        <v>36</v>
      </c>
      <c r="B21" s="3"/>
      <c r="C21" s="3"/>
      <c r="D21" s="3"/>
      <c r="E21" s="3"/>
      <c r="F21" s="3"/>
    </row>
    <row r="22" spans="1:9" x14ac:dyDescent="0.2">
      <c r="B22" s="1" t="s">
        <v>30</v>
      </c>
      <c r="C22" s="1" t="s">
        <v>31</v>
      </c>
      <c r="D22" s="1" t="s">
        <v>32</v>
      </c>
      <c r="E22" s="1" t="s">
        <v>34</v>
      </c>
      <c r="F22" s="1" t="s">
        <v>35</v>
      </c>
      <c r="G22" s="1" t="s">
        <v>33</v>
      </c>
      <c r="H22" s="1" t="s">
        <v>89</v>
      </c>
      <c r="I22" s="1" t="s">
        <v>43</v>
      </c>
    </row>
    <row r="23" spans="1:9" x14ac:dyDescent="0.2">
      <c r="A23" s="1" t="s">
        <v>91</v>
      </c>
      <c r="B23">
        <v>10.5</v>
      </c>
      <c r="C23">
        <v>7</v>
      </c>
      <c r="D23">
        <v>3</v>
      </c>
      <c r="E23">
        <v>2.75</v>
      </c>
      <c r="F23">
        <v>2.25</v>
      </c>
      <c r="G23">
        <f>SUM(B23:F23)</f>
        <v>25.5</v>
      </c>
      <c r="H23">
        <v>3</v>
      </c>
      <c r="I23">
        <v>14.7692</v>
      </c>
    </row>
    <row r="24" spans="1:9" x14ac:dyDescent="0.2">
      <c r="A24" s="1" t="s">
        <v>92</v>
      </c>
      <c r="E24">
        <v>2.7</v>
      </c>
      <c r="F24">
        <v>2</v>
      </c>
    </row>
    <row r="26" spans="1:9" x14ac:dyDescent="0.2">
      <c r="A26" s="3" t="s">
        <v>40</v>
      </c>
      <c r="B26" s="3"/>
      <c r="C26" s="3"/>
      <c r="D26" s="3"/>
      <c r="E26" s="3"/>
      <c r="F26" s="3"/>
    </row>
    <row r="27" spans="1:9" x14ac:dyDescent="0.2">
      <c r="A27" s="1" t="s">
        <v>41</v>
      </c>
      <c r="B27" s="1" t="s">
        <v>42</v>
      </c>
      <c r="C27" s="1" t="s">
        <v>43</v>
      </c>
      <c r="D27" s="1" t="s">
        <v>44</v>
      </c>
      <c r="E27" s="1" t="s">
        <v>45</v>
      </c>
      <c r="F27" s="1" t="s">
        <v>33</v>
      </c>
    </row>
    <row r="28" spans="1:9" x14ac:dyDescent="0.2">
      <c r="A28">
        <v>14</v>
      </c>
      <c r="B28">
        <v>5</v>
      </c>
      <c r="C28">
        <v>2</v>
      </c>
      <c r="D28">
        <v>2</v>
      </c>
      <c r="E28">
        <v>2</v>
      </c>
      <c r="F28">
        <f>SUM(A28:E28)</f>
        <v>25</v>
      </c>
    </row>
    <row r="29" spans="1:9" x14ac:dyDescent="0.2">
      <c r="A29">
        <v>8</v>
      </c>
      <c r="D29" s="1" t="s">
        <v>93</v>
      </c>
      <c r="E29">
        <v>5</v>
      </c>
    </row>
    <row r="31" spans="1:9" x14ac:dyDescent="0.2">
      <c r="A31" s="1" t="s">
        <v>47</v>
      </c>
      <c r="B31" s="1" t="s">
        <v>48</v>
      </c>
      <c r="C31" s="1" t="s">
        <v>63</v>
      </c>
      <c r="D31" s="1" t="s">
        <v>64</v>
      </c>
      <c r="E31" s="1" t="s">
        <v>22</v>
      </c>
    </row>
    <row r="32" spans="1:9" x14ac:dyDescent="0.2">
      <c r="A32">
        <v>7</v>
      </c>
      <c r="B32">
        <v>4</v>
      </c>
      <c r="C32">
        <v>2</v>
      </c>
      <c r="D32">
        <v>80</v>
      </c>
      <c r="E32">
        <v>7</v>
      </c>
    </row>
    <row r="33" spans="1:9" x14ac:dyDescent="0.2">
      <c r="G33" s="1" t="s">
        <v>95</v>
      </c>
      <c r="H33">
        <v>0.85</v>
      </c>
    </row>
    <row r="34" spans="1:9" x14ac:dyDescent="0.2">
      <c r="A34" s="3" t="s">
        <v>65</v>
      </c>
      <c r="B34" s="3"/>
      <c r="C34" s="3"/>
      <c r="D34" s="3"/>
    </row>
    <row r="35" spans="1:9" x14ac:dyDescent="0.2">
      <c r="A35" s="1" t="s">
        <v>66</v>
      </c>
      <c r="B35" s="1" t="s">
        <v>67</v>
      </c>
      <c r="C35" s="1" t="s">
        <v>68</v>
      </c>
      <c r="D35" s="1" t="s">
        <v>69</v>
      </c>
    </row>
    <row r="36" spans="1:9" x14ac:dyDescent="0.2">
      <c r="A36" t="s">
        <v>70</v>
      </c>
      <c r="B36">
        <v>2.7799999999999998E-2</v>
      </c>
      <c r="C36">
        <f>2/18</f>
        <v>0.1111111111111111</v>
      </c>
      <c r="D36">
        <f>B36*C36</f>
        <v>3.0888888888888884E-3</v>
      </c>
    </row>
    <row r="37" spans="1:9" x14ac:dyDescent="0.2">
      <c r="A37" t="s">
        <v>71</v>
      </c>
      <c r="B37">
        <v>5.5599999999999997E-2</v>
      </c>
      <c r="C37">
        <f>4/18</f>
        <v>0.22222222222222221</v>
      </c>
      <c r="D37">
        <f t="shared" ref="D37:D39" si="0">B37*C37</f>
        <v>1.2355555555555554E-2</v>
      </c>
    </row>
    <row r="38" spans="1:9" x14ac:dyDescent="0.2">
      <c r="A38" t="s">
        <v>72</v>
      </c>
      <c r="B38">
        <v>8.3299999999999999E-2</v>
      </c>
      <c r="C38">
        <f>4/18</f>
        <v>0.22222222222222221</v>
      </c>
      <c r="D38">
        <f t="shared" si="0"/>
        <v>1.851111111111111E-2</v>
      </c>
    </row>
    <row r="39" spans="1:9" x14ac:dyDescent="0.2">
      <c r="A39" t="s">
        <v>73</v>
      </c>
      <c r="B39">
        <v>0.1111</v>
      </c>
      <c r="C39">
        <f>4/18</f>
        <v>0.22222222222222221</v>
      </c>
      <c r="D39">
        <f t="shared" si="0"/>
        <v>2.4688888888888889E-2</v>
      </c>
    </row>
    <row r="40" spans="1:9" x14ac:dyDescent="0.2">
      <c r="A40" t="s">
        <v>74</v>
      </c>
      <c r="B40">
        <v>0.1389</v>
      </c>
      <c r="C40">
        <f>4/18</f>
        <v>0.22222222222222221</v>
      </c>
      <c r="D40">
        <f>B40*C40</f>
        <v>3.0866666666666664E-2</v>
      </c>
    </row>
    <row r="41" spans="1:9" x14ac:dyDescent="0.2">
      <c r="A41" t="s">
        <v>75</v>
      </c>
      <c r="D41">
        <f>SUM(D36:D40)</f>
        <v>8.9511111111111111E-2</v>
      </c>
    </row>
    <row r="43" spans="1:9" x14ac:dyDescent="0.2">
      <c r="A43" s="3" t="s">
        <v>89</v>
      </c>
      <c r="B43" s="3"/>
      <c r="C43" s="3"/>
      <c r="D43" s="3"/>
      <c r="E43" s="3"/>
      <c r="F43" s="3"/>
      <c r="G43" s="3"/>
      <c r="H43" s="3"/>
    </row>
    <row r="44" spans="1:9" x14ac:dyDescent="0.2">
      <c r="B44" s="1" t="s">
        <v>81</v>
      </c>
      <c r="C44" s="1" t="s">
        <v>82</v>
      </c>
      <c r="D44" s="1" t="s">
        <v>83</v>
      </c>
      <c r="E44" s="1" t="s">
        <v>84</v>
      </c>
      <c r="F44" s="1" t="s">
        <v>85</v>
      </c>
      <c r="G44" s="1" t="s">
        <v>86</v>
      </c>
      <c r="H44" s="1" t="s">
        <v>33</v>
      </c>
    </row>
    <row r="45" spans="1:9" x14ac:dyDescent="0.2">
      <c r="B45">
        <v>4</v>
      </c>
      <c r="C45">
        <v>1</v>
      </c>
      <c r="D45">
        <v>1</v>
      </c>
      <c r="E45">
        <v>1</v>
      </c>
      <c r="F45">
        <v>1</v>
      </c>
      <c r="G45">
        <v>1</v>
      </c>
      <c r="H45">
        <f>SUM(B45:G45)</f>
        <v>9</v>
      </c>
    </row>
    <row r="46" spans="1:9" x14ac:dyDescent="0.2">
      <c r="A46" s="1" t="s">
        <v>88</v>
      </c>
      <c r="B46">
        <f>B45/$H$45</f>
        <v>0.44444444444444442</v>
      </c>
      <c r="C46">
        <f t="shared" ref="C46:G46" si="1">C45/$H$45</f>
        <v>0.1111111111111111</v>
      </c>
      <c r="D46">
        <f t="shared" si="1"/>
        <v>0.1111111111111111</v>
      </c>
      <c r="E46">
        <f t="shared" si="1"/>
        <v>0.1111111111111111</v>
      </c>
      <c r="F46">
        <f t="shared" si="1"/>
        <v>0.1111111111111111</v>
      </c>
      <c r="G46">
        <f t="shared" si="1"/>
        <v>0.1111111111111111</v>
      </c>
    </row>
    <row r="47" spans="1:9" x14ac:dyDescent="0.2">
      <c r="A47" s="1"/>
    </row>
    <row r="48" spans="1:9" x14ac:dyDescent="0.2">
      <c r="A48" s="4" t="s">
        <v>20</v>
      </c>
      <c r="B48" s="4"/>
      <c r="C48" s="4"/>
      <c r="D48" s="4"/>
      <c r="E48" s="4"/>
      <c r="F48" s="4"/>
      <c r="G48" s="4"/>
      <c r="H48" s="4"/>
      <c r="I48" s="4"/>
    </row>
    <row r="50" spans="1:9" x14ac:dyDescent="0.2">
      <c r="A50" s="1"/>
      <c r="B50" s="1" t="s">
        <v>5</v>
      </c>
      <c r="C50" s="1" t="s">
        <v>12</v>
      </c>
      <c r="D50" s="1" t="s">
        <v>6</v>
      </c>
      <c r="E50" s="1" t="s">
        <v>7</v>
      </c>
      <c r="F50" s="1" t="s">
        <v>21</v>
      </c>
      <c r="G50" s="1" t="s">
        <v>8</v>
      </c>
      <c r="H50" s="1" t="s">
        <v>9</v>
      </c>
      <c r="I50" s="1" t="s">
        <v>11</v>
      </c>
    </row>
    <row r="51" spans="1:9" x14ac:dyDescent="0.2">
      <c r="A51" s="1" t="s">
        <v>0</v>
      </c>
      <c r="B51" s="6">
        <f>AVERAGE(D51:H51)</f>
        <v>1.337142857142857</v>
      </c>
      <c r="C51" s="6">
        <f>B4</f>
        <v>5</v>
      </c>
      <c r="D51" s="6">
        <f>MIN(I51, MAX(D$56, C$51/C51))</f>
        <v>1</v>
      </c>
      <c r="E51" s="6">
        <f>MIN(I51,MAX(E$56, C$52/C51))</f>
        <v>2.4</v>
      </c>
      <c r="F51" s="6">
        <f>MIN(I51, MAX($F$56, C$53/C51))</f>
        <v>0.2857142857142857</v>
      </c>
      <c r="G51" s="6">
        <f>MIN(I51, MAX($G$56, C$54/C51))</f>
        <v>0.6</v>
      </c>
      <c r="H51" s="6">
        <f>MIN(I51, MAX($H$56, C$55/C51))</f>
        <v>2.4</v>
      </c>
      <c r="I51" s="6">
        <f>IF(B5=FALSE,$C$58,($C$58-(1/$A$14)))</f>
        <v>3.75</v>
      </c>
    </row>
    <row r="52" spans="1:9" x14ac:dyDescent="0.2">
      <c r="A52" s="1" t="s">
        <v>1</v>
      </c>
      <c r="B52" s="6">
        <f>AVERAGE(D52:H52)</f>
        <v>0.59761904761904761</v>
      </c>
      <c r="C52" s="6">
        <f>C4</f>
        <v>12</v>
      </c>
      <c r="D52" s="6">
        <f t="shared" ref="D52:D55" si="2">MIN(I52, MAX(D$56, C$51/C52))</f>
        <v>0.41666666666666669</v>
      </c>
      <c r="E52" s="6">
        <f t="shared" ref="E52:E55" si="3">MIN(I52,MAX(E$56, C$52/C52))</f>
        <v>1</v>
      </c>
      <c r="F52" s="6">
        <f t="shared" ref="F52:F55" si="4">MIN(I52, MAX($F$56, C$53/C52))</f>
        <v>0.2857142857142857</v>
      </c>
      <c r="G52" s="6">
        <f t="shared" ref="G52:G55" si="5">MIN(I52, MAX($G$56, C$54/C52))</f>
        <v>0.2857142857142857</v>
      </c>
      <c r="H52" s="6">
        <f t="shared" ref="H52:H55" si="6">MIN(I52, MAX($H$56, C$55/C52))</f>
        <v>1</v>
      </c>
      <c r="I52" s="6">
        <f>IF(C5=FALSE,$C$58,($C$58-(1/$A$14)))</f>
        <v>3.5</v>
      </c>
    </row>
    <row r="53" spans="1:9" x14ac:dyDescent="0.2">
      <c r="A53" s="1" t="s">
        <v>2</v>
      </c>
      <c r="B53" s="6">
        <f>AVERAGE(D53:H53)</f>
        <v>2.9</v>
      </c>
      <c r="C53" s="6">
        <f>D4</f>
        <v>1</v>
      </c>
      <c r="D53" s="6">
        <f t="shared" si="2"/>
        <v>3.5</v>
      </c>
      <c r="E53" s="6">
        <f t="shared" si="3"/>
        <v>3.5</v>
      </c>
      <c r="F53" s="6">
        <f t="shared" si="4"/>
        <v>1</v>
      </c>
      <c r="G53" s="6">
        <f t="shared" si="5"/>
        <v>3</v>
      </c>
      <c r="H53" s="6">
        <f t="shared" si="6"/>
        <v>3.5</v>
      </c>
      <c r="I53" s="6">
        <f>IF(D5=FALSE,$C$58,($C$58-(1/$A$14)))</f>
        <v>3.5</v>
      </c>
    </row>
    <row r="54" spans="1:9" x14ac:dyDescent="0.2">
      <c r="A54" s="1" t="s">
        <v>3</v>
      </c>
      <c r="B54" s="6">
        <f>AVERAGE(D54:H54)</f>
        <v>2</v>
      </c>
      <c r="C54" s="6">
        <f>E4</f>
        <v>3</v>
      </c>
      <c r="D54" s="6">
        <f t="shared" si="2"/>
        <v>1.6666666666666667</v>
      </c>
      <c r="E54" s="6">
        <f t="shared" si="3"/>
        <v>3.5</v>
      </c>
      <c r="F54" s="6">
        <f t="shared" si="4"/>
        <v>0.33333333333333331</v>
      </c>
      <c r="G54" s="6">
        <f t="shared" si="5"/>
        <v>1</v>
      </c>
      <c r="H54" s="6">
        <f t="shared" si="6"/>
        <v>3.5</v>
      </c>
      <c r="I54" s="6">
        <f>IF(E5=FALSE,$C$58,($C$58-(1/$A$14)))</f>
        <v>3.5</v>
      </c>
    </row>
    <row r="55" spans="1:9" x14ac:dyDescent="0.2">
      <c r="A55" s="1" t="s">
        <v>4</v>
      </c>
      <c r="B55" s="6">
        <f>AVERAGE(D55:H55)</f>
        <v>0.59761904761904761</v>
      </c>
      <c r="C55" s="6">
        <f>F4</f>
        <v>12</v>
      </c>
      <c r="D55" s="6">
        <f t="shared" si="2"/>
        <v>0.41666666666666669</v>
      </c>
      <c r="E55" s="6">
        <f t="shared" si="3"/>
        <v>1</v>
      </c>
      <c r="F55" s="6">
        <f t="shared" si="4"/>
        <v>0.2857142857142857</v>
      </c>
      <c r="G55" s="6">
        <f t="shared" si="5"/>
        <v>0.2857142857142857</v>
      </c>
      <c r="H55" s="6">
        <f t="shared" si="6"/>
        <v>1</v>
      </c>
      <c r="I55" s="6">
        <f>IF(F5=FALSE,$C$58,($C$58-(1/$A$14)))</f>
        <v>3.5</v>
      </c>
    </row>
    <row r="56" spans="1:9" x14ac:dyDescent="0.2">
      <c r="A56" s="1" t="s">
        <v>10</v>
      </c>
      <c r="B56" s="6"/>
      <c r="C56" s="6"/>
      <c r="D56" s="6">
        <f>IF(B5=FALSE,$C$59,(1/I51))</f>
        <v>0.26666666666666666</v>
      </c>
      <c r="E56" s="6">
        <f>IF(C5=FALSE,$C$59,(1/I52))</f>
        <v>0.2857142857142857</v>
      </c>
      <c r="F56" s="6">
        <f>IF(D5=FALSE,$C$59,(1/I53))</f>
        <v>0.2857142857142857</v>
      </c>
      <c r="G56" s="6">
        <f>IF(E5=FALSE,$C$59,(1/I54))</f>
        <v>0.2857142857142857</v>
      </c>
      <c r="H56" s="6">
        <f>IF(F5=FALSE,$C$59,(1/I55))</f>
        <v>0.2857142857142857</v>
      </c>
      <c r="I56" s="6"/>
    </row>
    <row r="57" spans="1:9" x14ac:dyDescent="0.2">
      <c r="A57" s="1" t="s">
        <v>28</v>
      </c>
      <c r="B57" s="6"/>
      <c r="C57" s="6">
        <f>SUM(C51:C55)</f>
        <v>33</v>
      </c>
      <c r="D57" s="6"/>
      <c r="E57" s="6"/>
      <c r="F57" s="6"/>
      <c r="G57" s="6"/>
      <c r="H57" s="6"/>
      <c r="I57" s="6"/>
    </row>
    <row r="58" spans="1:9" x14ac:dyDescent="0.2">
      <c r="A58" s="1" t="s">
        <v>16</v>
      </c>
      <c r="B58" s="1"/>
      <c r="C58" s="6">
        <f>IF(B14=0, 4, (IF(A14=B14, 3, (4-(B14/A14)))))</f>
        <v>3.75</v>
      </c>
      <c r="D58" s="6"/>
      <c r="E58" s="6"/>
      <c r="F58" s="6"/>
      <c r="G58" s="6"/>
      <c r="H58" s="6"/>
      <c r="I58" s="6"/>
    </row>
    <row r="59" spans="1:9" x14ac:dyDescent="0.2">
      <c r="A59" s="1" t="s">
        <v>17</v>
      </c>
      <c r="B59" s="1"/>
      <c r="C59">
        <f>1/C58</f>
        <v>0.26666666666666666</v>
      </c>
    </row>
    <row r="61" spans="1:9" x14ac:dyDescent="0.2">
      <c r="A61" s="4" t="s">
        <v>23</v>
      </c>
      <c r="B61" s="4"/>
      <c r="C61" s="4"/>
      <c r="D61" s="4"/>
      <c r="E61" s="4"/>
      <c r="F61" s="4"/>
      <c r="G61" s="4"/>
      <c r="H61" s="4"/>
      <c r="I61" s="4"/>
    </row>
    <row r="63" spans="1:9" x14ac:dyDescent="0.2">
      <c r="A63" s="1"/>
      <c r="B63" s="1" t="s">
        <v>24</v>
      </c>
      <c r="C63" s="1" t="s">
        <v>18</v>
      </c>
      <c r="D63" s="1" t="s">
        <v>25</v>
      </c>
      <c r="E63" s="1" t="s">
        <v>29</v>
      </c>
    </row>
    <row r="64" spans="1:9" x14ac:dyDescent="0.2">
      <c r="A64" s="1" t="s">
        <v>0</v>
      </c>
      <c r="B64">
        <f>(C64+D64)/2</f>
        <v>1.6685714285714286</v>
      </c>
      <c r="C64">
        <f>B51</f>
        <v>1.337142857142857</v>
      </c>
      <c r="D64">
        <f>B7</f>
        <v>2</v>
      </c>
      <c r="E64">
        <f>B64*(C51/$C$57)</f>
        <v>0.25281385281385282</v>
      </c>
    </row>
    <row r="65" spans="1:9" x14ac:dyDescent="0.2">
      <c r="A65" s="1" t="s">
        <v>1</v>
      </c>
      <c r="B65">
        <f t="shared" ref="B65:B68" si="7">(C65+D65)/2</f>
        <v>0.96530952380952373</v>
      </c>
      <c r="C65">
        <f t="shared" ref="C65:C68" si="8">B52</f>
        <v>0.59761904761904761</v>
      </c>
      <c r="D65">
        <f>C7</f>
        <v>1.333</v>
      </c>
      <c r="E65">
        <f>B65*(C52/$C$57)</f>
        <v>0.35102164502164501</v>
      </c>
    </row>
    <row r="66" spans="1:9" x14ac:dyDescent="0.2">
      <c r="A66" s="1" t="s">
        <v>2</v>
      </c>
      <c r="B66">
        <f t="shared" si="7"/>
        <v>1.825</v>
      </c>
      <c r="C66">
        <f t="shared" si="8"/>
        <v>2.9</v>
      </c>
      <c r="D66">
        <f>D7</f>
        <v>0.75</v>
      </c>
      <c r="E66">
        <f>B66*(C53/$C$57)</f>
        <v>5.5303030303030305E-2</v>
      </c>
    </row>
    <row r="67" spans="1:9" x14ac:dyDescent="0.2">
      <c r="A67" s="1" t="s">
        <v>3</v>
      </c>
      <c r="B67">
        <f t="shared" si="7"/>
        <v>1.25</v>
      </c>
      <c r="C67">
        <f t="shared" si="8"/>
        <v>2</v>
      </c>
      <c r="D67">
        <f>E7</f>
        <v>0.5</v>
      </c>
      <c r="E67">
        <f>B67*(C54/$C$57)</f>
        <v>0.11363636363636365</v>
      </c>
    </row>
    <row r="68" spans="1:9" x14ac:dyDescent="0.2">
      <c r="A68" s="1" t="s">
        <v>4</v>
      </c>
      <c r="B68">
        <f t="shared" si="7"/>
        <v>0.67380952380952386</v>
      </c>
      <c r="C68">
        <f t="shared" si="8"/>
        <v>0.59761904761904761</v>
      </c>
      <c r="D68">
        <f>F7</f>
        <v>0.75</v>
      </c>
      <c r="E68">
        <f>B68*(C55/$C$57)</f>
        <v>0.24502164502164506</v>
      </c>
    </row>
    <row r="70" spans="1:9" x14ac:dyDescent="0.2">
      <c r="A70" s="4" t="s">
        <v>46</v>
      </c>
      <c r="B70" s="4"/>
      <c r="C70" s="4"/>
      <c r="D70" s="4"/>
      <c r="E70" s="4"/>
      <c r="F70" s="4"/>
      <c r="G70" s="4"/>
      <c r="H70" s="4"/>
      <c r="I70" s="4"/>
    </row>
    <row r="72" spans="1:9" x14ac:dyDescent="0.2">
      <c r="A72" s="1" t="s">
        <v>27</v>
      </c>
      <c r="B72">
        <f>SUM(E64:E68)</f>
        <v>1.0177965367965369</v>
      </c>
    </row>
    <row r="73" spans="1:9" x14ac:dyDescent="0.2">
      <c r="A73" s="1"/>
      <c r="B73" s="1" t="s">
        <v>49</v>
      </c>
      <c r="C73" s="1" t="s">
        <v>50</v>
      </c>
      <c r="D73" s="1" t="s">
        <v>51</v>
      </c>
    </row>
    <row r="74" spans="1:9" x14ac:dyDescent="0.2">
      <c r="A74" s="1" t="s">
        <v>37</v>
      </c>
      <c r="B74">
        <f>B64+B65+B66+B67</f>
        <v>5.7088809523809525</v>
      </c>
      <c r="C74">
        <f>B23/$G$23</f>
        <v>0.41176470588235292</v>
      </c>
      <c r="D74">
        <f>B74*C74</f>
        <v>2.3507156862745098</v>
      </c>
    </row>
    <row r="75" spans="1:9" x14ac:dyDescent="0.2">
      <c r="A75" s="1" t="s">
        <v>38</v>
      </c>
      <c r="B75">
        <f>(2*B65)+(3*B68)</f>
        <v>3.9520476190476188</v>
      </c>
      <c r="C75">
        <f>C23/$G$23</f>
        <v>0.27450980392156865</v>
      </c>
      <c r="D75">
        <f t="shared" ref="D75:D78" si="9">B75*C75</f>
        <v>1.084875816993464</v>
      </c>
    </row>
    <row r="76" spans="1:9" x14ac:dyDescent="0.2">
      <c r="A76" s="1" t="s">
        <v>39</v>
      </c>
      <c r="B76">
        <f>(B65+B66+B68)/(B28/F28)</f>
        <v>17.320595238095237</v>
      </c>
      <c r="C76">
        <f>D23/$G$23</f>
        <v>0.11764705882352941</v>
      </c>
      <c r="D76">
        <f t="shared" si="9"/>
        <v>2.0377170868347338</v>
      </c>
    </row>
    <row r="77" spans="1:9" x14ac:dyDescent="0.2">
      <c r="A77" s="1" t="s">
        <v>34</v>
      </c>
      <c r="B77">
        <f>((A32*B64)+(A32*B67))/2</f>
        <v>10.215</v>
      </c>
      <c r="C77">
        <f>E23/$G$23</f>
        <v>0.10784313725490197</v>
      </c>
      <c r="D77">
        <f t="shared" si="9"/>
        <v>1.1016176470588235</v>
      </c>
    </row>
    <row r="78" spans="1:9" x14ac:dyDescent="0.2">
      <c r="A78" s="1" t="s">
        <v>35</v>
      </c>
      <c r="B78">
        <f>((B65+B66+B68)*B32)/(A28/F28)</f>
        <v>24.743707482993194</v>
      </c>
      <c r="C78">
        <f>F23/$G$23</f>
        <v>8.8235294117647065E-2</v>
      </c>
      <c r="D78">
        <f t="shared" si="9"/>
        <v>2.1832683073229289</v>
      </c>
    </row>
    <row r="79" spans="1:9" x14ac:dyDescent="0.2">
      <c r="A79" s="1" t="s">
        <v>52</v>
      </c>
      <c r="D79">
        <f>D74*D78</f>
        <v>5.1322430573700064</v>
      </c>
    </row>
    <row r="80" spans="1:9" x14ac:dyDescent="0.2">
      <c r="A80" s="1"/>
    </row>
    <row r="81" spans="1:9" x14ac:dyDescent="0.2">
      <c r="A81" s="4" t="s">
        <v>101</v>
      </c>
      <c r="B81" s="4"/>
      <c r="C81" s="4"/>
      <c r="D81" s="4"/>
      <c r="E81" s="4"/>
      <c r="F81" s="4"/>
      <c r="G81" s="4"/>
      <c r="H81" s="4"/>
      <c r="I81" s="4"/>
    </row>
    <row r="83" spans="1:9" x14ac:dyDescent="0.2">
      <c r="A83" s="1"/>
      <c r="B83" s="1" t="s">
        <v>6</v>
      </c>
      <c r="C83" s="1" t="s">
        <v>7</v>
      </c>
      <c r="D83" s="1" t="s">
        <v>21</v>
      </c>
      <c r="E83" s="1" t="s">
        <v>8</v>
      </c>
      <c r="F83" s="1" t="s">
        <v>9</v>
      </c>
      <c r="G83" s="1" t="s">
        <v>107</v>
      </c>
    </row>
    <row r="84" spans="1:9" x14ac:dyDescent="0.2">
      <c r="A84" s="1" t="s">
        <v>102</v>
      </c>
      <c r="B84" s="6">
        <f>COUNTIF(B8:B11, 2)+COUNTIF(B8:B11, 12)</f>
        <v>1</v>
      </c>
      <c r="C84" s="6">
        <f>COUNTIF(C8:C11, 2)+COUNTIF(C8:C11, 12)</f>
        <v>0</v>
      </c>
      <c r="D84" s="6">
        <f>COUNTIF(D8:D11, 2)+COUNTIF(D8:D11, 12)</f>
        <v>0</v>
      </c>
      <c r="E84" s="6">
        <f>COUNTIF(E8:E11, 2)+COUNTIF(E8:E11, 12)</f>
        <v>0</v>
      </c>
      <c r="F84" s="6">
        <f>COUNTIF(F8:F11, 2)+COUNTIF(F8:F11, 12)</f>
        <v>1</v>
      </c>
      <c r="G84" s="6">
        <f>B36</f>
        <v>2.7799999999999998E-2</v>
      </c>
      <c r="H84" s="6"/>
      <c r="I84" s="6"/>
    </row>
    <row r="85" spans="1:9" x14ac:dyDescent="0.2">
      <c r="A85" s="1" t="s">
        <v>103</v>
      </c>
      <c r="B85" s="6">
        <f>COUNTIF(B$8:B$11, 3)+COUNTIF(B$8:B$11, 11)</f>
        <v>1</v>
      </c>
      <c r="C85" s="6">
        <f t="shared" ref="C85:F85" si="10">COUNTIF(C$8:C$11, 3)+COUNTIF(C$8:C$11, 11)</f>
        <v>1</v>
      </c>
      <c r="D85" s="6">
        <f t="shared" si="10"/>
        <v>1</v>
      </c>
      <c r="E85" s="6">
        <f t="shared" si="10"/>
        <v>1</v>
      </c>
      <c r="F85" s="6">
        <f t="shared" si="10"/>
        <v>0</v>
      </c>
      <c r="G85" s="6">
        <f t="shared" ref="G85:G88" si="11">B37</f>
        <v>5.5599999999999997E-2</v>
      </c>
      <c r="H85" s="6"/>
      <c r="I85" s="6"/>
    </row>
    <row r="86" spans="1:9" x14ac:dyDescent="0.2">
      <c r="A86" s="1" t="s">
        <v>104</v>
      </c>
      <c r="B86" s="6">
        <f>COUNTIF(B$8:B$11, 4)+COUNTIF(B$8:B$11, 10)</f>
        <v>0</v>
      </c>
      <c r="C86" s="6">
        <f t="shared" ref="C86:F86" si="12">COUNTIF(C$8:C$11, 4)+COUNTIF(C$8:C$11, 10)</f>
        <v>2</v>
      </c>
      <c r="D86" s="6">
        <f t="shared" si="12"/>
        <v>2</v>
      </c>
      <c r="E86" s="6">
        <f t="shared" si="12"/>
        <v>0</v>
      </c>
      <c r="F86" s="6">
        <f t="shared" si="12"/>
        <v>0</v>
      </c>
      <c r="G86" s="6">
        <f t="shared" si="11"/>
        <v>8.3299999999999999E-2</v>
      </c>
      <c r="H86" s="6"/>
      <c r="I86" s="6"/>
    </row>
    <row r="87" spans="1:9" x14ac:dyDescent="0.2">
      <c r="A87" s="1" t="s">
        <v>105</v>
      </c>
      <c r="B87" s="6">
        <f>COUNTIF(B$8:B$11, 5)+COUNTIF(B$8:B$11, 9)</f>
        <v>0</v>
      </c>
      <c r="C87" s="6">
        <f t="shared" ref="C87:F87" si="13">COUNTIF(C$8:C$11, 5)+COUNTIF(C$8:C$11, 9)</f>
        <v>1</v>
      </c>
      <c r="D87" s="6">
        <f t="shared" si="13"/>
        <v>1</v>
      </c>
      <c r="E87" s="6">
        <f t="shared" si="13"/>
        <v>1</v>
      </c>
      <c r="F87" s="6">
        <f t="shared" si="13"/>
        <v>0</v>
      </c>
      <c r="G87" s="6">
        <f t="shared" si="11"/>
        <v>0.1111</v>
      </c>
      <c r="H87" s="6"/>
      <c r="I87" s="6"/>
    </row>
    <row r="88" spans="1:9" x14ac:dyDescent="0.2">
      <c r="A88" s="1" t="s">
        <v>106</v>
      </c>
      <c r="B88" s="6">
        <f>COUNTIF(B$8:B$11, 6)+COUNTIF(B$8:B$11, 8)</f>
        <v>2</v>
      </c>
      <c r="C88" s="6">
        <f t="shared" ref="C88:F88" si="14">COUNTIF(C$8:C$11, 6)+COUNTIF(C$8:C$11, 8)</f>
        <v>0</v>
      </c>
      <c r="D88" s="6">
        <f t="shared" si="14"/>
        <v>0</v>
      </c>
      <c r="E88" s="6">
        <f t="shared" si="14"/>
        <v>1</v>
      </c>
      <c r="F88" s="6">
        <f t="shared" si="14"/>
        <v>2</v>
      </c>
      <c r="G88" s="6">
        <f t="shared" si="11"/>
        <v>0.1389</v>
      </c>
      <c r="H88" s="6"/>
      <c r="I88" s="6"/>
    </row>
    <row r="89" spans="1:9" x14ac:dyDescent="0.2">
      <c r="A89" s="1" t="s">
        <v>50</v>
      </c>
      <c r="B89" s="6">
        <f>((B84*$G$84)+(B85*$G$85)+(B86*$G$86)+(B87*$G$87)+(B88*$G$88))</f>
        <v>0.36119999999999997</v>
      </c>
      <c r="C89" s="6">
        <f t="shared" ref="C89:F89" si="15">((C84*$G$84)+(C85*$G$85)+(C86*$G$86)+(C87*$G$87)+(C88*$G$88))</f>
        <v>0.33330000000000004</v>
      </c>
      <c r="D89" s="6">
        <f t="shared" si="15"/>
        <v>0.33330000000000004</v>
      </c>
      <c r="E89" s="6">
        <f t="shared" si="15"/>
        <v>0.30559999999999998</v>
      </c>
      <c r="F89" s="6">
        <f t="shared" si="15"/>
        <v>0.30559999999999998</v>
      </c>
      <c r="G89" s="6"/>
      <c r="H89" s="6"/>
      <c r="I89" s="6"/>
    </row>
    <row r="90" spans="1:9" x14ac:dyDescent="0.2">
      <c r="A90" s="1"/>
      <c r="B90" s="6"/>
      <c r="C90" s="6"/>
      <c r="D90" s="6"/>
      <c r="E90" s="6"/>
      <c r="F90" s="6"/>
      <c r="G90" s="6"/>
      <c r="H90" s="6"/>
      <c r="I90" s="6"/>
    </row>
    <row r="91" spans="1:9" x14ac:dyDescent="0.2">
      <c r="A91" s="4" t="s">
        <v>76</v>
      </c>
      <c r="B91" s="4"/>
      <c r="C91" s="4"/>
      <c r="D91" s="4"/>
      <c r="E91" s="4"/>
      <c r="F91" s="4"/>
      <c r="G91" s="4"/>
      <c r="H91" s="4"/>
      <c r="I91" s="4"/>
    </row>
    <row r="93" spans="1:9" x14ac:dyDescent="0.2">
      <c r="A93" s="3" t="s">
        <v>87</v>
      </c>
      <c r="B93" s="3"/>
      <c r="C93" s="3"/>
      <c r="D93" s="3"/>
      <c r="E93" s="3"/>
    </row>
    <row r="94" spans="1:9" x14ac:dyDescent="0.2">
      <c r="A94" s="1" t="s">
        <v>19</v>
      </c>
      <c r="B94" s="1" t="s">
        <v>77</v>
      </c>
      <c r="C94" s="1" t="s">
        <v>78</v>
      </c>
      <c r="D94" s="1" t="s">
        <v>79</v>
      </c>
      <c r="E94" s="1" t="s">
        <v>80</v>
      </c>
    </row>
    <row r="95" spans="1:9" x14ac:dyDescent="0.2">
      <c r="A95" s="5" t="s">
        <v>81</v>
      </c>
      <c r="B95">
        <f>B72</f>
        <v>1.0177965367965369</v>
      </c>
      <c r="C95">
        <f>B95*4</f>
        <v>4.0711861471861477</v>
      </c>
      <c r="D95">
        <f>B95*3</f>
        <v>3.053389610389611</v>
      </c>
      <c r="E95">
        <f>C95-D95</f>
        <v>1.0177965367965367</v>
      </c>
    </row>
    <row r="96" spans="1:9" x14ac:dyDescent="0.2">
      <c r="A96" s="1" t="s">
        <v>82</v>
      </c>
      <c r="B96">
        <f>AVERAGE(B65:B68)</f>
        <v>1.1785297619047619</v>
      </c>
      <c r="C96">
        <f>B64*4</f>
        <v>6.6742857142857144</v>
      </c>
      <c r="D96">
        <f>B96*2</f>
        <v>2.3570595238095238</v>
      </c>
      <c r="E96">
        <f t="shared" ref="E96:E100" si="16">C96-D96</f>
        <v>4.3172261904761911</v>
      </c>
    </row>
    <row r="97" spans="1:9" x14ac:dyDescent="0.2">
      <c r="A97" s="1" t="s">
        <v>83</v>
      </c>
      <c r="B97">
        <f>(B64+B66+B67+B68)/4</f>
        <v>1.3543452380952381</v>
      </c>
      <c r="C97">
        <f>B65*4</f>
        <v>3.8612380952380949</v>
      </c>
      <c r="D97">
        <f t="shared" ref="D97:D100" si="17">B97*2</f>
        <v>2.7086904761904762</v>
      </c>
      <c r="E97">
        <f t="shared" si="16"/>
        <v>1.1525476190476187</v>
      </c>
    </row>
    <row r="98" spans="1:9" x14ac:dyDescent="0.2">
      <c r="A98" s="1" t="s">
        <v>84</v>
      </c>
      <c r="B98">
        <f>(B64+B65+B67+B68)/4</f>
        <v>1.1394226190476191</v>
      </c>
      <c r="C98">
        <f>B66*4</f>
        <v>7.3</v>
      </c>
      <c r="D98">
        <f t="shared" si="17"/>
        <v>2.2788452380952382</v>
      </c>
      <c r="E98">
        <f t="shared" si="16"/>
        <v>5.0211547619047616</v>
      </c>
    </row>
    <row r="99" spans="1:9" x14ac:dyDescent="0.2">
      <c r="A99" s="1" t="s">
        <v>85</v>
      </c>
      <c r="B99">
        <f>(B64+B75+B66+B68)/4</f>
        <v>2.0298571428571428</v>
      </c>
      <c r="C99">
        <f>B67*4</f>
        <v>5</v>
      </c>
      <c r="D99">
        <f t="shared" si="17"/>
        <v>4.0597142857142856</v>
      </c>
      <c r="E99">
        <f t="shared" si="16"/>
        <v>0.94028571428571439</v>
      </c>
    </row>
    <row r="100" spans="1:9" x14ac:dyDescent="0.2">
      <c r="A100" s="1" t="s">
        <v>86</v>
      </c>
      <c r="B100">
        <f>AVERAGE(B64:B67)</f>
        <v>1.4272202380952381</v>
      </c>
      <c r="C100">
        <f>B68*4</f>
        <v>2.6952380952380954</v>
      </c>
      <c r="D100">
        <f t="shared" si="17"/>
        <v>2.8544404761904763</v>
      </c>
      <c r="E100">
        <f t="shared" si="16"/>
        <v>-0.15920238095238082</v>
      </c>
    </row>
    <row r="102" spans="1:9" x14ac:dyDescent="0.2">
      <c r="A102" s="3" t="s">
        <v>33</v>
      </c>
      <c r="B102" s="3"/>
      <c r="C102" s="3"/>
      <c r="D102" s="3"/>
      <c r="E102" s="3"/>
    </row>
    <row r="103" spans="1:9" x14ac:dyDescent="0.2">
      <c r="A103" s="1" t="s">
        <v>19</v>
      </c>
      <c r="B103" s="1" t="s">
        <v>77</v>
      </c>
      <c r="C103" s="1" t="s">
        <v>78</v>
      </c>
      <c r="D103" s="1" t="s">
        <v>79</v>
      </c>
      <c r="E103" s="1" t="s">
        <v>80</v>
      </c>
      <c r="F103" s="1" t="s">
        <v>88</v>
      </c>
    </row>
    <row r="104" spans="1:9" x14ac:dyDescent="0.2">
      <c r="A104" s="5" t="s">
        <v>81</v>
      </c>
      <c r="B104">
        <f>B95*$E$32</f>
        <v>7.1245757575757587</v>
      </c>
      <c r="C104">
        <f t="shared" ref="C104:E104" si="18">C95*$E$32</f>
        <v>28.498303030303035</v>
      </c>
      <c r="D104">
        <f t="shared" si="18"/>
        <v>21.373727272727276</v>
      </c>
      <c r="E104">
        <f t="shared" si="18"/>
        <v>7.1245757575757569</v>
      </c>
      <c r="F104">
        <f>E104*B46</f>
        <v>3.1664781144781138</v>
      </c>
    </row>
    <row r="105" spans="1:9" x14ac:dyDescent="0.2">
      <c r="A105" s="1" t="s">
        <v>82</v>
      </c>
      <c r="B105">
        <f t="shared" ref="B105:E109" si="19">B96*$E$32</f>
        <v>8.2497083333333325</v>
      </c>
      <c r="C105">
        <f t="shared" si="19"/>
        <v>46.72</v>
      </c>
      <c r="D105">
        <f t="shared" si="19"/>
        <v>16.499416666666665</v>
      </c>
      <c r="E105">
        <f t="shared" si="19"/>
        <v>30.220583333333337</v>
      </c>
      <c r="F105">
        <f>E105*C46</f>
        <v>3.357842592592593</v>
      </c>
    </row>
    <row r="106" spans="1:9" x14ac:dyDescent="0.2">
      <c r="A106" s="1" t="s">
        <v>83</v>
      </c>
      <c r="B106">
        <f t="shared" si="19"/>
        <v>9.4804166666666667</v>
      </c>
      <c r="C106">
        <f t="shared" si="19"/>
        <v>27.028666666666666</v>
      </c>
      <c r="D106">
        <f t="shared" si="19"/>
        <v>18.960833333333333</v>
      </c>
      <c r="E106">
        <f t="shared" si="19"/>
        <v>8.067833333333331</v>
      </c>
      <c r="F106">
        <f>E106*D46</f>
        <v>0.89642592592592563</v>
      </c>
    </row>
    <row r="107" spans="1:9" x14ac:dyDescent="0.2">
      <c r="A107" s="1" t="s">
        <v>84</v>
      </c>
      <c r="B107">
        <f t="shared" si="19"/>
        <v>7.9759583333333337</v>
      </c>
      <c r="C107">
        <f t="shared" si="19"/>
        <v>51.1</v>
      </c>
      <c r="D107">
        <f t="shared" si="19"/>
        <v>15.951916666666667</v>
      </c>
      <c r="E107">
        <f t="shared" si="19"/>
        <v>35.148083333333332</v>
      </c>
      <c r="F107">
        <f>E107*E46</f>
        <v>3.9053425925925924</v>
      </c>
    </row>
    <row r="108" spans="1:9" x14ac:dyDescent="0.2">
      <c r="A108" s="1" t="s">
        <v>85</v>
      </c>
      <c r="B108">
        <f t="shared" si="19"/>
        <v>14.209</v>
      </c>
      <c r="C108">
        <f t="shared" si="19"/>
        <v>35</v>
      </c>
      <c r="D108">
        <f t="shared" si="19"/>
        <v>28.417999999999999</v>
      </c>
      <c r="E108">
        <f t="shared" si="19"/>
        <v>6.5820000000000007</v>
      </c>
      <c r="F108">
        <f>E108*F46</f>
        <v>0.73133333333333339</v>
      </c>
    </row>
    <row r="109" spans="1:9" x14ac:dyDescent="0.2">
      <c r="A109" s="1" t="s">
        <v>86</v>
      </c>
      <c r="B109">
        <f t="shared" si="19"/>
        <v>9.9905416666666671</v>
      </c>
      <c r="C109">
        <f t="shared" si="19"/>
        <v>18.866666666666667</v>
      </c>
      <c r="D109">
        <f t="shared" si="19"/>
        <v>19.981083333333334</v>
      </c>
      <c r="E109">
        <f t="shared" si="19"/>
        <v>-1.1144166666666657</v>
      </c>
      <c r="F109">
        <f>E109*G46</f>
        <v>-0.12382407407407396</v>
      </c>
    </row>
    <row r="110" spans="1:9" x14ac:dyDescent="0.2">
      <c r="A110" s="1" t="s">
        <v>90</v>
      </c>
      <c r="F110">
        <f>SUM(F104:F109)</f>
        <v>11.933598484848485</v>
      </c>
    </row>
    <row r="112" spans="1:9" x14ac:dyDescent="0.2">
      <c r="A112" s="4" t="s">
        <v>53</v>
      </c>
      <c r="B112" s="8"/>
      <c r="C112" s="8"/>
      <c r="D112" s="8"/>
      <c r="E112" s="8"/>
      <c r="F112" s="8"/>
      <c r="G112" s="8"/>
      <c r="H112" s="8"/>
      <c r="I112" s="8"/>
    </row>
    <row r="114" spans="1:9" x14ac:dyDescent="0.2">
      <c r="B114" s="2" t="s">
        <v>37</v>
      </c>
      <c r="C114" s="2" t="s">
        <v>38</v>
      </c>
      <c r="D114" s="2" t="s">
        <v>54</v>
      </c>
      <c r="E114" s="3" t="s">
        <v>39</v>
      </c>
      <c r="F114" s="3"/>
      <c r="G114" s="3"/>
      <c r="H114" s="3"/>
      <c r="I114" s="3"/>
    </row>
    <row r="115" spans="1:9" x14ac:dyDescent="0.2">
      <c r="A115" s="1" t="s">
        <v>49</v>
      </c>
      <c r="B115" s="6">
        <f>B74</f>
        <v>5.7088809523809525</v>
      </c>
      <c r="C115" s="6">
        <f>B75</f>
        <v>3.9520476190476188</v>
      </c>
      <c r="D115" s="6">
        <f>B64+B67</f>
        <v>2.9185714285714286</v>
      </c>
      <c r="E115" s="10">
        <f>B65+B66+B68</f>
        <v>3.4641190476190475</v>
      </c>
      <c r="F115" s="10"/>
      <c r="G115" s="10"/>
      <c r="H115" s="10"/>
      <c r="I115" s="10"/>
    </row>
    <row r="116" spans="1:9" x14ac:dyDescent="0.2">
      <c r="A116" s="1" t="s">
        <v>59</v>
      </c>
      <c r="B116" s="11">
        <f>(B117-B115)/B115</f>
        <v>2.5012030797203297</v>
      </c>
      <c r="C116" s="11">
        <f t="shared" ref="C116:D116" si="20">(C117-C115)/C115</f>
        <v>3.1948765812514361</v>
      </c>
      <c r="D116" s="11">
        <f t="shared" si="20"/>
        <v>2.6035347898706092</v>
      </c>
      <c r="E116" s="12">
        <f>(E117-E115)/E115</f>
        <v>0.52362502426569268</v>
      </c>
      <c r="F116" s="12"/>
      <c r="G116" s="12"/>
      <c r="H116" s="12"/>
      <c r="I116" s="12"/>
    </row>
    <row r="117" spans="1:9" x14ac:dyDescent="0.2">
      <c r="A117" s="9" t="s">
        <v>51</v>
      </c>
      <c r="B117" s="9">
        <f>B121+B122+B123</f>
        <v>19.98795157223292</v>
      </c>
      <c r="C117" s="9">
        <f>C121+C122</f>
        <v>16.578352005133354</v>
      </c>
      <c r="D117" s="9">
        <f>D124+D125</f>
        <v>10.517173679579507</v>
      </c>
      <c r="E117" s="3">
        <f>SUM(E119:I119)</f>
        <v>5.2780184679878195</v>
      </c>
      <c r="F117" s="3"/>
      <c r="G117" s="3"/>
      <c r="H117" s="3"/>
      <c r="I117" s="3"/>
    </row>
    <row r="118" spans="1:9" x14ac:dyDescent="0.2">
      <c r="A118" s="9"/>
      <c r="B118" s="9"/>
      <c r="C118" s="9"/>
      <c r="D118" s="9"/>
      <c r="E118" s="1" t="s">
        <v>58</v>
      </c>
      <c r="F118" s="1" t="s">
        <v>44</v>
      </c>
      <c r="G118" s="1" t="s">
        <v>45</v>
      </c>
      <c r="H118" s="1" t="s">
        <v>41</v>
      </c>
      <c r="I118" s="1" t="s">
        <v>42</v>
      </c>
    </row>
    <row r="119" spans="1:9" x14ac:dyDescent="0.2">
      <c r="A119" s="9"/>
      <c r="B119" s="9"/>
      <c r="C119" s="9"/>
      <c r="D119" s="9"/>
      <c r="E119" s="1">
        <f>(C$28/$F$28)*E120</f>
        <v>0.46697142857142859</v>
      </c>
      <c r="F119" s="1">
        <f>(D$28/$F$28)*F120</f>
        <v>0.1628474458874459</v>
      </c>
      <c r="G119" s="1">
        <f>(E$28/$F$28)*G120</f>
        <v>0.40711861471861477</v>
      </c>
      <c r="H119" s="1">
        <f>(A28/F28)*H120</f>
        <v>3.2146323673363293</v>
      </c>
      <c r="I119" s="1">
        <f>(B28/F28)*I120</f>
        <v>1.0264486114740012</v>
      </c>
    </row>
    <row r="120" spans="1:9" x14ac:dyDescent="0.2">
      <c r="A120" s="9"/>
      <c r="B120" s="9"/>
      <c r="C120" s="9"/>
      <c r="D120" s="9"/>
      <c r="E120">
        <f>D115*2</f>
        <v>5.8371428571428572</v>
      </c>
      <c r="F120">
        <f>2*B72</f>
        <v>2.0355930735930738</v>
      </c>
      <c r="G120">
        <f>B72*E29</f>
        <v>5.0889826839826844</v>
      </c>
      <c r="H120">
        <f>SUM(H126:H129)</f>
        <v>5.7404149416720163</v>
      </c>
      <c r="I120">
        <f>B122</f>
        <v>5.1322430573700064</v>
      </c>
    </row>
    <row r="121" spans="1:9" x14ac:dyDescent="0.2">
      <c r="A121" s="1" t="s">
        <v>55</v>
      </c>
      <c r="B121">
        <f>$G$133*D41*(D32/2)</f>
        <v>11.446108947763348</v>
      </c>
      <c r="C121">
        <f>B121</f>
        <v>11.446108947763348</v>
      </c>
    </row>
    <row r="122" spans="1:9" x14ac:dyDescent="0.2">
      <c r="A122" s="1" t="s">
        <v>42</v>
      </c>
      <c r="B122">
        <f>D79</f>
        <v>5.1322430573700064</v>
      </c>
      <c r="C122">
        <f>B122</f>
        <v>5.1322430573700064</v>
      </c>
    </row>
    <row r="123" spans="1:9" x14ac:dyDescent="0.2">
      <c r="A123" s="1" t="s">
        <v>19</v>
      </c>
      <c r="B123">
        <f>F110*(H23/B23)</f>
        <v>3.4095995670995669</v>
      </c>
    </row>
    <row r="124" spans="1:9" x14ac:dyDescent="0.2">
      <c r="A124" s="1" t="s">
        <v>56</v>
      </c>
      <c r="D124">
        <f>(E24/I23)*2</f>
        <v>0.36562576172033695</v>
      </c>
    </row>
    <row r="125" spans="1:9" x14ac:dyDescent="0.2">
      <c r="A125" s="1" t="s">
        <v>57</v>
      </c>
      <c r="D125">
        <f>(B23/I23)*(B117-B115)</f>
        <v>10.151547917859171</v>
      </c>
    </row>
    <row r="126" spans="1:9" x14ac:dyDescent="0.2">
      <c r="A126" s="1" t="s">
        <v>60</v>
      </c>
      <c r="H126">
        <f>1.1444*B72</f>
        <v>1.1647663567099569</v>
      </c>
    </row>
    <row r="127" spans="1:9" x14ac:dyDescent="0.2">
      <c r="A127" s="1" t="s">
        <v>61</v>
      </c>
      <c r="H127">
        <f>H126*(1/B72)</f>
        <v>1.1444000000000001</v>
      </c>
    </row>
    <row r="128" spans="1:9" x14ac:dyDescent="0.2">
      <c r="A128" s="1" t="s">
        <v>62</v>
      </c>
      <c r="H128">
        <f>(F24/A29)*2*D79</f>
        <v>2.5661215286850032</v>
      </c>
    </row>
    <row r="129" spans="1:9" x14ac:dyDescent="0.2">
      <c r="A129" s="1" t="s">
        <v>94</v>
      </c>
      <c r="H129">
        <f>H33*B72</f>
        <v>0.86512705627705633</v>
      </c>
    </row>
    <row r="131" spans="1:9" x14ac:dyDescent="0.2">
      <c r="A131" s="4" t="s">
        <v>108</v>
      </c>
      <c r="B131" s="4"/>
      <c r="C131" s="4"/>
      <c r="D131" s="4"/>
      <c r="E131" s="4"/>
      <c r="F131" s="4"/>
      <c r="G131" s="4"/>
      <c r="H131" s="4"/>
      <c r="I131" s="4"/>
    </row>
    <row r="133" spans="1:9" x14ac:dyDescent="0.2">
      <c r="A133" s="3" t="s">
        <v>109</v>
      </c>
      <c r="B133" s="3"/>
      <c r="C133" s="3"/>
      <c r="D133" s="3"/>
      <c r="E133" s="3"/>
      <c r="F133" s="1" t="s">
        <v>112</v>
      </c>
      <c r="G133">
        <f>AVERAGE(G135:G189)</f>
        <v>3.1968402597402599</v>
      </c>
    </row>
    <row r="134" spans="1:9" x14ac:dyDescent="0.2">
      <c r="A134" s="1" t="s">
        <v>0</v>
      </c>
      <c r="B134" s="1" t="s">
        <v>1</v>
      </c>
      <c r="C134" s="1" t="s">
        <v>2</v>
      </c>
      <c r="D134" s="1" t="s">
        <v>3</v>
      </c>
      <c r="E134" s="1" t="s">
        <v>4</v>
      </c>
      <c r="F134" s="1" t="s">
        <v>110</v>
      </c>
      <c r="G134" s="1" t="s">
        <v>111</v>
      </c>
      <c r="H134" s="1"/>
    </row>
    <row r="135" spans="1:9" s="6" customFormat="1" x14ac:dyDescent="0.2">
      <c r="A135" s="6">
        <v>0</v>
      </c>
      <c r="F135" s="16">
        <f>SUM(A135:E135)</f>
        <v>0</v>
      </c>
      <c r="G135" s="6">
        <f>(A135*$B$64)+(B135*$B$65)+(C135*$B$66)+(D135*$B$67)+(E135*$B$68)</f>
        <v>0</v>
      </c>
    </row>
    <row r="136" spans="1:9" x14ac:dyDescent="0.2">
      <c r="A136">
        <v>1</v>
      </c>
      <c r="F136" s="17">
        <f t="shared" ref="F136:F189" si="21">SUM(A136:E136)</f>
        <v>1</v>
      </c>
      <c r="G136" s="6">
        <f t="shared" ref="G136:G189" si="22">(A136*$B$64)+(B136*$B$65)+(C136*$B$66)+(D136*$B$67)+(E136*$B$68)</f>
        <v>1.6685714285714286</v>
      </c>
    </row>
    <row r="137" spans="1:9" x14ac:dyDescent="0.2">
      <c r="B137">
        <v>1</v>
      </c>
      <c r="F137" s="17"/>
      <c r="G137" s="6">
        <f t="shared" si="22"/>
        <v>0.96530952380952373</v>
      </c>
    </row>
    <row r="138" spans="1:9" x14ac:dyDescent="0.2">
      <c r="C138">
        <v>1</v>
      </c>
      <c r="F138" s="17"/>
      <c r="G138" s="6">
        <f t="shared" si="22"/>
        <v>1.825</v>
      </c>
    </row>
    <row r="139" spans="1:9" x14ac:dyDescent="0.2">
      <c r="D139">
        <v>1</v>
      </c>
      <c r="F139" s="17"/>
      <c r="G139" s="6">
        <f t="shared" si="22"/>
        <v>1.25</v>
      </c>
    </row>
    <row r="140" spans="1:9" x14ac:dyDescent="0.2">
      <c r="E140">
        <v>1</v>
      </c>
      <c r="F140" s="17"/>
      <c r="G140" s="6">
        <f t="shared" si="22"/>
        <v>0.67380952380952386</v>
      </c>
    </row>
    <row r="141" spans="1:9" x14ac:dyDescent="0.2">
      <c r="A141">
        <v>2</v>
      </c>
      <c r="F141" s="17">
        <f t="shared" si="21"/>
        <v>2</v>
      </c>
      <c r="G141" s="6">
        <f t="shared" si="22"/>
        <v>3.3371428571428572</v>
      </c>
    </row>
    <row r="142" spans="1:9" x14ac:dyDescent="0.2">
      <c r="B142">
        <v>2</v>
      </c>
      <c r="F142" s="17"/>
      <c r="G142" s="6">
        <f t="shared" si="22"/>
        <v>1.9306190476190475</v>
      </c>
    </row>
    <row r="143" spans="1:9" x14ac:dyDescent="0.2">
      <c r="C143">
        <v>2</v>
      </c>
      <c r="F143" s="17"/>
      <c r="G143" s="6">
        <f t="shared" si="22"/>
        <v>3.65</v>
      </c>
    </row>
    <row r="144" spans="1:9" x14ac:dyDescent="0.2">
      <c r="D144">
        <v>2</v>
      </c>
      <c r="F144" s="17"/>
      <c r="G144" s="6">
        <f t="shared" si="22"/>
        <v>2.5</v>
      </c>
    </row>
    <row r="145" spans="1:7" x14ac:dyDescent="0.2">
      <c r="E145">
        <v>2</v>
      </c>
      <c r="F145" s="17"/>
      <c r="G145" s="6">
        <f t="shared" si="22"/>
        <v>1.3476190476190477</v>
      </c>
    </row>
    <row r="146" spans="1:7" x14ac:dyDescent="0.2">
      <c r="A146">
        <v>1</v>
      </c>
      <c r="B146">
        <v>1</v>
      </c>
      <c r="F146" s="17"/>
      <c r="G146" s="6">
        <f t="shared" si="22"/>
        <v>2.6338809523809523</v>
      </c>
    </row>
    <row r="147" spans="1:7" x14ac:dyDescent="0.2">
      <c r="A147">
        <v>1</v>
      </c>
      <c r="C147">
        <v>1</v>
      </c>
      <c r="F147" s="17"/>
      <c r="G147" s="6">
        <f t="shared" si="22"/>
        <v>3.4935714285714283</v>
      </c>
    </row>
    <row r="148" spans="1:7" x14ac:dyDescent="0.2">
      <c r="A148">
        <v>1</v>
      </c>
      <c r="D148">
        <v>1</v>
      </c>
      <c r="F148" s="17"/>
      <c r="G148" s="6">
        <f t="shared" si="22"/>
        <v>2.9185714285714286</v>
      </c>
    </row>
    <row r="149" spans="1:7" x14ac:dyDescent="0.2">
      <c r="A149">
        <v>1</v>
      </c>
      <c r="E149">
        <v>1</v>
      </c>
      <c r="F149" s="17"/>
      <c r="G149" s="6">
        <f t="shared" si="22"/>
        <v>2.3423809523809522</v>
      </c>
    </row>
    <row r="150" spans="1:7" x14ac:dyDescent="0.2">
      <c r="B150">
        <v>1</v>
      </c>
      <c r="C150">
        <v>1</v>
      </c>
      <c r="F150" s="17"/>
      <c r="G150" s="6">
        <f t="shared" si="22"/>
        <v>2.7903095238095235</v>
      </c>
    </row>
    <row r="151" spans="1:7" x14ac:dyDescent="0.2">
      <c r="B151">
        <v>1</v>
      </c>
      <c r="D151">
        <v>1</v>
      </c>
      <c r="F151" s="17"/>
      <c r="G151" s="6">
        <f t="shared" si="22"/>
        <v>2.2153095238095237</v>
      </c>
    </row>
    <row r="152" spans="1:7" x14ac:dyDescent="0.2">
      <c r="B152">
        <v>1</v>
      </c>
      <c r="E152">
        <v>1</v>
      </c>
      <c r="F152" s="17"/>
      <c r="G152" s="6">
        <f t="shared" si="22"/>
        <v>1.6391190476190476</v>
      </c>
    </row>
    <row r="153" spans="1:7" x14ac:dyDescent="0.2">
      <c r="C153">
        <v>1</v>
      </c>
      <c r="D153">
        <v>1</v>
      </c>
      <c r="F153" s="17"/>
      <c r="G153" s="6">
        <f t="shared" si="22"/>
        <v>3.0750000000000002</v>
      </c>
    </row>
    <row r="154" spans="1:7" x14ac:dyDescent="0.2">
      <c r="C154">
        <v>1</v>
      </c>
      <c r="E154">
        <v>1</v>
      </c>
      <c r="F154" s="17"/>
      <c r="G154" s="6">
        <f t="shared" si="22"/>
        <v>2.4988095238095238</v>
      </c>
    </row>
    <row r="155" spans="1:7" x14ac:dyDescent="0.2">
      <c r="D155">
        <v>1</v>
      </c>
      <c r="E155">
        <v>1</v>
      </c>
      <c r="F155" s="17"/>
      <c r="G155" s="6">
        <f t="shared" si="22"/>
        <v>1.9238095238095239</v>
      </c>
    </row>
    <row r="156" spans="1:7" x14ac:dyDescent="0.2">
      <c r="A156">
        <v>3</v>
      </c>
      <c r="F156" s="17">
        <f t="shared" si="21"/>
        <v>3</v>
      </c>
      <c r="G156" s="6">
        <f t="shared" si="22"/>
        <v>5.0057142857142853</v>
      </c>
    </row>
    <row r="157" spans="1:7" x14ac:dyDescent="0.2">
      <c r="B157">
        <v>3</v>
      </c>
      <c r="F157" s="17"/>
      <c r="G157" s="6">
        <f t="shared" si="22"/>
        <v>2.8959285714285712</v>
      </c>
    </row>
    <row r="158" spans="1:7" x14ac:dyDescent="0.2">
      <c r="C158">
        <v>3</v>
      </c>
      <c r="F158" s="17"/>
      <c r="G158" s="6">
        <f t="shared" si="22"/>
        <v>5.4749999999999996</v>
      </c>
    </row>
    <row r="159" spans="1:7" x14ac:dyDescent="0.2">
      <c r="D159">
        <v>3</v>
      </c>
      <c r="F159" s="17"/>
      <c r="G159" s="6">
        <f t="shared" si="22"/>
        <v>3.75</v>
      </c>
    </row>
    <row r="160" spans="1:7" x14ac:dyDescent="0.2">
      <c r="E160">
        <v>3</v>
      </c>
      <c r="F160" s="17"/>
      <c r="G160" s="6">
        <f t="shared" si="22"/>
        <v>2.0214285714285714</v>
      </c>
    </row>
    <row r="161" spans="1:7" x14ac:dyDescent="0.2">
      <c r="A161">
        <v>1</v>
      </c>
      <c r="B161">
        <v>1</v>
      </c>
      <c r="C161">
        <v>1</v>
      </c>
      <c r="F161" s="17"/>
      <c r="G161" s="6">
        <f t="shared" si="22"/>
        <v>4.4588809523809525</v>
      </c>
    </row>
    <row r="162" spans="1:7" x14ac:dyDescent="0.2">
      <c r="A162">
        <v>1</v>
      </c>
      <c r="B162">
        <v>1</v>
      </c>
      <c r="D162">
        <v>1</v>
      </c>
      <c r="F162" s="17"/>
      <c r="G162" s="6">
        <f t="shared" si="22"/>
        <v>3.8838809523809523</v>
      </c>
    </row>
    <row r="163" spans="1:7" x14ac:dyDescent="0.2">
      <c r="A163">
        <v>1</v>
      </c>
      <c r="B163">
        <v>1</v>
      </c>
      <c r="E163">
        <v>1</v>
      </c>
      <c r="F163" s="17"/>
      <c r="G163" s="6">
        <f t="shared" si="22"/>
        <v>3.3076904761904764</v>
      </c>
    </row>
    <row r="164" spans="1:7" x14ac:dyDescent="0.2">
      <c r="A164">
        <v>1</v>
      </c>
      <c r="C164">
        <v>1</v>
      </c>
      <c r="D164">
        <v>1</v>
      </c>
      <c r="F164" s="17"/>
      <c r="G164" s="6">
        <f t="shared" si="22"/>
        <v>4.7435714285714283</v>
      </c>
    </row>
    <row r="165" spans="1:7" x14ac:dyDescent="0.2">
      <c r="A165">
        <v>1</v>
      </c>
      <c r="C165">
        <v>1</v>
      </c>
      <c r="E165">
        <v>1</v>
      </c>
      <c r="F165" s="17"/>
      <c r="G165" s="6">
        <f t="shared" si="22"/>
        <v>4.1673809523809524</v>
      </c>
    </row>
    <row r="166" spans="1:7" x14ac:dyDescent="0.2">
      <c r="A166">
        <v>1</v>
      </c>
      <c r="D166">
        <v>1</v>
      </c>
      <c r="E166">
        <v>1</v>
      </c>
      <c r="F166" s="17"/>
      <c r="G166" s="6">
        <f t="shared" si="22"/>
        <v>3.5923809523809522</v>
      </c>
    </row>
    <row r="167" spans="1:7" x14ac:dyDescent="0.2">
      <c r="B167">
        <v>1</v>
      </c>
      <c r="C167">
        <v>1</v>
      </c>
      <c r="D167">
        <v>1</v>
      </c>
      <c r="F167" s="17"/>
      <c r="G167" s="6">
        <f t="shared" si="22"/>
        <v>4.0403095238095235</v>
      </c>
    </row>
    <row r="168" spans="1:7" x14ac:dyDescent="0.2">
      <c r="B168">
        <v>1</v>
      </c>
      <c r="C168">
        <v>1</v>
      </c>
      <c r="E168">
        <v>1</v>
      </c>
      <c r="F168" s="17"/>
      <c r="G168" s="6">
        <f t="shared" si="22"/>
        <v>3.4641190476190475</v>
      </c>
    </row>
    <row r="169" spans="1:7" x14ac:dyDescent="0.2">
      <c r="C169">
        <v>1</v>
      </c>
      <c r="D169">
        <v>1</v>
      </c>
      <c r="E169">
        <v>1</v>
      </c>
      <c r="F169" s="17"/>
      <c r="G169" s="6">
        <f t="shared" si="22"/>
        <v>3.7488095238095243</v>
      </c>
    </row>
    <row r="170" spans="1:7" x14ac:dyDescent="0.2">
      <c r="A170">
        <v>2</v>
      </c>
      <c r="B170">
        <v>1</v>
      </c>
      <c r="F170" s="17"/>
      <c r="G170" s="6">
        <f t="shared" si="22"/>
        <v>4.3024523809523814</v>
      </c>
    </row>
    <row r="171" spans="1:7" x14ac:dyDescent="0.2">
      <c r="A171">
        <v>2</v>
      </c>
      <c r="C171">
        <v>1</v>
      </c>
      <c r="F171" s="17"/>
      <c r="G171" s="6">
        <f t="shared" si="22"/>
        <v>5.1621428571428574</v>
      </c>
    </row>
    <row r="172" spans="1:7" x14ac:dyDescent="0.2">
      <c r="A172">
        <v>2</v>
      </c>
      <c r="D172">
        <v>1</v>
      </c>
      <c r="F172" s="17"/>
      <c r="G172" s="6">
        <f t="shared" si="22"/>
        <v>4.5871428571428572</v>
      </c>
    </row>
    <row r="173" spans="1:7" x14ac:dyDescent="0.2">
      <c r="A173">
        <v>2</v>
      </c>
      <c r="E173">
        <v>1</v>
      </c>
      <c r="F173" s="17"/>
      <c r="G173" s="6">
        <f t="shared" si="22"/>
        <v>4.0109523809523813</v>
      </c>
    </row>
    <row r="174" spans="1:7" x14ac:dyDescent="0.2">
      <c r="A174">
        <v>1</v>
      </c>
      <c r="B174">
        <v>2</v>
      </c>
      <c r="F174" s="17"/>
      <c r="G174" s="6">
        <f t="shared" si="22"/>
        <v>3.5991904761904761</v>
      </c>
    </row>
    <row r="175" spans="1:7" x14ac:dyDescent="0.2">
      <c r="B175">
        <v>2</v>
      </c>
      <c r="C175">
        <v>1</v>
      </c>
      <c r="F175" s="17"/>
      <c r="G175" s="6">
        <f t="shared" si="22"/>
        <v>3.7556190476190476</v>
      </c>
    </row>
    <row r="176" spans="1:7" x14ac:dyDescent="0.2">
      <c r="B176">
        <v>2</v>
      </c>
      <c r="D176">
        <v>1</v>
      </c>
      <c r="F176" s="17"/>
      <c r="G176" s="6">
        <f t="shared" si="22"/>
        <v>3.1806190476190475</v>
      </c>
    </row>
    <row r="177" spans="1:7" x14ac:dyDescent="0.2">
      <c r="B177">
        <v>2</v>
      </c>
      <c r="E177">
        <v>1</v>
      </c>
      <c r="F177" s="17"/>
      <c r="G177" s="6">
        <f t="shared" si="22"/>
        <v>2.6044285714285715</v>
      </c>
    </row>
    <row r="178" spans="1:7" x14ac:dyDescent="0.2">
      <c r="A178">
        <v>1</v>
      </c>
      <c r="C178">
        <v>2</v>
      </c>
      <c r="F178" s="17"/>
      <c r="G178" s="6">
        <f t="shared" si="22"/>
        <v>5.3185714285714285</v>
      </c>
    </row>
    <row r="179" spans="1:7" x14ac:dyDescent="0.2">
      <c r="B179">
        <v>1</v>
      </c>
      <c r="C179">
        <v>2</v>
      </c>
      <c r="F179" s="17"/>
      <c r="G179" s="6">
        <f t="shared" si="22"/>
        <v>4.6153095238095236</v>
      </c>
    </row>
    <row r="180" spans="1:7" x14ac:dyDescent="0.2">
      <c r="C180">
        <v>2</v>
      </c>
      <c r="D180">
        <v>1</v>
      </c>
      <c r="F180" s="17"/>
      <c r="G180" s="6">
        <f t="shared" si="22"/>
        <v>4.9000000000000004</v>
      </c>
    </row>
    <row r="181" spans="1:7" x14ac:dyDescent="0.2">
      <c r="C181">
        <v>2</v>
      </c>
      <c r="E181">
        <v>1</v>
      </c>
      <c r="F181" s="17"/>
      <c r="G181" s="6">
        <f t="shared" si="22"/>
        <v>4.3238095238095235</v>
      </c>
    </row>
    <row r="182" spans="1:7" x14ac:dyDescent="0.2">
      <c r="A182">
        <v>1</v>
      </c>
      <c r="D182">
        <v>2</v>
      </c>
      <c r="F182" s="17"/>
      <c r="G182" s="6">
        <f t="shared" si="22"/>
        <v>4.168571428571429</v>
      </c>
    </row>
    <row r="183" spans="1:7" x14ac:dyDescent="0.2">
      <c r="B183">
        <v>1</v>
      </c>
      <c r="D183">
        <v>2</v>
      </c>
      <c r="F183" s="17"/>
      <c r="G183" s="6">
        <f t="shared" si="22"/>
        <v>3.4653095238095237</v>
      </c>
    </row>
    <row r="184" spans="1:7" x14ac:dyDescent="0.2">
      <c r="C184">
        <v>1</v>
      </c>
      <c r="D184">
        <v>2</v>
      </c>
      <c r="F184" s="17"/>
      <c r="G184" s="6">
        <f t="shared" si="22"/>
        <v>4.3250000000000002</v>
      </c>
    </row>
    <row r="185" spans="1:7" x14ac:dyDescent="0.2">
      <c r="D185">
        <v>2</v>
      </c>
      <c r="E185">
        <v>1</v>
      </c>
      <c r="F185" s="17"/>
      <c r="G185" s="6">
        <f t="shared" si="22"/>
        <v>3.1738095238095241</v>
      </c>
    </row>
    <row r="186" spans="1:7" x14ac:dyDescent="0.2">
      <c r="A186">
        <v>1</v>
      </c>
      <c r="E186">
        <v>2</v>
      </c>
      <c r="F186" s="17"/>
      <c r="G186" s="6">
        <f t="shared" si="22"/>
        <v>3.0161904761904763</v>
      </c>
    </row>
    <row r="187" spans="1:7" x14ac:dyDescent="0.2">
      <c r="B187">
        <v>1</v>
      </c>
      <c r="E187">
        <v>2</v>
      </c>
      <c r="F187" s="17"/>
      <c r="G187" s="6">
        <f t="shared" si="22"/>
        <v>2.3129285714285714</v>
      </c>
    </row>
    <row r="188" spans="1:7" x14ac:dyDescent="0.2">
      <c r="C188">
        <v>1</v>
      </c>
      <c r="E188">
        <v>2</v>
      </c>
      <c r="F188" s="17"/>
      <c r="G188" s="6">
        <f t="shared" si="22"/>
        <v>3.1726190476190474</v>
      </c>
    </row>
    <row r="189" spans="1:7" x14ac:dyDescent="0.2">
      <c r="D189">
        <v>1</v>
      </c>
      <c r="E189">
        <v>2</v>
      </c>
      <c r="F189" s="17"/>
      <c r="G189" s="6">
        <f t="shared" si="22"/>
        <v>2.5976190476190477</v>
      </c>
    </row>
  </sheetData>
  <mergeCells count="29">
    <mergeCell ref="A131:I131"/>
    <mergeCell ref="A133:E133"/>
    <mergeCell ref="F136:F140"/>
    <mergeCell ref="F141:F155"/>
    <mergeCell ref="F156:F189"/>
    <mergeCell ref="A102:E102"/>
    <mergeCell ref="A112:I112"/>
    <mergeCell ref="E114:I114"/>
    <mergeCell ref="E115:I115"/>
    <mergeCell ref="E116:I116"/>
    <mergeCell ref="A117:A120"/>
    <mergeCell ref="B117:B120"/>
    <mergeCell ref="C117:C120"/>
    <mergeCell ref="D117:D120"/>
    <mergeCell ref="E117:I117"/>
    <mergeCell ref="A43:H43"/>
    <mergeCell ref="A48:I48"/>
    <mergeCell ref="A61:I61"/>
    <mergeCell ref="A91:I91"/>
    <mergeCell ref="A93:E93"/>
    <mergeCell ref="A81:I81"/>
    <mergeCell ref="A70:I70"/>
    <mergeCell ref="A1:G1"/>
    <mergeCell ref="K1:O1"/>
    <mergeCell ref="A19:I19"/>
    <mergeCell ref="A21:F21"/>
    <mergeCell ref="A26:F26"/>
    <mergeCell ref="A34:D34"/>
    <mergeCell ref="A8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D9294-2C65-4F4F-9338-501DED866B69}">
  <dimension ref="A1:P190"/>
  <sheetViews>
    <sheetView zoomScale="110" zoomScaleNormal="110" workbookViewId="0">
      <selection activeCell="K14" sqref="K14"/>
    </sheetView>
  </sheetViews>
  <sheetFormatPr baseColWidth="10" defaultRowHeight="16" x14ac:dyDescent="0.2"/>
  <sheetData>
    <row r="1" spans="1:16" x14ac:dyDescent="0.2">
      <c r="A1" s="4" t="s">
        <v>13</v>
      </c>
      <c r="B1" s="4"/>
      <c r="C1" s="4"/>
      <c r="D1" s="4"/>
      <c r="E1" s="4"/>
      <c r="F1" s="4"/>
      <c r="G1" s="4"/>
      <c r="H1" s="7"/>
      <c r="I1" s="7"/>
      <c r="K1" s="4" t="s">
        <v>98</v>
      </c>
      <c r="L1" s="4"/>
      <c r="M1" s="4"/>
      <c r="N1" s="4"/>
      <c r="O1" s="4"/>
      <c r="P1" s="14"/>
    </row>
    <row r="3" spans="1:16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33</v>
      </c>
      <c r="K3" s="1" t="s">
        <v>0</v>
      </c>
      <c r="L3" s="1" t="s">
        <v>1</v>
      </c>
      <c r="M3" s="1" t="s">
        <v>2</v>
      </c>
      <c r="N3" s="1" t="s">
        <v>3</v>
      </c>
      <c r="O3" s="1" t="s">
        <v>4</v>
      </c>
    </row>
    <row r="4" spans="1:16" x14ac:dyDescent="0.2">
      <c r="A4" s="1" t="s">
        <v>18</v>
      </c>
      <c r="B4">
        <f>SUM(K4:K1001)</f>
        <v>4</v>
      </c>
      <c r="C4">
        <f>SUM(L4:L1001)</f>
        <v>8</v>
      </c>
      <c r="D4">
        <f>SUM(M4:M1001)</f>
        <v>4</v>
      </c>
      <c r="E4">
        <f>SUM(N4:N1001)</f>
        <v>4</v>
      </c>
      <c r="F4">
        <f>SUM(O4:O1001)</f>
        <v>3</v>
      </c>
      <c r="G4">
        <f>SUM(P4:P1001)</f>
        <v>0</v>
      </c>
      <c r="K4">
        <v>3</v>
      </c>
      <c r="L4">
        <v>7</v>
      </c>
      <c r="M4">
        <v>2</v>
      </c>
      <c r="N4">
        <v>4</v>
      </c>
      <c r="O4">
        <v>3</v>
      </c>
    </row>
    <row r="5" spans="1:16" x14ac:dyDescent="0.2">
      <c r="A5" s="1" t="s">
        <v>19</v>
      </c>
      <c r="B5" t="b">
        <v>0</v>
      </c>
      <c r="C5" t="b">
        <v>1</v>
      </c>
      <c r="D5" t="b">
        <v>1</v>
      </c>
      <c r="E5" t="b">
        <v>1</v>
      </c>
      <c r="F5" t="b">
        <v>1</v>
      </c>
      <c r="K5">
        <v>1</v>
      </c>
      <c r="L5">
        <v>1</v>
      </c>
    </row>
    <row r="6" spans="1:16" x14ac:dyDescent="0.2">
      <c r="A6" s="1" t="s">
        <v>51</v>
      </c>
      <c r="B6">
        <f>B52</f>
        <v>1.1499999999999999</v>
      </c>
      <c r="C6">
        <f>B53</f>
        <v>0.57499999999999996</v>
      </c>
      <c r="D6">
        <v>4</v>
      </c>
      <c r="E6">
        <v>0.25</v>
      </c>
      <c r="F6">
        <f>B56</f>
        <v>1.5333333333333332</v>
      </c>
      <c r="G6">
        <f>B73</f>
        <v>1.3768086956521737</v>
      </c>
      <c r="M6">
        <v>2</v>
      </c>
    </row>
    <row r="7" spans="1:16" x14ac:dyDescent="0.2">
      <c r="A7" s="1" t="s">
        <v>97</v>
      </c>
      <c r="B7">
        <v>0.5</v>
      </c>
      <c r="C7">
        <v>3</v>
      </c>
      <c r="D7">
        <v>0.33329999999999999</v>
      </c>
      <c r="E7">
        <v>0.25</v>
      </c>
      <c r="F7">
        <v>4</v>
      </c>
    </row>
    <row r="8" spans="1:16" x14ac:dyDescent="0.2">
      <c r="A8" s="9" t="s">
        <v>99</v>
      </c>
      <c r="B8">
        <v>2</v>
      </c>
      <c r="C8">
        <v>3</v>
      </c>
      <c r="D8">
        <v>4</v>
      </c>
      <c r="E8">
        <v>5</v>
      </c>
      <c r="F8">
        <v>6</v>
      </c>
    </row>
    <row r="9" spans="1:16" x14ac:dyDescent="0.2">
      <c r="A9" s="9"/>
      <c r="B9">
        <v>8</v>
      </c>
      <c r="C9">
        <v>9</v>
      </c>
      <c r="D9">
        <v>10</v>
      </c>
      <c r="E9">
        <v>11</v>
      </c>
      <c r="F9">
        <v>12</v>
      </c>
    </row>
    <row r="10" spans="1:16" x14ac:dyDescent="0.2">
      <c r="A10" s="9"/>
      <c r="B10">
        <v>3</v>
      </c>
      <c r="C10">
        <v>4</v>
      </c>
      <c r="D10">
        <v>5</v>
      </c>
      <c r="E10">
        <v>6</v>
      </c>
      <c r="F10">
        <v>8</v>
      </c>
    </row>
    <row r="11" spans="1:16" x14ac:dyDescent="0.2">
      <c r="A11" s="9"/>
      <c r="B11">
        <v>8</v>
      </c>
      <c r="C11">
        <v>10</v>
      </c>
      <c r="D11">
        <v>11</v>
      </c>
    </row>
    <row r="12" spans="1:16" x14ac:dyDescent="0.2">
      <c r="A12" s="15" t="s">
        <v>100</v>
      </c>
    </row>
    <row r="14" spans="1:16" x14ac:dyDescent="0.2">
      <c r="A14" s="1" t="s">
        <v>14</v>
      </c>
      <c r="B14" s="1" t="s">
        <v>15</v>
      </c>
      <c r="E14" s="1" t="s">
        <v>49</v>
      </c>
      <c r="F14" s="1" t="s">
        <v>59</v>
      </c>
    </row>
    <row r="15" spans="1:16" x14ac:dyDescent="0.2">
      <c r="A15">
        <v>4</v>
      </c>
      <c r="B15">
        <v>1</v>
      </c>
      <c r="D15" s="1" t="s">
        <v>37</v>
      </c>
      <c r="E15">
        <f>B116</f>
        <v>4.0541499999999999</v>
      </c>
      <c r="F15" s="13">
        <f>B117</f>
        <v>4.1298126326858799</v>
      </c>
    </row>
    <row r="16" spans="1:16" x14ac:dyDescent="0.2">
      <c r="D16" s="1" t="s">
        <v>38</v>
      </c>
      <c r="E16">
        <f>C116</f>
        <v>11.875</v>
      </c>
      <c r="F16" s="13">
        <f>C117</f>
        <v>0.48737340567342297</v>
      </c>
    </row>
    <row r="17" spans="1:9" x14ac:dyDescent="0.2">
      <c r="D17" s="1" t="s">
        <v>54</v>
      </c>
      <c r="E17">
        <f>D116</f>
        <v>1.5249999999999999</v>
      </c>
      <c r="F17" s="13">
        <f>D117</f>
        <v>7.045109329891952</v>
      </c>
    </row>
    <row r="18" spans="1:9" x14ac:dyDescent="0.2">
      <c r="D18" s="1" t="s">
        <v>96</v>
      </c>
      <c r="E18">
        <f>E116</f>
        <v>5.2958166666666671</v>
      </c>
      <c r="F18" s="13">
        <f>E117</f>
        <v>0.10805440425808824</v>
      </c>
    </row>
    <row r="20" spans="1:9" x14ac:dyDescent="0.2">
      <c r="A20" s="4" t="s">
        <v>26</v>
      </c>
      <c r="B20" s="4"/>
      <c r="C20" s="4"/>
      <c r="D20" s="4"/>
      <c r="E20" s="4"/>
      <c r="F20" s="4"/>
      <c r="G20" s="4"/>
      <c r="H20" s="4"/>
      <c r="I20" s="4"/>
    </row>
    <row r="22" spans="1:9" x14ac:dyDescent="0.2">
      <c r="A22" s="3" t="s">
        <v>36</v>
      </c>
      <c r="B22" s="3"/>
      <c r="C22" s="3"/>
      <c r="D22" s="3"/>
      <c r="E22" s="3"/>
      <c r="F22" s="3"/>
    </row>
    <row r="23" spans="1:9" x14ac:dyDescent="0.2">
      <c r="B23" s="1" t="s">
        <v>30</v>
      </c>
      <c r="C23" s="1" t="s">
        <v>31</v>
      </c>
      <c r="D23" s="1" t="s">
        <v>32</v>
      </c>
      <c r="E23" s="1" t="s">
        <v>34</v>
      </c>
      <c r="F23" s="1" t="s">
        <v>35</v>
      </c>
      <c r="G23" s="1" t="s">
        <v>33</v>
      </c>
      <c r="H23" s="1" t="s">
        <v>89</v>
      </c>
      <c r="I23" s="1" t="s">
        <v>43</v>
      </c>
    </row>
    <row r="24" spans="1:9" x14ac:dyDescent="0.2">
      <c r="A24" s="1" t="s">
        <v>91</v>
      </c>
      <c r="B24">
        <v>10.5</v>
      </c>
      <c r="C24">
        <v>7</v>
      </c>
      <c r="D24">
        <v>3</v>
      </c>
      <c r="E24">
        <v>2.75</v>
      </c>
      <c r="F24">
        <v>2.25</v>
      </c>
      <c r="G24">
        <f>SUM(B24:F24)</f>
        <v>25.5</v>
      </c>
      <c r="H24">
        <v>3</v>
      </c>
      <c r="I24">
        <v>14.7692</v>
      </c>
    </row>
    <row r="25" spans="1:9" x14ac:dyDescent="0.2">
      <c r="A25" s="1" t="s">
        <v>92</v>
      </c>
      <c r="E25">
        <v>2.7</v>
      </c>
      <c r="F25">
        <v>2</v>
      </c>
    </row>
    <row r="27" spans="1:9" x14ac:dyDescent="0.2">
      <c r="A27" s="3" t="s">
        <v>40</v>
      </c>
      <c r="B27" s="3"/>
      <c r="C27" s="3"/>
      <c r="D27" s="3"/>
      <c r="E27" s="3"/>
      <c r="F27" s="3"/>
    </row>
    <row r="28" spans="1:9" x14ac:dyDescent="0.2">
      <c r="A28" s="1" t="s">
        <v>41</v>
      </c>
      <c r="B28" s="1" t="s">
        <v>42</v>
      </c>
      <c r="C28" s="1" t="s">
        <v>43</v>
      </c>
      <c r="D28" s="1" t="s">
        <v>44</v>
      </c>
      <c r="E28" s="1" t="s">
        <v>45</v>
      </c>
      <c r="F28" s="1" t="s">
        <v>33</v>
      </c>
    </row>
    <row r="29" spans="1:9" x14ac:dyDescent="0.2">
      <c r="A29">
        <v>14</v>
      </c>
      <c r="B29">
        <v>5</v>
      </c>
      <c r="C29">
        <v>2</v>
      </c>
      <c r="D29">
        <v>2</v>
      </c>
      <c r="E29">
        <v>2</v>
      </c>
      <c r="F29">
        <f>SUM(A29:E29)</f>
        <v>25</v>
      </c>
    </row>
    <row r="30" spans="1:9" x14ac:dyDescent="0.2">
      <c r="A30">
        <v>8</v>
      </c>
      <c r="D30" s="1" t="s">
        <v>93</v>
      </c>
      <c r="E30">
        <v>5</v>
      </c>
    </row>
    <row r="32" spans="1:9" x14ac:dyDescent="0.2">
      <c r="A32" s="1" t="s">
        <v>47</v>
      </c>
      <c r="B32" s="1" t="s">
        <v>48</v>
      </c>
      <c r="C32" s="1" t="s">
        <v>63</v>
      </c>
      <c r="D32" s="1" t="s">
        <v>64</v>
      </c>
      <c r="E32" s="1" t="s">
        <v>22</v>
      </c>
    </row>
    <row r="33" spans="1:8" x14ac:dyDescent="0.2">
      <c r="A33">
        <v>7</v>
      </c>
      <c r="B33">
        <v>4</v>
      </c>
      <c r="C33">
        <v>2</v>
      </c>
      <c r="D33">
        <v>80</v>
      </c>
      <c r="E33">
        <v>7</v>
      </c>
    </row>
    <row r="34" spans="1:8" x14ac:dyDescent="0.2">
      <c r="G34" s="1" t="s">
        <v>95</v>
      </c>
      <c r="H34">
        <v>0.85</v>
      </c>
    </row>
    <row r="35" spans="1:8" x14ac:dyDescent="0.2">
      <c r="A35" s="3" t="s">
        <v>65</v>
      </c>
      <c r="B35" s="3"/>
      <c r="C35" s="3"/>
      <c r="D35" s="3"/>
    </row>
    <row r="36" spans="1:8" x14ac:dyDescent="0.2">
      <c r="A36" s="1" t="s">
        <v>66</v>
      </c>
      <c r="B36" s="1" t="s">
        <v>67</v>
      </c>
      <c r="C36" s="1" t="s">
        <v>68</v>
      </c>
      <c r="D36" s="1" t="s">
        <v>69</v>
      </c>
    </row>
    <row r="37" spans="1:8" x14ac:dyDescent="0.2">
      <c r="A37" t="s">
        <v>70</v>
      </c>
      <c r="B37">
        <v>2.7799999999999998E-2</v>
      </c>
      <c r="C37">
        <f>2/18</f>
        <v>0.1111111111111111</v>
      </c>
      <c r="D37">
        <f>B37*C37</f>
        <v>3.0888888888888884E-3</v>
      </c>
    </row>
    <row r="38" spans="1:8" x14ac:dyDescent="0.2">
      <c r="A38" t="s">
        <v>71</v>
      </c>
      <c r="B38">
        <v>5.5599999999999997E-2</v>
      </c>
      <c r="C38">
        <f>4/18</f>
        <v>0.22222222222222221</v>
      </c>
      <c r="D38">
        <f t="shared" ref="D38:D40" si="0">B38*C38</f>
        <v>1.2355555555555554E-2</v>
      </c>
    </row>
    <row r="39" spans="1:8" x14ac:dyDescent="0.2">
      <c r="A39" t="s">
        <v>72</v>
      </c>
      <c r="B39">
        <v>8.3299999999999999E-2</v>
      </c>
      <c r="C39">
        <f>4/18</f>
        <v>0.22222222222222221</v>
      </c>
      <c r="D39">
        <f t="shared" si="0"/>
        <v>1.851111111111111E-2</v>
      </c>
    </row>
    <row r="40" spans="1:8" x14ac:dyDescent="0.2">
      <c r="A40" t="s">
        <v>73</v>
      </c>
      <c r="B40">
        <v>0.1111</v>
      </c>
      <c r="C40">
        <f>4/18</f>
        <v>0.22222222222222221</v>
      </c>
      <c r="D40">
        <f t="shared" si="0"/>
        <v>2.4688888888888889E-2</v>
      </c>
    </row>
    <row r="41" spans="1:8" x14ac:dyDescent="0.2">
      <c r="A41" t="s">
        <v>74</v>
      </c>
      <c r="B41">
        <v>0.1389</v>
      </c>
      <c r="C41">
        <f>4/18</f>
        <v>0.22222222222222221</v>
      </c>
      <c r="D41">
        <f>B41*C41</f>
        <v>3.0866666666666664E-2</v>
      </c>
    </row>
    <row r="42" spans="1:8" x14ac:dyDescent="0.2">
      <c r="A42" t="s">
        <v>75</v>
      </c>
      <c r="D42">
        <f>SUM(D37:D41)</f>
        <v>8.9511111111111111E-2</v>
      </c>
    </row>
    <row r="44" spans="1:8" x14ac:dyDescent="0.2">
      <c r="A44" s="3" t="s">
        <v>89</v>
      </c>
      <c r="B44" s="3"/>
      <c r="C44" s="3"/>
      <c r="D44" s="3"/>
      <c r="E44" s="3"/>
      <c r="F44" s="3"/>
      <c r="G44" s="3"/>
      <c r="H44" s="3"/>
    </row>
    <row r="45" spans="1:8" x14ac:dyDescent="0.2">
      <c r="B45" s="1" t="s">
        <v>81</v>
      </c>
      <c r="C45" s="1" t="s">
        <v>82</v>
      </c>
      <c r="D45" s="1" t="s">
        <v>83</v>
      </c>
      <c r="E45" s="1" t="s">
        <v>84</v>
      </c>
      <c r="F45" s="1" t="s">
        <v>85</v>
      </c>
      <c r="G45" s="1" t="s">
        <v>86</v>
      </c>
      <c r="H45" s="1" t="s">
        <v>33</v>
      </c>
    </row>
    <row r="46" spans="1:8" x14ac:dyDescent="0.2">
      <c r="B46">
        <v>4</v>
      </c>
      <c r="C46">
        <v>1</v>
      </c>
      <c r="D46">
        <v>1</v>
      </c>
      <c r="E46">
        <v>1</v>
      </c>
      <c r="F46">
        <v>1</v>
      </c>
      <c r="G46">
        <v>1</v>
      </c>
      <c r="H46">
        <f>SUM(B46:G46)</f>
        <v>9</v>
      </c>
    </row>
    <row r="47" spans="1:8" x14ac:dyDescent="0.2">
      <c r="A47" s="1" t="s">
        <v>88</v>
      </c>
      <c r="B47">
        <f>B46/$H$46</f>
        <v>0.44444444444444442</v>
      </c>
      <c r="C47">
        <f t="shared" ref="C47:G47" si="1">C46/$H$46</f>
        <v>0.1111111111111111</v>
      </c>
      <c r="D47">
        <f t="shared" si="1"/>
        <v>0.1111111111111111</v>
      </c>
      <c r="E47">
        <f t="shared" si="1"/>
        <v>0.1111111111111111</v>
      </c>
      <c r="F47">
        <f t="shared" si="1"/>
        <v>0.1111111111111111</v>
      </c>
      <c r="G47">
        <f t="shared" si="1"/>
        <v>0.1111111111111111</v>
      </c>
    </row>
    <row r="48" spans="1:8" x14ac:dyDescent="0.2">
      <c r="A48" s="1"/>
    </row>
    <row r="49" spans="1:9" x14ac:dyDescent="0.2">
      <c r="A49" s="4" t="s">
        <v>20</v>
      </c>
      <c r="B49" s="4"/>
      <c r="C49" s="4"/>
      <c r="D49" s="4"/>
      <c r="E49" s="4"/>
      <c r="F49" s="4"/>
      <c r="G49" s="4"/>
      <c r="H49" s="4"/>
      <c r="I49" s="4"/>
    </row>
    <row r="51" spans="1:9" x14ac:dyDescent="0.2">
      <c r="A51" s="1"/>
      <c r="B51" s="1" t="s">
        <v>5</v>
      </c>
      <c r="C51" s="1" t="s">
        <v>12</v>
      </c>
      <c r="D51" s="1" t="s">
        <v>6</v>
      </c>
      <c r="E51" s="1" t="s">
        <v>7</v>
      </c>
      <c r="F51" s="1" t="s">
        <v>21</v>
      </c>
      <c r="G51" s="1" t="s">
        <v>8</v>
      </c>
      <c r="H51" s="1" t="s">
        <v>9</v>
      </c>
      <c r="I51" s="1" t="s">
        <v>11</v>
      </c>
    </row>
    <row r="52" spans="1:9" x14ac:dyDescent="0.2">
      <c r="A52" s="1" t="s">
        <v>0</v>
      </c>
      <c r="B52" s="6">
        <f>AVERAGE(D52:H52)</f>
        <v>1.1499999999999999</v>
      </c>
      <c r="C52" s="6">
        <f>B4</f>
        <v>4</v>
      </c>
      <c r="D52" s="6">
        <f>MIN(I52, MAX(D$57, C$52/C52))</f>
        <v>1</v>
      </c>
      <c r="E52" s="6">
        <f>MIN(I52,MAX(E$57, C$53/C52))</f>
        <v>2</v>
      </c>
      <c r="F52" s="6">
        <f>MIN(I52, MAX($F$57, C$54/C52))</f>
        <v>1</v>
      </c>
      <c r="G52" s="6">
        <f>MIN(I52, MAX($G$57, C$55/C52))</f>
        <v>1</v>
      </c>
      <c r="H52" s="6">
        <f>MIN(I52, MAX($H$57, C$56/C52))</f>
        <v>0.75</v>
      </c>
      <c r="I52" s="6">
        <f>IF(B5=FALSE,$C$59,($C$59-(1/$A$15)))</f>
        <v>3.75</v>
      </c>
    </row>
    <row r="53" spans="1:9" x14ac:dyDescent="0.2">
      <c r="A53" s="1" t="s">
        <v>1</v>
      </c>
      <c r="B53" s="6">
        <f>AVERAGE(D53:H53)</f>
        <v>0.57499999999999996</v>
      </c>
      <c r="C53" s="6">
        <f>C4</f>
        <v>8</v>
      </c>
      <c r="D53" s="6">
        <f t="shared" ref="D53:D56" si="2">MIN(I53, MAX(D$57, C$52/C53))</f>
        <v>0.5</v>
      </c>
      <c r="E53" s="6">
        <f t="shared" ref="E53:E56" si="3">MIN(I53,MAX(E$57, C$53/C53))</f>
        <v>1</v>
      </c>
      <c r="F53" s="6">
        <f t="shared" ref="F53:F56" si="4">MIN(I53, MAX($F$57, C$54/C53))</f>
        <v>0.5</v>
      </c>
      <c r="G53" s="6">
        <f t="shared" ref="G53:G56" si="5">MIN(I53, MAX($G$57, C$55/C53))</f>
        <v>0.5</v>
      </c>
      <c r="H53" s="6">
        <f t="shared" ref="H53:H56" si="6">MIN(I53, MAX($H$57, C$56/C53))</f>
        <v>0.375</v>
      </c>
      <c r="I53" s="6">
        <f>IF(C5=FALSE,$C$59,($C$59-(1/$A$15)))</f>
        <v>3.5</v>
      </c>
    </row>
    <row r="54" spans="1:9" x14ac:dyDescent="0.2">
      <c r="A54" s="1" t="s">
        <v>2</v>
      </c>
      <c r="B54" s="6">
        <f>AVERAGE(D54:H54)</f>
        <v>1.1499999999999999</v>
      </c>
      <c r="C54" s="6">
        <f>D4</f>
        <v>4</v>
      </c>
      <c r="D54" s="6">
        <f t="shared" si="2"/>
        <v>1</v>
      </c>
      <c r="E54" s="6">
        <f t="shared" si="3"/>
        <v>2</v>
      </c>
      <c r="F54" s="6">
        <f t="shared" si="4"/>
        <v>1</v>
      </c>
      <c r="G54" s="6">
        <f t="shared" si="5"/>
        <v>1</v>
      </c>
      <c r="H54" s="6">
        <f t="shared" si="6"/>
        <v>0.75</v>
      </c>
      <c r="I54" s="6">
        <f>IF(D5=FALSE,$C$59,($C$59-(1/$A$15)))</f>
        <v>3.5</v>
      </c>
    </row>
    <row r="55" spans="1:9" x14ac:dyDescent="0.2">
      <c r="A55" s="1" t="s">
        <v>3</v>
      </c>
      <c r="B55" s="6">
        <f>AVERAGE(D55:H55)</f>
        <v>1.1499999999999999</v>
      </c>
      <c r="C55" s="6">
        <f>E4</f>
        <v>4</v>
      </c>
      <c r="D55" s="6">
        <f t="shared" si="2"/>
        <v>1</v>
      </c>
      <c r="E55" s="6">
        <f t="shared" si="3"/>
        <v>2</v>
      </c>
      <c r="F55" s="6">
        <f t="shared" si="4"/>
        <v>1</v>
      </c>
      <c r="G55" s="6">
        <f t="shared" si="5"/>
        <v>1</v>
      </c>
      <c r="H55" s="6">
        <f t="shared" si="6"/>
        <v>0.75</v>
      </c>
      <c r="I55" s="6">
        <f>IF(E5=FALSE,$C$59,($C$59-(1/$A$15)))</f>
        <v>3.5</v>
      </c>
    </row>
    <row r="56" spans="1:9" x14ac:dyDescent="0.2">
      <c r="A56" s="1" t="s">
        <v>4</v>
      </c>
      <c r="B56" s="6">
        <f>AVERAGE(D56:H56)</f>
        <v>1.5333333333333332</v>
      </c>
      <c r="C56" s="6">
        <f>F4</f>
        <v>3</v>
      </c>
      <c r="D56" s="6">
        <f t="shared" si="2"/>
        <v>1.3333333333333333</v>
      </c>
      <c r="E56" s="6">
        <f t="shared" si="3"/>
        <v>2.6666666666666665</v>
      </c>
      <c r="F56" s="6">
        <f t="shared" si="4"/>
        <v>1.3333333333333333</v>
      </c>
      <c r="G56" s="6">
        <f t="shared" si="5"/>
        <v>1.3333333333333333</v>
      </c>
      <c r="H56" s="6">
        <f t="shared" si="6"/>
        <v>1</v>
      </c>
      <c r="I56" s="6">
        <f>IF(F5=FALSE,$C$59,($C$59-(1/$A$15)))</f>
        <v>3.5</v>
      </c>
    </row>
    <row r="57" spans="1:9" x14ac:dyDescent="0.2">
      <c r="A57" s="1" t="s">
        <v>10</v>
      </c>
      <c r="B57" s="6"/>
      <c r="C57" s="6"/>
      <c r="D57" s="6">
        <f>IF(B5=FALSE,$C$60,(1/I52))</f>
        <v>0.26666666666666666</v>
      </c>
      <c r="E57" s="6">
        <f>IF(C5=FALSE,$C$60,(1/I53))</f>
        <v>0.2857142857142857</v>
      </c>
      <c r="F57" s="6">
        <f>IF(D5=FALSE,$C$60,(1/I54))</f>
        <v>0.2857142857142857</v>
      </c>
      <c r="G57" s="6">
        <f>IF(E5=FALSE,$C$60,(1/I55))</f>
        <v>0.2857142857142857</v>
      </c>
      <c r="H57" s="6">
        <f>IF(F5=FALSE,$C$60,(1/I56))</f>
        <v>0.2857142857142857</v>
      </c>
      <c r="I57" s="6"/>
    </row>
    <row r="58" spans="1:9" x14ac:dyDescent="0.2">
      <c r="A58" s="1" t="s">
        <v>28</v>
      </c>
      <c r="B58" s="6"/>
      <c r="C58" s="6">
        <f>SUM(C52:C56)</f>
        <v>23</v>
      </c>
      <c r="D58" s="6"/>
      <c r="E58" s="6"/>
      <c r="F58" s="6"/>
      <c r="G58" s="6"/>
      <c r="H58" s="6"/>
      <c r="I58" s="6"/>
    </row>
    <row r="59" spans="1:9" x14ac:dyDescent="0.2">
      <c r="A59" s="1" t="s">
        <v>16</v>
      </c>
      <c r="B59" s="1"/>
      <c r="C59" s="6">
        <f>IF(B15=0, 4, (IF(A15=B15, 3, (4-(B15/A15)))))</f>
        <v>3.75</v>
      </c>
      <c r="D59" s="6"/>
      <c r="E59" s="6"/>
      <c r="F59" s="6"/>
      <c r="G59" s="6"/>
      <c r="H59" s="6"/>
      <c r="I59" s="6"/>
    </row>
    <row r="60" spans="1:9" x14ac:dyDescent="0.2">
      <c r="A60" s="1" t="s">
        <v>17</v>
      </c>
      <c r="B60" s="1"/>
      <c r="C60">
        <f>1/C59</f>
        <v>0.26666666666666666</v>
      </c>
    </row>
    <row r="62" spans="1:9" x14ac:dyDescent="0.2">
      <c r="A62" s="4" t="s">
        <v>23</v>
      </c>
      <c r="B62" s="4"/>
      <c r="C62" s="4"/>
      <c r="D62" s="4"/>
      <c r="E62" s="4"/>
      <c r="F62" s="4"/>
      <c r="G62" s="4"/>
      <c r="H62" s="4"/>
      <c r="I62" s="4"/>
    </row>
    <row r="64" spans="1:9" x14ac:dyDescent="0.2">
      <c r="A64" s="1"/>
      <c r="B64" s="1" t="s">
        <v>24</v>
      </c>
      <c r="C64" s="1" t="s">
        <v>18</v>
      </c>
      <c r="D64" s="1" t="s">
        <v>25</v>
      </c>
      <c r="E64" s="1" t="s">
        <v>29</v>
      </c>
    </row>
    <row r="65" spans="1:9" x14ac:dyDescent="0.2">
      <c r="A65" s="1" t="s">
        <v>0</v>
      </c>
      <c r="B65">
        <f>(C65+D65)/2</f>
        <v>0.82499999999999996</v>
      </c>
      <c r="C65">
        <f>B52</f>
        <v>1.1499999999999999</v>
      </c>
      <c r="D65">
        <f>B7</f>
        <v>0.5</v>
      </c>
      <c r="E65">
        <f>B65*(C52/$C$58)</f>
        <v>0.14347826086956519</v>
      </c>
    </row>
    <row r="66" spans="1:9" x14ac:dyDescent="0.2">
      <c r="A66" s="1" t="s">
        <v>1</v>
      </c>
      <c r="B66">
        <f t="shared" ref="B66:B69" si="7">(C66+D66)/2</f>
        <v>1.7875000000000001</v>
      </c>
      <c r="C66">
        <f t="shared" ref="C66:C69" si="8">B53</f>
        <v>0.57499999999999996</v>
      </c>
      <c r="D66">
        <f>C7</f>
        <v>3</v>
      </c>
      <c r="E66">
        <f>B66*(C53/$C$58)</f>
        <v>0.62173913043478257</v>
      </c>
    </row>
    <row r="67" spans="1:9" x14ac:dyDescent="0.2">
      <c r="A67" s="1" t="s">
        <v>2</v>
      </c>
      <c r="B67">
        <f t="shared" si="7"/>
        <v>0.74164999999999992</v>
      </c>
      <c r="C67">
        <f t="shared" si="8"/>
        <v>1.1499999999999999</v>
      </c>
      <c r="D67">
        <f>D7</f>
        <v>0.33329999999999999</v>
      </c>
      <c r="E67">
        <f>B67*(C54/$C$58)</f>
        <v>0.12898260869565215</v>
      </c>
    </row>
    <row r="68" spans="1:9" x14ac:dyDescent="0.2">
      <c r="A68" s="1" t="s">
        <v>3</v>
      </c>
      <c r="B68">
        <f t="shared" si="7"/>
        <v>0.7</v>
      </c>
      <c r="C68">
        <f t="shared" si="8"/>
        <v>1.1499999999999999</v>
      </c>
      <c r="D68">
        <f>E7</f>
        <v>0.25</v>
      </c>
      <c r="E68">
        <f>B68*(C55/$C$58)</f>
        <v>0.1217391304347826</v>
      </c>
    </row>
    <row r="69" spans="1:9" x14ac:dyDescent="0.2">
      <c r="A69" s="1" t="s">
        <v>4</v>
      </c>
      <c r="B69">
        <f t="shared" si="7"/>
        <v>2.7666666666666666</v>
      </c>
      <c r="C69">
        <f t="shared" si="8"/>
        <v>1.5333333333333332</v>
      </c>
      <c r="D69">
        <f>F7</f>
        <v>4</v>
      </c>
      <c r="E69">
        <f>B69*(C56/$C$58)</f>
        <v>0.36086956521739127</v>
      </c>
    </row>
    <row r="71" spans="1:9" x14ac:dyDescent="0.2">
      <c r="A71" s="4" t="s">
        <v>46</v>
      </c>
      <c r="B71" s="4"/>
      <c r="C71" s="4"/>
      <c r="D71" s="4"/>
      <c r="E71" s="7"/>
      <c r="F71" s="7"/>
      <c r="G71" s="7"/>
      <c r="H71" s="7"/>
      <c r="I71" s="7"/>
    </row>
    <row r="73" spans="1:9" x14ac:dyDescent="0.2">
      <c r="A73" s="1" t="s">
        <v>27</v>
      </c>
      <c r="B73">
        <f>SUM(E65:E69)</f>
        <v>1.3768086956521737</v>
      </c>
    </row>
    <row r="74" spans="1:9" x14ac:dyDescent="0.2">
      <c r="A74" s="1"/>
      <c r="B74" s="1" t="s">
        <v>49</v>
      </c>
      <c r="C74" s="1" t="s">
        <v>50</v>
      </c>
      <c r="D74" s="1" t="s">
        <v>51</v>
      </c>
    </row>
    <row r="75" spans="1:9" x14ac:dyDescent="0.2">
      <c r="A75" s="1" t="s">
        <v>37</v>
      </c>
      <c r="B75">
        <f>B65+B66+B67+B68</f>
        <v>4.0541499999999999</v>
      </c>
      <c r="C75">
        <f>B24/$G$24</f>
        <v>0.41176470588235292</v>
      </c>
      <c r="D75">
        <f>B75*C75</f>
        <v>1.6693558823529411</v>
      </c>
    </row>
    <row r="76" spans="1:9" x14ac:dyDescent="0.2">
      <c r="A76" s="1" t="s">
        <v>38</v>
      </c>
      <c r="B76">
        <f>(2*B66)+(3*B69)</f>
        <v>11.875</v>
      </c>
      <c r="C76">
        <f>C24/$G$24</f>
        <v>0.27450980392156865</v>
      </c>
      <c r="D76">
        <f t="shared" ref="D76:D79" si="9">B76*C76</f>
        <v>3.2598039215686279</v>
      </c>
    </row>
    <row r="77" spans="1:9" x14ac:dyDescent="0.2">
      <c r="A77" s="1" t="s">
        <v>39</v>
      </c>
      <c r="B77">
        <f>(B66+B67+B69)/(B29/F29)</f>
        <v>26.479083333333335</v>
      </c>
      <c r="C77">
        <f>D24/$G$24</f>
        <v>0.11764705882352941</v>
      </c>
      <c r="D77">
        <f t="shared" si="9"/>
        <v>3.1151862745098042</v>
      </c>
    </row>
    <row r="78" spans="1:9" x14ac:dyDescent="0.2">
      <c r="A78" s="1" t="s">
        <v>34</v>
      </c>
      <c r="B78">
        <f>((A33*B65)+(A33*B68))/2</f>
        <v>5.3374999999999995</v>
      </c>
      <c r="C78">
        <f>E24/$G$24</f>
        <v>0.10784313725490197</v>
      </c>
      <c r="D78">
        <f t="shared" si="9"/>
        <v>0.57561274509803917</v>
      </c>
    </row>
    <row r="79" spans="1:9" x14ac:dyDescent="0.2">
      <c r="A79" s="1" t="s">
        <v>35</v>
      </c>
      <c r="B79">
        <f>((B66+B67+B69)*B33)/(A29/F29)</f>
        <v>37.827261904761905</v>
      </c>
      <c r="C79">
        <f>F24/$G$24</f>
        <v>8.8235294117647065E-2</v>
      </c>
      <c r="D79">
        <f t="shared" si="9"/>
        <v>3.3376995798319329</v>
      </c>
    </row>
    <row r="80" spans="1:9" x14ac:dyDescent="0.2">
      <c r="A80" s="1" t="s">
        <v>52</v>
      </c>
      <c r="D80">
        <f>D75*D79</f>
        <v>5.5718084271193771</v>
      </c>
    </row>
    <row r="81" spans="1:9" x14ac:dyDescent="0.2">
      <c r="A81" s="1"/>
    </row>
    <row r="82" spans="1:9" x14ac:dyDescent="0.2">
      <c r="A82" s="4" t="s">
        <v>101</v>
      </c>
      <c r="B82" s="4"/>
      <c r="C82" s="4"/>
      <c r="D82" s="4"/>
      <c r="E82" s="4"/>
      <c r="F82" s="4"/>
      <c r="G82" s="4"/>
      <c r="H82" s="4"/>
      <c r="I82" s="4"/>
    </row>
    <row r="84" spans="1:9" x14ac:dyDescent="0.2">
      <c r="A84" s="1"/>
      <c r="B84" s="1" t="s">
        <v>6</v>
      </c>
      <c r="C84" s="1" t="s">
        <v>7</v>
      </c>
      <c r="D84" s="1" t="s">
        <v>21</v>
      </c>
      <c r="E84" s="1" t="s">
        <v>8</v>
      </c>
      <c r="F84" s="1" t="s">
        <v>9</v>
      </c>
      <c r="G84" s="1" t="s">
        <v>107</v>
      </c>
    </row>
    <row r="85" spans="1:9" x14ac:dyDescent="0.2">
      <c r="A85" s="1" t="s">
        <v>102</v>
      </c>
      <c r="B85" s="6">
        <f>COUNTIF(B8:B11, 2)+COUNTIF(B8:B11, 12)</f>
        <v>1</v>
      </c>
      <c r="C85" s="6">
        <f t="shared" ref="C85:F85" si="10">COUNTIF(C8:C11, 2)+COUNTIF(C8:C11, 12)</f>
        <v>0</v>
      </c>
      <c r="D85" s="6">
        <f t="shared" si="10"/>
        <v>0</v>
      </c>
      <c r="E85" s="6">
        <f t="shared" si="10"/>
        <v>0</v>
      </c>
      <c r="F85" s="6">
        <f t="shared" si="10"/>
        <v>1</v>
      </c>
      <c r="G85" s="6">
        <f>B37</f>
        <v>2.7799999999999998E-2</v>
      </c>
      <c r="H85" s="6"/>
      <c r="I85" s="6"/>
    </row>
    <row r="86" spans="1:9" x14ac:dyDescent="0.2">
      <c r="A86" s="1" t="s">
        <v>103</v>
      </c>
      <c r="B86" s="6">
        <f>COUNTIF(B$8:B$11, 3)+COUNTIF(B$8:B$11, 11)</f>
        <v>1</v>
      </c>
      <c r="C86" s="6">
        <f t="shared" ref="C86:F86" si="11">COUNTIF(C$8:C$11, 3)+COUNTIF(C$8:C$11, 11)</f>
        <v>1</v>
      </c>
      <c r="D86" s="6">
        <f t="shared" si="11"/>
        <v>1</v>
      </c>
      <c r="E86" s="6">
        <f t="shared" si="11"/>
        <v>1</v>
      </c>
      <c r="F86" s="6">
        <f t="shared" si="11"/>
        <v>0</v>
      </c>
      <c r="G86" s="6">
        <f t="shared" ref="G86:G89" si="12">B38</f>
        <v>5.5599999999999997E-2</v>
      </c>
      <c r="H86" s="6"/>
      <c r="I86" s="6"/>
    </row>
    <row r="87" spans="1:9" x14ac:dyDescent="0.2">
      <c r="A87" s="1" t="s">
        <v>104</v>
      </c>
      <c r="B87" s="6">
        <f>COUNTIF(B$8:B$11, 4)+COUNTIF(B$8:B$11, 10)</f>
        <v>0</v>
      </c>
      <c r="C87" s="6">
        <f t="shared" ref="C87:F87" si="13">COUNTIF(C$8:C$11, 4)+COUNTIF(C$8:C$11, 10)</f>
        <v>2</v>
      </c>
      <c r="D87" s="6">
        <f t="shared" si="13"/>
        <v>2</v>
      </c>
      <c r="E87" s="6">
        <f t="shared" si="13"/>
        <v>0</v>
      </c>
      <c r="F87" s="6">
        <f t="shared" si="13"/>
        <v>0</v>
      </c>
      <c r="G87" s="6">
        <f t="shared" si="12"/>
        <v>8.3299999999999999E-2</v>
      </c>
      <c r="H87" s="6"/>
      <c r="I87" s="6"/>
    </row>
    <row r="88" spans="1:9" x14ac:dyDescent="0.2">
      <c r="A88" s="1" t="s">
        <v>105</v>
      </c>
      <c r="B88" s="6">
        <f>COUNTIF(B$8:B$11, 5)+COUNTIF(B$8:B$11, 9)</f>
        <v>0</v>
      </c>
      <c r="C88" s="6">
        <f t="shared" ref="C88:F88" si="14">COUNTIF(C$8:C$11, 5)+COUNTIF(C$8:C$11, 9)</f>
        <v>1</v>
      </c>
      <c r="D88" s="6">
        <f t="shared" si="14"/>
        <v>1</v>
      </c>
      <c r="E88" s="6">
        <f t="shared" si="14"/>
        <v>1</v>
      </c>
      <c r="F88" s="6">
        <f t="shared" si="14"/>
        <v>0</v>
      </c>
      <c r="G88" s="6">
        <f t="shared" si="12"/>
        <v>0.1111</v>
      </c>
      <c r="H88" s="6"/>
      <c r="I88" s="6"/>
    </row>
    <row r="89" spans="1:9" x14ac:dyDescent="0.2">
      <c r="A89" s="1" t="s">
        <v>106</v>
      </c>
      <c r="B89" s="6">
        <f>COUNTIF(B$8:B$11, 6)+COUNTIF(B$8:B$11, 8)</f>
        <v>2</v>
      </c>
      <c r="C89" s="6">
        <f t="shared" ref="C89:F89" si="15">COUNTIF(C$8:C$11, 6)+COUNTIF(C$8:C$11, 8)</f>
        <v>0</v>
      </c>
      <c r="D89" s="6">
        <f t="shared" si="15"/>
        <v>0</v>
      </c>
      <c r="E89" s="6">
        <f t="shared" si="15"/>
        <v>1</v>
      </c>
      <c r="F89" s="6">
        <f t="shared" si="15"/>
        <v>2</v>
      </c>
      <c r="G89" s="6">
        <f t="shared" si="12"/>
        <v>0.1389</v>
      </c>
      <c r="H89" s="6"/>
      <c r="I89" s="6"/>
    </row>
    <row r="90" spans="1:9" x14ac:dyDescent="0.2">
      <c r="A90" s="1" t="s">
        <v>50</v>
      </c>
      <c r="B90" s="6">
        <f>((B85*$G$85)+(B86*$G$86)+(B87*$G$87)+(B88*$G$88)+(B89*$G$89))</f>
        <v>0.36119999999999997</v>
      </c>
      <c r="C90" s="6">
        <f t="shared" ref="C90:F90" si="16">((C85*$G$85)+(C86*$G$86)+(C87*$G$87)+(C88*$G$88)+(C89*$G$89))</f>
        <v>0.33330000000000004</v>
      </c>
      <c r="D90" s="6">
        <f t="shared" si="16"/>
        <v>0.33330000000000004</v>
      </c>
      <c r="E90" s="6">
        <f t="shared" si="16"/>
        <v>0.30559999999999998</v>
      </c>
      <c r="F90" s="6">
        <f t="shared" si="16"/>
        <v>0.30559999999999998</v>
      </c>
      <c r="G90" s="6"/>
      <c r="H90" s="6"/>
      <c r="I90" s="6"/>
    </row>
    <row r="91" spans="1:9" x14ac:dyDescent="0.2">
      <c r="A91" s="1"/>
      <c r="B91" s="6"/>
      <c r="C91" s="6"/>
      <c r="D91" s="6"/>
      <c r="E91" s="6"/>
      <c r="F91" s="6"/>
      <c r="G91" s="6"/>
      <c r="H91" s="6"/>
      <c r="I91" s="6"/>
    </row>
    <row r="92" spans="1:9" x14ac:dyDescent="0.2">
      <c r="A92" s="4" t="s">
        <v>76</v>
      </c>
      <c r="B92" s="4"/>
      <c r="C92" s="4"/>
      <c r="D92" s="4"/>
      <c r="E92" s="4"/>
      <c r="F92" s="4"/>
      <c r="G92" s="4"/>
      <c r="H92" s="4"/>
      <c r="I92" s="4"/>
    </row>
    <row r="94" spans="1:9" x14ac:dyDescent="0.2">
      <c r="A94" s="3" t="s">
        <v>87</v>
      </c>
      <c r="B94" s="3"/>
      <c r="C94" s="3"/>
      <c r="D94" s="3"/>
      <c r="E94" s="3"/>
    </row>
    <row r="95" spans="1:9" x14ac:dyDescent="0.2">
      <c r="A95" s="1" t="s">
        <v>19</v>
      </c>
      <c r="B95" s="1" t="s">
        <v>77</v>
      </c>
      <c r="C95" s="1" t="s">
        <v>78</v>
      </c>
      <c r="D95" s="1" t="s">
        <v>79</v>
      </c>
      <c r="E95" s="1" t="s">
        <v>80</v>
      </c>
    </row>
    <row r="96" spans="1:9" x14ac:dyDescent="0.2">
      <c r="A96" s="5" t="s">
        <v>81</v>
      </c>
      <c r="B96">
        <f>B73</f>
        <v>1.3768086956521737</v>
      </c>
      <c r="C96">
        <f>B96*4</f>
        <v>5.5072347826086947</v>
      </c>
      <c r="D96">
        <f>B96*3</f>
        <v>4.130426086956521</v>
      </c>
      <c r="E96">
        <f>C96-D96</f>
        <v>1.3768086956521737</v>
      </c>
    </row>
    <row r="97" spans="1:6" x14ac:dyDescent="0.2">
      <c r="A97" s="1" t="s">
        <v>82</v>
      </c>
      <c r="B97">
        <f>AVERAGE(B66:B69)</f>
        <v>1.4989541666666666</v>
      </c>
      <c r="C97">
        <f>B65*4</f>
        <v>3.3</v>
      </c>
      <c r="D97">
        <f>B97*2</f>
        <v>2.9979083333333332</v>
      </c>
      <c r="E97">
        <f t="shared" ref="E97:E101" si="17">C97-D97</f>
        <v>0.30209166666666665</v>
      </c>
    </row>
    <row r="98" spans="1:6" x14ac:dyDescent="0.2">
      <c r="A98" s="1" t="s">
        <v>83</v>
      </c>
      <c r="B98">
        <f>(B65+B67+B68+B69)/4</f>
        <v>1.2583291666666665</v>
      </c>
      <c r="C98">
        <f>B66*4</f>
        <v>7.15</v>
      </c>
      <c r="D98">
        <f t="shared" ref="D98:D101" si="18">B98*2</f>
        <v>2.516658333333333</v>
      </c>
      <c r="E98">
        <f t="shared" si="17"/>
        <v>4.6333416666666674</v>
      </c>
    </row>
    <row r="99" spans="1:6" x14ac:dyDescent="0.2">
      <c r="A99" s="1" t="s">
        <v>84</v>
      </c>
      <c r="B99">
        <f>(B65+B66+B68+B69)/4</f>
        <v>1.5197916666666667</v>
      </c>
      <c r="C99">
        <f>B67*4</f>
        <v>2.9665999999999997</v>
      </c>
      <c r="D99">
        <f t="shared" si="18"/>
        <v>3.0395833333333333</v>
      </c>
      <c r="E99">
        <f t="shared" si="17"/>
        <v>-7.2983333333333622E-2</v>
      </c>
    </row>
    <row r="100" spans="1:6" x14ac:dyDescent="0.2">
      <c r="A100" s="1" t="s">
        <v>85</v>
      </c>
      <c r="B100">
        <f>(B65+B76+B67+B69)/4</f>
        <v>4.0520791666666662</v>
      </c>
      <c r="C100">
        <f>B68*4</f>
        <v>2.8</v>
      </c>
      <c r="D100">
        <f t="shared" si="18"/>
        <v>8.1041583333333325</v>
      </c>
      <c r="E100">
        <f t="shared" si="17"/>
        <v>-5.3041583333333326</v>
      </c>
    </row>
    <row r="101" spans="1:6" x14ac:dyDescent="0.2">
      <c r="A101" s="1" t="s">
        <v>86</v>
      </c>
      <c r="B101">
        <f>AVERAGE(B65:B68)</f>
        <v>1.0135375</v>
      </c>
      <c r="C101">
        <f>B69*4</f>
        <v>11.066666666666666</v>
      </c>
      <c r="D101">
        <f t="shared" si="18"/>
        <v>2.027075</v>
      </c>
      <c r="E101">
        <f t="shared" si="17"/>
        <v>9.0395916666666665</v>
      </c>
    </row>
    <row r="103" spans="1:6" x14ac:dyDescent="0.2">
      <c r="A103" s="3" t="s">
        <v>33</v>
      </c>
      <c r="B103" s="3"/>
      <c r="C103" s="3"/>
      <c r="D103" s="3"/>
      <c r="E103" s="3"/>
    </row>
    <row r="104" spans="1:6" x14ac:dyDescent="0.2">
      <c r="A104" s="1" t="s">
        <v>19</v>
      </c>
      <c r="B104" s="1" t="s">
        <v>77</v>
      </c>
      <c r="C104" s="1" t="s">
        <v>78</v>
      </c>
      <c r="D104" s="1" t="s">
        <v>79</v>
      </c>
      <c r="E104" s="1" t="s">
        <v>80</v>
      </c>
      <c r="F104" s="1" t="s">
        <v>88</v>
      </c>
    </row>
    <row r="105" spans="1:6" x14ac:dyDescent="0.2">
      <c r="A105" s="5" t="s">
        <v>81</v>
      </c>
      <c r="B105">
        <f>B96*$E$33</f>
        <v>9.6376608695652166</v>
      </c>
      <c r="C105">
        <f t="shared" ref="C105:E105" si="19">C96*$E$33</f>
        <v>38.550643478260866</v>
      </c>
      <c r="D105">
        <f t="shared" si="19"/>
        <v>28.912982608695646</v>
      </c>
      <c r="E105">
        <f t="shared" si="19"/>
        <v>9.6376608695652166</v>
      </c>
      <c r="F105">
        <f>E105*B47</f>
        <v>4.2834048309178741</v>
      </c>
    </row>
    <row r="106" spans="1:6" x14ac:dyDescent="0.2">
      <c r="A106" s="1" t="s">
        <v>82</v>
      </c>
      <c r="B106">
        <f t="shared" ref="B106:E110" si="20">B97*$E$33</f>
        <v>10.492679166666665</v>
      </c>
      <c r="C106">
        <f t="shared" si="20"/>
        <v>23.099999999999998</v>
      </c>
      <c r="D106">
        <f t="shared" si="20"/>
        <v>20.98535833333333</v>
      </c>
      <c r="E106">
        <f t="shared" si="20"/>
        <v>2.1146416666666665</v>
      </c>
      <c r="F106">
        <f>E106*C47</f>
        <v>0.23496018518518516</v>
      </c>
    </row>
    <row r="107" spans="1:6" x14ac:dyDescent="0.2">
      <c r="A107" s="1" t="s">
        <v>83</v>
      </c>
      <c r="B107">
        <f t="shared" si="20"/>
        <v>8.8083041666666659</v>
      </c>
      <c r="C107">
        <f t="shared" si="20"/>
        <v>50.050000000000004</v>
      </c>
      <c r="D107">
        <f t="shared" si="20"/>
        <v>17.616608333333332</v>
      </c>
      <c r="E107">
        <f t="shared" si="20"/>
        <v>32.433391666666672</v>
      </c>
      <c r="F107">
        <f>E107*D47</f>
        <v>3.6037101851851858</v>
      </c>
    </row>
    <row r="108" spans="1:6" x14ac:dyDescent="0.2">
      <c r="A108" s="1" t="s">
        <v>84</v>
      </c>
      <c r="B108">
        <f t="shared" si="20"/>
        <v>10.638541666666667</v>
      </c>
      <c r="C108">
        <f t="shared" si="20"/>
        <v>20.766199999999998</v>
      </c>
      <c r="D108">
        <f t="shared" si="20"/>
        <v>21.277083333333334</v>
      </c>
      <c r="E108">
        <f t="shared" si="20"/>
        <v>-0.51088333333333535</v>
      </c>
      <c r="F108">
        <f>E108*E47</f>
        <v>-5.6764814814815039E-2</v>
      </c>
    </row>
    <row r="109" spans="1:6" x14ac:dyDescent="0.2">
      <c r="A109" s="1" t="s">
        <v>85</v>
      </c>
      <c r="B109">
        <f t="shared" si="20"/>
        <v>28.364554166666665</v>
      </c>
      <c r="C109">
        <f t="shared" si="20"/>
        <v>19.599999999999998</v>
      </c>
      <c r="D109">
        <f t="shared" si="20"/>
        <v>56.729108333333329</v>
      </c>
      <c r="E109">
        <f t="shared" si="20"/>
        <v>-37.129108333333328</v>
      </c>
      <c r="F109">
        <f>E109*F47</f>
        <v>-4.1254564814814803</v>
      </c>
    </row>
    <row r="110" spans="1:6" x14ac:dyDescent="0.2">
      <c r="A110" s="1" t="s">
        <v>86</v>
      </c>
      <c r="B110">
        <f t="shared" si="20"/>
        <v>7.0947624999999999</v>
      </c>
      <c r="C110">
        <f t="shared" si="20"/>
        <v>77.466666666666669</v>
      </c>
      <c r="D110">
        <f t="shared" si="20"/>
        <v>14.189525</v>
      </c>
      <c r="E110">
        <f t="shared" si="20"/>
        <v>63.277141666666665</v>
      </c>
      <c r="F110">
        <f>E110*G47</f>
        <v>7.030793518518518</v>
      </c>
    </row>
    <row r="111" spans="1:6" x14ac:dyDescent="0.2">
      <c r="A111" s="1" t="s">
        <v>90</v>
      </c>
      <c r="F111">
        <f>SUM(F105:F110)</f>
        <v>10.970647423510467</v>
      </c>
    </row>
    <row r="113" spans="1:9" x14ac:dyDescent="0.2">
      <c r="A113" s="4" t="s">
        <v>53</v>
      </c>
      <c r="B113" s="8"/>
      <c r="C113" s="8"/>
      <c r="D113" s="8"/>
      <c r="E113" s="8"/>
      <c r="F113" s="8"/>
      <c r="G113" s="8"/>
      <c r="H113" s="8"/>
      <c r="I113" s="8"/>
    </row>
    <row r="115" spans="1:9" x14ac:dyDescent="0.2">
      <c r="B115" s="2" t="s">
        <v>37</v>
      </c>
      <c r="C115" s="2" t="s">
        <v>38</v>
      </c>
      <c r="D115" s="2" t="s">
        <v>54</v>
      </c>
      <c r="E115" s="3" t="s">
        <v>39</v>
      </c>
      <c r="F115" s="3"/>
      <c r="G115" s="3"/>
      <c r="H115" s="3"/>
      <c r="I115" s="3"/>
    </row>
    <row r="116" spans="1:9" x14ac:dyDescent="0.2">
      <c r="A116" s="1" t="s">
        <v>49</v>
      </c>
      <c r="B116" s="6">
        <f>B75</f>
        <v>4.0541499999999999</v>
      </c>
      <c r="C116" s="6">
        <f>B76</f>
        <v>11.875</v>
      </c>
      <c r="D116" s="6">
        <f>B65+B68</f>
        <v>1.5249999999999999</v>
      </c>
      <c r="E116" s="10">
        <f>B66+B67+B69</f>
        <v>5.2958166666666671</v>
      </c>
      <c r="F116" s="10"/>
      <c r="G116" s="10"/>
      <c r="H116" s="10"/>
      <c r="I116" s="10"/>
    </row>
    <row r="117" spans="1:9" x14ac:dyDescent="0.2">
      <c r="A117" s="1" t="s">
        <v>59</v>
      </c>
      <c r="B117" s="11">
        <f>(B118-B116)/B116</f>
        <v>4.1298126326858799</v>
      </c>
      <c r="C117" s="11">
        <f t="shared" ref="C117:D117" si="21">(C118-C116)/C116</f>
        <v>0.48737340567342297</v>
      </c>
      <c r="D117" s="11">
        <f t="shared" si="21"/>
        <v>7.045109329891952</v>
      </c>
      <c r="E117" s="12">
        <f>(E118-E116)/E116</f>
        <v>0.10805440425808824</v>
      </c>
      <c r="F117" s="12"/>
      <c r="G117" s="12"/>
      <c r="H117" s="12"/>
      <c r="I117" s="12"/>
    </row>
    <row r="118" spans="1:9" x14ac:dyDescent="0.2">
      <c r="A118" s="9" t="s">
        <v>51</v>
      </c>
      <c r="B118" s="9">
        <f>B122+B123+B124</f>
        <v>20.797029884803461</v>
      </c>
      <c r="C118" s="9">
        <f>C122+C123</f>
        <v>17.662559192371898</v>
      </c>
      <c r="D118" s="9">
        <f>D125+D126</f>
        <v>12.268791728085226</v>
      </c>
      <c r="E118" s="3">
        <f>SUM(E120:I120)</f>
        <v>5.8680529816433884</v>
      </c>
      <c r="F118" s="3"/>
      <c r="G118" s="3"/>
      <c r="H118" s="3"/>
      <c r="I118" s="3"/>
    </row>
    <row r="119" spans="1:9" x14ac:dyDescent="0.2">
      <c r="A119" s="9"/>
      <c r="B119" s="9"/>
      <c r="C119" s="9"/>
      <c r="D119" s="9"/>
      <c r="E119" s="1" t="s">
        <v>58</v>
      </c>
      <c r="F119" s="1" t="s">
        <v>44</v>
      </c>
      <c r="G119" s="1" t="s">
        <v>45</v>
      </c>
      <c r="H119" s="1" t="s">
        <v>41</v>
      </c>
      <c r="I119" s="1" t="s">
        <v>42</v>
      </c>
    </row>
    <row r="120" spans="1:9" x14ac:dyDescent="0.2">
      <c r="A120" s="9"/>
      <c r="B120" s="9"/>
      <c r="C120" s="9"/>
      <c r="D120" s="9"/>
      <c r="E120" s="1">
        <f>(C$29/$F$29)*E121</f>
        <v>0.24399999999999999</v>
      </c>
      <c r="F120" s="1">
        <f>(D$29/$F$29)*F121</f>
        <v>0.2202893913043478</v>
      </c>
      <c r="G120" s="1">
        <f>(E$29/$F$29)*G121</f>
        <v>0.55072347826086954</v>
      </c>
      <c r="H120" s="1">
        <f>(A29/F29)*H121</f>
        <v>3.7386784266542952</v>
      </c>
      <c r="I120" s="1">
        <f>(B29/F29)*I121</f>
        <v>1.1143616854238754</v>
      </c>
    </row>
    <row r="121" spans="1:9" x14ac:dyDescent="0.2">
      <c r="A121" s="9"/>
      <c r="B121" s="9"/>
      <c r="C121" s="9"/>
      <c r="D121" s="9"/>
      <c r="E121">
        <f>D116*2</f>
        <v>3.05</v>
      </c>
      <c r="F121">
        <f>2*B73</f>
        <v>2.7536173913043474</v>
      </c>
      <c r="G121">
        <f>B73*E30</f>
        <v>6.8840434782608684</v>
      </c>
      <c r="H121">
        <f>SUM(H127:H130)</f>
        <v>6.6762114761683833</v>
      </c>
      <c r="I121">
        <f>B123</f>
        <v>5.5718084271193771</v>
      </c>
    </row>
    <row r="122" spans="1:9" x14ac:dyDescent="0.2">
      <c r="A122" s="1" t="s">
        <v>55</v>
      </c>
      <c r="B122">
        <f>$G$134*D42*(D33/2)</f>
        <v>12.090750765252521</v>
      </c>
      <c r="C122">
        <f>B122</f>
        <v>12.090750765252521</v>
      </c>
    </row>
    <row r="123" spans="1:9" x14ac:dyDescent="0.2">
      <c r="A123" s="1" t="s">
        <v>42</v>
      </c>
      <c r="B123">
        <f>D80</f>
        <v>5.5718084271193771</v>
      </c>
      <c r="C123">
        <f>B123</f>
        <v>5.5718084271193771</v>
      </c>
    </row>
    <row r="124" spans="1:9" x14ac:dyDescent="0.2">
      <c r="A124" s="1" t="s">
        <v>19</v>
      </c>
      <c r="B124">
        <f>F111*(H24/B24)</f>
        <v>3.1344706924315617</v>
      </c>
    </row>
    <row r="125" spans="1:9" x14ac:dyDescent="0.2">
      <c r="A125" s="1" t="s">
        <v>56</v>
      </c>
      <c r="D125">
        <f>(E25/I24)*2</f>
        <v>0.36562576172033695</v>
      </c>
    </row>
    <row r="126" spans="1:9" x14ac:dyDescent="0.2">
      <c r="A126" s="1" t="s">
        <v>57</v>
      </c>
      <c r="D126">
        <f>(B24/I24)*(B118-B116)</f>
        <v>11.90316596636489</v>
      </c>
    </row>
    <row r="127" spans="1:9" x14ac:dyDescent="0.2">
      <c r="A127" s="1" t="s">
        <v>60</v>
      </c>
      <c r="H127">
        <f>1.1444*B73</f>
        <v>1.5756198713043477</v>
      </c>
    </row>
    <row r="128" spans="1:9" x14ac:dyDescent="0.2">
      <c r="A128" s="1" t="s">
        <v>61</v>
      </c>
      <c r="H128">
        <f>H127*(1/B73)</f>
        <v>1.1444000000000001</v>
      </c>
    </row>
    <row r="129" spans="1:9" x14ac:dyDescent="0.2">
      <c r="A129" s="1" t="s">
        <v>62</v>
      </c>
      <c r="H129">
        <f>(F25/A30)*2*D80</f>
        <v>2.7859042135596885</v>
      </c>
    </row>
    <row r="130" spans="1:9" x14ac:dyDescent="0.2">
      <c r="A130" s="1" t="s">
        <v>94</v>
      </c>
      <c r="H130">
        <f>H34*B73</f>
        <v>1.1702873913043477</v>
      </c>
    </row>
    <row r="132" spans="1:9" x14ac:dyDescent="0.2">
      <c r="A132" s="4" t="s">
        <v>108</v>
      </c>
      <c r="B132" s="4"/>
      <c r="C132" s="4"/>
      <c r="D132" s="4"/>
      <c r="E132" s="4"/>
      <c r="F132" s="4"/>
      <c r="G132" s="4"/>
      <c r="H132" s="4"/>
      <c r="I132" s="4"/>
    </row>
    <row r="134" spans="1:9" x14ac:dyDescent="0.2">
      <c r="A134" s="3" t="s">
        <v>109</v>
      </c>
      <c r="B134" s="3"/>
      <c r="C134" s="3"/>
      <c r="D134" s="3"/>
      <c r="E134" s="3"/>
      <c r="F134" s="1" t="s">
        <v>112</v>
      </c>
      <c r="G134">
        <f>AVERAGE(G136:G190)</f>
        <v>3.3768854545454534</v>
      </c>
    </row>
    <row r="135" spans="1:9" x14ac:dyDescent="0.2">
      <c r="A135" s="1" t="s">
        <v>0</v>
      </c>
      <c r="B135" s="1" t="s">
        <v>1</v>
      </c>
      <c r="C135" s="1" t="s">
        <v>2</v>
      </c>
      <c r="D135" s="1" t="s">
        <v>3</v>
      </c>
      <c r="E135" s="1" t="s">
        <v>4</v>
      </c>
      <c r="F135" s="1" t="s">
        <v>110</v>
      </c>
      <c r="G135" s="1" t="s">
        <v>111</v>
      </c>
      <c r="H135" s="1"/>
    </row>
    <row r="136" spans="1:9" s="6" customFormat="1" x14ac:dyDescent="0.2">
      <c r="A136" s="6">
        <v>0</v>
      </c>
      <c r="F136" s="16">
        <f>SUM(A136:E136)</f>
        <v>0</v>
      </c>
      <c r="G136" s="6">
        <f>(A136*$B$65)+(B136*$B$66)+(C136*$B$67)+(D136*$B$68)+(E136*$B$69)</f>
        <v>0</v>
      </c>
    </row>
    <row r="137" spans="1:9" x14ac:dyDescent="0.2">
      <c r="A137">
        <v>1</v>
      </c>
      <c r="F137" s="17">
        <f t="shared" ref="F137:F157" si="22">SUM(A137:E137)</f>
        <v>1</v>
      </c>
      <c r="G137" s="6">
        <f t="shared" ref="G137:G190" si="23">(A137*$B$65)+(B137*$B$66)+(C137*$B$67)+(D137*$B$68)+(E137*$B$69)</f>
        <v>0.82499999999999996</v>
      </c>
    </row>
    <row r="138" spans="1:9" x14ac:dyDescent="0.2">
      <c r="B138">
        <v>1</v>
      </c>
      <c r="F138" s="17"/>
      <c r="G138" s="6">
        <f t="shared" si="23"/>
        <v>1.7875000000000001</v>
      </c>
    </row>
    <row r="139" spans="1:9" x14ac:dyDescent="0.2">
      <c r="C139">
        <v>1</v>
      </c>
      <c r="F139" s="17"/>
      <c r="G139" s="6">
        <f t="shared" si="23"/>
        <v>0.74164999999999992</v>
      </c>
    </row>
    <row r="140" spans="1:9" x14ac:dyDescent="0.2">
      <c r="D140">
        <v>1</v>
      </c>
      <c r="F140" s="17"/>
      <c r="G140" s="6">
        <f t="shared" si="23"/>
        <v>0.7</v>
      </c>
    </row>
    <row r="141" spans="1:9" x14ac:dyDescent="0.2">
      <c r="E141">
        <v>1</v>
      </c>
      <c r="F141" s="17"/>
      <c r="G141" s="6">
        <f t="shared" si="23"/>
        <v>2.7666666666666666</v>
      </c>
    </row>
    <row r="142" spans="1:9" x14ac:dyDescent="0.2">
      <c r="A142">
        <v>2</v>
      </c>
      <c r="F142" s="17">
        <f t="shared" si="22"/>
        <v>2</v>
      </c>
      <c r="G142" s="6">
        <f t="shared" si="23"/>
        <v>1.65</v>
      </c>
    </row>
    <row r="143" spans="1:9" x14ac:dyDescent="0.2">
      <c r="B143">
        <v>2</v>
      </c>
      <c r="F143" s="17"/>
      <c r="G143" s="6">
        <f t="shared" si="23"/>
        <v>3.5750000000000002</v>
      </c>
    </row>
    <row r="144" spans="1:9" x14ac:dyDescent="0.2">
      <c r="C144">
        <v>2</v>
      </c>
      <c r="F144" s="17"/>
      <c r="G144" s="6">
        <f t="shared" si="23"/>
        <v>1.4832999999999998</v>
      </c>
    </row>
    <row r="145" spans="1:7" x14ac:dyDescent="0.2">
      <c r="D145">
        <v>2</v>
      </c>
      <c r="F145" s="17"/>
      <c r="G145" s="6">
        <f t="shared" si="23"/>
        <v>1.4</v>
      </c>
    </row>
    <row r="146" spans="1:7" x14ac:dyDescent="0.2">
      <c r="E146">
        <v>2</v>
      </c>
      <c r="F146" s="17"/>
      <c r="G146" s="6">
        <f t="shared" si="23"/>
        <v>5.5333333333333332</v>
      </c>
    </row>
    <row r="147" spans="1:7" x14ac:dyDescent="0.2">
      <c r="A147">
        <v>1</v>
      </c>
      <c r="B147">
        <v>1</v>
      </c>
      <c r="F147" s="17"/>
      <c r="G147" s="6">
        <f t="shared" si="23"/>
        <v>2.6124999999999998</v>
      </c>
    </row>
    <row r="148" spans="1:7" x14ac:dyDescent="0.2">
      <c r="A148">
        <v>1</v>
      </c>
      <c r="C148">
        <v>1</v>
      </c>
      <c r="F148" s="17"/>
      <c r="G148" s="6">
        <f t="shared" si="23"/>
        <v>1.5666499999999999</v>
      </c>
    </row>
    <row r="149" spans="1:7" x14ac:dyDescent="0.2">
      <c r="A149">
        <v>1</v>
      </c>
      <c r="D149">
        <v>1</v>
      </c>
      <c r="F149" s="17"/>
      <c r="G149" s="6">
        <f t="shared" si="23"/>
        <v>1.5249999999999999</v>
      </c>
    </row>
    <row r="150" spans="1:7" x14ac:dyDescent="0.2">
      <c r="A150">
        <v>1</v>
      </c>
      <c r="E150">
        <v>1</v>
      </c>
      <c r="F150" s="17"/>
      <c r="G150" s="6">
        <f t="shared" si="23"/>
        <v>3.5916666666666668</v>
      </c>
    </row>
    <row r="151" spans="1:7" x14ac:dyDescent="0.2">
      <c r="B151">
        <v>1</v>
      </c>
      <c r="C151">
        <v>1</v>
      </c>
      <c r="F151" s="17"/>
      <c r="G151" s="6">
        <f t="shared" si="23"/>
        <v>2.52915</v>
      </c>
    </row>
    <row r="152" spans="1:7" x14ac:dyDescent="0.2">
      <c r="B152">
        <v>1</v>
      </c>
      <c r="D152">
        <v>1</v>
      </c>
      <c r="F152" s="17"/>
      <c r="G152" s="6">
        <f t="shared" si="23"/>
        <v>2.4874999999999998</v>
      </c>
    </row>
    <row r="153" spans="1:7" x14ac:dyDescent="0.2">
      <c r="B153">
        <v>1</v>
      </c>
      <c r="E153">
        <v>1</v>
      </c>
      <c r="F153" s="17"/>
      <c r="G153" s="6">
        <f t="shared" si="23"/>
        <v>4.5541666666666671</v>
      </c>
    </row>
    <row r="154" spans="1:7" x14ac:dyDescent="0.2">
      <c r="C154">
        <v>1</v>
      </c>
      <c r="D154">
        <v>1</v>
      </c>
      <c r="F154" s="17"/>
      <c r="G154" s="6">
        <f t="shared" si="23"/>
        <v>1.4416499999999999</v>
      </c>
    </row>
    <row r="155" spans="1:7" x14ac:dyDescent="0.2">
      <c r="C155">
        <v>1</v>
      </c>
      <c r="E155">
        <v>1</v>
      </c>
      <c r="F155" s="17"/>
      <c r="G155" s="6">
        <f t="shared" si="23"/>
        <v>3.5083166666666665</v>
      </c>
    </row>
    <row r="156" spans="1:7" x14ac:dyDescent="0.2">
      <c r="D156">
        <v>1</v>
      </c>
      <c r="E156">
        <v>1</v>
      </c>
      <c r="F156" s="17"/>
      <c r="G156" s="6">
        <f t="shared" si="23"/>
        <v>3.4666666666666668</v>
      </c>
    </row>
    <row r="157" spans="1:7" x14ac:dyDescent="0.2">
      <c r="A157">
        <v>3</v>
      </c>
      <c r="F157" s="17">
        <f t="shared" si="22"/>
        <v>3</v>
      </c>
      <c r="G157" s="6">
        <f t="shared" si="23"/>
        <v>2.4749999999999996</v>
      </c>
    </row>
    <row r="158" spans="1:7" x14ac:dyDescent="0.2">
      <c r="B158">
        <v>3</v>
      </c>
      <c r="F158" s="17"/>
      <c r="G158" s="6">
        <f t="shared" si="23"/>
        <v>5.3625000000000007</v>
      </c>
    </row>
    <row r="159" spans="1:7" x14ac:dyDescent="0.2">
      <c r="C159">
        <v>3</v>
      </c>
      <c r="F159" s="17"/>
      <c r="G159" s="6">
        <f t="shared" si="23"/>
        <v>2.2249499999999998</v>
      </c>
    </row>
    <row r="160" spans="1:7" x14ac:dyDescent="0.2">
      <c r="D160">
        <v>3</v>
      </c>
      <c r="F160" s="17"/>
      <c r="G160" s="6">
        <f t="shared" si="23"/>
        <v>2.0999999999999996</v>
      </c>
    </row>
    <row r="161" spans="1:7" x14ac:dyDescent="0.2">
      <c r="E161">
        <v>3</v>
      </c>
      <c r="F161" s="17"/>
      <c r="G161" s="6">
        <f t="shared" si="23"/>
        <v>8.3000000000000007</v>
      </c>
    </row>
    <row r="162" spans="1:7" x14ac:dyDescent="0.2">
      <c r="A162">
        <v>1</v>
      </c>
      <c r="B162">
        <v>1</v>
      </c>
      <c r="C162">
        <v>1</v>
      </c>
      <c r="F162" s="17"/>
      <c r="G162" s="6">
        <f t="shared" si="23"/>
        <v>3.3541499999999997</v>
      </c>
    </row>
    <row r="163" spans="1:7" x14ac:dyDescent="0.2">
      <c r="A163">
        <v>1</v>
      </c>
      <c r="B163">
        <v>1</v>
      </c>
      <c r="D163">
        <v>1</v>
      </c>
      <c r="F163" s="17"/>
      <c r="G163" s="6">
        <f t="shared" si="23"/>
        <v>3.3125</v>
      </c>
    </row>
    <row r="164" spans="1:7" x14ac:dyDescent="0.2">
      <c r="A164">
        <v>1</v>
      </c>
      <c r="B164">
        <v>1</v>
      </c>
      <c r="E164">
        <v>1</v>
      </c>
      <c r="F164" s="17"/>
      <c r="G164" s="6">
        <f t="shared" si="23"/>
        <v>5.3791666666666664</v>
      </c>
    </row>
    <row r="165" spans="1:7" x14ac:dyDescent="0.2">
      <c r="A165">
        <v>1</v>
      </c>
      <c r="C165">
        <v>1</v>
      </c>
      <c r="D165">
        <v>1</v>
      </c>
      <c r="F165" s="17"/>
      <c r="G165" s="6">
        <f t="shared" si="23"/>
        <v>2.2666499999999998</v>
      </c>
    </row>
    <row r="166" spans="1:7" x14ac:dyDescent="0.2">
      <c r="A166">
        <v>1</v>
      </c>
      <c r="C166">
        <v>1</v>
      </c>
      <c r="E166">
        <v>1</v>
      </c>
      <c r="F166" s="17"/>
      <c r="G166" s="6">
        <f t="shared" si="23"/>
        <v>4.3333166666666667</v>
      </c>
    </row>
    <row r="167" spans="1:7" x14ac:dyDescent="0.2">
      <c r="A167">
        <v>1</v>
      </c>
      <c r="D167">
        <v>1</v>
      </c>
      <c r="E167">
        <v>1</v>
      </c>
      <c r="F167" s="17"/>
      <c r="G167" s="6">
        <f t="shared" si="23"/>
        <v>4.2916666666666661</v>
      </c>
    </row>
    <row r="168" spans="1:7" x14ac:dyDescent="0.2">
      <c r="B168">
        <v>1</v>
      </c>
      <c r="C168">
        <v>1</v>
      </c>
      <c r="D168">
        <v>1</v>
      </c>
      <c r="F168" s="17"/>
      <c r="G168" s="6">
        <f t="shared" si="23"/>
        <v>3.2291499999999997</v>
      </c>
    </row>
    <row r="169" spans="1:7" x14ac:dyDescent="0.2">
      <c r="B169">
        <v>1</v>
      </c>
      <c r="C169">
        <v>1</v>
      </c>
      <c r="E169">
        <v>1</v>
      </c>
      <c r="F169" s="17"/>
      <c r="G169" s="6">
        <f t="shared" si="23"/>
        <v>5.2958166666666671</v>
      </c>
    </row>
    <row r="170" spans="1:7" x14ac:dyDescent="0.2">
      <c r="C170">
        <v>1</v>
      </c>
      <c r="D170">
        <v>1</v>
      </c>
      <c r="E170">
        <v>1</v>
      </c>
      <c r="F170" s="17"/>
      <c r="G170" s="6">
        <f t="shared" si="23"/>
        <v>4.2083166666666667</v>
      </c>
    </row>
    <row r="171" spans="1:7" x14ac:dyDescent="0.2">
      <c r="A171">
        <v>2</v>
      </c>
      <c r="B171">
        <v>1</v>
      </c>
      <c r="F171" s="17"/>
      <c r="G171" s="6">
        <f t="shared" si="23"/>
        <v>3.4375</v>
      </c>
    </row>
    <row r="172" spans="1:7" x14ac:dyDescent="0.2">
      <c r="A172">
        <v>2</v>
      </c>
      <c r="C172">
        <v>1</v>
      </c>
      <c r="F172" s="17"/>
      <c r="G172" s="6">
        <f t="shared" si="23"/>
        <v>2.3916499999999998</v>
      </c>
    </row>
    <row r="173" spans="1:7" x14ac:dyDescent="0.2">
      <c r="A173">
        <v>2</v>
      </c>
      <c r="D173">
        <v>1</v>
      </c>
      <c r="F173" s="17"/>
      <c r="G173" s="6">
        <f t="shared" si="23"/>
        <v>2.3499999999999996</v>
      </c>
    </row>
    <row r="174" spans="1:7" x14ac:dyDescent="0.2">
      <c r="A174">
        <v>2</v>
      </c>
      <c r="E174">
        <v>1</v>
      </c>
      <c r="F174" s="17"/>
      <c r="G174" s="6">
        <f t="shared" si="23"/>
        <v>4.4166666666666661</v>
      </c>
    </row>
    <row r="175" spans="1:7" x14ac:dyDescent="0.2">
      <c r="A175">
        <v>1</v>
      </c>
      <c r="B175">
        <v>2</v>
      </c>
      <c r="F175" s="17"/>
      <c r="G175" s="6">
        <f t="shared" si="23"/>
        <v>4.4000000000000004</v>
      </c>
    </row>
    <row r="176" spans="1:7" x14ac:dyDescent="0.2">
      <c r="B176">
        <v>2</v>
      </c>
      <c r="C176">
        <v>1</v>
      </c>
      <c r="F176" s="17"/>
      <c r="G176" s="6">
        <f t="shared" si="23"/>
        <v>4.3166500000000001</v>
      </c>
    </row>
    <row r="177" spans="1:7" x14ac:dyDescent="0.2">
      <c r="B177">
        <v>2</v>
      </c>
      <c r="D177">
        <v>1</v>
      </c>
      <c r="F177" s="17"/>
      <c r="G177" s="6">
        <f t="shared" si="23"/>
        <v>4.2750000000000004</v>
      </c>
    </row>
    <row r="178" spans="1:7" x14ac:dyDescent="0.2">
      <c r="B178">
        <v>2</v>
      </c>
      <c r="E178">
        <v>1</v>
      </c>
      <c r="F178" s="17"/>
      <c r="G178" s="6">
        <f t="shared" si="23"/>
        <v>6.3416666666666668</v>
      </c>
    </row>
    <row r="179" spans="1:7" x14ac:dyDescent="0.2">
      <c r="A179">
        <v>1</v>
      </c>
      <c r="C179">
        <v>2</v>
      </c>
      <c r="F179" s="17"/>
      <c r="G179" s="6">
        <f t="shared" si="23"/>
        <v>2.3083</v>
      </c>
    </row>
    <row r="180" spans="1:7" x14ac:dyDescent="0.2">
      <c r="B180">
        <v>1</v>
      </c>
      <c r="C180">
        <v>2</v>
      </c>
      <c r="F180" s="17"/>
      <c r="G180" s="6">
        <f t="shared" si="23"/>
        <v>3.2707999999999999</v>
      </c>
    </row>
    <row r="181" spans="1:7" x14ac:dyDescent="0.2">
      <c r="C181">
        <v>2</v>
      </c>
      <c r="D181">
        <v>1</v>
      </c>
      <c r="F181" s="17"/>
      <c r="G181" s="6">
        <f t="shared" si="23"/>
        <v>2.1833</v>
      </c>
    </row>
    <row r="182" spans="1:7" x14ac:dyDescent="0.2">
      <c r="C182">
        <v>2</v>
      </c>
      <c r="E182">
        <v>1</v>
      </c>
      <c r="F182" s="17"/>
      <c r="G182" s="6">
        <f t="shared" si="23"/>
        <v>4.2499666666666664</v>
      </c>
    </row>
    <row r="183" spans="1:7" x14ac:dyDescent="0.2">
      <c r="A183">
        <v>1</v>
      </c>
      <c r="D183">
        <v>2</v>
      </c>
      <c r="F183" s="17"/>
      <c r="G183" s="6">
        <f t="shared" si="23"/>
        <v>2.2249999999999996</v>
      </c>
    </row>
    <row r="184" spans="1:7" x14ac:dyDescent="0.2">
      <c r="B184">
        <v>1</v>
      </c>
      <c r="D184">
        <v>2</v>
      </c>
      <c r="F184" s="17"/>
      <c r="G184" s="6">
        <f t="shared" si="23"/>
        <v>3.1875</v>
      </c>
    </row>
    <row r="185" spans="1:7" x14ac:dyDescent="0.2">
      <c r="C185">
        <v>1</v>
      </c>
      <c r="D185">
        <v>2</v>
      </c>
      <c r="F185" s="17"/>
      <c r="G185" s="6">
        <f t="shared" si="23"/>
        <v>2.1416499999999998</v>
      </c>
    </row>
    <row r="186" spans="1:7" x14ac:dyDescent="0.2">
      <c r="D186">
        <v>2</v>
      </c>
      <c r="E186">
        <v>1</v>
      </c>
      <c r="F186" s="17"/>
      <c r="G186" s="6">
        <f t="shared" si="23"/>
        <v>4.1666666666666661</v>
      </c>
    </row>
    <row r="187" spans="1:7" x14ac:dyDescent="0.2">
      <c r="A187">
        <v>1</v>
      </c>
      <c r="E187">
        <v>2</v>
      </c>
      <c r="F187" s="17"/>
      <c r="G187" s="6">
        <f t="shared" si="23"/>
        <v>6.3583333333333334</v>
      </c>
    </row>
    <row r="188" spans="1:7" x14ac:dyDescent="0.2">
      <c r="B188">
        <v>1</v>
      </c>
      <c r="E188">
        <v>2</v>
      </c>
      <c r="F188" s="17"/>
      <c r="G188" s="6">
        <f t="shared" si="23"/>
        <v>7.3208333333333329</v>
      </c>
    </row>
    <row r="189" spans="1:7" x14ac:dyDescent="0.2">
      <c r="C189">
        <v>1</v>
      </c>
      <c r="E189">
        <v>2</v>
      </c>
      <c r="F189" s="17"/>
      <c r="G189" s="6">
        <f t="shared" si="23"/>
        <v>6.2749833333333331</v>
      </c>
    </row>
    <row r="190" spans="1:7" x14ac:dyDescent="0.2">
      <c r="D190">
        <v>1</v>
      </c>
      <c r="E190">
        <v>2</v>
      </c>
      <c r="F190" s="17"/>
      <c r="G190" s="6">
        <f t="shared" si="23"/>
        <v>6.2333333333333334</v>
      </c>
    </row>
  </sheetData>
  <mergeCells count="29">
    <mergeCell ref="A132:I132"/>
    <mergeCell ref="A134:E134"/>
    <mergeCell ref="F137:F141"/>
    <mergeCell ref="F142:F156"/>
    <mergeCell ref="F157:F190"/>
    <mergeCell ref="E117:I117"/>
    <mergeCell ref="A118:A121"/>
    <mergeCell ref="B118:B121"/>
    <mergeCell ref="C118:C121"/>
    <mergeCell ref="D118:D121"/>
    <mergeCell ref="E118:I118"/>
    <mergeCell ref="A92:I92"/>
    <mergeCell ref="A94:E94"/>
    <mergeCell ref="A103:E103"/>
    <mergeCell ref="A113:I113"/>
    <mergeCell ref="E115:I115"/>
    <mergeCell ref="E116:I116"/>
    <mergeCell ref="A35:D35"/>
    <mergeCell ref="A44:H44"/>
    <mergeCell ref="A49:I49"/>
    <mergeCell ref="A62:I62"/>
    <mergeCell ref="A71:D71"/>
    <mergeCell ref="A82:I82"/>
    <mergeCell ref="A1:G1"/>
    <mergeCell ref="K1:O1"/>
    <mergeCell ref="A8:A11"/>
    <mergeCell ref="A20:I20"/>
    <mergeCell ref="A22:F22"/>
    <mergeCell ref="A27:F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Game</vt:lpstr>
      <vt:lpstr>Seafarers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2022-12-12T01:09:55Z</dcterms:created>
  <dcterms:modified xsi:type="dcterms:W3CDTF">2022-12-14T05:43:37Z</dcterms:modified>
</cp:coreProperties>
</file>