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gt/Dropbox/PERSONAL/Health_and_Fitness/Results/"/>
    </mc:Choice>
  </mc:AlternateContent>
  <xr:revisionPtr revIDLastSave="0" documentId="13_ncr:1_{08CEBA21-EFF2-1C40-9459-E32C7C259EC1}" xr6:coauthVersionLast="36" xr6:coauthVersionMax="47" xr10:uidLastSave="{00000000-0000-0000-0000-000000000000}"/>
  <bookViews>
    <workbookView xWindow="10360" yWindow="10280" windowWidth="28800" windowHeight="16440" tabRatio="436" activeTab="5" xr2:uid="{00000000-000D-0000-FFFF-FFFF00000000}"/>
  </bookViews>
  <sheets>
    <sheet name="RUNSOLD" sheetId="1" r:id="rId1"/>
    <sheet name="minspermile" sheetId="2" r:id="rId2"/>
    <sheet name="PBS" sheetId="4" r:id="rId3"/>
    <sheet name="Flint Hills Series" sheetId="5" r:id="rId4"/>
    <sheet name="age correction" sheetId="6" r:id="rId5"/>
    <sheet name="RUN MASTER" sheetId="7" r:id="rId6"/>
    <sheet name="RIDES" sheetId="8" r:id="rId7"/>
    <sheet name="SWIMS" sheetId="9" r:id="rId8"/>
    <sheet name="TRIATHLONS" sheetId="10" r:id="rId9"/>
  </sheets>
  <calcPr calcId="181029"/>
</workbook>
</file>

<file path=xl/calcChain.xml><?xml version="1.0" encoding="utf-8"?>
<calcChain xmlns="http://schemas.openxmlformats.org/spreadsheetml/2006/main">
  <c r="J209" i="7" l="1"/>
  <c r="J193" i="7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I194" i="7"/>
  <c r="J194" i="7" s="1"/>
  <c r="I193" i="7"/>
  <c r="I192" i="7"/>
  <c r="J19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J124" i="7" s="1"/>
  <c r="I123" i="7"/>
  <c r="I122" i="7"/>
  <c r="I121" i="7"/>
  <c r="I120" i="7"/>
  <c r="J120" i="7" s="1"/>
  <c r="I119" i="7"/>
  <c r="I118" i="7"/>
  <c r="I117" i="7"/>
  <c r="I116" i="7"/>
  <c r="J116" i="7" s="1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J100" i="7" s="1"/>
  <c r="I99" i="7"/>
  <c r="I98" i="7"/>
  <c r="I97" i="7"/>
  <c r="I96" i="7"/>
  <c r="J96" i="7" s="1"/>
  <c r="I95" i="7"/>
  <c r="I94" i="7"/>
  <c r="I93" i="7"/>
  <c r="I92" i="7"/>
  <c r="I91" i="7"/>
  <c r="I90" i="7"/>
  <c r="I89" i="7"/>
  <c r="I88" i="7"/>
  <c r="I87" i="7"/>
  <c r="I86" i="7"/>
  <c r="I85" i="7"/>
  <c r="J85" i="7" s="1"/>
  <c r="K85" i="7" s="1"/>
  <c r="L85" i="7" s="1"/>
  <c r="I84" i="7"/>
  <c r="I83" i="7"/>
  <c r="I82" i="7"/>
  <c r="I81" i="7"/>
  <c r="J81" i="7" s="1"/>
  <c r="I80" i="7"/>
  <c r="J80" i="7" s="1"/>
  <c r="I79" i="7"/>
  <c r="I78" i="7"/>
  <c r="I77" i="7"/>
  <c r="J77" i="7" s="1"/>
  <c r="K77" i="7" s="1"/>
  <c r="L77" i="7" s="1"/>
  <c r="I76" i="7"/>
  <c r="I75" i="7"/>
  <c r="I74" i="7"/>
  <c r="I73" i="7"/>
  <c r="I72" i="7"/>
  <c r="I71" i="7"/>
  <c r="I70" i="7"/>
  <c r="I69" i="7"/>
  <c r="J69" i="7" s="1"/>
  <c r="I68" i="7"/>
  <c r="I67" i="7"/>
  <c r="I66" i="7"/>
  <c r="I65" i="7"/>
  <c r="J65" i="7" s="1"/>
  <c r="I64" i="7"/>
  <c r="I63" i="7"/>
  <c r="I62" i="7"/>
  <c r="I61" i="7"/>
  <c r="J61" i="7" s="1"/>
  <c r="I60" i="7"/>
  <c r="J60" i="7" s="1"/>
  <c r="I59" i="7"/>
  <c r="I58" i="7"/>
  <c r="I57" i="7"/>
  <c r="J57" i="7" s="1"/>
  <c r="K57" i="7" s="1"/>
  <c r="L57" i="7" s="1"/>
  <c r="I56" i="7"/>
  <c r="I55" i="7"/>
  <c r="I54" i="7"/>
  <c r="J54" i="7" s="1"/>
  <c r="I53" i="7"/>
  <c r="J53" i="7" s="1"/>
  <c r="K53" i="7" s="1"/>
  <c r="L53" i="7" s="1"/>
  <c r="I52" i="7"/>
  <c r="I51" i="7"/>
  <c r="I50" i="7"/>
  <c r="J50" i="7" s="1"/>
  <c r="I49" i="7"/>
  <c r="J49" i="7" s="1"/>
  <c r="K49" i="7" s="1"/>
  <c r="L49" i="7" s="1"/>
  <c r="I48" i="7"/>
  <c r="I47" i="7"/>
  <c r="I46" i="7"/>
  <c r="J46" i="7" s="1"/>
  <c r="I45" i="7"/>
  <c r="J45" i="7" s="1"/>
  <c r="K45" i="7" s="1"/>
  <c r="L45" i="7" s="1"/>
  <c r="I44" i="7"/>
  <c r="I43" i="7"/>
  <c r="I42" i="7"/>
  <c r="I41" i="7"/>
  <c r="I40" i="7"/>
  <c r="I39" i="7"/>
  <c r="I38" i="7"/>
  <c r="I37" i="7"/>
  <c r="J37" i="7" s="1"/>
  <c r="I36" i="7"/>
  <c r="I35" i="7"/>
  <c r="I34" i="7"/>
  <c r="I33" i="7"/>
  <c r="J33" i="7" s="1"/>
  <c r="I32" i="7"/>
  <c r="J32" i="7" s="1"/>
  <c r="I31" i="7"/>
  <c r="I30" i="7"/>
  <c r="I29" i="7"/>
  <c r="J29" i="7" s="1"/>
  <c r="I28" i="7"/>
  <c r="I27" i="7"/>
  <c r="I26" i="7"/>
  <c r="J26" i="7" s="1"/>
  <c r="I25" i="7"/>
  <c r="I24" i="7"/>
  <c r="I23" i="7"/>
  <c r="I22" i="7"/>
  <c r="J22" i="7" s="1"/>
  <c r="I21" i="7"/>
  <c r="I20" i="7"/>
  <c r="I19" i="7"/>
  <c r="I18" i="7"/>
  <c r="I17" i="7"/>
  <c r="J17" i="7" s="1"/>
  <c r="K17" i="7" s="1"/>
  <c r="L17" i="7" s="1"/>
  <c r="I16" i="7"/>
  <c r="I15" i="7"/>
  <c r="I14" i="7"/>
  <c r="I13" i="7"/>
  <c r="J13" i="7" s="1"/>
  <c r="I12" i="7"/>
  <c r="J12" i="7" s="1"/>
  <c r="I11" i="7"/>
  <c r="I10" i="7"/>
  <c r="I9" i="7"/>
  <c r="I8" i="7"/>
  <c r="I7" i="7"/>
  <c r="I6" i="7"/>
  <c r="I5" i="7"/>
  <c r="J5" i="7" s="1"/>
  <c r="I4" i="7"/>
  <c r="I3" i="7"/>
  <c r="I2" i="7"/>
  <c r="G219" i="7"/>
  <c r="G112" i="7"/>
  <c r="G109" i="7"/>
  <c r="G107" i="7"/>
  <c r="G111" i="7"/>
  <c r="G114" i="7"/>
  <c r="G115" i="7"/>
  <c r="G131" i="7"/>
  <c r="G140" i="7"/>
  <c r="G141" i="7"/>
  <c r="G143" i="7"/>
  <c r="G142" i="7"/>
  <c r="G192" i="7"/>
  <c r="G194" i="7"/>
  <c r="G200" i="7"/>
  <c r="G218" i="7"/>
  <c r="G214" i="7"/>
  <c r="G213" i="7"/>
  <c r="G212" i="7"/>
  <c r="G209" i="7"/>
  <c r="G217" i="7"/>
  <c r="G207" i="7"/>
  <c r="G208" i="7"/>
  <c r="G216" i="7"/>
  <c r="G215" i="7"/>
  <c r="G211" i="7"/>
  <c r="D210" i="7"/>
  <c r="G210" i="7" s="1"/>
  <c r="G193" i="7"/>
  <c r="N28" i="10"/>
  <c r="N27" i="10"/>
  <c r="M27" i="10"/>
  <c r="J27" i="10"/>
  <c r="G27" i="10"/>
  <c r="N26" i="10"/>
  <c r="M26" i="10"/>
  <c r="J26" i="10"/>
  <c r="J25" i="10"/>
  <c r="G26" i="10"/>
  <c r="M25" i="10"/>
  <c r="N24" i="10"/>
  <c r="N23" i="10"/>
  <c r="M24" i="10"/>
  <c r="J24" i="10"/>
  <c r="O24" i="10"/>
  <c r="G24" i="10"/>
  <c r="M23" i="10"/>
  <c r="M21" i="10"/>
  <c r="M19" i="10"/>
  <c r="M15" i="10"/>
  <c r="M4" i="10"/>
  <c r="M2" i="10"/>
  <c r="J2" i="10"/>
  <c r="J23" i="10"/>
  <c r="J21" i="10"/>
  <c r="J19" i="10"/>
  <c r="J15" i="10"/>
  <c r="J4" i="10"/>
  <c r="G23" i="10"/>
  <c r="G21" i="10"/>
  <c r="G19" i="10"/>
  <c r="G15" i="10"/>
  <c r="G4" i="10"/>
  <c r="G2" i="10"/>
  <c r="O23" i="10"/>
  <c r="O22" i="10"/>
  <c r="O21" i="10"/>
  <c r="O19" i="10"/>
  <c r="G201" i="7"/>
  <c r="G202" i="7"/>
  <c r="G206" i="7"/>
  <c r="G205" i="7"/>
  <c r="G204" i="7"/>
  <c r="G196" i="7"/>
  <c r="G195" i="7"/>
  <c r="G197" i="7"/>
  <c r="G199" i="7"/>
  <c r="B2" i="6"/>
  <c r="A3" i="6"/>
  <c r="A4" i="6" s="1"/>
  <c r="B6" i="2"/>
  <c r="B10" i="2"/>
  <c r="B9" i="2" s="1"/>
  <c r="B8" i="2" s="1"/>
  <c r="B12" i="2"/>
  <c r="B14" i="2"/>
  <c r="C18" i="2"/>
  <c r="D18" i="2" s="1"/>
  <c r="C19" i="2"/>
  <c r="D19" i="2"/>
  <c r="B21" i="2"/>
  <c r="A14" i="4"/>
  <c r="C14" i="4" s="1"/>
  <c r="A15" i="4"/>
  <c r="D15" i="4" s="1"/>
  <c r="A16" i="4"/>
  <c r="C16" i="4"/>
  <c r="D16" i="4"/>
  <c r="E16" i="4" s="1"/>
  <c r="C17" i="4"/>
  <c r="E17" i="4"/>
  <c r="F17" i="4"/>
  <c r="A18" i="4"/>
  <c r="B18" i="4"/>
  <c r="C18" i="4"/>
  <c r="D18" i="4"/>
  <c r="F18" i="4" s="1"/>
  <c r="A19" i="4"/>
  <c r="D19" i="4" s="1"/>
  <c r="F19" i="4" s="1"/>
  <c r="B19" i="4"/>
  <c r="A21" i="4"/>
  <c r="A20" i="4" s="1"/>
  <c r="B20" i="4"/>
  <c r="B21" i="4"/>
  <c r="C21" i="4"/>
  <c r="D21" i="4"/>
  <c r="E21" i="4" s="1"/>
  <c r="E31" i="4"/>
  <c r="F31" i="4" s="1"/>
  <c r="E32" i="4"/>
  <c r="F32" i="4" s="1"/>
  <c r="E33" i="4"/>
  <c r="F33" i="4" s="1"/>
  <c r="F34" i="4"/>
  <c r="G34" i="4"/>
  <c r="E35" i="4"/>
  <c r="F35" i="4" s="1"/>
  <c r="E36" i="4"/>
  <c r="F36" i="4" s="1"/>
  <c r="E37" i="4"/>
  <c r="G37" i="4" s="1"/>
  <c r="F37" i="4"/>
  <c r="E38" i="4"/>
  <c r="F38" i="4" s="1"/>
  <c r="G3" i="1"/>
  <c r="H3" i="1" s="1"/>
  <c r="I3" i="1"/>
  <c r="J3" i="1" s="1"/>
  <c r="K3" i="1" s="1"/>
  <c r="L3" i="1" s="1"/>
  <c r="G5" i="1"/>
  <c r="H5" i="1" s="1"/>
  <c r="I5" i="1"/>
  <c r="J5" i="1" s="1"/>
  <c r="K5" i="1" s="1"/>
  <c r="L5" i="1" s="1"/>
  <c r="G6" i="1"/>
  <c r="H6" i="1" s="1"/>
  <c r="I6" i="1"/>
  <c r="J6" i="1" s="1"/>
  <c r="K6" i="1" s="1"/>
  <c r="L6" i="1" s="1"/>
  <c r="G7" i="1"/>
  <c r="I7" i="1"/>
  <c r="J7" i="1" s="1"/>
  <c r="K7" i="1" s="1"/>
  <c r="L7" i="1" s="1"/>
  <c r="G9" i="1"/>
  <c r="H9" i="1" s="1"/>
  <c r="I9" i="1"/>
  <c r="J9" i="1" s="1"/>
  <c r="K9" i="1" s="1"/>
  <c r="L9" i="1" s="1"/>
  <c r="G10" i="1"/>
  <c r="H10" i="1" s="1"/>
  <c r="I10" i="1"/>
  <c r="J10" i="1" s="1"/>
  <c r="K10" i="1" s="1"/>
  <c r="L10" i="1" s="1"/>
  <c r="G12" i="1"/>
  <c r="H12" i="1"/>
  <c r="I12" i="1"/>
  <c r="J12" i="1" s="1"/>
  <c r="K12" i="1" s="1"/>
  <c r="L12" i="1" s="1"/>
  <c r="G13" i="1"/>
  <c r="H13" i="1"/>
  <c r="I13" i="1"/>
  <c r="J13" i="1" s="1"/>
  <c r="K13" i="1" s="1"/>
  <c r="L13" i="1" s="1"/>
  <c r="D14" i="1"/>
  <c r="G14" i="1"/>
  <c r="I14" i="1"/>
  <c r="J14" i="1" s="1"/>
  <c r="G15" i="1"/>
  <c r="H15" i="1" s="1"/>
  <c r="I15" i="1"/>
  <c r="J15" i="1" s="1"/>
  <c r="K15" i="1" s="1"/>
  <c r="L15" i="1" s="1"/>
  <c r="D16" i="1"/>
  <c r="I16" i="1"/>
  <c r="J16" i="1" s="1"/>
  <c r="G17" i="1"/>
  <c r="H17" i="1"/>
  <c r="I17" i="1"/>
  <c r="J17" i="1" s="1"/>
  <c r="G18" i="1"/>
  <c r="I18" i="1"/>
  <c r="J18" i="1" s="1"/>
  <c r="G19" i="1"/>
  <c r="H19" i="1" s="1"/>
  <c r="I19" i="1"/>
  <c r="J19" i="1" s="1"/>
  <c r="K19" i="1" s="1"/>
  <c r="L19" i="1" s="1"/>
  <c r="D20" i="1"/>
  <c r="G20" i="1" s="1"/>
  <c r="I20" i="1"/>
  <c r="J20" i="1" s="1"/>
  <c r="G22" i="1"/>
  <c r="H22" i="1"/>
  <c r="I22" i="1"/>
  <c r="J22" i="1" s="1"/>
  <c r="K22" i="1" s="1"/>
  <c r="L22" i="1" s="1"/>
  <c r="D23" i="1"/>
  <c r="G23" i="1" s="1"/>
  <c r="H23" i="1"/>
  <c r="I23" i="1"/>
  <c r="J23" i="1" s="1"/>
  <c r="K23" i="1" s="1"/>
  <c r="L23" i="1" s="1"/>
  <c r="G24" i="1"/>
  <c r="H24" i="1" s="1"/>
  <c r="I24" i="1"/>
  <c r="J24" i="1" s="1"/>
  <c r="D25" i="1"/>
  <c r="I25" i="1"/>
  <c r="J25" i="1" s="1"/>
  <c r="G26" i="1"/>
  <c r="H26" i="1"/>
  <c r="I26" i="1"/>
  <c r="J26" i="1" s="1"/>
  <c r="K26" i="1" s="1"/>
  <c r="L26" i="1" s="1"/>
  <c r="G27" i="1"/>
  <c r="H27" i="1"/>
  <c r="I27" i="1"/>
  <c r="J27" i="1" s="1"/>
  <c r="K27" i="1" s="1"/>
  <c r="L27" i="1" s="1"/>
  <c r="G28" i="1"/>
  <c r="H28" i="1"/>
  <c r="I28" i="1"/>
  <c r="J28" i="1" s="1"/>
  <c r="K28" i="1" s="1"/>
  <c r="L28" i="1" s="1"/>
  <c r="D29" i="1"/>
  <c r="G29" i="1" s="1"/>
  <c r="H29" i="1"/>
  <c r="I29" i="1"/>
  <c r="J29" i="1" s="1"/>
  <c r="K29" i="1" s="1"/>
  <c r="L29" i="1" s="1"/>
  <c r="G30" i="1"/>
  <c r="H30" i="1" s="1"/>
  <c r="I30" i="1"/>
  <c r="J30" i="1" s="1"/>
  <c r="K30" i="1" s="1"/>
  <c r="L30" i="1" s="1"/>
  <c r="S34" i="1"/>
  <c r="G36" i="1"/>
  <c r="H36" i="1" s="1"/>
  <c r="I36" i="1"/>
  <c r="J36" i="1" s="1"/>
  <c r="D38" i="1"/>
  <c r="I38" i="1"/>
  <c r="J38" i="1" s="1"/>
  <c r="D39" i="1"/>
  <c r="G39" i="1" s="1"/>
  <c r="I39" i="1"/>
  <c r="J39" i="1" s="1"/>
  <c r="U39" i="1"/>
  <c r="G40" i="1"/>
  <c r="H40" i="1" s="1"/>
  <c r="I40" i="1"/>
  <c r="J40" i="1" s="1"/>
  <c r="U40" i="1"/>
  <c r="G41" i="1"/>
  <c r="H41" i="1"/>
  <c r="I41" i="1"/>
  <c r="J41" i="1" s="1"/>
  <c r="G42" i="1"/>
  <c r="H42" i="1"/>
  <c r="I42" i="1"/>
  <c r="J42" i="1" s="1"/>
  <c r="K42" i="1" s="1"/>
  <c r="L42" i="1" s="1"/>
  <c r="G43" i="1"/>
  <c r="H43" i="1"/>
  <c r="I43" i="1"/>
  <c r="J43" i="1" s="1"/>
  <c r="K43" i="1" s="1"/>
  <c r="L43" i="1" s="1"/>
  <c r="D44" i="1"/>
  <c r="I44" i="1"/>
  <c r="J44" i="1" s="1"/>
  <c r="D45" i="1"/>
  <c r="G45" i="1" s="1"/>
  <c r="H45" i="1" s="1"/>
  <c r="I45" i="1"/>
  <c r="J45" i="1" s="1"/>
  <c r="G46" i="1"/>
  <c r="H46" i="1"/>
  <c r="I46" i="1"/>
  <c r="J46" i="1" s="1"/>
  <c r="G47" i="1"/>
  <c r="H47" i="1" s="1"/>
  <c r="I47" i="1"/>
  <c r="J47" i="1" s="1"/>
  <c r="G48" i="1"/>
  <c r="H48" i="1" s="1"/>
  <c r="I48" i="1"/>
  <c r="J48" i="1" s="1"/>
  <c r="K48" i="1" s="1"/>
  <c r="L48" i="1" s="1"/>
  <c r="G49" i="1"/>
  <c r="H49" i="1" s="1"/>
  <c r="I49" i="1"/>
  <c r="J49" i="1" s="1"/>
  <c r="K49" i="1" s="1"/>
  <c r="L49" i="1" s="1"/>
  <c r="G50" i="1"/>
  <c r="H50" i="1" s="1"/>
  <c r="I50" i="1"/>
  <c r="J50" i="1" s="1"/>
  <c r="K50" i="1" s="1"/>
  <c r="L50" i="1" s="1"/>
  <c r="G51" i="1"/>
  <c r="H51" i="1"/>
  <c r="I51" i="1"/>
  <c r="J51" i="1" s="1"/>
  <c r="G52" i="1"/>
  <c r="H52" i="1"/>
  <c r="I52" i="1"/>
  <c r="J52" i="1" s="1"/>
  <c r="K52" i="1" s="1"/>
  <c r="L52" i="1" s="1"/>
  <c r="G53" i="1"/>
  <c r="H53" i="1"/>
  <c r="I53" i="1"/>
  <c r="J53" i="1" s="1"/>
  <c r="K53" i="1" s="1"/>
  <c r="L53" i="1" s="1"/>
  <c r="D54" i="1"/>
  <c r="G54" i="1" s="1"/>
  <c r="I54" i="1"/>
  <c r="J54" i="1" s="1"/>
  <c r="K54" i="1" s="1"/>
  <c r="L54" i="1" s="1"/>
  <c r="G55" i="1"/>
  <c r="H55" i="1" s="1"/>
  <c r="I55" i="1"/>
  <c r="J55" i="1" s="1"/>
  <c r="K55" i="1" s="1"/>
  <c r="L55" i="1" s="1"/>
  <c r="D56" i="1"/>
  <c r="G56" i="1" s="1"/>
  <c r="I56" i="1"/>
  <c r="J56" i="1" s="1"/>
  <c r="G57" i="1"/>
  <c r="H57" i="1" s="1"/>
  <c r="I57" i="1"/>
  <c r="J57" i="1" s="1"/>
  <c r="I58" i="1"/>
  <c r="D60" i="1"/>
  <c r="I60" i="1"/>
  <c r="J60" i="1" s="1"/>
  <c r="D61" i="1"/>
  <c r="G61" i="1" s="1"/>
  <c r="H61" i="1"/>
  <c r="I61" i="1"/>
  <c r="J61" i="1" s="1"/>
  <c r="D62" i="1"/>
  <c r="G62" i="1"/>
  <c r="I62" i="1"/>
  <c r="J62" i="1" s="1"/>
  <c r="K62" i="1" s="1"/>
  <c r="L62" i="1" s="1"/>
  <c r="D63" i="1"/>
  <c r="H63" i="1" s="1"/>
  <c r="G63" i="1"/>
  <c r="I63" i="1"/>
  <c r="J63" i="1" s="1"/>
  <c r="D64" i="1"/>
  <c r="I64" i="1"/>
  <c r="J64" i="1" s="1"/>
  <c r="G65" i="1"/>
  <c r="H65" i="1"/>
  <c r="I65" i="1"/>
  <c r="J65" i="1" s="1"/>
  <c r="K65" i="1" s="1"/>
  <c r="L65" i="1" s="1"/>
  <c r="G66" i="1"/>
  <c r="H66" i="1"/>
  <c r="J66" i="1"/>
  <c r="K66" i="1" s="1"/>
  <c r="L66" i="1"/>
  <c r="G67" i="1"/>
  <c r="K67" i="1" s="1"/>
  <c r="J67" i="1"/>
  <c r="D68" i="1"/>
  <c r="G68" i="1" s="1"/>
  <c r="I68" i="1"/>
  <c r="J68" i="1" s="1"/>
  <c r="K68" i="1" s="1"/>
  <c r="L68" i="1" s="1"/>
  <c r="D69" i="1"/>
  <c r="G69" i="1" s="1"/>
  <c r="H69" i="1"/>
  <c r="I69" i="1"/>
  <c r="J69" i="1" s="1"/>
  <c r="D70" i="1"/>
  <c r="G70" i="1" s="1"/>
  <c r="I70" i="1"/>
  <c r="J70" i="1" s="1"/>
  <c r="G71" i="1"/>
  <c r="I71" i="1"/>
  <c r="J71" i="1" s="1"/>
  <c r="G72" i="1"/>
  <c r="K72" i="1" s="1"/>
  <c r="L72" i="1" s="1"/>
  <c r="J72" i="1"/>
  <c r="G73" i="1"/>
  <c r="H73" i="1"/>
  <c r="J73" i="1"/>
  <c r="K73" i="1"/>
  <c r="L73" i="1" s="1"/>
  <c r="G74" i="1"/>
  <c r="H74" i="1"/>
  <c r="I74" i="1"/>
  <c r="J74" i="1" s="1"/>
  <c r="K74" i="1" s="1"/>
  <c r="L74" i="1" s="1"/>
  <c r="G75" i="1"/>
  <c r="H75" i="1" s="1"/>
  <c r="I75" i="1"/>
  <c r="J75" i="1" s="1"/>
  <c r="I76" i="1"/>
  <c r="D77" i="1"/>
  <c r="E77" i="1" s="1"/>
  <c r="G78" i="1"/>
  <c r="H78" i="1"/>
  <c r="I78" i="1"/>
  <c r="J78" i="1" s="1"/>
  <c r="K78" i="1" s="1"/>
  <c r="L78" i="1" s="1"/>
  <c r="I79" i="1"/>
  <c r="I80" i="1"/>
  <c r="G81" i="1"/>
  <c r="H81" i="1" s="1"/>
  <c r="I81" i="1"/>
  <c r="J81" i="1" s="1"/>
  <c r="D82" i="1"/>
  <c r="G82" i="1"/>
  <c r="H82" i="1" s="1"/>
  <c r="I82" i="1"/>
  <c r="J82" i="1" s="1"/>
  <c r="K82" i="1" s="1"/>
  <c r="L82" i="1" s="1"/>
  <c r="G84" i="1"/>
  <c r="H84" i="1"/>
  <c r="I84" i="1"/>
  <c r="J84" i="1" s="1"/>
  <c r="K84" i="1" s="1"/>
  <c r="L84" i="1" s="1"/>
  <c r="G85" i="1"/>
  <c r="H85" i="1"/>
  <c r="I85" i="1"/>
  <c r="J85" i="1" s="1"/>
  <c r="K85" i="1" s="1"/>
  <c r="L85" i="1" s="1"/>
  <c r="L86" i="1"/>
  <c r="G87" i="1"/>
  <c r="H87" i="1" s="1"/>
  <c r="I87" i="1"/>
  <c r="J87" i="1" s="1"/>
  <c r="K87" i="1" s="1"/>
  <c r="L87" i="1" s="1"/>
  <c r="L88" i="1"/>
  <c r="D89" i="1"/>
  <c r="G89" i="1"/>
  <c r="H89" i="1" s="1"/>
  <c r="I89" i="1"/>
  <c r="J89" i="1" s="1"/>
  <c r="K89" i="1" s="1"/>
  <c r="L89" i="1" s="1"/>
  <c r="G90" i="1"/>
  <c r="H90" i="1" s="1"/>
  <c r="I90" i="1"/>
  <c r="J90" i="1" s="1"/>
  <c r="K90" i="1" s="1"/>
  <c r="L90" i="1" s="1"/>
  <c r="G91" i="1"/>
  <c r="H91" i="1" s="1"/>
  <c r="I91" i="1"/>
  <c r="J91" i="1" s="1"/>
  <c r="K91" i="1" s="1"/>
  <c r="L91" i="1" s="1"/>
  <c r="D92" i="1"/>
  <c r="G92" i="1" s="1"/>
  <c r="H92" i="1" s="1"/>
  <c r="I92" i="1"/>
  <c r="J92" i="1" s="1"/>
  <c r="G93" i="1"/>
  <c r="H93" i="1"/>
  <c r="I93" i="1"/>
  <c r="J93" i="1" s="1"/>
  <c r="K93" i="1" s="1"/>
  <c r="L93" i="1" s="1"/>
  <c r="G94" i="1"/>
  <c r="H94" i="1"/>
  <c r="I94" i="1"/>
  <c r="J94" i="1" s="1"/>
  <c r="K94" i="1" s="1"/>
  <c r="L94" i="1" s="1"/>
  <c r="D96" i="1"/>
  <c r="I96" i="1"/>
  <c r="J96" i="1" s="1"/>
  <c r="G97" i="1"/>
  <c r="H97" i="1"/>
  <c r="I97" i="1"/>
  <c r="J97" i="1" s="1"/>
  <c r="K97" i="1" s="1"/>
  <c r="L97" i="1" s="1"/>
  <c r="D98" i="1"/>
  <c r="G98" i="1"/>
  <c r="I98" i="1"/>
  <c r="J98" i="1" s="1"/>
  <c r="K98" i="1" s="1"/>
  <c r="L98" i="1" s="1"/>
  <c r="D99" i="1"/>
  <c r="I99" i="1"/>
  <c r="J99" i="1" s="1"/>
  <c r="G100" i="1"/>
  <c r="H100" i="1"/>
  <c r="I100" i="1"/>
  <c r="J100" i="1" s="1"/>
  <c r="K100" i="1" s="1"/>
  <c r="L100" i="1" s="1"/>
  <c r="G101" i="1"/>
  <c r="H101" i="1"/>
  <c r="I101" i="1"/>
  <c r="J101" i="1" s="1"/>
  <c r="K101" i="1" s="1"/>
  <c r="L101" i="1" s="1"/>
  <c r="G102" i="1"/>
  <c r="H102" i="1" s="1"/>
  <c r="I102" i="1"/>
  <c r="J102" i="1" s="1"/>
  <c r="G104" i="1"/>
  <c r="H104" i="1" s="1"/>
  <c r="I104" i="1"/>
  <c r="J104" i="1" s="1"/>
  <c r="D106" i="1"/>
  <c r="G106" i="1" s="1"/>
  <c r="I106" i="1"/>
  <c r="J106" i="1" s="1"/>
  <c r="D107" i="1"/>
  <c r="G107" i="1" s="1"/>
  <c r="I107" i="1"/>
  <c r="J107" i="1" s="1"/>
  <c r="D108" i="1"/>
  <c r="G108" i="1" s="1"/>
  <c r="I108" i="1"/>
  <c r="J108" i="1" s="1"/>
  <c r="D109" i="1"/>
  <c r="G109" i="1"/>
  <c r="I109" i="1"/>
  <c r="J109" i="1" s="1"/>
  <c r="D110" i="1"/>
  <c r="G110" i="1"/>
  <c r="I110" i="1"/>
  <c r="J110" i="1" s="1"/>
  <c r="G111" i="1"/>
  <c r="I111" i="1"/>
  <c r="J111" i="1" s="1"/>
  <c r="H111" i="1" s="1"/>
  <c r="G112" i="1"/>
  <c r="I112" i="1"/>
  <c r="J112" i="1" s="1"/>
  <c r="K112" i="1" s="1"/>
  <c r="L112" i="1" s="1"/>
  <c r="G113" i="1"/>
  <c r="I113" i="1"/>
  <c r="J113" i="1" s="1"/>
  <c r="D114" i="1"/>
  <c r="G114" i="1" s="1"/>
  <c r="I114" i="1"/>
  <c r="J114" i="1" s="1"/>
  <c r="G115" i="1"/>
  <c r="I115" i="1"/>
  <c r="J115" i="1" s="1"/>
  <c r="K115" i="1" s="1"/>
  <c r="L115" i="1" s="1"/>
  <c r="G116" i="1"/>
  <c r="I116" i="1"/>
  <c r="J116" i="1" s="1"/>
  <c r="K116" i="1" s="1"/>
  <c r="L116" i="1" s="1"/>
  <c r="D118" i="1"/>
  <c r="G118" i="1"/>
  <c r="I118" i="1"/>
  <c r="J118" i="1" s="1"/>
  <c r="O118" i="1"/>
  <c r="I119" i="1"/>
  <c r="G120" i="1"/>
  <c r="I120" i="1"/>
  <c r="J120" i="1" s="1"/>
  <c r="K120" i="1" s="1"/>
  <c r="L120" i="1" s="1"/>
  <c r="D121" i="1"/>
  <c r="G121" i="1" s="1"/>
  <c r="I121" i="1"/>
  <c r="J121" i="1" s="1"/>
  <c r="D122" i="1"/>
  <c r="G122" i="1" s="1"/>
  <c r="I122" i="1"/>
  <c r="J122" i="1" s="1"/>
  <c r="O122" i="1"/>
  <c r="G124" i="1"/>
  <c r="I124" i="1"/>
  <c r="J124" i="1" s="1"/>
  <c r="K124" i="1" s="1"/>
  <c r="L124" i="1" s="1"/>
  <c r="D125" i="1"/>
  <c r="G125" i="1"/>
  <c r="I125" i="1"/>
  <c r="J125" i="1" s="1"/>
  <c r="G126" i="1"/>
  <c r="I126" i="1"/>
  <c r="J126" i="1" s="1"/>
  <c r="D127" i="1"/>
  <c r="I127" i="1"/>
  <c r="J127" i="1" s="1"/>
  <c r="G128" i="1"/>
  <c r="I128" i="1"/>
  <c r="J128" i="1" s="1"/>
  <c r="G129" i="1"/>
  <c r="I129" i="1"/>
  <c r="J129" i="1" s="1"/>
  <c r="G132" i="1"/>
  <c r="I132" i="1"/>
  <c r="J132" i="1" s="1"/>
  <c r="K132" i="1" s="1"/>
  <c r="L132" i="1" s="1"/>
  <c r="G133" i="1"/>
  <c r="I133" i="1"/>
  <c r="J133" i="1" s="1"/>
  <c r="D134" i="1"/>
  <c r="G134" i="1" s="1"/>
  <c r="I134" i="1"/>
  <c r="J134" i="1" s="1"/>
  <c r="K134" i="1" s="1"/>
  <c r="L134" i="1" s="1"/>
  <c r="D135" i="1"/>
  <c r="G135" i="1" s="1"/>
  <c r="I135" i="1"/>
  <c r="J135" i="1" s="1"/>
  <c r="D136" i="1"/>
  <c r="G136" i="1" s="1"/>
  <c r="I136" i="1"/>
  <c r="J136" i="1" s="1"/>
  <c r="G137" i="1"/>
  <c r="I137" i="1"/>
  <c r="J137" i="1" s="1"/>
  <c r="K137" i="1" s="1"/>
  <c r="L137" i="1" s="1"/>
  <c r="I138" i="1"/>
  <c r="D140" i="1"/>
  <c r="G140" i="1"/>
  <c r="I140" i="1"/>
  <c r="J140" i="1" s="1"/>
  <c r="K140" i="1" s="1"/>
  <c r="L140" i="1" s="1"/>
  <c r="D141" i="1"/>
  <c r="G141" i="1" s="1"/>
  <c r="I141" i="1"/>
  <c r="J141" i="1" s="1"/>
  <c r="G142" i="1"/>
  <c r="I142" i="1"/>
  <c r="J142" i="1" s="1"/>
  <c r="D143" i="1"/>
  <c r="G143" i="1"/>
  <c r="I143" i="1"/>
  <c r="J143" i="1" s="1"/>
  <c r="K143" i="1" s="1"/>
  <c r="L143" i="1" s="1"/>
  <c r="G144" i="1"/>
  <c r="I144" i="1"/>
  <c r="J144" i="1" s="1"/>
  <c r="D145" i="1"/>
  <c r="G145" i="1"/>
  <c r="I145" i="1"/>
  <c r="J145" i="1" s="1"/>
  <c r="G146" i="1"/>
  <c r="I146" i="1"/>
  <c r="J146" i="1" s="1"/>
  <c r="D147" i="1"/>
  <c r="G147" i="1" s="1"/>
  <c r="I147" i="1"/>
  <c r="J147" i="1" s="1"/>
  <c r="G148" i="1"/>
  <c r="I148" i="1"/>
  <c r="J148" i="1" s="1"/>
  <c r="D149" i="1"/>
  <c r="G149" i="1" s="1"/>
  <c r="I149" i="1"/>
  <c r="J149" i="1" s="1"/>
  <c r="D150" i="1"/>
  <c r="G150" i="1"/>
  <c r="I150" i="1"/>
  <c r="J150" i="1" s="1"/>
  <c r="G152" i="1"/>
  <c r="I152" i="1"/>
  <c r="J152" i="1" s="1"/>
  <c r="G153" i="1"/>
  <c r="I153" i="1"/>
  <c r="J153" i="1" s="1"/>
  <c r="G154" i="1"/>
  <c r="I154" i="1"/>
  <c r="J154" i="1" s="1"/>
  <c r="D156" i="1"/>
  <c r="G156" i="1" s="1"/>
  <c r="I156" i="1"/>
  <c r="J156" i="1" s="1"/>
  <c r="D157" i="1"/>
  <c r="G157" i="1" s="1"/>
  <c r="I157" i="1"/>
  <c r="J157" i="1" s="1"/>
  <c r="A158" i="1"/>
  <c r="G158" i="1"/>
  <c r="I158" i="1"/>
  <c r="J158" i="1" s="1"/>
  <c r="G159" i="1"/>
  <c r="I159" i="1"/>
  <c r="J159" i="1" s="1"/>
  <c r="G160" i="1"/>
  <c r="I160" i="1"/>
  <c r="J160" i="1" s="1"/>
  <c r="D161" i="1"/>
  <c r="G161" i="1"/>
  <c r="I161" i="1"/>
  <c r="J161" i="1" s="1"/>
  <c r="G162" i="1"/>
  <c r="I162" i="1"/>
  <c r="J162" i="1" s="1"/>
  <c r="D163" i="1"/>
  <c r="G163" i="1"/>
  <c r="I163" i="1"/>
  <c r="J163" i="1" s="1"/>
  <c r="D164" i="1"/>
  <c r="G164" i="1"/>
  <c r="I164" i="1"/>
  <c r="J164" i="1" s="1"/>
  <c r="D165" i="1"/>
  <c r="G165" i="1"/>
  <c r="I165" i="1"/>
  <c r="J165" i="1" s="1"/>
  <c r="G166" i="1"/>
  <c r="I166" i="1"/>
  <c r="J166" i="1" s="1"/>
  <c r="D168" i="1"/>
  <c r="G168" i="1"/>
  <c r="I168" i="1"/>
  <c r="J168" i="1" s="1"/>
  <c r="K168" i="1" s="1"/>
  <c r="L168" i="1" s="1"/>
  <c r="D169" i="1"/>
  <c r="G169" i="1"/>
  <c r="I169" i="1"/>
  <c r="J169" i="1" s="1"/>
  <c r="G170" i="1"/>
  <c r="I170" i="1"/>
  <c r="J170" i="1" s="1"/>
  <c r="G2" i="7"/>
  <c r="H2" i="7"/>
  <c r="J2" i="7"/>
  <c r="K2" i="7" s="1"/>
  <c r="L2" i="7" s="1"/>
  <c r="G3" i="7"/>
  <c r="H3" i="7" s="1"/>
  <c r="J3" i="7"/>
  <c r="G4" i="7"/>
  <c r="H4" i="7" s="1"/>
  <c r="J4" i="7"/>
  <c r="G5" i="7"/>
  <c r="H5" i="7" s="1"/>
  <c r="G6" i="7"/>
  <c r="H6" i="7" s="1"/>
  <c r="J6" i="7"/>
  <c r="G7" i="7"/>
  <c r="H7" i="7" s="1"/>
  <c r="J7" i="7"/>
  <c r="G8" i="7"/>
  <c r="H8" i="7" s="1"/>
  <c r="J8" i="7"/>
  <c r="D9" i="7"/>
  <c r="G9" i="7" s="1"/>
  <c r="J9" i="7"/>
  <c r="G10" i="7"/>
  <c r="H10" i="7" s="1"/>
  <c r="J10" i="7"/>
  <c r="G11" i="7"/>
  <c r="H11" i="7" s="1"/>
  <c r="J11" i="7"/>
  <c r="G12" i="7"/>
  <c r="H12" i="7" s="1"/>
  <c r="D13" i="7"/>
  <c r="G13" i="7" s="1"/>
  <c r="G14" i="7"/>
  <c r="H14" i="7" s="1"/>
  <c r="J14" i="7"/>
  <c r="D15" i="7"/>
  <c r="G15" i="7" s="1"/>
  <c r="J15" i="7"/>
  <c r="G16" i="7"/>
  <c r="H16" i="7"/>
  <c r="J16" i="7"/>
  <c r="K16" i="7" s="1"/>
  <c r="L16" i="7" s="1"/>
  <c r="D17" i="7"/>
  <c r="G17" i="7" s="1"/>
  <c r="G18" i="7"/>
  <c r="H18" i="7" s="1"/>
  <c r="J18" i="7"/>
  <c r="G19" i="7"/>
  <c r="H19" i="7" s="1"/>
  <c r="J19" i="7"/>
  <c r="K19" i="7" s="1"/>
  <c r="L19" i="7" s="1"/>
  <c r="G20" i="7"/>
  <c r="H20" i="7" s="1"/>
  <c r="J20" i="7"/>
  <c r="D21" i="7"/>
  <c r="J21" i="7"/>
  <c r="K21" i="7" s="1"/>
  <c r="L21" i="7" s="1"/>
  <c r="G22" i="7"/>
  <c r="H22" i="7" s="1"/>
  <c r="D23" i="7"/>
  <c r="J23" i="7"/>
  <c r="G24" i="7"/>
  <c r="H24" i="7" s="1"/>
  <c r="J24" i="7"/>
  <c r="D25" i="7"/>
  <c r="G25" i="7" s="1"/>
  <c r="J25" i="7"/>
  <c r="G26" i="7"/>
  <c r="H26" i="7" s="1"/>
  <c r="G27" i="7"/>
  <c r="H27" i="7" s="1"/>
  <c r="J27" i="7"/>
  <c r="G28" i="7"/>
  <c r="H28" i="7" s="1"/>
  <c r="J28" i="7"/>
  <c r="D29" i="7"/>
  <c r="G29" i="7"/>
  <c r="H29" i="7" s="1"/>
  <c r="G30" i="7"/>
  <c r="H30" i="7"/>
  <c r="J30" i="7"/>
  <c r="K30" i="7" s="1"/>
  <c r="L30" i="7" s="1"/>
  <c r="D31" i="7"/>
  <c r="G31" i="7" s="1"/>
  <c r="J31" i="7"/>
  <c r="K31" i="7" s="1"/>
  <c r="L31" i="7" s="1"/>
  <c r="D32" i="7"/>
  <c r="G32" i="7" s="1"/>
  <c r="G33" i="7"/>
  <c r="H33" i="7" s="1"/>
  <c r="G34" i="7"/>
  <c r="H34" i="7" s="1"/>
  <c r="J34" i="7"/>
  <c r="D35" i="7"/>
  <c r="G35" i="7"/>
  <c r="H35" i="7" s="1"/>
  <c r="J35" i="7"/>
  <c r="G36" i="7"/>
  <c r="H36" i="7" s="1"/>
  <c r="J36" i="7"/>
  <c r="G37" i="7"/>
  <c r="H37" i="7" s="1"/>
  <c r="G38" i="7"/>
  <c r="H38" i="7"/>
  <c r="J38" i="7"/>
  <c r="K38" i="7" s="1"/>
  <c r="L38" i="7" s="1"/>
  <c r="D39" i="7"/>
  <c r="G39" i="7" s="1"/>
  <c r="J39" i="7"/>
  <c r="D40" i="7"/>
  <c r="G40" i="7"/>
  <c r="H40" i="7" s="1"/>
  <c r="J40" i="7"/>
  <c r="G41" i="7"/>
  <c r="H41" i="7" s="1"/>
  <c r="J41" i="7"/>
  <c r="K41" i="7" s="1"/>
  <c r="L41" i="7" s="1"/>
  <c r="G42" i="7"/>
  <c r="H42" i="7" s="1"/>
  <c r="J42" i="7"/>
  <c r="G43" i="7"/>
  <c r="H43" i="7" s="1"/>
  <c r="J43" i="7"/>
  <c r="K43" i="7" s="1"/>
  <c r="L43" i="7" s="1"/>
  <c r="G44" i="7"/>
  <c r="H44" i="7" s="1"/>
  <c r="J44" i="7"/>
  <c r="K44" i="7" s="1"/>
  <c r="L44" i="7" s="1"/>
  <c r="D45" i="7"/>
  <c r="H45" i="7" s="1"/>
  <c r="Q45" i="7"/>
  <c r="D46" i="7"/>
  <c r="G46" i="7" s="1"/>
  <c r="G47" i="7"/>
  <c r="H47" i="7" s="1"/>
  <c r="J47" i="7"/>
  <c r="G48" i="7"/>
  <c r="H48" i="7" s="1"/>
  <c r="J48" i="7"/>
  <c r="K48" i="7" s="1"/>
  <c r="L48" i="7" s="1"/>
  <c r="G49" i="7"/>
  <c r="H49" i="7" s="1"/>
  <c r="G50" i="7"/>
  <c r="H50" i="7"/>
  <c r="G51" i="7"/>
  <c r="H51" i="7" s="1"/>
  <c r="J51" i="7"/>
  <c r="G52" i="7"/>
  <c r="H52" i="7" s="1"/>
  <c r="J52" i="7"/>
  <c r="G53" i="7"/>
  <c r="H53" i="7" s="1"/>
  <c r="G54" i="7"/>
  <c r="H54" i="7" s="1"/>
  <c r="D55" i="7"/>
  <c r="G55" i="7" s="1"/>
  <c r="H55" i="7" s="1"/>
  <c r="J55" i="7"/>
  <c r="G56" i="7"/>
  <c r="H56" i="7" s="1"/>
  <c r="J56" i="7"/>
  <c r="D57" i="7"/>
  <c r="G57" i="7"/>
  <c r="H57" i="7" s="1"/>
  <c r="G59" i="7"/>
  <c r="H59" i="7"/>
  <c r="J59" i="7"/>
  <c r="D60" i="7"/>
  <c r="G60" i="7" s="1"/>
  <c r="H60" i="7" s="1"/>
  <c r="D61" i="7"/>
  <c r="H61" i="7" s="1"/>
  <c r="G61" i="7"/>
  <c r="D62" i="7"/>
  <c r="G62" i="7" s="1"/>
  <c r="J62" i="7"/>
  <c r="K62" i="7" s="1"/>
  <c r="L62" i="7" s="1"/>
  <c r="D63" i="7"/>
  <c r="G63" i="7" s="1"/>
  <c r="J63" i="7"/>
  <c r="D64" i="7"/>
  <c r="G64" i="7"/>
  <c r="H64" i="7" s="1"/>
  <c r="J64" i="7"/>
  <c r="S64" i="7"/>
  <c r="G65" i="7"/>
  <c r="H65" i="7" s="1"/>
  <c r="G66" i="7"/>
  <c r="H66" i="7" s="1"/>
  <c r="J66" i="7"/>
  <c r="M66" i="7"/>
  <c r="G67" i="7"/>
  <c r="H67" i="7" s="1"/>
  <c r="J67" i="7"/>
  <c r="D68" i="7"/>
  <c r="G68" i="7" s="1"/>
  <c r="H68" i="7" s="1"/>
  <c r="J68" i="7"/>
  <c r="D69" i="7"/>
  <c r="G69" i="7" s="1"/>
  <c r="H69" i="7" s="1"/>
  <c r="D70" i="7"/>
  <c r="G70" i="7" s="1"/>
  <c r="J70" i="7"/>
  <c r="S70" i="7"/>
  <c r="G71" i="7"/>
  <c r="H71" i="7"/>
  <c r="J71" i="7"/>
  <c r="G72" i="7"/>
  <c r="H72" i="7" s="1"/>
  <c r="J72" i="7"/>
  <c r="G73" i="7"/>
  <c r="H73" i="7" s="1"/>
  <c r="J73" i="7"/>
  <c r="G74" i="7"/>
  <c r="H74" i="7" s="1"/>
  <c r="J74" i="7"/>
  <c r="K74" i="7" s="1"/>
  <c r="L74" i="7" s="1"/>
  <c r="G75" i="7"/>
  <c r="H75" i="7" s="1"/>
  <c r="J75" i="7"/>
  <c r="K75" i="7" s="1"/>
  <c r="L75" i="7" s="1"/>
  <c r="G77" i="7"/>
  <c r="H77" i="7"/>
  <c r="G79" i="7"/>
  <c r="H79" i="7" s="1"/>
  <c r="J79" i="7"/>
  <c r="G80" i="7"/>
  <c r="H80" i="7"/>
  <c r="D81" i="7"/>
  <c r="G81" i="7"/>
  <c r="H81" i="7" s="1"/>
  <c r="G82" i="7"/>
  <c r="H82" i="7"/>
  <c r="J82" i="7"/>
  <c r="G83" i="7"/>
  <c r="H83" i="7" s="1"/>
  <c r="J83" i="7"/>
  <c r="K83" i="7" s="1"/>
  <c r="L83" i="7" s="1"/>
  <c r="G84" i="7"/>
  <c r="H84" i="7" s="1"/>
  <c r="J84" i="7"/>
  <c r="D85" i="7"/>
  <c r="G85" i="7" s="1"/>
  <c r="H85" i="7"/>
  <c r="G86" i="7"/>
  <c r="H86" i="7" s="1"/>
  <c r="J86" i="7"/>
  <c r="G87" i="7"/>
  <c r="H87" i="7" s="1"/>
  <c r="J87" i="7"/>
  <c r="D88" i="7"/>
  <c r="H88" i="7" s="1"/>
  <c r="G88" i="7"/>
  <c r="J88" i="7"/>
  <c r="G89" i="7"/>
  <c r="H89" i="7" s="1"/>
  <c r="J89" i="7"/>
  <c r="G90" i="7"/>
  <c r="H90" i="7" s="1"/>
  <c r="J90" i="7"/>
  <c r="K90" i="7" s="1"/>
  <c r="L90" i="7" s="1"/>
  <c r="D91" i="7"/>
  <c r="G91" i="7"/>
  <c r="J91" i="7"/>
  <c r="G92" i="7"/>
  <c r="H92" i="7" s="1"/>
  <c r="J92" i="7"/>
  <c r="K92" i="7" s="1"/>
  <c r="L92" i="7" s="1"/>
  <c r="D93" i="7"/>
  <c r="G93" i="7"/>
  <c r="H93" i="7" s="1"/>
  <c r="J93" i="7"/>
  <c r="K93" i="7" s="1"/>
  <c r="L93" i="7" s="1"/>
  <c r="D94" i="7"/>
  <c r="G94" i="7" s="1"/>
  <c r="J94" i="7"/>
  <c r="G95" i="7"/>
  <c r="H95" i="7" s="1"/>
  <c r="J95" i="7"/>
  <c r="G96" i="7"/>
  <c r="H96" i="7"/>
  <c r="G97" i="7"/>
  <c r="H97" i="7" s="1"/>
  <c r="J97" i="7"/>
  <c r="K97" i="7" s="1"/>
  <c r="L97" i="7" s="1"/>
  <c r="G98" i="7"/>
  <c r="H98" i="7" s="1"/>
  <c r="J98" i="7"/>
  <c r="D99" i="7"/>
  <c r="G99" i="7" s="1"/>
  <c r="J99" i="7"/>
  <c r="D100" i="7"/>
  <c r="G100" i="7"/>
  <c r="D101" i="7"/>
  <c r="G101" i="7" s="1"/>
  <c r="J101" i="7"/>
  <c r="D102" i="7"/>
  <c r="G102" i="7"/>
  <c r="J102" i="7"/>
  <c r="D103" i="7"/>
  <c r="G103" i="7" s="1"/>
  <c r="J103" i="7"/>
  <c r="G104" i="7"/>
  <c r="J104" i="7"/>
  <c r="H104" i="7" s="1"/>
  <c r="G105" i="7"/>
  <c r="J105" i="7"/>
  <c r="H105" i="7" s="1"/>
  <c r="G106" i="7"/>
  <c r="J106" i="7"/>
  <c r="D113" i="7"/>
  <c r="G113" i="7"/>
  <c r="J113" i="7"/>
  <c r="G116" i="7"/>
  <c r="G117" i="7"/>
  <c r="J117" i="7"/>
  <c r="H117" i="7" s="1"/>
  <c r="D118" i="7"/>
  <c r="J118" i="7"/>
  <c r="M118" i="7"/>
  <c r="G120" i="7"/>
  <c r="D121" i="7"/>
  <c r="D108" i="7" s="1"/>
  <c r="G108" i="7" s="1"/>
  <c r="G121" i="7"/>
  <c r="J121" i="7"/>
  <c r="D122" i="7"/>
  <c r="G122" i="7" s="1"/>
  <c r="J122" i="7"/>
  <c r="M122" i="7"/>
  <c r="G123" i="7"/>
  <c r="J123" i="7"/>
  <c r="D124" i="7"/>
  <c r="G124" i="7"/>
  <c r="G125" i="7"/>
  <c r="J125" i="7"/>
  <c r="D126" i="7"/>
  <c r="G126" i="7" s="1"/>
  <c r="J126" i="7"/>
  <c r="G127" i="7"/>
  <c r="J127" i="7"/>
  <c r="G128" i="7"/>
  <c r="J128" i="7"/>
  <c r="G132" i="7"/>
  <c r="J132" i="7"/>
  <c r="H132" i="7" s="1"/>
  <c r="G133" i="7"/>
  <c r="J133" i="7"/>
  <c r="D134" i="7"/>
  <c r="G134" i="7"/>
  <c r="J134" i="7"/>
  <c r="D135" i="7"/>
  <c r="G135" i="7" s="1"/>
  <c r="J135" i="7"/>
  <c r="G136" i="7"/>
  <c r="H136" i="7" s="1"/>
  <c r="J136" i="7"/>
  <c r="D137" i="7"/>
  <c r="G137" i="7" s="1"/>
  <c r="J137" i="7"/>
  <c r="G138" i="7"/>
  <c r="J138" i="7"/>
  <c r="H138" i="7" s="1"/>
  <c r="D144" i="7"/>
  <c r="G144" i="7" s="1"/>
  <c r="J144" i="7"/>
  <c r="D145" i="7"/>
  <c r="G145" i="7"/>
  <c r="J145" i="7"/>
  <c r="G146" i="7"/>
  <c r="J146" i="7"/>
  <c r="M146" i="7"/>
  <c r="D147" i="7"/>
  <c r="G147" i="7"/>
  <c r="J147" i="7"/>
  <c r="G148" i="7"/>
  <c r="J148" i="7"/>
  <c r="D149" i="7"/>
  <c r="G149" i="7" s="1"/>
  <c r="J149" i="7"/>
  <c r="G150" i="7"/>
  <c r="J150" i="7"/>
  <c r="D151" i="7"/>
  <c r="G151" i="7"/>
  <c r="J151" i="7"/>
  <c r="G152" i="7"/>
  <c r="J152" i="7"/>
  <c r="D153" i="7"/>
  <c r="G153" i="7" s="1"/>
  <c r="J153" i="7"/>
  <c r="D154" i="7"/>
  <c r="G154" i="7" s="1"/>
  <c r="J154" i="7"/>
  <c r="G155" i="7"/>
  <c r="J155" i="7"/>
  <c r="M155" i="7"/>
  <c r="G156" i="7"/>
  <c r="J156" i="7"/>
  <c r="K156" i="7" s="1"/>
  <c r="L156" i="7" s="1"/>
  <c r="G157" i="7"/>
  <c r="J157" i="7"/>
  <c r="D158" i="7"/>
  <c r="G158" i="7" s="1"/>
  <c r="J158" i="7"/>
  <c r="D159" i="7"/>
  <c r="G159" i="7" s="1"/>
  <c r="J159" i="7"/>
  <c r="K159" i="7" s="1"/>
  <c r="L159" i="7" s="1"/>
  <c r="G160" i="7"/>
  <c r="J160" i="7"/>
  <c r="H160" i="7" s="1"/>
  <c r="G161" i="7"/>
  <c r="J161" i="7"/>
  <c r="G162" i="7"/>
  <c r="J162" i="7"/>
  <c r="D163" i="7"/>
  <c r="G163" i="7"/>
  <c r="J163" i="7"/>
  <c r="G164" i="7"/>
  <c r="J164" i="7"/>
  <c r="D165" i="7"/>
  <c r="G165" i="7" s="1"/>
  <c r="J165" i="7"/>
  <c r="D166" i="7"/>
  <c r="G166" i="7"/>
  <c r="J166" i="7"/>
  <c r="D167" i="7"/>
  <c r="G167" i="7" s="1"/>
  <c r="J167" i="7"/>
  <c r="G168" i="7"/>
  <c r="J168" i="7"/>
  <c r="D169" i="7"/>
  <c r="G169" i="7" s="1"/>
  <c r="J169" i="7"/>
  <c r="D170" i="7"/>
  <c r="G170" i="7" s="1"/>
  <c r="J170" i="7"/>
  <c r="G171" i="7"/>
  <c r="J171" i="7"/>
  <c r="H171" i="7" s="1"/>
  <c r="G172" i="7"/>
  <c r="J172" i="7"/>
  <c r="G173" i="7"/>
  <c r="J173" i="7"/>
  <c r="G174" i="7"/>
  <c r="J174" i="7"/>
  <c r="D175" i="7"/>
  <c r="G175" i="7" s="1"/>
  <c r="J175" i="7"/>
  <c r="G176" i="7"/>
  <c r="J176" i="7"/>
  <c r="G177" i="7"/>
  <c r="J177" i="7"/>
  <c r="D178" i="7"/>
  <c r="G178" i="7" s="1"/>
  <c r="J178" i="7"/>
  <c r="G179" i="7"/>
  <c r="J179" i="7"/>
  <c r="H179" i="7" s="1"/>
  <c r="G180" i="7"/>
  <c r="J180" i="7"/>
  <c r="D181" i="7"/>
  <c r="G181" i="7" s="1"/>
  <c r="J181" i="7"/>
  <c r="D182" i="7"/>
  <c r="G182" i="7" s="1"/>
  <c r="J182" i="7"/>
  <c r="D183" i="7"/>
  <c r="G183" i="7" s="1"/>
  <c r="J183" i="7"/>
  <c r="D186" i="7"/>
  <c r="G186" i="7"/>
  <c r="D188" i="7"/>
  <c r="G188" i="7" s="1"/>
  <c r="D189" i="7"/>
  <c r="G189" i="7"/>
  <c r="D190" i="7"/>
  <c r="G190" i="7" s="1"/>
  <c r="G191" i="7"/>
  <c r="H62" i="7"/>
  <c r="H91" i="7"/>
  <c r="H21" i="7"/>
  <c r="G127" i="1"/>
  <c r="H46" i="7"/>
  <c r="G45" i="7"/>
  <c r="H70" i="7"/>
  <c r="H31" i="7"/>
  <c r="G23" i="7"/>
  <c r="H23" i="7" s="1"/>
  <c r="G21" i="7"/>
  <c r="G99" i="1"/>
  <c r="H99" i="1"/>
  <c r="H18" i="1"/>
  <c r="G96" i="1"/>
  <c r="H71" i="1"/>
  <c r="H7" i="1"/>
  <c r="H98" i="1"/>
  <c r="L67" i="1"/>
  <c r="H67" i="1"/>
  <c r="H68" i="1"/>
  <c r="B4" i="6"/>
  <c r="A5" i="6"/>
  <c r="A6" i="6" s="1"/>
  <c r="H62" i="1"/>
  <c r="H14" i="1"/>
  <c r="E15" i="4"/>
  <c r="F15" i="4"/>
  <c r="C19" i="4"/>
  <c r="E18" i="4"/>
  <c r="F16" i="4"/>
  <c r="C15" i="4"/>
  <c r="D14" i="4"/>
  <c r="B3" i="6"/>
  <c r="G38" i="4"/>
  <c r="G31" i="4"/>
  <c r="H9" i="7"/>
  <c r="E14" i="4"/>
  <c r="F14" i="4"/>
  <c r="H63" i="7" l="1"/>
  <c r="K168" i="7"/>
  <c r="L168" i="7" s="1"/>
  <c r="K152" i="7"/>
  <c r="L152" i="7" s="1"/>
  <c r="K134" i="7"/>
  <c r="L134" i="7" s="1"/>
  <c r="K70" i="7"/>
  <c r="L70" i="7" s="1"/>
  <c r="K14" i="7"/>
  <c r="L14" i="7" s="1"/>
  <c r="K180" i="7"/>
  <c r="L180" i="7" s="1"/>
  <c r="K178" i="7"/>
  <c r="L178" i="7" s="1"/>
  <c r="H173" i="7"/>
  <c r="H137" i="7"/>
  <c r="K87" i="7"/>
  <c r="L87" i="7" s="1"/>
  <c r="K79" i="7"/>
  <c r="L79" i="7" s="1"/>
  <c r="K66" i="7"/>
  <c r="L66" i="7" s="1"/>
  <c r="K56" i="7"/>
  <c r="L56" i="7" s="1"/>
  <c r="K51" i="7"/>
  <c r="L51" i="7" s="1"/>
  <c r="K42" i="7"/>
  <c r="L42" i="7" s="1"/>
  <c r="K40" i="7"/>
  <c r="L40" i="7" s="1"/>
  <c r="K34" i="7"/>
  <c r="L34" i="7" s="1"/>
  <c r="K20" i="7"/>
  <c r="L20" i="7" s="1"/>
  <c r="H155" i="7"/>
  <c r="K153" i="7"/>
  <c r="L153" i="7" s="1"/>
  <c r="H151" i="7"/>
  <c r="H148" i="7"/>
  <c r="H135" i="7"/>
  <c r="K91" i="7"/>
  <c r="L91" i="7" s="1"/>
  <c r="K82" i="7"/>
  <c r="L82" i="7" s="1"/>
  <c r="K47" i="7"/>
  <c r="L47" i="7" s="1"/>
  <c r="H32" i="7"/>
  <c r="K18" i="7"/>
  <c r="L18" i="7" s="1"/>
  <c r="B6" i="6"/>
  <c r="A7" i="6"/>
  <c r="H39" i="1"/>
  <c r="K38" i="1"/>
  <c r="L38" i="1" s="1"/>
  <c r="H20" i="1"/>
  <c r="K68" i="7"/>
  <c r="L68" i="7" s="1"/>
  <c r="K154" i="7"/>
  <c r="L154" i="7" s="1"/>
  <c r="K25" i="7"/>
  <c r="L25" i="7" s="1"/>
  <c r="K45" i="1"/>
  <c r="L45" i="1" s="1"/>
  <c r="G38" i="1"/>
  <c r="H38" i="1"/>
  <c r="H72" i="1"/>
  <c r="H181" i="7"/>
  <c r="H147" i="7"/>
  <c r="K136" i="7"/>
  <c r="L136" i="7" s="1"/>
  <c r="K99" i="7"/>
  <c r="L99" i="7" s="1"/>
  <c r="K73" i="7"/>
  <c r="L73" i="7" s="1"/>
  <c r="K63" i="7"/>
  <c r="L63" i="7" s="1"/>
  <c r="K28" i="7"/>
  <c r="L28" i="7" s="1"/>
  <c r="H25" i="7"/>
  <c r="K144" i="1"/>
  <c r="L144" i="1" s="1"/>
  <c r="K99" i="1"/>
  <c r="L99" i="1" s="1"/>
  <c r="K96" i="1"/>
  <c r="L96" i="1" s="1"/>
  <c r="K92" i="1"/>
  <c r="L92" i="1" s="1"/>
  <c r="K70" i="1"/>
  <c r="L70" i="1" s="1"/>
  <c r="H54" i="1"/>
  <c r="K51" i="1"/>
  <c r="L51" i="1" s="1"/>
  <c r="K14" i="1"/>
  <c r="L14" i="1" s="1"/>
  <c r="K60" i="1"/>
  <c r="L60" i="1" s="1"/>
  <c r="H44" i="1"/>
  <c r="G60" i="1"/>
  <c r="H60" i="1" s="1"/>
  <c r="H94" i="7"/>
  <c r="H177" i="7"/>
  <c r="H164" i="7"/>
  <c r="K144" i="7"/>
  <c r="L144" i="7" s="1"/>
  <c r="H122" i="7"/>
  <c r="D110" i="7"/>
  <c r="G110" i="7" s="1"/>
  <c r="G118" i="7"/>
  <c r="H118" i="7" s="1"/>
  <c r="H102" i="7"/>
  <c r="K95" i="7"/>
  <c r="L95" i="7" s="1"/>
  <c r="K89" i="7"/>
  <c r="L89" i="7" s="1"/>
  <c r="K65" i="7"/>
  <c r="L65" i="7" s="1"/>
  <c r="K36" i="7"/>
  <c r="L36" i="7" s="1"/>
  <c r="H13" i="7"/>
  <c r="K122" i="1"/>
  <c r="L122" i="1" s="1"/>
  <c r="H96" i="1"/>
  <c r="E19" i="4"/>
  <c r="B5" i="6"/>
  <c r="K183" i="7"/>
  <c r="L183" i="7" s="1"/>
  <c r="K86" i="7"/>
  <c r="L86" i="7" s="1"/>
  <c r="K55" i="7"/>
  <c r="L55" i="7" s="1"/>
  <c r="K52" i="7"/>
  <c r="L52" i="7" s="1"/>
  <c r="K39" i="7"/>
  <c r="L39" i="7" s="1"/>
  <c r="K33" i="7"/>
  <c r="L33" i="7" s="1"/>
  <c r="K15" i="7"/>
  <c r="L15" i="7" s="1"/>
  <c r="H70" i="1"/>
  <c r="G64" i="1"/>
  <c r="K64" i="1" s="1"/>
  <c r="L64" i="1" s="1"/>
  <c r="H64" i="1"/>
  <c r="H56" i="1"/>
  <c r="K39" i="1"/>
  <c r="L39" i="1" s="1"/>
  <c r="G25" i="1"/>
  <c r="K25" i="1" s="1"/>
  <c r="L25" i="1" s="1"/>
  <c r="H17" i="7"/>
  <c r="H176" i="7"/>
  <c r="K166" i="7"/>
  <c r="L166" i="7" s="1"/>
  <c r="H149" i="7"/>
  <c r="H128" i="7"/>
  <c r="K98" i="7"/>
  <c r="L98" i="7" s="1"/>
  <c r="K94" i="7"/>
  <c r="L94" i="7" s="1"/>
  <c r="K88" i="7"/>
  <c r="L88" i="7" s="1"/>
  <c r="H39" i="7"/>
  <c r="K35" i="7"/>
  <c r="L35" i="7" s="1"/>
  <c r="K27" i="7"/>
  <c r="L27" i="7" s="1"/>
  <c r="H15" i="7"/>
  <c r="K11" i="7"/>
  <c r="L11" i="7" s="1"/>
  <c r="K8" i="7"/>
  <c r="L8" i="7" s="1"/>
  <c r="H158" i="1"/>
  <c r="K121" i="1"/>
  <c r="L121" i="1" s="1"/>
  <c r="K109" i="1"/>
  <c r="L109" i="1" s="1"/>
  <c r="K69" i="1"/>
  <c r="L69" i="1" s="1"/>
  <c r="G44" i="1"/>
  <c r="K44" i="1" s="1"/>
  <c r="L44" i="1" s="1"/>
  <c r="K41" i="1"/>
  <c r="L41" i="1" s="1"/>
  <c r="K20" i="1"/>
  <c r="L20" i="1" s="1"/>
  <c r="D20" i="4"/>
  <c r="C20" i="4"/>
  <c r="K175" i="7"/>
  <c r="L175" i="7" s="1"/>
  <c r="K133" i="7"/>
  <c r="L133" i="7" s="1"/>
  <c r="H113" i="7"/>
  <c r="K72" i="7"/>
  <c r="L72" i="7" s="1"/>
  <c r="K67" i="7"/>
  <c r="L67" i="7" s="1"/>
  <c r="K29" i="7"/>
  <c r="L29" i="7" s="1"/>
  <c r="K24" i="7"/>
  <c r="L24" i="7" s="1"/>
  <c r="K10" i="7"/>
  <c r="L10" i="7" s="1"/>
  <c r="K7" i="7"/>
  <c r="L7" i="7" s="1"/>
  <c r="K4" i="7"/>
  <c r="L4" i="7" s="1"/>
  <c r="K157" i="1"/>
  <c r="L157" i="1" s="1"/>
  <c r="K153" i="1"/>
  <c r="L153" i="1" s="1"/>
  <c r="H114" i="1"/>
  <c r="K104" i="1"/>
  <c r="L104" i="1" s="1"/>
  <c r="K81" i="1"/>
  <c r="L81" i="1" s="1"/>
  <c r="K71" i="1"/>
  <c r="L71" i="1" s="1"/>
  <c r="K57" i="1"/>
  <c r="L57" i="1" s="1"/>
  <c r="K47" i="1"/>
  <c r="L47" i="1" s="1"/>
  <c r="K40" i="1"/>
  <c r="L40" i="1" s="1"/>
  <c r="G16" i="1"/>
  <c r="K16" i="1" s="1"/>
  <c r="L16" i="1" s="1"/>
  <c r="G35" i="4"/>
  <c r="G32" i="4"/>
  <c r="K142" i="1"/>
  <c r="L142" i="1" s="1"/>
  <c r="H129" i="1"/>
  <c r="K118" i="1"/>
  <c r="L118" i="1" s="1"/>
  <c r="K110" i="1"/>
  <c r="L110" i="1" s="1"/>
  <c r="K61" i="1"/>
  <c r="L61" i="1" s="1"/>
  <c r="K18" i="1"/>
  <c r="L18" i="1" s="1"/>
  <c r="K12" i="7"/>
  <c r="L12" i="7" s="1"/>
  <c r="K60" i="7"/>
  <c r="L60" i="7" s="1"/>
  <c r="K100" i="7"/>
  <c r="L100" i="7" s="1"/>
  <c r="H124" i="7"/>
  <c r="K5" i="7"/>
  <c r="L5" i="7" s="1"/>
  <c r="K13" i="7"/>
  <c r="L13" i="7" s="1"/>
  <c r="K37" i="7"/>
  <c r="L37" i="7" s="1"/>
  <c r="K61" i="7"/>
  <c r="L61" i="7" s="1"/>
  <c r="K69" i="7"/>
  <c r="L69" i="7" s="1"/>
  <c r="H174" i="7"/>
  <c r="K167" i="7"/>
  <c r="L167" i="7" s="1"/>
  <c r="H161" i="7"/>
  <c r="K106" i="7"/>
  <c r="L106" i="7" s="1"/>
  <c r="K84" i="7"/>
  <c r="L84" i="7" s="1"/>
  <c r="K71" i="7"/>
  <c r="L71" i="7" s="1"/>
  <c r="K64" i="7"/>
  <c r="L64" i="7" s="1"/>
  <c r="K59" i="7"/>
  <c r="L59" i="7" s="1"/>
  <c r="K23" i="7"/>
  <c r="L23" i="7" s="1"/>
  <c r="K9" i="7"/>
  <c r="L9" i="7" s="1"/>
  <c r="K6" i="7"/>
  <c r="L6" i="7" s="1"/>
  <c r="K3" i="7"/>
  <c r="L3" i="7" s="1"/>
  <c r="H165" i="1"/>
  <c r="K159" i="1"/>
  <c r="L159" i="1" s="1"/>
  <c r="K156" i="1"/>
  <c r="L156" i="1" s="1"/>
  <c r="H141" i="1"/>
  <c r="K128" i="1"/>
  <c r="L128" i="1" s="1"/>
  <c r="H113" i="1"/>
  <c r="K102" i="1"/>
  <c r="L102" i="1" s="1"/>
  <c r="K75" i="1"/>
  <c r="L75" i="1" s="1"/>
  <c r="K63" i="1"/>
  <c r="L63" i="1" s="1"/>
  <c r="K56" i="1"/>
  <c r="L56" i="1" s="1"/>
  <c r="K46" i="1"/>
  <c r="L46" i="1" s="1"/>
  <c r="K36" i="1"/>
  <c r="L36" i="1" s="1"/>
  <c r="K24" i="1"/>
  <c r="L24" i="1" s="1"/>
  <c r="K17" i="1"/>
  <c r="L17" i="1" s="1"/>
  <c r="F21" i="4"/>
  <c r="K22" i="7"/>
  <c r="L22" i="7" s="1"/>
  <c r="K46" i="7"/>
  <c r="L46" i="7" s="1"/>
  <c r="K54" i="7"/>
  <c r="L54" i="7" s="1"/>
  <c r="G36" i="4"/>
  <c r="G33" i="4"/>
  <c r="K32" i="7"/>
  <c r="L32" i="7" s="1"/>
  <c r="K80" i="7"/>
  <c r="L80" i="7" s="1"/>
  <c r="K96" i="7"/>
  <c r="L96" i="7" s="1"/>
  <c r="K120" i="7"/>
  <c r="L120" i="7" s="1"/>
  <c r="K81" i="7"/>
  <c r="L81" i="7" s="1"/>
  <c r="K26" i="7"/>
  <c r="L26" i="7" s="1"/>
  <c r="K50" i="7"/>
  <c r="L50" i="7" s="1"/>
  <c r="H168" i="1"/>
  <c r="K113" i="1"/>
  <c r="L113" i="1" s="1"/>
  <c r="K132" i="7"/>
  <c r="L132" i="7" s="1"/>
  <c r="H159" i="7"/>
  <c r="H116" i="1"/>
  <c r="H134" i="1"/>
  <c r="H153" i="1"/>
  <c r="H143" i="1"/>
  <c r="K128" i="7"/>
  <c r="L128" i="7" s="1"/>
  <c r="H158" i="7"/>
  <c r="K158" i="7"/>
  <c r="L158" i="7" s="1"/>
  <c r="K121" i="7"/>
  <c r="L121" i="7" s="1"/>
  <c r="H121" i="7"/>
  <c r="H140" i="1"/>
  <c r="H106" i="7"/>
  <c r="K149" i="7"/>
  <c r="L149" i="7" s="1"/>
  <c r="H167" i="7"/>
  <c r="H166" i="7"/>
  <c r="H156" i="7"/>
  <c r="H132" i="1"/>
  <c r="K176" i="7"/>
  <c r="L176" i="7" s="1"/>
  <c r="K147" i="7"/>
  <c r="L147" i="7" s="1"/>
  <c r="H154" i="7"/>
  <c r="K138" i="7"/>
  <c r="L138" i="7" s="1"/>
  <c r="H122" i="1"/>
  <c r="K111" i="1"/>
  <c r="L111" i="1" s="1"/>
  <c r="H175" i="7"/>
  <c r="K162" i="7"/>
  <c r="L162" i="7" s="1"/>
  <c r="H162" i="7"/>
  <c r="H164" i="1"/>
  <c r="K164" i="1"/>
  <c r="L164" i="1" s="1"/>
  <c r="H135" i="1"/>
  <c r="K135" i="1"/>
  <c r="L135" i="1" s="1"/>
  <c r="H126" i="7"/>
  <c r="K126" i="7"/>
  <c r="L126" i="7" s="1"/>
  <c r="K136" i="1"/>
  <c r="L136" i="1" s="1"/>
  <c r="H136" i="1"/>
  <c r="H150" i="7"/>
  <c r="K150" i="7"/>
  <c r="L150" i="7" s="1"/>
  <c r="H161" i="1"/>
  <c r="K161" i="1"/>
  <c r="L161" i="1" s="1"/>
  <c r="K163" i="7"/>
  <c r="L163" i="7" s="1"/>
  <c r="H163" i="7"/>
  <c r="K170" i="1"/>
  <c r="L170" i="1" s="1"/>
  <c r="H170" i="1"/>
  <c r="H166" i="1"/>
  <c r="K166" i="1"/>
  <c r="L166" i="1" s="1"/>
  <c r="H162" i="1"/>
  <c r="K162" i="1"/>
  <c r="L162" i="1" s="1"/>
  <c r="H148" i="1"/>
  <c r="K148" i="1"/>
  <c r="L148" i="1" s="1"/>
  <c r="K127" i="1"/>
  <c r="L127" i="1" s="1"/>
  <c r="H127" i="1"/>
  <c r="H125" i="1"/>
  <c r="K125" i="1"/>
  <c r="L125" i="1" s="1"/>
  <c r="K169" i="1"/>
  <c r="L169" i="1" s="1"/>
  <c r="H169" i="1"/>
  <c r="H126" i="1"/>
  <c r="K126" i="1"/>
  <c r="L126" i="1" s="1"/>
  <c r="K157" i="7"/>
  <c r="L157" i="7" s="1"/>
  <c r="H157" i="7"/>
  <c r="H127" i="7"/>
  <c r="K127" i="7"/>
  <c r="L127" i="7" s="1"/>
  <c r="H160" i="1"/>
  <c r="K160" i="1"/>
  <c r="L160" i="1" s="1"/>
  <c r="H149" i="1"/>
  <c r="K149" i="1"/>
  <c r="L149" i="1" s="1"/>
  <c r="H109" i="1"/>
  <c r="H153" i="7"/>
  <c r="K181" i="7"/>
  <c r="L181" i="7" s="1"/>
  <c r="K114" i="1"/>
  <c r="L114" i="1" s="1"/>
  <c r="H152" i="7"/>
  <c r="K102" i="7"/>
  <c r="L102" i="7" s="1"/>
  <c r="K105" i="7"/>
  <c r="L105" i="7" s="1"/>
  <c r="K174" i="7"/>
  <c r="L174" i="7" s="1"/>
  <c r="K113" i="7"/>
  <c r="L113" i="7" s="1"/>
  <c r="K141" i="1"/>
  <c r="L141" i="1" s="1"/>
  <c r="H110" i="1"/>
  <c r="K179" i="7"/>
  <c r="L179" i="7" s="1"/>
  <c r="K116" i="7"/>
  <c r="L116" i="7" s="1"/>
  <c r="H116" i="7"/>
  <c r="H108" i="1"/>
  <c r="K108" i="1"/>
  <c r="L108" i="1" s="1"/>
  <c r="H146" i="7"/>
  <c r="K146" i="7"/>
  <c r="L146" i="7" s="1"/>
  <c r="K154" i="1"/>
  <c r="L154" i="1" s="1"/>
  <c r="H154" i="1"/>
  <c r="H106" i="1"/>
  <c r="K106" i="1"/>
  <c r="L106" i="1" s="1"/>
  <c r="K146" i="1"/>
  <c r="L146" i="1" s="1"/>
  <c r="H146" i="1"/>
  <c r="H182" i="7"/>
  <c r="K182" i="7"/>
  <c r="L182" i="7" s="1"/>
  <c r="K169" i="7"/>
  <c r="L169" i="7" s="1"/>
  <c r="H169" i="7"/>
  <c r="K165" i="7"/>
  <c r="L165" i="7" s="1"/>
  <c r="H165" i="7"/>
  <c r="K145" i="7"/>
  <c r="L145" i="7" s="1"/>
  <c r="H145" i="7"/>
  <c r="K103" i="7"/>
  <c r="L103" i="7" s="1"/>
  <c r="H103" i="7"/>
  <c r="H150" i="1"/>
  <c r="K150" i="1"/>
  <c r="L150" i="1" s="1"/>
  <c r="K107" i="1"/>
  <c r="L107" i="1" s="1"/>
  <c r="H107" i="1"/>
  <c r="H123" i="7"/>
  <c r="K123" i="7"/>
  <c r="L123" i="7" s="1"/>
  <c r="H134" i="7"/>
  <c r="H157" i="1"/>
  <c r="H99" i="7"/>
  <c r="K177" i="7"/>
  <c r="L177" i="7" s="1"/>
  <c r="H120" i="1"/>
  <c r="K135" i="7"/>
  <c r="L135" i="7" s="1"/>
  <c r="K104" i="7"/>
  <c r="L104" i="7" s="1"/>
  <c r="H183" i="7"/>
  <c r="K165" i="1"/>
  <c r="L165" i="1" s="1"/>
  <c r="K117" i="7"/>
  <c r="L117" i="7" s="1"/>
  <c r="K158" i="1"/>
  <c r="L158" i="1" s="1"/>
  <c r="K148" i="7"/>
  <c r="L148" i="7" s="1"/>
  <c r="H144" i="1"/>
  <c r="H120" i="7"/>
  <c r="H118" i="1"/>
  <c r="K151" i="7"/>
  <c r="L151" i="7" s="1"/>
  <c r="K161" i="7"/>
  <c r="L161" i="7" s="1"/>
  <c r="H178" i="7"/>
  <c r="H180" i="7"/>
  <c r="K137" i="7"/>
  <c r="L137" i="7" s="1"/>
  <c r="H121" i="1"/>
  <c r="H133" i="7"/>
  <c r="H137" i="1"/>
  <c r="H156" i="1"/>
  <c r="H100" i="7"/>
  <c r="K101" i="7"/>
  <c r="L101" i="7" s="1"/>
  <c r="H101" i="7"/>
  <c r="K172" i="7"/>
  <c r="L172" i="7" s="1"/>
  <c r="H172" i="7"/>
  <c r="H170" i="7"/>
  <c r="K170" i="7"/>
  <c r="L170" i="7" s="1"/>
  <c r="K163" i="1"/>
  <c r="L163" i="1" s="1"/>
  <c r="H163" i="1"/>
  <c r="K152" i="1"/>
  <c r="L152" i="1" s="1"/>
  <c r="H152" i="1"/>
  <c r="K122" i="7"/>
  <c r="L122" i="7" s="1"/>
  <c r="K160" i="7"/>
  <c r="L160" i="7" s="1"/>
  <c r="K124" i="7"/>
  <c r="L124" i="7" s="1"/>
  <c r="H142" i="1"/>
  <c r="H115" i="1"/>
  <c r="H112" i="1"/>
  <c r="H128" i="1"/>
  <c r="H159" i="1"/>
  <c r="K129" i="1"/>
  <c r="L129" i="1" s="1"/>
  <c r="K171" i="7"/>
  <c r="L171" i="7" s="1"/>
  <c r="H145" i="1"/>
  <c r="K145" i="1"/>
  <c r="L145" i="1" s="1"/>
  <c r="H133" i="1"/>
  <c r="K133" i="1"/>
  <c r="L133" i="1" s="1"/>
  <c r="K147" i="1"/>
  <c r="L147" i="1" s="1"/>
  <c r="H147" i="1"/>
  <c r="K164" i="7"/>
  <c r="L164" i="7" s="1"/>
  <c r="H168" i="7"/>
  <c r="H144" i="7"/>
  <c r="H124" i="1"/>
  <c r="K173" i="7"/>
  <c r="L173" i="7" s="1"/>
  <c r="K155" i="7"/>
  <c r="L155" i="7" s="1"/>
  <c r="K125" i="7"/>
  <c r="L125" i="7" s="1"/>
  <c r="H125" i="7"/>
  <c r="K118" i="7" l="1"/>
  <c r="L118" i="7" s="1"/>
  <c r="H25" i="1"/>
  <c r="H16" i="1"/>
  <c r="A8" i="6"/>
  <c r="B7" i="6"/>
  <c r="F20" i="4"/>
  <c r="E20" i="4"/>
  <c r="B8" i="6" l="1"/>
  <c r="A9" i="6"/>
  <c r="A10" i="6" l="1"/>
  <c r="B9" i="6"/>
  <c r="B10" i="6" l="1"/>
  <c r="A11" i="6"/>
  <c r="B11" i="6" l="1"/>
  <c r="A12" i="6"/>
  <c r="B12" i="6" l="1"/>
  <c r="A13" i="6"/>
  <c r="A14" i="6" l="1"/>
  <c r="B13" i="6"/>
  <c r="A15" i="6" l="1"/>
  <c r="B14" i="6"/>
  <c r="A16" i="6" l="1"/>
  <c r="B15" i="6"/>
  <c r="B16" i="6" l="1"/>
  <c r="A17" i="6"/>
  <c r="A18" i="6" l="1"/>
  <c r="B17" i="6"/>
  <c r="B18" i="6" l="1"/>
  <c r="A19" i="6"/>
  <c r="B19" i="6" l="1"/>
  <c r="A20" i="6"/>
  <c r="A21" i="6" l="1"/>
  <c r="B20" i="6"/>
  <c r="A22" i="6" l="1"/>
  <c r="B21" i="6"/>
  <c r="B22" i="6" l="1"/>
  <c r="A23" i="6"/>
  <c r="A24" i="6" l="1"/>
  <c r="B23" i="6"/>
  <c r="B24" i="6" l="1"/>
  <c r="A25" i="6"/>
  <c r="A26" i="6" l="1"/>
  <c r="B25" i="6"/>
  <c r="B26" i="6" l="1"/>
  <c r="A27" i="6"/>
  <c r="A28" i="6" l="1"/>
  <c r="B27" i="6"/>
  <c r="B28" i="6" l="1"/>
  <c r="A29" i="6"/>
  <c r="A30" i="6" l="1"/>
  <c r="B29" i="6"/>
  <c r="B30" i="6" l="1"/>
  <c r="A31" i="6"/>
  <c r="A32" i="6" l="1"/>
  <c r="B31" i="6"/>
  <c r="A33" i="6" l="1"/>
  <c r="B32" i="6"/>
  <c r="A34" i="6" l="1"/>
  <c r="B33" i="6"/>
  <c r="A35" i="6" l="1"/>
  <c r="B34" i="6"/>
  <c r="A36" i="6" l="1"/>
  <c r="B35" i="6"/>
  <c r="A37" i="6" l="1"/>
  <c r="B36" i="6"/>
  <c r="A38" i="6" l="1"/>
  <c r="B37" i="6"/>
  <c r="A39" i="6" l="1"/>
  <c r="B38" i="6"/>
  <c r="A40" i="6" l="1"/>
  <c r="B39" i="6"/>
  <c r="A41" i="6" l="1"/>
  <c r="B40" i="6"/>
  <c r="A42" i="6" l="1"/>
  <c r="B41" i="6"/>
  <c r="A43" i="6" l="1"/>
  <c r="B42" i="6"/>
  <c r="A44" i="6" l="1"/>
  <c r="B43" i="6"/>
  <c r="A45" i="6" l="1"/>
  <c r="B44" i="6"/>
  <c r="A46" i="6" l="1"/>
  <c r="B45" i="6"/>
  <c r="A47" i="6" l="1"/>
  <c r="B46" i="6"/>
  <c r="A48" i="6" l="1"/>
  <c r="B47" i="6"/>
  <c r="A49" i="6" l="1"/>
  <c r="B48" i="6"/>
  <c r="A50" i="6" l="1"/>
  <c r="B49" i="6"/>
  <c r="A51" i="6" l="1"/>
  <c r="B50" i="6"/>
  <c r="A52" i="6" l="1"/>
  <c r="B51" i="6"/>
  <c r="A53" i="6" l="1"/>
  <c r="B52" i="6"/>
  <c r="A54" i="6" l="1"/>
  <c r="B53" i="6"/>
  <c r="A55" i="6" l="1"/>
  <c r="B54" i="6"/>
  <c r="A56" i="6" l="1"/>
  <c r="B55" i="6"/>
  <c r="A57" i="6" l="1"/>
  <c r="B56" i="6"/>
  <c r="A58" i="6" l="1"/>
  <c r="B57" i="6"/>
  <c r="A59" i="6" l="1"/>
  <c r="B59" i="6" s="1"/>
  <c r="B58" i="6"/>
</calcChain>
</file>

<file path=xl/sharedStrings.xml><?xml version="1.0" encoding="utf-8"?>
<sst xmlns="http://schemas.openxmlformats.org/spreadsheetml/2006/main" count="865" uniqueCount="465">
  <si>
    <t>DATE</t>
  </si>
  <si>
    <t>DESCRIPTION</t>
  </si>
  <si>
    <t>DISTANCE</t>
  </si>
  <si>
    <t>TIME</t>
  </si>
  <si>
    <t>PERFORMANCE</t>
  </si>
  <si>
    <t>AGE</t>
  </si>
  <si>
    <t>Age Factor</t>
  </si>
  <si>
    <t>CORRECTED MILE PACE</t>
  </si>
  <si>
    <t>AGE ADJUSTED TIME</t>
  </si>
  <si>
    <t>ADJUSTED WITH http://www.runnersworld.com/pace-calculators/age-grade-calculator</t>
  </si>
  <si>
    <t>COMMENTS</t>
  </si>
  <si>
    <t>(miles)</t>
  </si>
  <si>
    <t>Mins</t>
  </si>
  <si>
    <t>Secs</t>
  </si>
  <si>
    <t>Mins/mile</t>
  </si>
  <si>
    <t>Age adjusted</t>
  </si>
  <si>
    <t>Quadratic fit to Ray C Fair</t>
  </si>
  <si>
    <t>Performance</t>
  </si>
  <si>
    <t>Time</t>
  </si>
  <si>
    <t>HUMPHRIES</t>
  </si>
  <si>
    <t>Leicester</t>
  </si>
  <si>
    <t>James Longstaff 43m40s</t>
  </si>
  <si>
    <t>Barrow</t>
  </si>
  <si>
    <t>James Longstaff 91m30s</t>
  </si>
  <si>
    <t>sileby</t>
  </si>
  <si>
    <t>Neil D 93m45s</t>
  </si>
  <si>
    <t>barrow</t>
  </si>
  <si>
    <t>Adam Mayes 22m30s, Steve Warriner 27m00s, Mick Greaves 27m30s, Chris Harrison 32m00s</t>
  </si>
  <si>
    <t>RAWLINS O</t>
  </si>
  <si>
    <t>Neil D 102m</t>
  </si>
  <si>
    <t>Steve Warriner 28m30s, Jason Cramphorn 29m00s, Wayne Morley 32m15s</t>
  </si>
  <si>
    <t>Neil D 85m</t>
  </si>
  <si>
    <t>shepshed</t>
  </si>
  <si>
    <t>Steve Warriner 27m30s, John Warriner 29m00s</t>
  </si>
  <si>
    <t>loughborough</t>
  </si>
  <si>
    <t>Steve Warriner 21m30s, John Warriner 22m10s</t>
  </si>
  <si>
    <t>thringstone</t>
  </si>
  <si>
    <t>Steve Warriner 25m36s, John Warriner 26m30s</t>
  </si>
  <si>
    <t>RAWLINS A</t>
  </si>
  <si>
    <t>John Warriner 34m30s</t>
  </si>
  <si>
    <t>melton</t>
  </si>
  <si>
    <t>John Warriner 21m45s</t>
  </si>
  <si>
    <t>Philip Bacon 26m30s, Steve Warriner 26m45s, John Warriner 27m15s, James Longstaff 28m00s, Andy Neal 28m00s, Jason Tuckwood 32m30s</t>
  </si>
  <si>
    <t>Steve Warriner 21m03s, John Warriner 21m07s</t>
  </si>
  <si>
    <t>John Warriner 29m10s</t>
  </si>
  <si>
    <t>Leicester (Run the World)</t>
  </si>
  <si>
    <t>John Warriner 67m20s</t>
  </si>
  <si>
    <t>Bellshire Half M in Melton</t>
  </si>
  <si>
    <t>Jason Tuckwood 38m</t>
  </si>
  <si>
    <t>walton</t>
  </si>
  <si>
    <t>John Warriner 46m17s, Steve Warriner 46m20s</t>
  </si>
  <si>
    <t>RUNS AT ST. ANDREWS INCLUDING HALF Ms, KINGHORN 5, ATHLETICS 1992</t>
  </si>
  <si>
    <t>ST ANDREWS!</t>
  </si>
  <si>
    <t>DURHAM</t>
  </si>
  <si>
    <t>RUNS AT LEEDS, INCLUDING HALF Ms</t>
  </si>
  <si>
    <t>Leeds Half M</t>
  </si>
  <si>
    <t xml:space="preserve">Andy 119m19s, Julia 119m44s </t>
  </si>
  <si>
    <t>Beat Beethoven</t>
  </si>
  <si>
    <t>Art 23m, SteveMc 21m45s</t>
  </si>
  <si>
    <t>Law Days Judicata</t>
  </si>
  <si>
    <t>Track meet mile</t>
  </si>
  <si>
    <t>3rd place</t>
  </si>
  <si>
    <t>Track meet 800m</t>
  </si>
  <si>
    <t>3rd</t>
  </si>
  <si>
    <t>Track meet 400m</t>
  </si>
  <si>
    <t>Track meet 200m</t>
  </si>
  <si>
    <t>1st</t>
  </si>
  <si>
    <t>Mosquito Meander</t>
  </si>
  <si>
    <t>Michelle Mitchell 19m45s (my beautiful rabbit)</t>
  </si>
  <si>
    <t>Midnight Sun Run</t>
  </si>
  <si>
    <t>Michelle Mitchell 39m28s</t>
  </si>
  <si>
    <t>Mapco Mile</t>
  </si>
  <si>
    <t>Me 9th, Mark Dammeyer 4th in 4m54s</t>
  </si>
  <si>
    <t>Grandmas over the hill</t>
  </si>
  <si>
    <t>Me 5th, Art 69m50s, Kevin Brinegar 54m40s, Scott McCrea 55m10s</t>
  </si>
  <si>
    <t>Gold Discovery Run</t>
  </si>
  <si>
    <t>Heather Hunt 1h51m, Kevin 1h33m, Art 2h08m</t>
  </si>
  <si>
    <t>Santa Claus Half M</t>
  </si>
  <si>
    <t>First 5 miles = 35m06s, Second 5 miles = 33m41s, Last 5k = 20m28s</t>
  </si>
  <si>
    <t>GCI 5k</t>
  </si>
  <si>
    <t>Musk Ox Run</t>
  </si>
  <si>
    <t>Out in 44m40s, back in 36m30s, 6th, just ahead of Jim Brader and Dave Covey - 5minutes ahead of Michelle</t>
  </si>
  <si>
    <t>Equinox Marathon</t>
  </si>
  <si>
    <t>Beat Art by about 9 seconds. Matias Saari did 3:49:17.</t>
  </si>
  <si>
    <t>Miller Hill / Yankovich Cookie Challenge</t>
  </si>
  <si>
    <t>WON THE RACE BY 1 MINUTE FROM ROCKY REIFENSTAHL: I practised it a couple of times in the week before</t>
  </si>
  <si>
    <t>It aint easy hill run</t>
  </si>
  <si>
    <t>?</t>
  </si>
  <si>
    <t>Beat Beethoven 5k around campus. 19m49s. 6m40s for first 2 miles, then 5m50s for the third, passing Michelle who finished in 20m11s. Art beat his time of last year by almost 2 minutes to finish in 21:23. 5 miles total.</t>
  </si>
  <si>
    <t>Alaskaland Run for Youth</t>
  </si>
  <si>
    <t>4th, just behind Stuart Grant, Art smashed PB too in 19m50s</t>
  </si>
  <si>
    <t>Alaskaland Couch Potato Challenge</t>
  </si>
  <si>
    <t>Law Days 10k</t>
  </si>
  <si>
    <t>Law Days 10k. Around freezing, windy &amp; snowing. Legs felt sore. Got to the turn around in 20m30s. At the 4 mile point I was 35s behind Michelle Mitchell, who was ~10 s behind Tina Devine. I did the second-half in 19m18s, passing Michelle around the 6 mile mark.</t>
  </si>
  <si>
    <t>Presbyterian 5k</t>
  </si>
  <si>
    <t>Presbyterian 5k from Patty Center. I won it in 16m40s from Stuart Grant. Michelle 4th in 18m20s. But was it really 5k?</t>
  </si>
  <si>
    <t>Injured</t>
  </si>
  <si>
    <t>Hugh Heacock at Birch Hill</t>
  </si>
  <si>
    <t>1st Salmon Run in Nenana</t>
  </si>
  <si>
    <t>Came in first - someone ahead went wrong way</t>
  </si>
  <si>
    <t>Track meet 100m</t>
  </si>
  <si>
    <t>First 5 miles = 34m38s, Second 5 miles = 33m59s, Last 5k = 20m34s</t>
  </si>
  <si>
    <t>2nd, behind Kevin Brinegar in 4m43s</t>
  </si>
  <si>
    <t>WAS DOING REALLY WELL - ONLY BEHIND MIKE KRAMER - BUT KEPT INJURING MY ANKLE WORSE AND WORSE</t>
  </si>
  <si>
    <t>Cudjoehead - Salem Park</t>
  </si>
  <si>
    <t>Came 8th, 1 minute behind Simon Carn, 4th</t>
  </si>
  <si>
    <t>Sweeneys - Salem Park relay</t>
  </si>
  <si>
    <t>Not far behind Jane LeBlond 109m32s - paced her to 13 miles</t>
  </si>
  <si>
    <t>Beaver Sports Triathlon</t>
  </si>
  <si>
    <t>Came 3rd</t>
  </si>
  <si>
    <t>Leeds Half M with Tanya</t>
  </si>
  <si>
    <t>Trent Toll Bridge (Notts AC)</t>
  </si>
  <si>
    <t>Vicky Hards did it in 31m21s (5th woman)</t>
  </si>
  <si>
    <t>Desford 10k</t>
  </si>
  <si>
    <t>Livingstone Relays</t>
  </si>
  <si>
    <t>Barrow Bruiser</t>
  </si>
  <si>
    <t>Crossdale 10k</t>
  </si>
  <si>
    <t>Around 4 min/km pace throughout, finished 10th (beat all women)</t>
  </si>
  <si>
    <t>Robin Hood Half Marathon</t>
  </si>
  <si>
    <t>First 5 miles = 37m40s, Second 5 miles = 35m10s, Last 5k = 20m07s</t>
  </si>
  <si>
    <t>Turkey Trot - Keyworth</t>
  </si>
  <si>
    <t xml:space="preserve">Unofficial entry. Started 10 minutes late, and missed half a mile off course. </t>
  </si>
  <si>
    <t>LRRL Beaumont Markfield</t>
  </si>
  <si>
    <t xml:space="preserve">LRRL Barrow </t>
  </si>
  <si>
    <t>Holme Pierrepont</t>
  </si>
  <si>
    <t>behind Vicky</t>
  </si>
  <si>
    <t>Wollaton Park</t>
  </si>
  <si>
    <t>beat David &amp; Vicky</t>
  </si>
  <si>
    <t>Rushcliffe Country Park</t>
  </si>
  <si>
    <t>first 9 miles in about 63 minutes, then had to walk - hardest run since Equinox in 1998!</t>
  </si>
  <si>
    <t>Barrow Boxing Day Handicap</t>
  </si>
  <si>
    <t>Ellen ran about 52 minutes</t>
  </si>
  <si>
    <t>Two way street station cookie challenge</t>
  </si>
  <si>
    <t>First run back in Alaska (and since doing in ankle twice in previous few months)</t>
  </si>
  <si>
    <t>Spring Fling 10k</t>
  </si>
  <si>
    <t>Patty Center to Goldhill out and back (Ellen did 47.33). We did first mile in 7.36, I was at 2 mile in 14.50, 5k in 22.55, then 4m in 27.55, 5m in 34.55. Just beat Steve Bainbridge.</t>
  </si>
  <si>
    <t>Beet Beethoven</t>
  </si>
  <si>
    <t>9th out of about 500 runners</t>
  </si>
  <si>
    <t>Track time trial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</si>
  <si>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having taken on the lead after 3.5 laps</t>
    </r>
  </si>
  <si>
    <t>Chena River Run</t>
  </si>
  <si>
    <r>
      <t>9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 xml:space="preserve"> out of 980 runners</t>
    </r>
  </si>
  <si>
    <t>Flint Hills Mile</t>
  </si>
  <si>
    <r>
      <t>6</t>
    </r>
    <r>
      <rPr>
        <vertAlign val="superscript"/>
        <sz val="10"/>
        <rFont val="Arial"/>
        <family val="2"/>
      </rPr>
      <t>th ?</t>
    </r>
  </si>
  <si>
    <t>Spruce Tree Classic</t>
  </si>
  <si>
    <t>Through the first mile in over 10 minutes due to blistering. Gradually sped up thereafter. Over the bicycle bumps both ways (officially 52:17).</t>
  </si>
  <si>
    <t>Santa Claus Half</t>
  </si>
  <si>
    <t>GCI 8k</t>
  </si>
  <si>
    <t>Equinox Leg 2</t>
  </si>
  <si>
    <t>Two Way Street Cookie Challenge</t>
  </si>
  <si>
    <t>4th. Had to run through snow that was deep and slippy</t>
  </si>
  <si>
    <t>Spring Fling 5k</t>
  </si>
  <si>
    <t>Fairbanks run for women</t>
  </si>
  <si>
    <t>Ran with Ellen, who finished 3rd</t>
  </si>
  <si>
    <t>Run Lu Lu Run</t>
  </si>
  <si>
    <t>3rd place, behind Simon McLaughlin (2nd) by 19 secs</t>
  </si>
  <si>
    <t>St Patricks</t>
  </si>
  <si>
    <t>2nd, 7 secs behind Ed Debevec</t>
  </si>
  <si>
    <t>Masochism on Moose Mtn</t>
  </si>
  <si>
    <t>Steep 1.25 miles, 2.75 miles down. I descended in 16:12, a pace of 5:53</t>
  </si>
  <si>
    <t>22nd, right behind women's winner Crystal Pitney</t>
  </si>
  <si>
    <t>5th,</t>
  </si>
  <si>
    <t>8th, just behind Brando</t>
  </si>
  <si>
    <t>Ester Dome Ass Kicker</t>
  </si>
  <si>
    <t>Passed Kristen Rozzell and Sam Herreid on the road back</t>
  </si>
  <si>
    <t>Chena Hot Springs Run &amp; Soak</t>
  </si>
  <si>
    <t>Right behind Kristen</t>
  </si>
  <si>
    <t>Golden Mile</t>
  </si>
  <si>
    <t>4th, half a second ahead of Maggie Callahan, first woman</t>
  </si>
  <si>
    <t>2nd, after I had moved from 4th to 1st on the ascent. The flat road at the bottom was just too long.</t>
  </si>
  <si>
    <t>Run for the Refuge</t>
  </si>
  <si>
    <t>Caught up to Heather Best and Kristen Rozell, who were running together, about half way</t>
  </si>
  <si>
    <t>BEST EVER TIME, 39th</t>
  </si>
  <si>
    <t>Cache Creek Warm-up</t>
  </si>
  <si>
    <t>2nd, having been 5th at the half way. 4 minutes behind Stian Stensland though.</t>
  </si>
  <si>
    <t>Heart of Darkness Snowshoe</t>
  </si>
  <si>
    <t>7th,</t>
  </si>
  <si>
    <t>Spring Fling</t>
  </si>
  <si>
    <t>5th</t>
  </si>
  <si>
    <t>Murphy Dome Roam</t>
  </si>
  <si>
    <t>Started with a crooked left ankle, sort of hobbling. Kept up with lead women for 2-3 miles, then slowed.</t>
  </si>
  <si>
    <t>A distant 5th, with a pack behind me</t>
  </si>
  <si>
    <t>Valkyeries</t>
  </si>
  <si>
    <t>7th.</t>
  </si>
  <si>
    <t xml:space="preserve">1st place </t>
  </si>
  <si>
    <t>Gold Discovery.</t>
  </si>
  <si>
    <t>5th. Met Sarah Palin after the race at Governor's Picnic. She served me a burger.</t>
  </si>
  <si>
    <t>9th.</t>
  </si>
  <si>
    <t>Birch Hill 5k</t>
  </si>
  <si>
    <t>9th. Slipping ans sliding in the mud. Needed spikes.</t>
  </si>
  <si>
    <t>Annihilator</t>
  </si>
  <si>
    <t>MAJOR RIGHT ANKLE SPRAIN Less than 1 mile from finish (I had caught David Fee who finished 4 minutes ahead of me)</t>
  </si>
  <si>
    <t>1st place again, Defended my title</t>
  </si>
  <si>
    <t>Ran with Steve McNutt to about the half-way point, then things loosened up and  I sped up. Steve finished in 26:08</t>
  </si>
  <si>
    <t>Valkyries</t>
  </si>
  <si>
    <t>Did an extra 0.37 miles</t>
  </si>
  <si>
    <t>Christi Smitz was first woman for 2nd year in a row in around 5:43. I was 4th, after winning the two years before.</t>
  </si>
  <si>
    <t>Had to walk the last mile</t>
  </si>
  <si>
    <t>Had to walk/jog/stretch first 6 miles due to pulled right calf</t>
  </si>
  <si>
    <t xml:space="preserve">My slowest but funnest Equinox so far. </t>
  </si>
  <si>
    <t>Troth Yeddha 5k at UAF</t>
  </si>
  <si>
    <t>2nd. Anna Worden was 4th (1st woman). Bruce Sackinger, Dave ? And Dave Leonard also in top 10.</t>
  </si>
  <si>
    <t>Halloween Run</t>
  </si>
  <si>
    <t>3rd behind Ted Alder and Patrik Sartz</t>
  </si>
  <si>
    <t>DISTANCE (MILES)</t>
  </si>
  <si>
    <t>CONVERSION_FACTOR</t>
  </si>
  <si>
    <t>ACTUAL AVERAGE MILE</t>
  </si>
  <si>
    <t>EQUIVALENT MILE</t>
  </si>
  <si>
    <t>Humphries (&lt; June 85)</t>
  </si>
  <si>
    <t>Rawlins 0level PBs</t>
  </si>
  <si>
    <t>Rawlins Alevel PBs</t>
  </si>
  <si>
    <t>St Andrews PBs</t>
  </si>
  <si>
    <t>Alaska 1998-2000</t>
  </si>
  <si>
    <t>Montserrat years PBs</t>
  </si>
  <si>
    <t>Keyworth years PBs</t>
  </si>
  <si>
    <t>Alaska 2006+</t>
  </si>
  <si>
    <t>2004 target pace</t>
  </si>
  <si>
    <t>Training pace</t>
  </si>
  <si>
    <t>200 m</t>
  </si>
  <si>
    <t>32s</t>
  </si>
  <si>
    <t>29s</t>
  </si>
  <si>
    <t>.-</t>
  </si>
  <si>
    <t>28s ?</t>
  </si>
  <si>
    <t>27.2s</t>
  </si>
  <si>
    <t>40s</t>
  </si>
  <si>
    <t>36s</t>
  </si>
  <si>
    <t>400 m</t>
  </si>
  <si>
    <t>76s</t>
  </si>
  <si>
    <t>66s</t>
  </si>
  <si>
    <t>58s ?</t>
  </si>
  <si>
    <t>58.2s</t>
  </si>
  <si>
    <t>79s</t>
  </si>
  <si>
    <t>78s</t>
  </si>
  <si>
    <t>800 m</t>
  </si>
  <si>
    <t>3m02s</t>
  </si>
  <si>
    <t>2m40s</t>
  </si>
  <si>
    <t>2m25s</t>
  </si>
  <si>
    <t>2m16s</t>
  </si>
  <si>
    <t>2m57s</t>
  </si>
  <si>
    <t>74.3s per lap</t>
  </si>
  <si>
    <t>84s per lap</t>
  </si>
  <si>
    <t>mile</t>
  </si>
  <si>
    <t>6m30s</t>
  </si>
  <si>
    <t>6m03s</t>
  </si>
  <si>
    <t>4m52s</t>
  </si>
  <si>
    <t>4m53s</t>
  </si>
  <si>
    <t>6m35s</t>
  </si>
  <si>
    <t>5m9.8s</t>
  </si>
  <si>
    <t>79.6s per lap</t>
  </si>
  <si>
    <t>90s per lap</t>
  </si>
  <si>
    <t>5k</t>
  </si>
  <si>
    <t>21m20s</t>
  </si>
  <si>
    <t>21m00s</t>
  </si>
  <si>
    <t>17m55s</t>
  </si>
  <si>
    <t>18m00s (unsure of 16m40s)</t>
  </si>
  <si>
    <t>20m30s</t>
  </si>
  <si>
    <t>18m32s (scaled from Livingstone)</t>
  </si>
  <si>
    <t>18m28.2s</t>
  </si>
  <si>
    <t>5m54s</t>
  </si>
  <si>
    <t>6m38s</t>
  </si>
  <si>
    <t>10k</t>
  </si>
  <si>
    <t>44m10s (scaled)</t>
  </si>
  <si>
    <t>42m30s</t>
  </si>
  <si>
    <t>45m17s</t>
  </si>
  <si>
    <t>38m19s (scaled)</t>
  </si>
  <si>
    <t>47m31s (Beaver Triathlon)</t>
  </si>
  <si>
    <t>38m45s</t>
  </si>
  <si>
    <t>37m46.9s</t>
  </si>
  <si>
    <t>6m15s</t>
  </si>
  <si>
    <t>7m02s</t>
  </si>
  <si>
    <t>Half M</t>
  </si>
  <si>
    <t>97m05s</t>
  </si>
  <si>
    <t>90m20s</t>
  </si>
  <si>
    <t>89m01s</t>
  </si>
  <si>
    <t>1h29m46s (scaled from Gold Discovery)</t>
  </si>
  <si>
    <t>1h32m57s</t>
  </si>
  <si>
    <t>86m35.5s</t>
  </si>
  <si>
    <t>7m28s</t>
  </si>
  <si>
    <t>Marathon</t>
  </si>
  <si>
    <t>245m9s</t>
  </si>
  <si>
    <t>229m11s</t>
  </si>
  <si>
    <t>6m59s</t>
  </si>
  <si>
    <t>7m51s</t>
  </si>
  <si>
    <t>88s per lap</t>
  </si>
  <si>
    <t>Seconds</t>
  </si>
  <si>
    <t>Minutes per mile pace</t>
  </si>
  <si>
    <t>Seconds per lap pace</t>
  </si>
  <si>
    <t>DISTANCES (miles)</t>
  </si>
  <si>
    <t>APPROX WORLD</t>
  </si>
  <si>
    <t>FORMULA</t>
  </si>
  <si>
    <t>BASICALLY, IF PLUG</t>
  </si>
  <si>
    <t xml:space="preserve">THIS COLUMN IS </t>
  </si>
  <si>
    <t>RECS</t>
  </si>
  <si>
    <t>APPROPRIATE MILE</t>
  </si>
  <si>
    <t>MINS / MILE PACE</t>
  </si>
  <si>
    <t>THIS COLUMN IS SECS / LAP</t>
  </si>
  <si>
    <t>TIME IN HERE</t>
  </si>
  <si>
    <t>WILL GET PREDICTIONS</t>
  </si>
  <si>
    <t>FOR OTHER</t>
  </si>
  <si>
    <t>DISTANCES</t>
  </si>
  <si>
    <t>YEAR</t>
  </si>
  <si>
    <t>Races completed</t>
  </si>
  <si>
    <t>Overall points</t>
  </si>
  <si>
    <t>Overall place</t>
  </si>
  <si>
    <t>Class points</t>
  </si>
  <si>
    <t>Class place</t>
  </si>
  <si>
    <t>2 of 7</t>
  </si>
  <si>
    <t>Season was cut short. I was 2nd in my age group, 7th overall after Mile.</t>
  </si>
  <si>
    <t>1 of 7</t>
  </si>
  <si>
    <t>Just Santa Claus</t>
  </si>
  <si>
    <t>5 of 8</t>
  </si>
  <si>
    <t>1 of 8</t>
  </si>
  <si>
    <t>4 of 8</t>
  </si>
  <si>
    <t>Two seconds</t>
  </si>
  <si>
    <t>7 of 8</t>
  </si>
  <si>
    <t>Missed CRR because of Kamchatka, which cost me 2 places overall. Didn't overall score in MSR. Two firsts and two seconds in my age group.</t>
  </si>
  <si>
    <t>8 of 8</t>
  </si>
  <si>
    <t>Overall should have been 144 points and 14th place, except for course error at Valkyries. Two firsts and two seconds.</t>
  </si>
  <si>
    <t>2 of 3</t>
  </si>
  <si>
    <t>age</t>
  </si>
  <si>
    <t>factor</t>
  </si>
  <si>
    <t>Humphries Sports Day</t>
  </si>
  <si>
    <t>Humphries athletics class</t>
  </si>
  <si>
    <t>Humphries athletics class 1500m</t>
  </si>
  <si>
    <t>Humphries with Stub 1500m</t>
  </si>
  <si>
    <t>St Andrews 1500m</t>
  </si>
  <si>
    <t>Track meet 60m, Glasgow</t>
  </si>
  <si>
    <t>St Andrews or Glasgow</t>
  </si>
  <si>
    <t>Track meet mile, Glasgow</t>
  </si>
  <si>
    <t>Track meet 5k, Glasgow</t>
  </si>
  <si>
    <t>Might have been 17m55s</t>
  </si>
  <si>
    <t>St Andrews Half</t>
  </si>
  <si>
    <t>Durham Track with Andy</t>
  </si>
  <si>
    <t>Presbyterian 5k from Patty Center. I won it in 16m40s from Stuart Grant. Michelle 4th in 18m20s. But was it really 5k? It might have been more like a 17m20s 5k performance.</t>
  </si>
  <si>
    <t>DID NOT FINISH</t>
  </si>
  <si>
    <t>Final leg of Skagway-Whitehorse Klondike Relay</t>
  </si>
  <si>
    <t>Chena Lakes Triathlon</t>
  </si>
  <si>
    <t>Sprint Triathlon</t>
  </si>
  <si>
    <t>Sourdough Triathlon</t>
  </si>
  <si>
    <t>Half Ironman</t>
  </si>
  <si>
    <t>Donate Life USF 5k</t>
  </si>
  <si>
    <t>Mud Titan, Plant City</t>
  </si>
  <si>
    <t>Turkey Trot</t>
  </si>
  <si>
    <t>AGU Run</t>
  </si>
  <si>
    <t>Spacecoast Marathon</t>
  </si>
  <si>
    <t>Signed up less than 24 hours before, without training. Took first 10k very slow.</t>
  </si>
  <si>
    <t>Max 19:08, Dave L 20:08, Greg Finstad 20:54, Manx Quayle 20:42, Becca Rolph 20:56</t>
  </si>
  <si>
    <t>Drew 36:36, Simon M 36:50, Joel H 39:53, Ted 41:57, Tom M 43:38, Mike Hayes 44:19, Melissa 39:53, Ellen 50:14, Erin 51:48</t>
  </si>
  <si>
    <t>Dave L 41:57, Dave Maxwell 42:24, Krista Herringa 42:36, Beth Zirbes 44:29, Ed D 45:28</t>
  </si>
  <si>
    <t>West Ridge Lunch Run 5k</t>
  </si>
  <si>
    <t>Max 20:18, Dave Fee 20:46, Tom Moran 21:28, Dave L 21:59, Krista Herringa 22:58, Taryn 23:17, Ned 25:46</t>
  </si>
  <si>
    <t>Prestwold Air Ambulance 10k</t>
  </si>
  <si>
    <t>Emily Ault 39:52, Dave Goddard 40:17, Lloyd Bowler 43:15, Monique 46:16, Dawn Storer 46:34</t>
  </si>
  <si>
    <t>3 club challenge</t>
  </si>
  <si>
    <t>Thanksgiving Turkey Trot</t>
  </si>
  <si>
    <t xml:space="preserve">Bradgate Park 5 </t>
  </si>
  <si>
    <t>Santa Rosa Olympic Triathlon 1500m swim, 25 mile ride, 10k run</t>
  </si>
  <si>
    <t>With Amber Bethe. 800m swim, 30 mile bike ride, 10k run. Me 3:04:48 (19:58, 1:57:19, 47:31), Amber 3:07:10 (24:07, 1:44:53, 58:10)</t>
  </si>
  <si>
    <t xml:space="preserve">Run on the shutle landing facility </t>
  </si>
  <si>
    <t>Date</t>
  </si>
  <si>
    <t xml:space="preserve">Event name </t>
  </si>
  <si>
    <t>Distances</t>
  </si>
  <si>
    <t>Swim</t>
  </si>
  <si>
    <t>T1</t>
  </si>
  <si>
    <t>Bike</t>
  </si>
  <si>
    <t>T2</t>
  </si>
  <si>
    <t>Run</t>
  </si>
  <si>
    <t>Overall</t>
  </si>
  <si>
    <t xml:space="preserve">City of Lakes Triathlon </t>
  </si>
  <si>
    <t>Class</t>
  </si>
  <si>
    <t>Location</t>
  </si>
  <si>
    <t>Santa Rosa, NM</t>
  </si>
  <si>
    <t>Olympic</t>
  </si>
  <si>
    <t>(Georgina Gibson)</t>
  </si>
  <si>
    <t>Escape from Fort de Soto</t>
  </si>
  <si>
    <t>Fort de Soto, FL</t>
  </si>
  <si>
    <t>0.5 miles, 10 miles, 5k</t>
  </si>
  <si>
    <t>North Pole triathlon</t>
  </si>
  <si>
    <t>Chena Lakes, AK</t>
  </si>
  <si>
    <t>(Mike Gibson)</t>
  </si>
  <si>
    <t>(georgina gibson)</t>
  </si>
  <si>
    <t>(bruce miller)</t>
  </si>
  <si>
    <t>North Pole Triathlon</t>
  </si>
  <si>
    <t>Olympic Triathlon</t>
  </si>
  <si>
    <t>Chena Lakes to Fairbanks, AK</t>
  </si>
  <si>
    <t>International?</t>
  </si>
  <si>
    <t>Sprint?</t>
  </si>
  <si>
    <t>1 mile, 25 miles, 10k</t>
  </si>
  <si>
    <t>0.5 miles, 30 miles, 10k</t>
  </si>
  <si>
    <t xml:space="preserve">Sprint </t>
  </si>
  <si>
    <t>?, ?, 5k</t>
  </si>
  <si>
    <t>(amber bethe)</t>
  </si>
  <si>
    <t>USF Campus Rec Tri</t>
  </si>
  <si>
    <t>USF Campus</t>
  </si>
  <si>
    <t>Sprint</t>
  </si>
  <si>
    <t>500 yards, 12.4 miles, 5k</t>
  </si>
  <si>
    <t>fort de soto 5k &amp; 15k</t>
  </si>
  <si>
    <t>Emily Cerrito 51:38, Charlie Breithaupt 49:55</t>
  </si>
  <si>
    <t>Emily Cerrito 23:55, Michelle Saunders 28:21, Faye Ricker 39:00</t>
  </si>
  <si>
    <t>Chatanika, AK</t>
  </si>
  <si>
    <t>Half-IM</t>
  </si>
  <si>
    <t>Add runs from summer late Dec 2014 through Nov 2015, &amp; from Dec 2015 to Apr 2016</t>
  </si>
  <si>
    <t>Independence Day 5k, Fairbanks, AK</t>
  </si>
  <si>
    <t>mud titan 8, plant city</t>
  </si>
  <si>
    <t>1 mile (not 1.25), 56 miles, 13.1 miles</t>
  </si>
  <si>
    <t>(Bruce Miller)</t>
  </si>
  <si>
    <t>(Tyson Flaharty)</t>
  </si>
  <si>
    <t>(Joel Buth)</t>
  </si>
  <si>
    <t>(Bob Baker)</t>
  </si>
  <si>
    <t>(Tom Moran)</t>
  </si>
  <si>
    <t>(amber Barlow)</t>
  </si>
  <si>
    <t>(Seth Snedigar)</t>
  </si>
  <si>
    <t>(Georgina gibson)</t>
  </si>
  <si>
    <t>Multirace Fort de Soto Tri #1</t>
  </si>
  <si>
    <t xml:space="preserve">International </t>
  </si>
  <si>
    <t>800 yards, 20 miles, 10k</t>
  </si>
  <si>
    <t>4th in my age group (out of 12)</t>
  </si>
  <si>
    <t>1st my age group (out of 12)</t>
  </si>
  <si>
    <t>bike speed</t>
  </si>
  <si>
    <t>swim speed</t>
  </si>
  <si>
    <t>run speed</t>
  </si>
  <si>
    <t>NOTES</t>
  </si>
  <si>
    <t>Time without transitions</t>
  </si>
  <si>
    <t>Multirace Fort de Soto Tri #2</t>
  </si>
  <si>
    <t>Multirace Fort de Soto Tri #3</t>
  </si>
  <si>
    <t>became a duathlon</t>
  </si>
  <si>
    <t>400 yards, 10 miles, 5k</t>
  </si>
  <si>
    <t>3rd in my age group</t>
  </si>
  <si>
    <t>5k on Clearwater Beach</t>
  </si>
  <si>
    <t>Trout Creek 15km trail race</t>
  </si>
  <si>
    <t>Jim Loftus Mile</t>
  </si>
  <si>
    <t>Fast tempo run, Babe Zaharias golf course</t>
  </si>
  <si>
    <t>Trot thru the terrace</t>
  </si>
  <si>
    <t>Clearwater running festival 5k</t>
  </si>
  <si>
    <t>50th birthday foot race</t>
  </si>
  <si>
    <t>Mitch 6:10, charlie maybe 6:30</t>
  </si>
  <si>
    <t>St Pete Run Festival</t>
  </si>
  <si>
    <t>Fast tempo run, Lake Carrollwood</t>
  </si>
  <si>
    <t>Flatwoods levee tempo run</t>
  </si>
  <si>
    <t>Tempo run</t>
  </si>
  <si>
    <t>Morning track run USF</t>
  </si>
  <si>
    <t>West Ridge Lunch Run</t>
  </si>
  <si>
    <t>UAF campus run</t>
  </si>
  <si>
    <t>UAF campus afternoon run</t>
  </si>
  <si>
    <t>UAF campus lunch run</t>
  </si>
  <si>
    <t>Fast mile during run around Patty center</t>
  </si>
  <si>
    <t>Yankovitch loop run SUPER FAST  HILLY</t>
  </si>
  <si>
    <t>Morning run near Pioneer Park</t>
  </si>
  <si>
    <t>Training for Flint Hills mile?</t>
  </si>
  <si>
    <t>strava half m</t>
  </si>
  <si>
    <t>strava 20k</t>
  </si>
  <si>
    <t>strava 10 m</t>
  </si>
  <si>
    <t>strava 15k</t>
  </si>
  <si>
    <t>UAF campus and trail run</t>
  </si>
  <si>
    <t>2nd overall after chasing down a 57-year-old geologist called Matt, and only 10-seconds behind the winner. negative splits, when adjusted for hills. First woman was a USF chemistry freshman in 49 minutes.</t>
  </si>
  <si>
    <r>
      <t>1</t>
    </r>
    <r>
      <rPr>
        <vertAlign val="superscript"/>
        <sz val="12"/>
        <color theme="1"/>
        <rFont val="Calibri"/>
        <family val="2"/>
        <scheme val="minor"/>
      </rPr>
      <t>st</t>
    </r>
    <r>
      <rPr>
        <sz val="12"/>
        <color theme="1"/>
        <rFont val="Calibri"/>
        <family val="2"/>
        <scheme val="minor"/>
      </rPr>
      <t xml:space="preserve"> having taken on the lead after 3.5 laps</t>
    </r>
  </si>
  <si>
    <r>
      <t>9</t>
    </r>
    <r>
      <rPr>
        <vertAlign val="superscript"/>
        <sz val="12"/>
        <color theme="1"/>
        <rFont val="Calibri"/>
        <family val="2"/>
        <scheme val="minor"/>
      </rPr>
      <t>th</t>
    </r>
    <r>
      <rPr>
        <sz val="12"/>
        <color theme="1"/>
        <rFont val="Calibri"/>
        <family val="2"/>
        <scheme val="minor"/>
      </rPr>
      <t xml:space="preserve"> out of 980 runners</t>
    </r>
  </si>
  <si>
    <r>
      <t>6</t>
    </r>
    <r>
      <rPr>
        <vertAlign val="superscript"/>
        <sz val="12"/>
        <color theme="1"/>
        <rFont val="Calibri"/>
        <family val="2"/>
        <scheme val="minor"/>
      </rPr>
      <t>th ?</t>
    </r>
  </si>
  <si>
    <t>1:28 1:31 1:27 1:18</t>
  </si>
  <si>
    <t>Miles</t>
  </si>
  <si>
    <t>age_adjustment</t>
  </si>
  <si>
    <t>pace</t>
  </si>
  <si>
    <t>corrected_pace</t>
  </si>
  <si>
    <t>corrected_time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</si>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</sst>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yyyy\-mm\-dd"/>
    <numFmt numFmtId="165" formatCode="hh:mm:ss;@"/>
    <numFmt numFmtId="166" formatCode="yyyy\-mm\-dd;@"/>
    <numFmt numFmtId="167" formatCode="0.000"/>
    <numFmt numFmtId="168" formatCode="h:mm:ss;@"/>
    <numFmt numFmtId="169" formatCode="0.0000"/>
    <numFmt numFmtId="170" formatCode="0.0"/>
  </numFmts>
  <fonts count="21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Arial"/>
      <family val="2"/>
    </font>
    <font>
      <b/>
      <sz val="16"/>
      <color theme="0"/>
      <name val="Arial"/>
      <family val="2"/>
    </font>
    <font>
      <sz val="10"/>
      <color theme="0" tint="-0.249977111117893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3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indexed="52"/>
        <bgColor indexed="51"/>
      </patternFill>
    </fill>
    <fill>
      <patternFill patternType="solid">
        <fgColor indexed="34"/>
        <bgColor indexed="13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41"/>
      </patternFill>
    </fill>
    <fill>
      <patternFill patternType="solid">
        <fgColor theme="1"/>
        <bgColor indexed="64"/>
      </patternFill>
    </fill>
    <fill>
      <patternFill patternType="solid">
        <fgColor theme="1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7" fontId="0" fillId="0" borderId="0" xfId="0" applyNumberFormat="1"/>
    <xf numFmtId="165" fontId="0" fillId="0" borderId="0" xfId="0" applyNumberFormat="1" applyFont="1" applyAlignment="1">
      <alignment horizontal="center"/>
    </xf>
    <xf numFmtId="165" fontId="0" fillId="2" borderId="0" xfId="0" applyNumberFormat="1" applyFont="1" applyFill="1" applyAlignment="1">
      <alignment horizontal="center"/>
    </xf>
    <xf numFmtId="10" fontId="0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68" fontId="0" fillId="2" borderId="0" xfId="0" applyNumberFormat="1" applyFont="1" applyFill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9" fontId="0" fillId="0" borderId="0" xfId="0" applyNumberFormat="1"/>
    <xf numFmtId="170" fontId="0" fillId="0" borderId="0" xfId="0" applyNumberFormat="1" applyFont="1"/>
    <xf numFmtId="2" fontId="0" fillId="0" borderId="0" xfId="0" applyNumberFormat="1"/>
    <xf numFmtId="16" fontId="0" fillId="0" borderId="0" xfId="0" applyNumberFormat="1" applyFont="1"/>
    <xf numFmtId="0" fontId="0" fillId="0" borderId="0" xfId="0" applyFill="1"/>
    <xf numFmtId="0" fontId="2" fillId="0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4" borderId="0" xfId="0" applyFont="1" applyFill="1"/>
    <xf numFmtId="0" fontId="0" fillId="6" borderId="0" xfId="0" applyNumberFormat="1" applyFill="1"/>
    <xf numFmtId="0" fontId="0" fillId="9" borderId="0" xfId="0" applyFill="1"/>
    <xf numFmtId="0" fontId="7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0" fillId="13" borderId="0" xfId="0" applyFont="1" applyFill="1"/>
    <xf numFmtId="0" fontId="10" fillId="12" borderId="0" xfId="0" applyFont="1" applyFill="1"/>
    <xf numFmtId="0" fontId="7" fillId="0" borderId="0" xfId="0" applyFont="1" applyFill="1"/>
    <xf numFmtId="166" fontId="2" fillId="0" borderId="0" xfId="0" applyNumberFormat="1" applyFont="1"/>
    <xf numFmtId="166" fontId="0" fillId="0" borderId="0" xfId="0" applyNumberFormat="1"/>
    <xf numFmtId="166" fontId="12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65" fontId="13" fillId="0" borderId="0" xfId="0" applyNumberFormat="1" applyFont="1"/>
    <xf numFmtId="165" fontId="14" fillId="0" borderId="0" xfId="0" applyNumberFormat="1" applyFont="1"/>
    <xf numFmtId="165" fontId="15" fillId="0" borderId="0" xfId="0" applyNumberFormat="1" applyFont="1" applyAlignment="1">
      <alignment wrapText="1"/>
    </xf>
    <xf numFmtId="165" fontId="16" fillId="0" borderId="0" xfId="0" applyNumberFormat="1" applyFont="1"/>
    <xf numFmtId="165" fontId="17" fillId="0" borderId="0" xfId="0" applyNumberFormat="1" applyFont="1"/>
    <xf numFmtId="166" fontId="0" fillId="14" borderId="0" xfId="0" applyNumberFormat="1" applyFill="1"/>
    <xf numFmtId="0" fontId="0" fillId="14" borderId="0" xfId="0" applyFill="1"/>
    <xf numFmtId="165" fontId="0" fillId="14" borderId="0" xfId="0" applyNumberFormat="1" applyFill="1"/>
    <xf numFmtId="165" fontId="14" fillId="14" borderId="0" xfId="0" applyNumberFormat="1" applyFont="1" applyFill="1"/>
    <xf numFmtId="165" fontId="16" fillId="14" borderId="0" xfId="0" applyNumberFormat="1" applyFont="1" applyFill="1"/>
    <xf numFmtId="166" fontId="0" fillId="15" borderId="0" xfId="0" applyNumberFormat="1" applyFill="1"/>
    <xf numFmtId="0" fontId="0" fillId="15" borderId="0" xfId="0" applyFill="1"/>
    <xf numFmtId="165" fontId="0" fillId="15" borderId="0" xfId="0" applyNumberFormat="1" applyFill="1"/>
    <xf numFmtId="165" fontId="14" fillId="15" borderId="0" xfId="0" applyNumberFormat="1" applyFont="1" applyFill="1"/>
    <xf numFmtId="165" fontId="16" fillId="15" borderId="0" xfId="0" applyNumberFormat="1" applyFont="1" applyFill="1"/>
    <xf numFmtId="0" fontId="5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167" fontId="8" fillId="0" borderId="0" xfId="0" applyNumberFormat="1" applyFont="1" applyFill="1"/>
    <xf numFmtId="165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18" fillId="0" borderId="0" xfId="0" applyFont="1" applyFill="1"/>
    <xf numFmtId="164" fontId="18" fillId="0" borderId="0" xfId="0" applyNumberFormat="1" applyFont="1" applyFill="1"/>
    <xf numFmtId="167" fontId="18" fillId="0" borderId="0" xfId="0" applyNumberFormat="1" applyFont="1" applyFill="1"/>
    <xf numFmtId="165" fontId="18" fillId="0" borderId="0" xfId="0" applyNumberFormat="1" applyFont="1" applyFill="1"/>
    <xf numFmtId="2" fontId="18" fillId="0" borderId="0" xfId="0" applyNumberFormat="1" applyFont="1" applyFill="1" applyAlignment="1">
      <alignment horizontal="center"/>
    </xf>
    <xf numFmtId="165" fontId="18" fillId="0" borderId="0" xfId="0" applyNumberFormat="1" applyFont="1" applyFill="1" applyAlignment="1">
      <alignment horizontal="center"/>
    </xf>
    <xf numFmtId="0" fontId="9" fillId="0" borderId="0" xfId="0" applyFont="1" applyFill="1"/>
    <xf numFmtId="164" fontId="9" fillId="0" borderId="0" xfId="0" applyNumberFormat="1" applyFont="1" applyFill="1"/>
    <xf numFmtId="167" fontId="9" fillId="0" borderId="0" xfId="0" applyNumberFormat="1" applyFont="1" applyFill="1"/>
    <xf numFmtId="165" fontId="9" fillId="0" borderId="0" xfId="0" applyNumberFormat="1" applyFont="1" applyFill="1"/>
    <xf numFmtId="0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/>
    <xf numFmtId="0" fontId="9" fillId="0" borderId="0" xfId="0" applyFont="1" applyFill="1" applyAlignment="1">
      <alignment wrapText="1"/>
    </xf>
    <xf numFmtId="164" fontId="9" fillId="0" borderId="0" xfId="0" applyNumberFormat="1" applyFont="1" applyFill="1" applyAlignment="1">
      <alignment wrapText="1"/>
    </xf>
    <xf numFmtId="167" fontId="9" fillId="0" borderId="0" xfId="0" applyNumberFormat="1" applyFont="1" applyFill="1" applyAlignment="1">
      <alignment wrapText="1"/>
    </xf>
    <xf numFmtId="165" fontId="9" fillId="0" borderId="0" xfId="0" applyNumberFormat="1" applyFont="1" applyFill="1" applyAlignment="1">
      <alignment wrapText="1"/>
    </xf>
    <xf numFmtId="2" fontId="9" fillId="0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166" fontId="9" fillId="0" borderId="0" xfId="0" applyNumberFormat="1" applyFont="1" applyFill="1" applyAlignment="1">
      <alignment horizontal="center" wrapText="1"/>
    </xf>
    <xf numFmtId="0" fontId="2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20884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73"/>
  <sheetViews>
    <sheetView topLeftCell="A144" workbookViewId="0">
      <selection activeCell="H172" sqref="H172"/>
    </sheetView>
  </sheetViews>
  <sheetFormatPr baseColWidth="10" defaultColWidth="8.83203125" defaultRowHeight="13" x14ac:dyDescent="0.15"/>
  <cols>
    <col min="1" max="1" width="4.1640625" customWidth="1"/>
    <col min="2" max="2" width="15" style="1" customWidth="1"/>
    <col min="3" max="3" width="26.1640625" customWidth="1"/>
    <col min="4" max="4" width="11.5" customWidth="1"/>
    <col min="5" max="6" width="6" customWidth="1"/>
    <col min="7" max="7" width="9.1640625" style="2" customWidth="1"/>
    <col min="8" max="8" width="18.83203125" customWidth="1"/>
    <col min="9" max="9" width="8.1640625" customWidth="1"/>
    <col min="10" max="10" width="7.83203125" customWidth="1"/>
    <col min="11" max="11" width="18.83203125" customWidth="1"/>
    <col min="12" max="12" width="18.83203125" style="3" customWidth="1"/>
    <col min="13" max="13" width="18.83203125" style="4" customWidth="1"/>
    <col min="14" max="14" width="18.83203125" style="3" customWidth="1"/>
    <col min="15" max="15" width="220" customWidth="1"/>
  </cols>
  <sheetData>
    <row r="1" spans="1:15" s="5" customFormat="1" x14ac:dyDescent="0.15">
      <c r="B1" s="6" t="s">
        <v>0</v>
      </c>
      <c r="C1" s="5" t="s">
        <v>1</v>
      </c>
      <c r="D1" s="5" t="s">
        <v>2</v>
      </c>
      <c r="E1" s="5" t="s">
        <v>3</v>
      </c>
      <c r="G1" s="7"/>
      <c r="H1" s="8" t="s">
        <v>4</v>
      </c>
      <c r="I1" s="8" t="s">
        <v>5</v>
      </c>
      <c r="J1" s="8" t="s">
        <v>6</v>
      </c>
      <c r="K1" s="8" t="s">
        <v>7</v>
      </c>
      <c r="L1" s="9" t="s">
        <v>8</v>
      </c>
      <c r="M1" s="10"/>
      <c r="N1" s="9" t="s">
        <v>9</v>
      </c>
      <c r="O1" s="5" t="s">
        <v>10</v>
      </c>
    </row>
    <row r="2" spans="1:15" s="5" customFormat="1" x14ac:dyDescent="0.15">
      <c r="B2" s="6"/>
      <c r="D2" s="5" t="s">
        <v>11</v>
      </c>
      <c r="E2" s="5" t="s">
        <v>12</v>
      </c>
      <c r="F2" s="5" t="s">
        <v>13</v>
      </c>
      <c r="G2" s="7" t="s">
        <v>14</v>
      </c>
      <c r="H2" s="8" t="s">
        <v>15</v>
      </c>
      <c r="I2" s="11">
        <v>26132</v>
      </c>
      <c r="J2" s="11" t="s">
        <v>16</v>
      </c>
      <c r="K2" s="11"/>
      <c r="L2" s="12"/>
      <c r="M2" s="10" t="s">
        <v>17</v>
      </c>
      <c r="N2" s="12" t="s">
        <v>18</v>
      </c>
    </row>
    <row r="3" spans="1:15" x14ac:dyDescent="0.15">
      <c r="A3" t="s">
        <v>19</v>
      </c>
      <c r="B3" s="1">
        <v>30563</v>
      </c>
      <c r="C3" t="s">
        <v>20</v>
      </c>
      <c r="D3">
        <v>6</v>
      </c>
      <c r="E3">
        <v>42</v>
      </c>
      <c r="F3">
        <v>45</v>
      </c>
      <c r="G3" s="2">
        <f>(E3+F3/60)/D3/60/24</f>
        <v>4.9479166666666664E-3</v>
      </c>
      <c r="H3" s="13">
        <f>(PBS!$D$17+(50*PBS!$D$17/230)*LOG10(D3))/G3/86400</f>
        <v>0.89430737801955329</v>
      </c>
      <c r="I3" s="14" t="e">
        <f ca="1">_xlfnodf.SKEWP($I$2,B3,"Y")</f>
        <v>#NAME?</v>
      </c>
      <c r="J3" s="15" t="e">
        <f ca="1">IF(I3&gt;35,POWER(I3-35,2)*0.00005+(I3-35)*0.008+1,1)</f>
        <v>#NAME?</v>
      </c>
      <c r="K3" s="16" t="e">
        <f ca="1">G3/J3</f>
        <v>#NAME?</v>
      </c>
      <c r="L3" s="17" t="e">
        <f ca="1">K3*D3</f>
        <v>#NAME?</v>
      </c>
      <c r="M3" s="18">
        <v>0.68469999999999998</v>
      </c>
      <c r="N3" s="17">
        <v>2.6701388888888889E-2</v>
      </c>
      <c r="O3" t="s">
        <v>21</v>
      </c>
    </row>
    <row r="4" spans="1:15" x14ac:dyDescent="0.15">
      <c r="H4" s="19"/>
      <c r="I4" s="14"/>
      <c r="J4" s="15"/>
      <c r="K4" s="16"/>
      <c r="L4" s="17"/>
      <c r="M4" s="18"/>
      <c r="N4" s="17"/>
    </row>
    <row r="5" spans="1:15" x14ac:dyDescent="0.15">
      <c r="B5" s="1">
        <v>30835</v>
      </c>
      <c r="C5" t="s">
        <v>22</v>
      </c>
      <c r="D5">
        <v>9.2000000000000011</v>
      </c>
      <c r="E5">
        <v>92</v>
      </c>
      <c r="F5">
        <v>30</v>
      </c>
      <c r="G5" s="2">
        <f>(E5+F5/60)/D5/60/24</f>
        <v>6.9821859903381632E-3</v>
      </c>
      <c r="H5" s="13">
        <f>(PBS!$D$17+(50*PBS!$D$17/230)*LOG10(D5))/G5/86400</f>
        <v>0.65562472776288172</v>
      </c>
      <c r="I5" s="14" t="e">
        <f t="shared" ref="I5:I68" ca="1" si="0">_xlfnodf.SKEWP($I$2,B5,"Y")</f>
        <v>#NAME?</v>
      </c>
      <c r="J5" s="15" t="e">
        <f t="shared" ref="J5:J68" ca="1" si="1">IF(I5&gt;35,POWER(I5-35,2)*0.00005+(I5-35)*0.008+1,1)</f>
        <v>#NAME?</v>
      </c>
      <c r="K5" s="16" t="e">
        <f t="shared" ref="K5:K68" ca="1" si="2">G5/J5</f>
        <v>#NAME?</v>
      </c>
      <c r="L5" s="17" t="e">
        <f t="shared" ref="L5:L68" ca="1" si="3">K5*D5</f>
        <v>#NAME?</v>
      </c>
      <c r="M5" s="18"/>
      <c r="N5" s="17"/>
      <c r="O5" t="s">
        <v>23</v>
      </c>
    </row>
    <row r="6" spans="1:15" x14ac:dyDescent="0.15">
      <c r="B6" s="1">
        <v>30926</v>
      </c>
      <c r="C6" t="s">
        <v>20</v>
      </c>
      <c r="D6">
        <v>5</v>
      </c>
      <c r="E6">
        <v>37</v>
      </c>
      <c r="F6">
        <v>30</v>
      </c>
      <c r="G6" s="2">
        <f>(E6+F6/60)/D6/60/24</f>
        <v>5.208333333333333E-3</v>
      </c>
      <c r="H6" s="13">
        <f>(PBS!$D$17+(50*PBS!$D$17/230)*LOG10(D6))/G6/86400</f>
        <v>0.83708366735163209</v>
      </c>
      <c r="I6" s="14" t="e">
        <f t="shared" ca="1" si="0"/>
        <v>#NAME?</v>
      </c>
      <c r="J6" s="15" t="e">
        <f t="shared" ca="1" si="1"/>
        <v>#NAME?</v>
      </c>
      <c r="K6" s="16" t="e">
        <f t="shared" ca="1" si="2"/>
        <v>#NAME?</v>
      </c>
      <c r="L6" s="17" t="e">
        <f t="shared" ca="1" si="3"/>
        <v>#NAME?</v>
      </c>
      <c r="M6" s="18">
        <v>0.61419999999999997</v>
      </c>
      <c r="N6" s="17">
        <v>2.4097222222222225E-2</v>
      </c>
    </row>
    <row r="7" spans="1:15" x14ac:dyDescent="0.15">
      <c r="B7" s="1">
        <v>30926</v>
      </c>
      <c r="C7" t="s">
        <v>24</v>
      </c>
      <c r="D7">
        <v>9</v>
      </c>
      <c r="E7">
        <v>93</v>
      </c>
      <c r="F7">
        <v>20</v>
      </c>
      <c r="G7" s="2">
        <f>(E7+F7/60)/D7/60/24</f>
        <v>7.2016460905349787E-3</v>
      </c>
      <c r="H7" s="13">
        <f>(PBS!$D$17+(50*PBS!$D$17/230)*LOG10(D7))/G7/86400</f>
        <v>0.63455495750310298</v>
      </c>
      <c r="I7" s="14" t="e">
        <f t="shared" ca="1" si="0"/>
        <v>#NAME?</v>
      </c>
      <c r="J7" s="15" t="e">
        <f t="shared" ca="1" si="1"/>
        <v>#NAME?</v>
      </c>
      <c r="K7" s="16" t="e">
        <f t="shared" ca="1" si="2"/>
        <v>#NAME?</v>
      </c>
      <c r="L7" s="17" t="e">
        <f t="shared" ca="1" si="3"/>
        <v>#NAME?</v>
      </c>
      <c r="M7" s="18"/>
      <c r="N7" s="17"/>
      <c r="O7" t="s">
        <v>25</v>
      </c>
    </row>
    <row r="8" spans="1:15" x14ac:dyDescent="0.15">
      <c r="H8" s="19"/>
      <c r="I8" s="20"/>
      <c r="J8" s="15"/>
      <c r="K8" s="16"/>
      <c r="L8" s="17"/>
      <c r="M8" s="18"/>
      <c r="N8" s="17"/>
    </row>
    <row r="9" spans="1:15" x14ac:dyDescent="0.15">
      <c r="B9" s="1">
        <v>31199</v>
      </c>
      <c r="C9" t="s">
        <v>26</v>
      </c>
      <c r="D9">
        <v>4</v>
      </c>
      <c r="E9">
        <v>26</v>
      </c>
      <c r="F9">
        <v>27</v>
      </c>
      <c r="G9" s="2">
        <f>(E9+F9/60)/D9/60/24</f>
        <v>4.5920138888888885E-3</v>
      </c>
      <c r="H9" s="13">
        <f>(PBS!$D$17+(50*PBS!$D$17/230)*LOG10(D9))/G9/86400</f>
        <v>0.93206959653940646</v>
      </c>
      <c r="I9" s="14" t="e">
        <f t="shared" ca="1" si="0"/>
        <v>#NAME?</v>
      </c>
      <c r="J9" s="15" t="e">
        <f t="shared" ca="1" si="1"/>
        <v>#NAME?</v>
      </c>
      <c r="K9" s="16" t="e">
        <f t="shared" ca="1" si="2"/>
        <v>#NAME?</v>
      </c>
      <c r="L9" s="17" t="e">
        <f t="shared" ca="1" si="3"/>
        <v>#NAME?</v>
      </c>
      <c r="M9" s="18"/>
      <c r="N9" s="17"/>
      <c r="O9" t="s">
        <v>27</v>
      </c>
    </row>
    <row r="10" spans="1:15" x14ac:dyDescent="0.15">
      <c r="A10" t="s">
        <v>28</v>
      </c>
      <c r="B10" s="1">
        <v>31291</v>
      </c>
      <c r="C10" t="s">
        <v>24</v>
      </c>
      <c r="D10">
        <v>9</v>
      </c>
      <c r="E10">
        <v>67</v>
      </c>
      <c r="F10">
        <v>10</v>
      </c>
      <c r="G10" s="2">
        <f>(E10+F10/60)/D10/60/24</f>
        <v>5.1826131687242802E-3</v>
      </c>
      <c r="H10" s="13">
        <f>(PBS!$D$17+(50*PBS!$D$17/230)*LOG10(D10))/G10/86400</f>
        <v>0.88176371265939857</v>
      </c>
      <c r="I10" s="14" t="e">
        <f t="shared" ca="1" si="0"/>
        <v>#NAME?</v>
      </c>
      <c r="J10" s="15" t="e">
        <f t="shared" ca="1" si="1"/>
        <v>#NAME?</v>
      </c>
      <c r="K10" s="16" t="e">
        <f t="shared" ca="1" si="2"/>
        <v>#NAME?</v>
      </c>
      <c r="L10" s="17" t="e">
        <f t="shared" ca="1" si="3"/>
        <v>#NAME?</v>
      </c>
      <c r="M10" s="18"/>
      <c r="N10" s="17"/>
      <c r="O10" t="s">
        <v>29</v>
      </c>
    </row>
    <row r="11" spans="1:15" x14ac:dyDescent="0.15">
      <c r="H11" s="19"/>
      <c r="I11" s="14"/>
      <c r="J11" s="15"/>
      <c r="K11" s="16"/>
      <c r="L11" s="17"/>
      <c r="M11" s="18"/>
      <c r="N11" s="17"/>
    </row>
    <row r="12" spans="1:15" x14ac:dyDescent="0.15">
      <c r="B12" s="1">
        <v>31564</v>
      </c>
      <c r="C12" t="s">
        <v>26</v>
      </c>
      <c r="D12">
        <v>4</v>
      </c>
      <c r="E12">
        <v>32</v>
      </c>
      <c r="F12">
        <v>30</v>
      </c>
      <c r="G12" s="2">
        <f t="shared" ref="G12:G20" si="4">(E12+F12/60)/D12/60/24</f>
        <v>5.642361111111111E-3</v>
      </c>
      <c r="H12" s="13">
        <f>(PBS!$D$17+(50*PBS!$D$17/230)*LOG10(D12))/G12/86400</f>
        <v>0.75856125626053228</v>
      </c>
      <c r="I12" s="14" t="e">
        <f t="shared" ca="1" si="0"/>
        <v>#NAME?</v>
      </c>
      <c r="J12" s="15" t="e">
        <f t="shared" ca="1" si="1"/>
        <v>#NAME?</v>
      </c>
      <c r="K12" s="16" t="e">
        <f t="shared" ca="1" si="2"/>
        <v>#NAME?</v>
      </c>
      <c r="L12" s="17" t="e">
        <f t="shared" ca="1" si="3"/>
        <v>#NAME?</v>
      </c>
      <c r="M12" s="18"/>
      <c r="N12" s="17"/>
      <c r="O12" t="s">
        <v>30</v>
      </c>
    </row>
    <row r="13" spans="1:15" x14ac:dyDescent="0.15">
      <c r="B13" s="1">
        <v>31662</v>
      </c>
      <c r="C13" t="s">
        <v>24</v>
      </c>
      <c r="D13">
        <v>9</v>
      </c>
      <c r="E13">
        <v>66</v>
      </c>
      <c r="F13">
        <v>30</v>
      </c>
      <c r="G13" s="2">
        <f t="shared" si="4"/>
        <v>5.1311728395061736E-3</v>
      </c>
      <c r="H13" s="13">
        <f>(PBS!$D$17+(50*PBS!$D$17/230)*LOG10(D13))/G13/86400</f>
        <v>0.89060344912716205</v>
      </c>
      <c r="I13" s="14" t="e">
        <f t="shared" ca="1" si="0"/>
        <v>#NAME?</v>
      </c>
      <c r="J13" s="15" t="e">
        <f t="shared" ca="1" si="1"/>
        <v>#NAME?</v>
      </c>
      <c r="K13" s="16" t="e">
        <f t="shared" ca="1" si="2"/>
        <v>#NAME?</v>
      </c>
      <c r="L13" s="17" t="e">
        <f t="shared" ca="1" si="3"/>
        <v>#NAME?</v>
      </c>
      <c r="M13" s="18"/>
      <c r="N13" s="17"/>
      <c r="O13" t="s">
        <v>31</v>
      </c>
    </row>
    <row r="14" spans="1:15" x14ac:dyDescent="0.15">
      <c r="B14" s="1">
        <v>31689</v>
      </c>
      <c r="C14" t="s">
        <v>32</v>
      </c>
      <c r="D14">
        <f>10/1.609</f>
        <v>6.2150403977625857</v>
      </c>
      <c r="E14">
        <v>42</v>
      </c>
      <c r="F14">
        <v>30</v>
      </c>
      <c r="G14" s="2">
        <f t="shared" si="4"/>
        <v>4.7487847222222219E-3</v>
      </c>
      <c r="H14" s="13">
        <f>(PBS!$D$17+(50*PBS!$D$17/230)*LOG10(D14))/G14/86400</f>
        <v>0.93445817276732346</v>
      </c>
      <c r="I14" s="14" t="e">
        <f t="shared" ca="1" si="0"/>
        <v>#NAME?</v>
      </c>
      <c r="J14" s="15" t="e">
        <f t="shared" ca="1" si="1"/>
        <v>#NAME?</v>
      </c>
      <c r="K14" s="16" t="e">
        <f t="shared" ca="1" si="2"/>
        <v>#NAME?</v>
      </c>
      <c r="L14" s="17" t="e">
        <f t="shared" ca="1" si="3"/>
        <v>#NAME?</v>
      </c>
      <c r="M14" s="18">
        <v>0.65100000000000002</v>
      </c>
      <c r="N14" s="17">
        <v>2.8495370370370369E-2</v>
      </c>
    </row>
    <row r="15" spans="1:15" x14ac:dyDescent="0.15">
      <c r="B15" s="1">
        <v>31934</v>
      </c>
      <c r="C15" t="s">
        <v>22</v>
      </c>
      <c r="D15">
        <v>4</v>
      </c>
      <c r="E15">
        <v>28</v>
      </c>
      <c r="F15">
        <v>0</v>
      </c>
      <c r="G15" s="2">
        <f t="shared" si="4"/>
        <v>4.8611111111111112E-3</v>
      </c>
      <c r="H15" s="13">
        <f>(PBS!$D$17+(50*PBS!$D$17/230)*LOG10(D15))/G15/86400</f>
        <v>0.88047288673097501</v>
      </c>
      <c r="I15" s="14" t="e">
        <f t="shared" ca="1" si="0"/>
        <v>#NAME?</v>
      </c>
      <c r="J15" s="15" t="e">
        <f t="shared" ca="1" si="1"/>
        <v>#NAME?</v>
      </c>
      <c r="K15" s="16" t="e">
        <f t="shared" ca="1" si="2"/>
        <v>#NAME?</v>
      </c>
      <c r="L15" s="17" t="e">
        <f t="shared" ca="1" si="3"/>
        <v>#NAME?</v>
      </c>
      <c r="M15" s="18"/>
      <c r="N15" s="17"/>
      <c r="O15" t="s">
        <v>33</v>
      </c>
    </row>
    <row r="16" spans="1:15" x14ac:dyDescent="0.15">
      <c r="B16" s="1">
        <v>31962</v>
      </c>
      <c r="C16" t="s">
        <v>34</v>
      </c>
      <c r="D16">
        <f>5/1.609</f>
        <v>3.1075201988812928</v>
      </c>
      <c r="E16">
        <v>21</v>
      </c>
      <c r="F16">
        <v>20</v>
      </c>
      <c r="G16" s="2">
        <f t="shared" si="4"/>
        <v>4.7674074074074068E-3</v>
      </c>
      <c r="H16" s="13">
        <f>(PBS!$D$17+(50*PBS!$D$17/230)*LOG10(D16))/G16/86400</f>
        <v>0.87885577654517621</v>
      </c>
      <c r="I16" s="14" t="e">
        <f t="shared" ca="1" si="0"/>
        <v>#NAME?</v>
      </c>
      <c r="J16" s="15" t="e">
        <f t="shared" ca="1" si="1"/>
        <v>#NAME?</v>
      </c>
      <c r="K16" s="16" t="e">
        <f t="shared" ca="1" si="2"/>
        <v>#NAME?</v>
      </c>
      <c r="L16" s="17" t="e">
        <f t="shared" ca="1" si="3"/>
        <v>#NAME?</v>
      </c>
      <c r="M16" s="18"/>
      <c r="N16" s="17"/>
      <c r="O16" t="s">
        <v>35</v>
      </c>
    </row>
    <row r="17" spans="1:15" x14ac:dyDescent="0.15">
      <c r="B17" s="1">
        <v>31990</v>
      </c>
      <c r="C17" t="s">
        <v>36</v>
      </c>
      <c r="D17">
        <v>3.85</v>
      </c>
      <c r="E17">
        <v>25</v>
      </c>
      <c r="F17">
        <v>25</v>
      </c>
      <c r="G17" s="2">
        <f t="shared" si="4"/>
        <v>4.5845358345358344E-3</v>
      </c>
      <c r="H17" s="13">
        <f>(PBS!$D$17+(50*PBS!$D$17/230)*LOG10(D17))/G17/86400</f>
        <v>0.93061094588948357</v>
      </c>
      <c r="I17" s="14" t="e">
        <f t="shared" ca="1" si="0"/>
        <v>#NAME?</v>
      </c>
      <c r="J17" s="15" t="e">
        <f t="shared" ca="1" si="1"/>
        <v>#NAME?</v>
      </c>
      <c r="K17" s="16" t="e">
        <f t="shared" ca="1" si="2"/>
        <v>#NAME?</v>
      </c>
      <c r="L17" s="17" t="e">
        <f t="shared" ca="1" si="3"/>
        <v>#NAME?</v>
      </c>
      <c r="M17" s="18"/>
      <c r="N17" s="17"/>
      <c r="O17" t="s">
        <v>37</v>
      </c>
    </row>
    <row r="18" spans="1:15" x14ac:dyDescent="0.15">
      <c r="A18" t="s">
        <v>38</v>
      </c>
      <c r="B18" s="1">
        <v>32026</v>
      </c>
      <c r="C18" t="s">
        <v>20</v>
      </c>
      <c r="D18">
        <v>5</v>
      </c>
      <c r="E18">
        <v>31</v>
      </c>
      <c r="F18">
        <v>30</v>
      </c>
      <c r="G18" s="2">
        <f t="shared" si="4"/>
        <v>4.3749999999999995E-3</v>
      </c>
      <c r="H18" s="13">
        <f>(PBS!$D$17+(50*PBS!$D$17/230)*LOG10(D18))/G18/86400</f>
        <v>0.9965281754186095</v>
      </c>
      <c r="I18" s="14" t="e">
        <f t="shared" ca="1" si="0"/>
        <v>#NAME?</v>
      </c>
      <c r="J18" s="15" t="e">
        <f t="shared" ca="1" si="1"/>
        <v>#NAME?</v>
      </c>
      <c r="K18" s="16" t="e">
        <f t="shared" ca="1" si="2"/>
        <v>#NAME?</v>
      </c>
      <c r="L18" s="17" t="e">
        <f t="shared" ca="1" si="3"/>
        <v>#NAME?</v>
      </c>
      <c r="M18" s="18">
        <v>0.69099999999999995</v>
      </c>
      <c r="N18" s="17">
        <v>2.1423611111111112E-2</v>
      </c>
      <c r="O18" t="s">
        <v>39</v>
      </c>
    </row>
    <row r="19" spans="1:15" x14ac:dyDescent="0.15">
      <c r="B19" s="1">
        <v>32054</v>
      </c>
      <c r="C19" t="s">
        <v>40</v>
      </c>
      <c r="D19">
        <v>3</v>
      </c>
      <c r="E19">
        <v>21</v>
      </c>
      <c r="F19">
        <v>30</v>
      </c>
      <c r="G19" s="2">
        <f t="shared" si="4"/>
        <v>4.9768518518518521E-3</v>
      </c>
      <c r="H19" s="13">
        <f>(PBS!$D$17+(50*PBS!$D$17/230)*LOG10(D19))/G19/86400</f>
        <v>0.83934208811594024</v>
      </c>
      <c r="I19" s="14" t="e">
        <f t="shared" ca="1" si="0"/>
        <v>#NAME?</v>
      </c>
      <c r="J19" s="15" t="e">
        <f t="shared" ca="1" si="1"/>
        <v>#NAME?</v>
      </c>
      <c r="K19" s="16" t="e">
        <f t="shared" ca="1" si="2"/>
        <v>#NAME?</v>
      </c>
      <c r="L19" s="17" t="e">
        <f t="shared" ca="1" si="3"/>
        <v>#NAME?</v>
      </c>
      <c r="M19" s="18"/>
      <c r="N19" s="17"/>
      <c r="O19" t="s">
        <v>41</v>
      </c>
    </row>
    <row r="20" spans="1:15" x14ac:dyDescent="0.15">
      <c r="B20" s="1">
        <v>32082</v>
      </c>
      <c r="C20" t="s">
        <v>32</v>
      </c>
      <c r="D20">
        <f>10/1.609</f>
        <v>6.2150403977625857</v>
      </c>
      <c r="E20">
        <v>48</v>
      </c>
      <c r="F20">
        <v>30</v>
      </c>
      <c r="G20" s="2">
        <f t="shared" si="4"/>
        <v>5.4192013888888883E-3</v>
      </c>
      <c r="H20" s="13">
        <f>(PBS!$D$17+(50*PBS!$D$17/230)*LOG10(D20))/G20/86400</f>
        <v>0.81885509984765459</v>
      </c>
      <c r="I20" s="14" t="e">
        <f t="shared" ca="1" si="0"/>
        <v>#NAME?</v>
      </c>
      <c r="J20" s="15" t="e">
        <f t="shared" ca="1" si="1"/>
        <v>#NAME?</v>
      </c>
      <c r="K20" s="16" t="e">
        <f t="shared" ca="1" si="2"/>
        <v>#NAME?</v>
      </c>
      <c r="L20" s="17" t="e">
        <f t="shared" ca="1" si="3"/>
        <v>#NAME?</v>
      </c>
      <c r="M20" s="18"/>
      <c r="N20" s="17"/>
    </row>
    <row r="21" spans="1:15" x14ac:dyDescent="0.15">
      <c r="H21" s="19"/>
      <c r="I21" s="14"/>
      <c r="J21" s="15"/>
      <c r="K21" s="16"/>
      <c r="L21" s="17"/>
      <c r="M21" s="18"/>
      <c r="N21" s="17"/>
    </row>
    <row r="22" spans="1:15" x14ac:dyDescent="0.15">
      <c r="B22" s="1">
        <v>32298</v>
      </c>
      <c r="C22" t="s">
        <v>26</v>
      </c>
      <c r="D22">
        <v>4</v>
      </c>
      <c r="E22">
        <v>27</v>
      </c>
      <c r="F22">
        <v>30</v>
      </c>
      <c r="G22" s="2">
        <f t="shared" ref="G22:G30" si="5">(E22+F22/60)/D22/60/24</f>
        <v>4.7743055555555551E-3</v>
      </c>
      <c r="H22" s="13">
        <f>(PBS!$D$17+(50*PBS!$D$17/230)*LOG10(D22))/G22/86400</f>
        <v>0.89648148467153832</v>
      </c>
      <c r="I22" s="14" t="e">
        <f t="shared" ca="1" si="0"/>
        <v>#NAME?</v>
      </c>
      <c r="J22" s="15" t="e">
        <f t="shared" ca="1" si="1"/>
        <v>#NAME?</v>
      </c>
      <c r="K22" s="16" t="e">
        <f t="shared" ca="1" si="2"/>
        <v>#NAME?</v>
      </c>
      <c r="L22" s="17" t="e">
        <f t="shared" ca="1" si="3"/>
        <v>#NAME?</v>
      </c>
      <c r="M22" s="18"/>
      <c r="N22" s="17"/>
      <c r="O22" t="s">
        <v>42</v>
      </c>
    </row>
    <row r="23" spans="1:15" x14ac:dyDescent="0.15">
      <c r="B23" s="1">
        <v>32326</v>
      </c>
      <c r="C23" t="s">
        <v>34</v>
      </c>
      <c r="D23">
        <f>5/1.609</f>
        <v>3.1075201988812928</v>
      </c>
      <c r="E23">
        <v>21</v>
      </c>
      <c r="F23">
        <v>0</v>
      </c>
      <c r="G23" s="2">
        <f t="shared" si="5"/>
        <v>4.6929166666666664E-3</v>
      </c>
      <c r="H23" s="13">
        <f>(PBS!$D$17+(50*PBS!$D$17/230)*LOG10(D23))/G23/86400</f>
        <v>0.89280586823636943</v>
      </c>
      <c r="I23" s="14" t="e">
        <f t="shared" ca="1" si="0"/>
        <v>#NAME?</v>
      </c>
      <c r="J23" s="15" t="e">
        <f t="shared" ca="1" si="1"/>
        <v>#NAME?</v>
      </c>
      <c r="K23" s="16" t="e">
        <f t="shared" ca="1" si="2"/>
        <v>#NAME?</v>
      </c>
      <c r="L23" s="17" t="e">
        <f t="shared" ca="1" si="3"/>
        <v>#NAME?</v>
      </c>
      <c r="M23" s="18"/>
      <c r="N23" s="17"/>
      <c r="O23" t="s">
        <v>43</v>
      </c>
    </row>
    <row r="24" spans="1:15" x14ac:dyDescent="0.15">
      <c r="B24" s="1">
        <v>32362</v>
      </c>
      <c r="C24" t="s">
        <v>36</v>
      </c>
      <c r="D24">
        <v>4.5</v>
      </c>
      <c r="E24">
        <v>27</v>
      </c>
      <c r="F24">
        <v>40</v>
      </c>
      <c r="G24" s="2">
        <f t="shared" si="5"/>
        <v>4.2695473251028815E-3</v>
      </c>
      <c r="H24" s="13">
        <f>(PBS!$D$17+(50*PBS!$D$17/230)*LOG10(D24))/G24/86400</f>
        <v>1.012323495811998</v>
      </c>
      <c r="I24" s="14" t="e">
        <f t="shared" ca="1" si="0"/>
        <v>#NAME?</v>
      </c>
      <c r="J24" s="15" t="e">
        <f t="shared" ca="1" si="1"/>
        <v>#NAME?</v>
      </c>
      <c r="K24" s="16" t="e">
        <f t="shared" ca="1" si="2"/>
        <v>#NAME?</v>
      </c>
      <c r="L24" s="17" t="e">
        <f t="shared" ca="1" si="3"/>
        <v>#NAME?</v>
      </c>
      <c r="M24" s="18"/>
      <c r="N24" s="17"/>
      <c r="O24" t="s">
        <v>44</v>
      </c>
    </row>
    <row r="25" spans="1:15" x14ac:dyDescent="0.15">
      <c r="B25" s="1">
        <v>32389</v>
      </c>
      <c r="C25" t="s">
        <v>45</v>
      </c>
      <c r="D25">
        <f>10/1.609</f>
        <v>6.2150403977625857</v>
      </c>
      <c r="E25">
        <v>51</v>
      </c>
      <c r="F25">
        <v>30</v>
      </c>
      <c r="G25" s="2">
        <f t="shared" si="5"/>
        <v>5.7544097222222224E-3</v>
      </c>
      <c r="H25" s="13">
        <f>(PBS!$D$17+(50*PBS!$D$17/230)*LOG10(D25))/G25/86400</f>
        <v>0.77115480276915027</v>
      </c>
      <c r="I25" s="14" t="e">
        <f t="shared" ca="1" si="0"/>
        <v>#NAME?</v>
      </c>
      <c r="J25" s="15" t="e">
        <f t="shared" ca="1" si="1"/>
        <v>#NAME?</v>
      </c>
      <c r="K25" s="16" t="e">
        <f t="shared" ca="1" si="2"/>
        <v>#NAME?</v>
      </c>
      <c r="L25" s="17" t="e">
        <f t="shared" ca="1" si="3"/>
        <v>#NAME?</v>
      </c>
      <c r="M25" s="18"/>
      <c r="N25" s="17"/>
    </row>
    <row r="26" spans="1:15" x14ac:dyDescent="0.15">
      <c r="B26" s="1">
        <v>32397</v>
      </c>
      <c r="C26" t="s">
        <v>24</v>
      </c>
      <c r="D26">
        <v>9</v>
      </c>
      <c r="E26">
        <v>59</v>
      </c>
      <c r="F26">
        <v>30</v>
      </c>
      <c r="G26" s="2">
        <f t="shared" si="5"/>
        <v>4.5910493827160488E-3</v>
      </c>
      <c r="H26" s="13">
        <f>(PBS!$D$17+(50*PBS!$D$17/230)*LOG10(D26))/G26/86400</f>
        <v>0.9953803254950635</v>
      </c>
      <c r="I26" s="14" t="e">
        <f t="shared" ca="1" si="0"/>
        <v>#NAME?</v>
      </c>
      <c r="J26" s="15" t="e">
        <f t="shared" ca="1" si="1"/>
        <v>#NAME?</v>
      </c>
      <c r="K26" s="16" t="e">
        <f t="shared" ca="1" si="2"/>
        <v>#NAME?</v>
      </c>
      <c r="L26" s="17" t="e">
        <f t="shared" ca="1" si="3"/>
        <v>#NAME?</v>
      </c>
      <c r="M26" s="18"/>
      <c r="N26" s="17"/>
      <c r="O26" t="s">
        <v>46</v>
      </c>
    </row>
    <row r="27" spans="1:15" x14ac:dyDescent="0.15">
      <c r="B27" s="1">
        <v>32434</v>
      </c>
      <c r="C27" t="s">
        <v>47</v>
      </c>
      <c r="D27">
        <v>13.1122</v>
      </c>
      <c r="E27">
        <v>97</v>
      </c>
      <c r="F27">
        <v>5</v>
      </c>
      <c r="G27" s="2">
        <f t="shared" si="5"/>
        <v>5.1416986837816295E-3</v>
      </c>
      <c r="H27" s="13">
        <f>(PBS!$D$17+(50*PBS!$D$17/230)*LOG10(D27))/G27/86400</f>
        <v>0.91493252144932069</v>
      </c>
      <c r="I27" s="14" t="e">
        <f t="shared" ca="1" si="0"/>
        <v>#NAME?</v>
      </c>
      <c r="J27" s="15" t="e">
        <f t="shared" ca="1" si="1"/>
        <v>#NAME?</v>
      </c>
      <c r="K27" s="16" t="e">
        <f t="shared" ca="1" si="2"/>
        <v>#NAME?</v>
      </c>
      <c r="L27" s="17" t="e">
        <f t="shared" ca="1" si="3"/>
        <v>#NAME?</v>
      </c>
      <c r="M27" s="18"/>
      <c r="N27" s="17"/>
    </row>
    <row r="28" spans="1:15" x14ac:dyDescent="0.15">
      <c r="B28" s="1">
        <v>32662</v>
      </c>
      <c r="C28" t="s">
        <v>26</v>
      </c>
      <c r="D28">
        <v>4</v>
      </c>
      <c r="E28">
        <v>27</v>
      </c>
      <c r="F28">
        <v>40</v>
      </c>
      <c r="G28" s="2">
        <f t="shared" si="5"/>
        <v>4.8032407407407407E-3</v>
      </c>
      <c r="H28" s="13">
        <f>(PBS!$D$17+(50*PBS!$D$17/230)*LOG10(D28))/G28/86400</f>
        <v>0.89108099380002281</v>
      </c>
      <c r="I28" s="14" t="e">
        <f t="shared" ca="1" si="0"/>
        <v>#NAME?</v>
      </c>
      <c r="J28" s="15" t="e">
        <f t="shared" ca="1" si="1"/>
        <v>#NAME?</v>
      </c>
      <c r="K28" s="16" t="e">
        <f t="shared" ca="1" si="2"/>
        <v>#NAME?</v>
      </c>
      <c r="L28" s="17" t="e">
        <f t="shared" ca="1" si="3"/>
        <v>#NAME?</v>
      </c>
      <c r="M28" s="18"/>
      <c r="N28" s="17"/>
      <c r="O28" t="s">
        <v>48</v>
      </c>
    </row>
    <row r="29" spans="1:15" x14ac:dyDescent="0.15">
      <c r="B29" s="1">
        <v>32753</v>
      </c>
      <c r="C29" t="s">
        <v>49</v>
      </c>
      <c r="D29">
        <f>10/1.609</f>
        <v>6.2150403977625857</v>
      </c>
      <c r="E29">
        <v>45</v>
      </c>
      <c r="F29">
        <v>17</v>
      </c>
      <c r="G29" s="2">
        <f t="shared" si="5"/>
        <v>5.0597835648148147E-3</v>
      </c>
      <c r="H29" s="13">
        <f>(PBS!$D$17+(50*PBS!$D$17/230)*LOG10(D29))/G29/86400</f>
        <v>0.87702184046988396</v>
      </c>
      <c r="I29" s="14" t="e">
        <f t="shared" ca="1" si="0"/>
        <v>#NAME?</v>
      </c>
      <c r="J29" s="15" t="e">
        <f t="shared" ca="1" si="1"/>
        <v>#NAME?</v>
      </c>
      <c r="K29" s="16" t="e">
        <f t="shared" ca="1" si="2"/>
        <v>#NAME?</v>
      </c>
      <c r="L29" s="17" t="e">
        <f t="shared" ca="1" si="3"/>
        <v>#NAME?</v>
      </c>
      <c r="M29" s="18"/>
      <c r="N29" s="17"/>
      <c r="O29" t="s">
        <v>50</v>
      </c>
    </row>
    <row r="30" spans="1:15" x14ac:dyDescent="0.15">
      <c r="B30" s="1">
        <v>32761</v>
      </c>
      <c r="C30" t="s">
        <v>24</v>
      </c>
      <c r="D30">
        <v>9</v>
      </c>
      <c r="E30">
        <v>62</v>
      </c>
      <c r="F30">
        <v>30</v>
      </c>
      <c r="G30" s="2">
        <f t="shared" si="5"/>
        <v>4.8225308641975306E-3</v>
      </c>
      <c r="H30" s="13">
        <f>(PBS!$D$17+(50*PBS!$D$17/230)*LOG10(D30))/G30/86400</f>
        <v>0.94760206987130058</v>
      </c>
      <c r="I30" s="14" t="e">
        <f t="shared" ca="1" si="0"/>
        <v>#NAME?</v>
      </c>
      <c r="J30" s="15" t="e">
        <f t="shared" ca="1" si="1"/>
        <v>#NAME?</v>
      </c>
      <c r="K30" s="16" t="e">
        <f t="shared" ca="1" si="2"/>
        <v>#NAME?</v>
      </c>
      <c r="L30" s="17" t="e">
        <f t="shared" ca="1" si="3"/>
        <v>#NAME?</v>
      </c>
      <c r="M30" s="18"/>
      <c r="N30" s="17"/>
    </row>
    <row r="31" spans="1:15" x14ac:dyDescent="0.15">
      <c r="H31" s="19"/>
      <c r="I31" s="14"/>
      <c r="J31" s="15"/>
      <c r="K31" s="16"/>
      <c r="L31" s="17"/>
      <c r="M31" s="18"/>
      <c r="N31" s="17"/>
      <c r="O31" s="1" t="s">
        <v>51</v>
      </c>
    </row>
    <row r="32" spans="1:15" x14ac:dyDescent="0.15">
      <c r="A32" t="s">
        <v>52</v>
      </c>
      <c r="B32"/>
      <c r="H32" s="19"/>
      <c r="I32" s="14"/>
      <c r="J32" s="15"/>
      <c r="K32" s="16"/>
      <c r="L32" s="17"/>
      <c r="M32" s="18"/>
      <c r="N32" s="17"/>
    </row>
    <row r="33" spans="1:21" x14ac:dyDescent="0.15">
      <c r="B33"/>
      <c r="H33" s="19"/>
      <c r="I33" s="14"/>
      <c r="J33" s="15"/>
      <c r="K33" s="16"/>
      <c r="L33" s="17"/>
      <c r="M33" s="18"/>
      <c r="N33" s="17"/>
    </row>
    <row r="34" spans="1:21" x14ac:dyDescent="0.15">
      <c r="A34" t="s">
        <v>53</v>
      </c>
      <c r="H34" s="19"/>
      <c r="I34" s="14"/>
      <c r="J34" s="15"/>
      <c r="K34" s="16"/>
      <c r="L34" s="17"/>
      <c r="M34" s="18"/>
      <c r="N34" s="17"/>
      <c r="O34" s="1" t="s">
        <v>54</v>
      </c>
      <c r="S34" s="21">
        <f>27.667*4/4.5</f>
        <v>24.59288888888889</v>
      </c>
    </row>
    <row r="35" spans="1:21" x14ac:dyDescent="0.15">
      <c r="B35"/>
      <c r="H35" s="19"/>
      <c r="I35" s="14"/>
      <c r="J35" s="15"/>
      <c r="K35" s="16"/>
      <c r="L35" s="17"/>
      <c r="M35" s="18"/>
      <c r="N35" s="17"/>
    </row>
    <row r="36" spans="1:21" x14ac:dyDescent="0.15">
      <c r="B36" s="1">
        <v>34881</v>
      </c>
      <c r="C36" t="s">
        <v>55</v>
      </c>
      <c r="D36">
        <v>13.1122</v>
      </c>
      <c r="E36">
        <v>119</v>
      </c>
      <c r="F36">
        <v>12</v>
      </c>
      <c r="G36" s="2">
        <f>(E36+F36/60)/D36/60/24</f>
        <v>6.3130350191255317E-3</v>
      </c>
      <c r="H36" s="13">
        <f>(PBS!$D$17+(50*PBS!$D$17/230)*LOG10(D36))/G36/86400</f>
        <v>0.74517364897123772</v>
      </c>
      <c r="I36" s="14" t="e">
        <f t="shared" ca="1" si="0"/>
        <v>#NAME?</v>
      </c>
      <c r="J36" s="15" t="e">
        <f t="shared" ca="1" si="1"/>
        <v>#NAME?</v>
      </c>
      <c r="K36" s="16" t="e">
        <f t="shared" ca="1" si="2"/>
        <v>#NAME?</v>
      </c>
      <c r="L36" s="17" t="e">
        <f t="shared" ca="1" si="3"/>
        <v>#NAME?</v>
      </c>
      <c r="M36" s="18"/>
      <c r="N36" s="17"/>
      <c r="O36" t="s">
        <v>56</v>
      </c>
    </row>
    <row r="37" spans="1:21" x14ac:dyDescent="0.15">
      <c r="H37" s="19"/>
      <c r="I37" s="14"/>
      <c r="J37" s="15"/>
      <c r="K37" s="16"/>
      <c r="L37" s="17"/>
      <c r="M37" s="18"/>
      <c r="N37" s="17"/>
    </row>
    <row r="38" spans="1:21" x14ac:dyDescent="0.15">
      <c r="B38" s="1">
        <v>35889</v>
      </c>
      <c r="C38" t="s">
        <v>57</v>
      </c>
      <c r="D38">
        <f>5/1.609</f>
        <v>3.1075201988812928</v>
      </c>
      <c r="E38">
        <v>20</v>
      </c>
      <c r="F38">
        <v>30</v>
      </c>
      <c r="G38" s="2">
        <f t="shared" ref="G38:G57" si="6">(E38+F38/60)/D38/60/24</f>
        <v>4.5811805555555554E-3</v>
      </c>
      <c r="H38" s="13">
        <f>(PBS!$D$17+(50*PBS!$D$17/230)*LOG10(D38))/G38/86400</f>
        <v>0.91458162112018326</v>
      </c>
      <c r="I38" s="14" t="e">
        <f t="shared" ca="1" si="0"/>
        <v>#NAME?</v>
      </c>
      <c r="J38" s="15" t="e">
        <f t="shared" ca="1" si="1"/>
        <v>#NAME?</v>
      </c>
      <c r="K38" s="16" t="e">
        <f t="shared" ca="1" si="2"/>
        <v>#NAME?</v>
      </c>
      <c r="L38" s="17" t="e">
        <f t="shared" ca="1" si="3"/>
        <v>#NAME?</v>
      </c>
      <c r="M38" s="18">
        <v>0.63329999999999997</v>
      </c>
      <c r="N38" s="17">
        <v>1.4236111111111111E-2</v>
      </c>
      <c r="O38" t="s">
        <v>58</v>
      </c>
    </row>
    <row r="39" spans="1:21" x14ac:dyDescent="0.15">
      <c r="B39" s="1">
        <v>35910</v>
      </c>
      <c r="C39" t="s">
        <v>59</v>
      </c>
      <c r="D39">
        <f>10/1.609</f>
        <v>6.2150403977625857</v>
      </c>
      <c r="E39">
        <v>41</v>
      </c>
      <c r="F39">
        <v>40</v>
      </c>
      <c r="G39" s="2">
        <f t="shared" si="6"/>
        <v>4.6556712962962958E-3</v>
      </c>
      <c r="H39" s="13">
        <f>(PBS!$D$17+(50*PBS!$D$17/230)*LOG10(D39))/G39/86400</f>
        <v>0.95314733622267001</v>
      </c>
      <c r="I39" s="14" t="e">
        <f t="shared" ca="1" si="0"/>
        <v>#NAME?</v>
      </c>
      <c r="J39" s="15" t="e">
        <f t="shared" ca="1" si="1"/>
        <v>#NAME?</v>
      </c>
      <c r="K39" s="16" t="e">
        <f t="shared" ca="1" si="2"/>
        <v>#NAME?</v>
      </c>
      <c r="L39" s="17" t="e">
        <f t="shared" ca="1" si="3"/>
        <v>#NAME?</v>
      </c>
      <c r="M39" s="18"/>
      <c r="N39" s="17"/>
      <c r="U39" s="21">
        <f>25+25/60</f>
        <v>25.416666666666668</v>
      </c>
    </row>
    <row r="40" spans="1:21" x14ac:dyDescent="0.15">
      <c r="B40" s="1">
        <v>35956</v>
      </c>
      <c r="C40" t="s">
        <v>60</v>
      </c>
      <c r="D40">
        <v>1</v>
      </c>
      <c r="E40">
        <v>5</v>
      </c>
      <c r="F40">
        <v>12</v>
      </c>
      <c r="G40" s="2">
        <f t="shared" si="6"/>
        <v>3.6111111111111114E-3</v>
      </c>
      <c r="H40" s="13">
        <f>(PBS!$D$17+(50*PBS!$D$17/230)*LOG10(D40))/G40/86400</f>
        <v>1.0480769230769229</v>
      </c>
      <c r="I40" s="14" t="e">
        <f t="shared" ca="1" si="0"/>
        <v>#NAME?</v>
      </c>
      <c r="J40" s="15" t="e">
        <f t="shared" ca="1" si="1"/>
        <v>#NAME?</v>
      </c>
      <c r="K40" s="16" t="e">
        <f t="shared" ca="1" si="2"/>
        <v>#NAME?</v>
      </c>
      <c r="L40" s="17" t="e">
        <f t="shared" ca="1" si="3"/>
        <v>#NAME?</v>
      </c>
      <c r="M40" s="18"/>
      <c r="N40" s="17"/>
      <c r="O40" t="s">
        <v>61</v>
      </c>
      <c r="U40" s="21">
        <f>25.417*4/3.85</f>
        <v>26.40727272727273</v>
      </c>
    </row>
    <row r="41" spans="1:21" x14ac:dyDescent="0.15">
      <c r="B41" s="1">
        <v>35956</v>
      </c>
      <c r="C41" t="s">
        <v>62</v>
      </c>
      <c r="D41">
        <v>0.5</v>
      </c>
      <c r="E41">
        <v>2</v>
      </c>
      <c r="F41">
        <v>21</v>
      </c>
      <c r="G41" s="2">
        <f t="shared" si="6"/>
        <v>3.2638888888888891E-3</v>
      </c>
      <c r="H41" s="13">
        <f>(PBS!$D$17+(50*PBS!$D$17/230)*LOG10(D41))/G41/86400</f>
        <v>1.08369040349821</v>
      </c>
      <c r="I41" s="14" t="e">
        <f t="shared" ca="1" si="0"/>
        <v>#NAME?</v>
      </c>
      <c r="J41" s="15" t="e">
        <f t="shared" ca="1" si="1"/>
        <v>#NAME?</v>
      </c>
      <c r="K41" s="16" t="e">
        <f t="shared" ca="1" si="2"/>
        <v>#NAME?</v>
      </c>
      <c r="L41" s="17" t="e">
        <f t="shared" ca="1" si="3"/>
        <v>#NAME?</v>
      </c>
      <c r="M41" s="18"/>
      <c r="N41" s="17"/>
      <c r="O41" t="s">
        <v>63</v>
      </c>
    </row>
    <row r="42" spans="1:21" x14ac:dyDescent="0.15">
      <c r="B42" s="1">
        <v>35956</v>
      </c>
      <c r="C42" t="s">
        <v>64</v>
      </c>
      <c r="D42">
        <v>0.25</v>
      </c>
      <c r="E42">
        <v>0</v>
      </c>
      <c r="F42">
        <v>58.4</v>
      </c>
      <c r="G42" s="2">
        <f t="shared" si="6"/>
        <v>2.7037037037037034E-3</v>
      </c>
      <c r="H42" s="13">
        <f>(PBS!$D$17+(50*PBS!$D$17/230)*LOG10(D42))/G42/86400</f>
        <v>1.2166155289939662</v>
      </c>
      <c r="I42" s="14" t="e">
        <f t="shared" ca="1" si="0"/>
        <v>#NAME?</v>
      </c>
      <c r="J42" s="15" t="e">
        <f t="shared" ca="1" si="1"/>
        <v>#NAME?</v>
      </c>
      <c r="K42" s="16" t="e">
        <f t="shared" ca="1" si="2"/>
        <v>#NAME?</v>
      </c>
      <c r="L42" s="17" t="e">
        <f t="shared" ca="1" si="3"/>
        <v>#NAME?</v>
      </c>
      <c r="M42" s="18"/>
      <c r="N42" s="17"/>
      <c r="O42" t="s">
        <v>63</v>
      </c>
    </row>
    <row r="43" spans="1:21" x14ac:dyDescent="0.15">
      <c r="B43" s="1">
        <v>35956</v>
      </c>
      <c r="C43" t="s">
        <v>65</v>
      </c>
      <c r="D43">
        <v>0.125</v>
      </c>
      <c r="E43">
        <v>0</v>
      </c>
      <c r="F43">
        <v>27.4</v>
      </c>
      <c r="G43" s="2">
        <f t="shared" si="6"/>
        <v>2.5370370370370369E-3</v>
      </c>
      <c r="H43" s="13">
        <f>(PBS!$D$17+(50*PBS!$D$17/230)*LOG10(D43))/G43/86400</f>
        <v>1.1989146047421797</v>
      </c>
      <c r="I43" s="14" t="e">
        <f t="shared" ca="1" si="0"/>
        <v>#NAME?</v>
      </c>
      <c r="J43" s="15" t="e">
        <f t="shared" ca="1" si="1"/>
        <v>#NAME?</v>
      </c>
      <c r="K43" s="16" t="e">
        <f t="shared" ca="1" si="2"/>
        <v>#NAME?</v>
      </c>
      <c r="L43" s="17" t="e">
        <f t="shared" ca="1" si="3"/>
        <v>#NAME?</v>
      </c>
      <c r="M43" s="18"/>
      <c r="N43" s="17"/>
      <c r="O43" t="s">
        <v>66</v>
      </c>
    </row>
    <row r="44" spans="1:21" x14ac:dyDescent="0.15">
      <c r="B44" s="1">
        <v>35959</v>
      </c>
      <c r="C44" t="s">
        <v>67</v>
      </c>
      <c r="D44">
        <f>5/1.609</f>
        <v>3.1075201988812928</v>
      </c>
      <c r="E44">
        <v>19</v>
      </c>
      <c r="F44">
        <v>20</v>
      </c>
      <c r="G44" s="2">
        <f t="shared" si="6"/>
        <v>4.3204629629629626E-3</v>
      </c>
      <c r="H44" s="13">
        <f>(PBS!$D$17+(50*PBS!$D$17/230)*LOG10(D44))/G44/86400</f>
        <v>0.96977189136019437</v>
      </c>
      <c r="I44" s="14" t="e">
        <f t="shared" ca="1" si="0"/>
        <v>#NAME?</v>
      </c>
      <c r="J44" s="15" t="e">
        <f t="shared" ca="1" si="1"/>
        <v>#NAME?</v>
      </c>
      <c r="K44" s="16" t="e">
        <f t="shared" ca="1" si="2"/>
        <v>#NAME?</v>
      </c>
      <c r="L44" s="17" t="e">
        <f t="shared" ca="1" si="3"/>
        <v>#NAME?</v>
      </c>
      <c r="M44" s="18">
        <v>0.67159999999999997</v>
      </c>
      <c r="N44" s="17"/>
      <c r="O44" t="s">
        <v>68</v>
      </c>
    </row>
    <row r="45" spans="1:21" x14ac:dyDescent="0.15">
      <c r="B45" s="1">
        <v>35966</v>
      </c>
      <c r="C45" t="s">
        <v>69</v>
      </c>
      <c r="D45">
        <f>10/1.609</f>
        <v>6.2150403977625857</v>
      </c>
      <c r="E45">
        <v>39</v>
      </c>
      <c r="F45">
        <v>20</v>
      </c>
      <c r="G45" s="2">
        <f t="shared" si="6"/>
        <v>4.3949537037037039E-3</v>
      </c>
      <c r="H45" s="13">
        <f>(PBS!$D$17+(50*PBS!$D$17/230)*LOG10(D45))/G45/86400</f>
        <v>1.0096899748121502</v>
      </c>
      <c r="I45" s="14" t="e">
        <f t="shared" ca="1" si="0"/>
        <v>#NAME?</v>
      </c>
      <c r="J45" s="15" t="e">
        <f t="shared" ca="1" si="1"/>
        <v>#NAME?</v>
      </c>
      <c r="K45" s="16" t="e">
        <f t="shared" ca="1" si="2"/>
        <v>#NAME?</v>
      </c>
      <c r="L45" s="17" t="e">
        <f t="shared" ca="1" si="3"/>
        <v>#NAME?</v>
      </c>
      <c r="M45" s="18">
        <v>0.67920000000000003</v>
      </c>
      <c r="N45" s="17">
        <v>2.7314814814814816E-2</v>
      </c>
      <c r="O45" t="s">
        <v>70</v>
      </c>
    </row>
    <row r="46" spans="1:21" x14ac:dyDescent="0.15">
      <c r="B46" s="1">
        <v>35970</v>
      </c>
      <c r="C46" t="s">
        <v>62</v>
      </c>
      <c r="D46">
        <v>0.5</v>
      </c>
      <c r="E46">
        <v>2</v>
      </c>
      <c r="F46">
        <v>16</v>
      </c>
      <c r="G46" s="2">
        <f t="shared" si="6"/>
        <v>3.1481481481481482E-3</v>
      </c>
      <c r="H46" s="13">
        <f>(PBS!$D$17+(50*PBS!$D$17/230)*LOG10(D46))/G46/86400</f>
        <v>1.1235319624503501</v>
      </c>
      <c r="I46" s="14" t="e">
        <f t="shared" ca="1" si="0"/>
        <v>#NAME?</v>
      </c>
      <c r="J46" s="15" t="e">
        <f t="shared" ca="1" si="1"/>
        <v>#NAME?</v>
      </c>
      <c r="K46" s="16" t="e">
        <f t="shared" ca="1" si="2"/>
        <v>#NAME?</v>
      </c>
      <c r="L46" s="17" t="e">
        <f t="shared" ca="1" si="3"/>
        <v>#NAME?</v>
      </c>
      <c r="M46" s="18"/>
      <c r="N46" s="17"/>
    </row>
    <row r="47" spans="1:21" x14ac:dyDescent="0.15">
      <c r="B47" s="1">
        <v>35970</v>
      </c>
      <c r="C47" t="s">
        <v>65</v>
      </c>
      <c r="D47">
        <v>0.125</v>
      </c>
      <c r="E47">
        <v>0</v>
      </c>
      <c r="F47">
        <v>27.2</v>
      </c>
      <c r="G47" s="2">
        <f t="shared" si="6"/>
        <v>2.5185185185185185E-3</v>
      </c>
      <c r="H47" s="13">
        <f>(PBS!$D$17+(50*PBS!$D$17/230)*LOG10(D47))/G47/86400</f>
        <v>1.2077301533064604</v>
      </c>
      <c r="I47" s="14" t="e">
        <f t="shared" ca="1" si="0"/>
        <v>#NAME?</v>
      </c>
      <c r="J47" s="15" t="e">
        <f t="shared" ca="1" si="1"/>
        <v>#NAME?</v>
      </c>
      <c r="K47" s="16" t="e">
        <f t="shared" ca="1" si="2"/>
        <v>#NAME?</v>
      </c>
      <c r="L47" s="17" t="e">
        <f t="shared" ca="1" si="3"/>
        <v>#NAME?</v>
      </c>
      <c r="M47" s="18"/>
      <c r="N47" s="17"/>
    </row>
    <row r="48" spans="1:21" x14ac:dyDescent="0.15">
      <c r="B48" s="1">
        <v>35984</v>
      </c>
      <c r="C48" t="s">
        <v>60</v>
      </c>
      <c r="D48">
        <v>1</v>
      </c>
      <c r="E48">
        <v>5</v>
      </c>
      <c r="F48">
        <v>3</v>
      </c>
      <c r="G48" s="2">
        <f t="shared" si="6"/>
        <v>3.5069444444444445E-3</v>
      </c>
      <c r="H48" s="13">
        <f>(PBS!$D$17+(50*PBS!$D$17/230)*LOG10(D48))/G48/86400</f>
        <v>1.0792079207920793</v>
      </c>
      <c r="I48" s="14" t="e">
        <f t="shared" ca="1" si="0"/>
        <v>#NAME?</v>
      </c>
      <c r="J48" s="15" t="e">
        <f t="shared" ca="1" si="1"/>
        <v>#NAME?</v>
      </c>
      <c r="K48" s="16" t="e">
        <f t="shared" ca="1" si="2"/>
        <v>#NAME?</v>
      </c>
      <c r="L48" s="17" t="e">
        <f t="shared" ca="1" si="3"/>
        <v>#NAME?</v>
      </c>
      <c r="M48" s="18"/>
      <c r="N48" s="17"/>
    </row>
    <row r="49" spans="2:15" x14ac:dyDescent="0.15">
      <c r="B49" s="1">
        <v>35984</v>
      </c>
      <c r="C49" t="s">
        <v>64</v>
      </c>
      <c r="D49">
        <v>0.25</v>
      </c>
      <c r="E49">
        <v>0</v>
      </c>
      <c r="F49">
        <v>59.1</v>
      </c>
      <c r="G49" s="2">
        <f t="shared" si="6"/>
        <v>2.736111111111111E-3</v>
      </c>
      <c r="H49" s="13">
        <f>(PBS!$D$17+(50*PBS!$D$17/230)*LOG10(D49))/G49/86400</f>
        <v>1.2022055311886231</v>
      </c>
      <c r="I49" s="14" t="e">
        <f t="shared" ca="1" si="0"/>
        <v>#NAME?</v>
      </c>
      <c r="J49" s="15" t="e">
        <f t="shared" ca="1" si="1"/>
        <v>#NAME?</v>
      </c>
      <c r="K49" s="16" t="e">
        <f t="shared" ca="1" si="2"/>
        <v>#NAME?</v>
      </c>
      <c r="L49" s="17" t="e">
        <f t="shared" ca="1" si="3"/>
        <v>#NAME?</v>
      </c>
      <c r="M49" s="18"/>
      <c r="N49" s="17"/>
    </row>
    <row r="50" spans="2:15" x14ac:dyDescent="0.15">
      <c r="B50" s="1">
        <v>35998</v>
      </c>
      <c r="C50" t="s">
        <v>71</v>
      </c>
      <c r="D50">
        <v>1</v>
      </c>
      <c r="E50">
        <v>5</v>
      </c>
      <c r="F50">
        <v>1</v>
      </c>
      <c r="G50" s="2">
        <f t="shared" si="6"/>
        <v>3.483796296296296E-3</v>
      </c>
      <c r="H50" s="13">
        <f>(PBS!$D$17+(50*PBS!$D$17/230)*LOG10(D50))/G50/86400</f>
        <v>1.0863787375415284</v>
      </c>
      <c r="I50" s="14" t="e">
        <f t="shared" ca="1" si="0"/>
        <v>#NAME?</v>
      </c>
      <c r="J50" s="15" t="e">
        <f t="shared" ca="1" si="1"/>
        <v>#NAME?</v>
      </c>
      <c r="K50" s="16" t="e">
        <f t="shared" ca="1" si="2"/>
        <v>#NAME?</v>
      </c>
      <c r="L50" s="17" t="e">
        <f t="shared" ca="1" si="3"/>
        <v>#NAME?</v>
      </c>
      <c r="M50" s="18"/>
      <c r="N50" s="17"/>
      <c r="O50" t="s">
        <v>72</v>
      </c>
    </row>
    <row r="51" spans="2:15" x14ac:dyDescent="0.15">
      <c r="B51" s="1">
        <v>35999</v>
      </c>
      <c r="C51" t="s">
        <v>73</v>
      </c>
      <c r="D51">
        <v>9</v>
      </c>
      <c r="E51">
        <v>61</v>
      </c>
      <c r="F51">
        <v>15</v>
      </c>
      <c r="G51" s="2">
        <f t="shared" si="6"/>
        <v>4.7260802469135796E-3</v>
      </c>
      <c r="H51" s="13">
        <f>(PBS!$D$17+(50*PBS!$D$17/230)*LOG10(D51))/G51/86400</f>
        <v>0.96694088762377606</v>
      </c>
      <c r="I51" s="14" t="e">
        <f t="shared" ca="1" si="0"/>
        <v>#NAME?</v>
      </c>
      <c r="J51" s="15" t="e">
        <f t="shared" ca="1" si="1"/>
        <v>#NAME?</v>
      </c>
      <c r="K51" s="16" t="e">
        <f t="shared" ca="1" si="2"/>
        <v>#NAME?</v>
      </c>
      <c r="L51" s="17" t="e">
        <f t="shared" ca="1" si="3"/>
        <v>#NAME?</v>
      </c>
      <c r="M51" s="18"/>
      <c r="N51" s="17"/>
      <c r="O51" t="s">
        <v>74</v>
      </c>
    </row>
    <row r="52" spans="2:15" x14ac:dyDescent="0.15">
      <c r="B52" s="1">
        <v>36002</v>
      </c>
      <c r="C52" t="s">
        <v>75</v>
      </c>
      <c r="D52">
        <v>16.2</v>
      </c>
      <c r="E52">
        <v>115</v>
      </c>
      <c r="F52">
        <v>0</v>
      </c>
      <c r="G52" s="2">
        <f t="shared" si="6"/>
        <v>4.9296982167352536E-3</v>
      </c>
      <c r="H52" s="13">
        <f>(PBS!$D$17+(50*PBS!$D$17/230)*LOG10(D52))/G52/86400</f>
        <v>0.96960695772016814</v>
      </c>
      <c r="I52" s="14" t="e">
        <f t="shared" ca="1" si="0"/>
        <v>#NAME?</v>
      </c>
      <c r="J52" s="15" t="e">
        <f t="shared" ca="1" si="1"/>
        <v>#NAME?</v>
      </c>
      <c r="K52" s="16" t="e">
        <f t="shared" ca="1" si="2"/>
        <v>#NAME?</v>
      </c>
      <c r="L52" s="17" t="e">
        <f t="shared" ca="1" si="3"/>
        <v>#NAME?</v>
      </c>
      <c r="M52" s="18"/>
      <c r="N52" s="17"/>
      <c r="O52" t="s">
        <v>76</v>
      </c>
    </row>
    <row r="53" spans="2:15" x14ac:dyDescent="0.15">
      <c r="B53" s="1">
        <v>36015</v>
      </c>
      <c r="C53" t="s">
        <v>77</v>
      </c>
      <c r="D53">
        <v>13.1122</v>
      </c>
      <c r="E53">
        <v>89</v>
      </c>
      <c r="F53">
        <v>15</v>
      </c>
      <c r="G53" s="2">
        <f t="shared" si="6"/>
        <v>4.7268320088670601E-3</v>
      </c>
      <c r="H53" s="13">
        <f>(PBS!$D$17+(50*PBS!$D$17/230)*LOG10(D53))/G53/86400</f>
        <v>0.99523472221144604</v>
      </c>
      <c r="I53" s="14" t="e">
        <f t="shared" ca="1" si="0"/>
        <v>#NAME?</v>
      </c>
      <c r="J53" s="15" t="e">
        <f t="shared" ca="1" si="1"/>
        <v>#NAME?</v>
      </c>
      <c r="K53" s="16" t="e">
        <f t="shared" ca="1" si="2"/>
        <v>#NAME?</v>
      </c>
      <c r="L53" s="17" t="e">
        <f t="shared" ca="1" si="3"/>
        <v>#NAME?</v>
      </c>
      <c r="M53" s="18"/>
      <c r="N53" s="17"/>
      <c r="O53" t="s">
        <v>78</v>
      </c>
    </row>
    <row r="54" spans="2:15" x14ac:dyDescent="0.15">
      <c r="B54" s="1">
        <v>36022</v>
      </c>
      <c r="C54" t="s">
        <v>79</v>
      </c>
      <c r="D54">
        <f>5/1.609</f>
        <v>3.1075201988812928</v>
      </c>
      <c r="E54">
        <v>18</v>
      </c>
      <c r="F54">
        <v>8</v>
      </c>
      <c r="G54" s="2">
        <f t="shared" si="6"/>
        <v>4.052296296296296E-3</v>
      </c>
      <c r="H54" s="13">
        <f>(PBS!$D$17+(50*PBS!$D$17/230)*LOG10(D54))/G54/86400</f>
        <v>1.0339479724060896</v>
      </c>
      <c r="I54" s="14" t="e">
        <f t="shared" ca="1" si="0"/>
        <v>#NAME?</v>
      </c>
      <c r="J54" s="15" t="e">
        <f t="shared" ca="1" si="1"/>
        <v>#NAME?</v>
      </c>
      <c r="K54" s="16" t="e">
        <f t="shared" ca="1" si="2"/>
        <v>#NAME?</v>
      </c>
      <c r="L54" s="17" t="e">
        <f t="shared" ca="1" si="3"/>
        <v>#NAME?</v>
      </c>
      <c r="M54" s="18">
        <v>0.71599999999999997</v>
      </c>
      <c r="N54" s="17">
        <v>1.2592592592592593E-2</v>
      </c>
    </row>
    <row r="55" spans="2:15" x14ac:dyDescent="0.15">
      <c r="B55" s="1">
        <v>36034</v>
      </c>
      <c r="C55" t="s">
        <v>80</v>
      </c>
      <c r="D55">
        <v>11.5</v>
      </c>
      <c r="E55">
        <v>81</v>
      </c>
      <c r="F55">
        <v>20</v>
      </c>
      <c r="G55" s="2">
        <f t="shared" si="6"/>
        <v>4.911433172302737E-3</v>
      </c>
      <c r="H55" s="13">
        <f>(PBS!$D$17+(50*PBS!$D$17/230)*LOG10(D55))/G55/86400</f>
        <v>0.94828288616579459</v>
      </c>
      <c r="I55" s="14" t="e">
        <f t="shared" ca="1" si="0"/>
        <v>#NAME?</v>
      </c>
      <c r="J55" s="15" t="e">
        <f t="shared" ca="1" si="1"/>
        <v>#NAME?</v>
      </c>
      <c r="K55" s="16" t="e">
        <f t="shared" ca="1" si="2"/>
        <v>#NAME?</v>
      </c>
      <c r="L55" s="17" t="e">
        <f t="shared" ca="1" si="3"/>
        <v>#NAME?</v>
      </c>
      <c r="M55" s="18"/>
      <c r="N55" s="17"/>
      <c r="O55" t="s">
        <v>81</v>
      </c>
    </row>
    <row r="56" spans="2:15" x14ac:dyDescent="0.15">
      <c r="B56" s="1">
        <v>36057</v>
      </c>
      <c r="C56" t="s">
        <v>82</v>
      </c>
      <c r="D56">
        <f>42.195/1.609</f>
        <v>26.224362958359229</v>
      </c>
      <c r="E56">
        <v>245</v>
      </c>
      <c r="F56">
        <v>12</v>
      </c>
      <c r="G56" s="2">
        <f t="shared" si="6"/>
        <v>6.4931139813827329E-3</v>
      </c>
      <c r="H56" s="13">
        <f>(PBS!$D$17+(50*PBS!$D$17/230)*LOG10(D56))/G56/86400</f>
        <v>0.76265163464221486</v>
      </c>
      <c r="I56" s="14" t="e">
        <f t="shared" ca="1" si="0"/>
        <v>#NAME?</v>
      </c>
      <c r="J56" s="15" t="e">
        <f t="shared" ca="1" si="1"/>
        <v>#NAME?</v>
      </c>
      <c r="K56" s="16" t="e">
        <f t="shared" ca="1" si="2"/>
        <v>#NAME?</v>
      </c>
      <c r="L56" s="17" t="e">
        <f t="shared" ca="1" si="3"/>
        <v>#NAME?</v>
      </c>
      <c r="M56" s="18"/>
      <c r="N56" s="17"/>
      <c r="O56" t="s">
        <v>83</v>
      </c>
    </row>
    <row r="57" spans="2:15" s="5" customFormat="1" x14ac:dyDescent="0.15">
      <c r="B57" s="6">
        <v>36078</v>
      </c>
      <c r="C57" s="5" t="s">
        <v>84</v>
      </c>
      <c r="D57" s="5">
        <v>6.5</v>
      </c>
      <c r="E57" s="5">
        <v>40</v>
      </c>
      <c r="F57" s="5">
        <v>12</v>
      </c>
      <c r="G57" s="2">
        <f t="shared" si="6"/>
        <v>4.2948717948717947E-3</v>
      </c>
      <c r="H57" s="13">
        <f>(PBS!$D$17+(50*PBS!$D$17/230)*LOG10(D57))/G57/86400</f>
        <v>1.0369481703389205</v>
      </c>
      <c r="I57" s="14" t="e">
        <f t="shared" ca="1" si="0"/>
        <v>#NAME?</v>
      </c>
      <c r="J57" s="15" t="e">
        <f t="shared" ca="1" si="1"/>
        <v>#NAME?</v>
      </c>
      <c r="K57" s="16" t="e">
        <f t="shared" ca="1" si="2"/>
        <v>#NAME?</v>
      </c>
      <c r="L57" s="17" t="e">
        <f t="shared" ca="1" si="3"/>
        <v>#NAME?</v>
      </c>
      <c r="M57" s="18">
        <v>0.69510000000000005</v>
      </c>
      <c r="N57" s="22">
        <v>2.6689814814814816E-2</v>
      </c>
      <c r="O57" s="5" t="s">
        <v>85</v>
      </c>
    </row>
    <row r="58" spans="2:15" x14ac:dyDescent="0.15">
      <c r="B58" s="1">
        <v>36071</v>
      </c>
      <c r="C58" t="s">
        <v>86</v>
      </c>
      <c r="D58">
        <v>6.7</v>
      </c>
      <c r="G58" s="2" t="s">
        <v>87</v>
      </c>
      <c r="H58" s="19"/>
      <c r="I58" s="14" t="e">
        <f t="shared" ca="1" si="0"/>
        <v>#NAME?</v>
      </c>
      <c r="J58" s="15"/>
      <c r="K58" s="16"/>
      <c r="L58" s="17"/>
      <c r="M58" s="18"/>
      <c r="N58" s="17"/>
    </row>
    <row r="59" spans="2:15" x14ac:dyDescent="0.15">
      <c r="H59" s="19"/>
      <c r="I59" s="14"/>
      <c r="J59" s="15"/>
      <c r="K59" s="16"/>
      <c r="L59" s="17"/>
      <c r="M59" s="18"/>
      <c r="N59" s="17"/>
    </row>
    <row r="60" spans="2:15" x14ac:dyDescent="0.15">
      <c r="B60" s="1">
        <v>36253</v>
      </c>
      <c r="C60" t="s">
        <v>57</v>
      </c>
      <c r="D60">
        <f>5/1.609</f>
        <v>3.1075201988812928</v>
      </c>
      <c r="E60">
        <v>19</v>
      </c>
      <c r="F60">
        <v>49</v>
      </c>
      <c r="G60" s="2">
        <f t="shared" ref="G60:G75" si="7">(E60+F60/60)/D60/60/24</f>
        <v>4.4284745370370363E-3</v>
      </c>
      <c r="H60" s="13">
        <f>(PBS!$D$17+(50*PBS!$D$17/230)*LOG10(D60))/G60/86400</f>
        <v>0.94611891840018969</v>
      </c>
      <c r="I60" s="14" t="e">
        <f t="shared" ca="1" si="0"/>
        <v>#NAME?</v>
      </c>
      <c r="J60" s="15" t="e">
        <f t="shared" ca="1" si="1"/>
        <v>#NAME?</v>
      </c>
      <c r="K60" s="16" t="e">
        <f t="shared" ca="1" si="2"/>
        <v>#NAME?</v>
      </c>
      <c r="L60" s="17" t="e">
        <f t="shared" ca="1" si="3"/>
        <v>#NAME?</v>
      </c>
      <c r="M60" s="18"/>
      <c r="N60" s="17"/>
      <c r="O60" t="s">
        <v>88</v>
      </c>
    </row>
    <row r="61" spans="2:15" s="5" customFormat="1" x14ac:dyDescent="0.15">
      <c r="B61" s="6">
        <v>36274</v>
      </c>
      <c r="C61" s="5" t="s">
        <v>89</v>
      </c>
      <c r="D61">
        <f>5/1.609</f>
        <v>3.1075201988812928</v>
      </c>
      <c r="E61" s="5">
        <v>18</v>
      </c>
      <c r="F61" s="5">
        <v>0</v>
      </c>
      <c r="G61" s="7">
        <f t="shared" si="7"/>
        <v>4.0225E-3</v>
      </c>
      <c r="H61" s="13">
        <f>(PBS!$D$17+(50*PBS!$D$17/230)*LOG10(D61))/G61/86400</f>
        <v>1.0416068462757642</v>
      </c>
      <c r="I61" s="14" t="e">
        <f t="shared" ca="1" si="0"/>
        <v>#NAME?</v>
      </c>
      <c r="J61" s="15" t="e">
        <f t="shared" ca="1" si="1"/>
        <v>#NAME?</v>
      </c>
      <c r="K61" s="16" t="e">
        <f t="shared" ca="1" si="2"/>
        <v>#NAME?</v>
      </c>
      <c r="L61" s="17" t="e">
        <f t="shared" ca="1" si="3"/>
        <v>#NAME?</v>
      </c>
      <c r="M61" s="18"/>
      <c r="N61" s="17"/>
      <c r="O61" s="5" t="s">
        <v>90</v>
      </c>
    </row>
    <row r="62" spans="2:15" x14ac:dyDescent="0.15">
      <c r="B62" s="1">
        <v>36275</v>
      </c>
      <c r="C62" t="s">
        <v>91</v>
      </c>
      <c r="D62">
        <f>5/1.609</f>
        <v>3.1075201988812928</v>
      </c>
      <c r="E62">
        <v>18</v>
      </c>
      <c r="F62">
        <v>44</v>
      </c>
      <c r="G62" s="2">
        <f t="shared" si="7"/>
        <v>4.1863796296296293E-3</v>
      </c>
      <c r="H62" s="13">
        <f>(PBS!$D$17+(50*PBS!$D$17/230)*LOG10(D62))/G62/86400</f>
        <v>1.0008322010478874</v>
      </c>
      <c r="I62" s="14" t="e">
        <f t="shared" ca="1" si="0"/>
        <v>#NAME?</v>
      </c>
      <c r="J62" s="15" t="e">
        <f t="shared" ca="1" si="1"/>
        <v>#NAME?</v>
      </c>
      <c r="K62" s="16" t="e">
        <f t="shared" ca="1" si="2"/>
        <v>#NAME?</v>
      </c>
      <c r="L62" s="17" t="e">
        <f t="shared" ca="1" si="3"/>
        <v>#NAME?</v>
      </c>
      <c r="M62" s="18"/>
      <c r="N62" s="17"/>
    </row>
    <row r="63" spans="2:15" x14ac:dyDescent="0.15">
      <c r="B63" s="1">
        <v>36281</v>
      </c>
      <c r="C63" t="s">
        <v>92</v>
      </c>
      <c r="D63">
        <f>10/1.609</f>
        <v>6.2150403977625857</v>
      </c>
      <c r="E63">
        <v>39</v>
      </c>
      <c r="F63">
        <v>48</v>
      </c>
      <c r="G63" s="2">
        <f t="shared" si="7"/>
        <v>4.4470972222222221E-3</v>
      </c>
      <c r="H63" s="13">
        <f>(PBS!$D$17+(50*PBS!$D$17/230)*LOG10(D63))/G63/86400</f>
        <v>0.99785106388470468</v>
      </c>
      <c r="I63" s="14" t="e">
        <f t="shared" ca="1" si="0"/>
        <v>#NAME?</v>
      </c>
      <c r="J63" s="15" t="e">
        <f t="shared" ca="1" si="1"/>
        <v>#NAME?</v>
      </c>
      <c r="K63" s="16" t="e">
        <f t="shared" ca="1" si="2"/>
        <v>#NAME?</v>
      </c>
      <c r="L63" s="17" t="e">
        <f t="shared" ca="1" si="3"/>
        <v>#NAME?</v>
      </c>
      <c r="M63" s="18"/>
      <c r="N63" s="17"/>
      <c r="O63" t="s">
        <v>93</v>
      </c>
    </row>
    <row r="64" spans="2:15" s="23" customFormat="1" x14ac:dyDescent="0.15">
      <c r="B64" s="24">
        <v>36302</v>
      </c>
      <c r="C64" s="23" t="s">
        <v>94</v>
      </c>
      <c r="D64">
        <f>5/1.609</f>
        <v>3.1075201988812928</v>
      </c>
      <c r="E64" s="23">
        <v>16</v>
      </c>
      <c r="F64" s="23">
        <v>40</v>
      </c>
      <c r="G64" s="25">
        <f t="shared" si="7"/>
        <v>3.7245370370370371E-3</v>
      </c>
      <c r="H64" s="13">
        <f>(PBS!$D$17+(50*PBS!$D$17/230)*LOG10(D64))/G64/86400</f>
        <v>1.1249353939778253</v>
      </c>
      <c r="I64" s="14" t="e">
        <f t="shared" ca="1" si="0"/>
        <v>#NAME?</v>
      </c>
      <c r="J64" s="15" t="e">
        <f t="shared" ca="1" si="1"/>
        <v>#NAME?</v>
      </c>
      <c r="K64" s="16" t="e">
        <f t="shared" ca="1" si="2"/>
        <v>#NAME?</v>
      </c>
      <c r="L64" s="17" t="e">
        <f t="shared" ca="1" si="3"/>
        <v>#NAME?</v>
      </c>
      <c r="M64" s="18">
        <v>0.77900000000000003</v>
      </c>
      <c r="N64" s="17">
        <v>1.1574074074074075E-2</v>
      </c>
      <c r="O64" s="23" t="s">
        <v>95</v>
      </c>
    </row>
    <row r="65" spans="2:15" x14ac:dyDescent="0.15">
      <c r="B65" s="1">
        <v>36320</v>
      </c>
      <c r="C65" t="s">
        <v>60</v>
      </c>
      <c r="D65">
        <v>1</v>
      </c>
      <c r="E65">
        <v>5</v>
      </c>
      <c r="F65">
        <v>9</v>
      </c>
      <c r="G65" s="2">
        <f t="shared" si="7"/>
        <v>3.5763888888888894E-3</v>
      </c>
      <c r="H65" s="13">
        <f>(PBS!$D$17+(50*PBS!$D$17/230)*LOG10(D65))/G65/86400</f>
        <v>1.058252427184466</v>
      </c>
      <c r="I65" s="14" t="e">
        <f t="shared" ca="1" si="0"/>
        <v>#NAME?</v>
      </c>
      <c r="J65" s="15" t="e">
        <f t="shared" ca="1" si="1"/>
        <v>#NAME?</v>
      </c>
      <c r="K65" s="16" t="e">
        <f t="shared" ca="1" si="2"/>
        <v>#NAME?</v>
      </c>
      <c r="L65" s="17" t="e">
        <f t="shared" ca="1" si="3"/>
        <v>#NAME?</v>
      </c>
      <c r="M65" s="18"/>
      <c r="N65" s="17"/>
    </row>
    <row r="66" spans="2:15" x14ac:dyDescent="0.15">
      <c r="B66" s="1">
        <v>36320</v>
      </c>
      <c r="C66" t="s">
        <v>62</v>
      </c>
      <c r="D66">
        <v>0.5</v>
      </c>
      <c r="E66">
        <v>2</v>
      </c>
      <c r="F66">
        <v>27</v>
      </c>
      <c r="G66" s="2">
        <f t="shared" si="7"/>
        <v>3.4027777777777784E-3</v>
      </c>
      <c r="H66" s="13">
        <f>(PBS!$D$17+(50*PBS!$D$17/230)*LOG10(D66))/G66/86400</f>
        <v>1.0394581421309361</v>
      </c>
      <c r="I66" s="14"/>
      <c r="J66" s="15">
        <f t="shared" si="1"/>
        <v>1</v>
      </c>
      <c r="K66" s="16">
        <f t="shared" si="2"/>
        <v>3.4027777777777784E-3</v>
      </c>
      <c r="L66" s="17">
        <f t="shared" si="3"/>
        <v>1.7013888888888892E-3</v>
      </c>
      <c r="M66" s="18"/>
      <c r="N66" s="17"/>
    </row>
    <row r="67" spans="2:15" x14ac:dyDescent="0.15">
      <c r="B67" s="1">
        <v>36320</v>
      </c>
      <c r="C67" t="s">
        <v>64</v>
      </c>
      <c r="D67">
        <v>0.25</v>
      </c>
      <c r="E67">
        <v>0</v>
      </c>
      <c r="F67">
        <v>58.2</v>
      </c>
      <c r="G67" s="2">
        <f t="shared" si="7"/>
        <v>2.6944444444444451E-3</v>
      </c>
      <c r="H67" s="13">
        <f>(PBS!$D$17+(50*PBS!$D$17/230)*LOG10(D67))/G67/86400</f>
        <v>1.220796338371952</v>
      </c>
      <c r="I67" s="14"/>
      <c r="J67" s="15">
        <f t="shared" si="1"/>
        <v>1</v>
      </c>
      <c r="K67" s="16">
        <f t="shared" si="2"/>
        <v>2.6944444444444451E-3</v>
      </c>
      <c r="L67" s="17">
        <f t="shared" si="3"/>
        <v>6.7361111111111126E-4</v>
      </c>
      <c r="M67" s="18"/>
      <c r="N67" s="17"/>
    </row>
    <row r="68" spans="2:15" x14ac:dyDescent="0.15">
      <c r="B68" s="1">
        <v>36330</v>
      </c>
      <c r="C68" t="s">
        <v>69</v>
      </c>
      <c r="D68">
        <f>10/1.609</f>
        <v>6.2150403977625857</v>
      </c>
      <c r="E68">
        <v>43</v>
      </c>
      <c r="F68">
        <v>43</v>
      </c>
      <c r="G68" s="2">
        <f t="shared" si="7"/>
        <v>4.8847303240740743E-3</v>
      </c>
      <c r="H68" s="13">
        <f>(PBS!$D$17+(50*PBS!$D$17/230)*LOG10(D68))/G68/86400</f>
        <v>0.90845152137120644</v>
      </c>
      <c r="I68" s="14" t="e">
        <f t="shared" ca="1" si="0"/>
        <v>#NAME?</v>
      </c>
      <c r="J68" s="15" t="e">
        <f t="shared" ca="1" si="1"/>
        <v>#NAME?</v>
      </c>
      <c r="K68" s="16" t="e">
        <f t="shared" ca="1" si="2"/>
        <v>#NAME?</v>
      </c>
      <c r="L68" s="17" t="e">
        <f t="shared" ca="1" si="3"/>
        <v>#NAME?</v>
      </c>
      <c r="M68" s="18"/>
      <c r="N68" s="17"/>
      <c r="O68" t="s">
        <v>96</v>
      </c>
    </row>
    <row r="69" spans="2:15" x14ac:dyDescent="0.15">
      <c r="B69" s="1">
        <v>36335</v>
      </c>
      <c r="C69" t="s">
        <v>97</v>
      </c>
      <c r="D69">
        <f>10/1.609</f>
        <v>6.2150403977625857</v>
      </c>
      <c r="E69">
        <v>45</v>
      </c>
      <c r="F69">
        <v>0</v>
      </c>
      <c r="G69" s="2">
        <f t="shared" si="7"/>
        <v>5.0281250000000005E-3</v>
      </c>
      <c r="H69" s="13">
        <f>(PBS!$D$17+(50*PBS!$D$17/230)*LOG10(D69))/G69/86400</f>
        <v>0.88254382983580537</v>
      </c>
      <c r="I69" s="14" t="e">
        <f ca="1">_xlfnodf.SKEWP($I$2,B69,"Y")</f>
        <v>#NAME?</v>
      </c>
      <c r="J69" s="15" t="e">
        <f t="shared" ref="J69:J129" ca="1" si="8">IF(I69&gt;35,POWER(I69-35,2)*0.00005+(I69-35)*0.008+1,1)</f>
        <v>#NAME?</v>
      </c>
      <c r="K69" s="16" t="e">
        <f t="shared" ref="K69:K129" ca="1" si="9">G69/J69</f>
        <v>#NAME?</v>
      </c>
      <c r="L69" s="17" t="e">
        <f t="shared" ref="L69:L129" ca="1" si="10">K69*D69</f>
        <v>#NAME?</v>
      </c>
      <c r="M69" s="18"/>
      <c r="N69" s="17"/>
    </row>
    <row r="70" spans="2:15" s="5" customFormat="1" x14ac:dyDescent="0.15">
      <c r="B70" s="6">
        <v>36345</v>
      </c>
      <c r="C70" s="5" t="s">
        <v>98</v>
      </c>
      <c r="D70">
        <f>5/1.609</f>
        <v>3.1075201988812928</v>
      </c>
      <c r="E70" s="5">
        <v>19</v>
      </c>
      <c r="F70" s="5">
        <v>14</v>
      </c>
      <c r="G70" s="2">
        <f t="shared" si="7"/>
        <v>4.2981157407407404E-3</v>
      </c>
      <c r="H70" s="13">
        <f>(PBS!$D$17+(50*PBS!$D$17/230)*LOG10(D70))/G70/86400</f>
        <v>0.97481403290972746</v>
      </c>
      <c r="I70" s="14" t="e">
        <f ca="1">_xlfnodf.SKEWP($I$2,B70,"Y")</f>
        <v>#NAME?</v>
      </c>
      <c r="J70" s="15" t="e">
        <f t="shared" ca="1" si="8"/>
        <v>#NAME?</v>
      </c>
      <c r="K70" s="16" t="e">
        <f t="shared" ca="1" si="9"/>
        <v>#NAME?</v>
      </c>
      <c r="L70" s="17" t="e">
        <f t="shared" ca="1" si="10"/>
        <v>#NAME?</v>
      </c>
      <c r="M70" s="18"/>
      <c r="N70" s="17"/>
      <c r="O70" s="5" t="s">
        <v>99</v>
      </c>
    </row>
    <row r="71" spans="2:15" x14ac:dyDescent="0.15">
      <c r="B71" s="1">
        <v>36348</v>
      </c>
      <c r="C71" t="s">
        <v>60</v>
      </c>
      <c r="D71">
        <v>1</v>
      </c>
      <c r="E71">
        <v>5</v>
      </c>
      <c r="F71">
        <v>19</v>
      </c>
      <c r="G71" s="2">
        <f t="shared" si="7"/>
        <v>3.6921296296296298E-3</v>
      </c>
      <c r="H71" s="13">
        <f>(PBS!$D$17+(50*PBS!$D$17/230)*LOG10(D71))/G71/86400</f>
        <v>1.0250783699059562</v>
      </c>
      <c r="I71" s="14" t="e">
        <f ca="1">_xlfnodf.SKEWP($I$2,B71,"Y")</f>
        <v>#NAME?</v>
      </c>
      <c r="J71" s="15" t="e">
        <f t="shared" ca="1" si="8"/>
        <v>#NAME?</v>
      </c>
      <c r="K71" s="16" t="e">
        <f t="shared" ca="1" si="9"/>
        <v>#NAME?</v>
      </c>
      <c r="L71" s="17" t="e">
        <f t="shared" ca="1" si="10"/>
        <v>#NAME?</v>
      </c>
      <c r="M71" s="18"/>
      <c r="N71" s="17"/>
    </row>
    <row r="72" spans="2:15" x14ac:dyDescent="0.15">
      <c r="B72" s="1">
        <v>36348</v>
      </c>
      <c r="C72" t="s">
        <v>65</v>
      </c>
      <c r="D72">
        <v>0.125</v>
      </c>
      <c r="E72">
        <v>0</v>
      </c>
      <c r="F72">
        <v>27.3</v>
      </c>
      <c r="G72" s="2">
        <f t="shared" si="7"/>
        <v>2.5277777777777777E-3</v>
      </c>
      <c r="H72" s="13">
        <f>(PBS!$D$17+(50*PBS!$D$17/230)*LOG10(D72))/G72/86400</f>
        <v>1.203306233330979</v>
      </c>
      <c r="I72" s="14"/>
      <c r="J72" s="15">
        <f t="shared" si="8"/>
        <v>1</v>
      </c>
      <c r="K72" s="16">
        <f t="shared" si="9"/>
        <v>2.5277777777777777E-3</v>
      </c>
      <c r="L72" s="17">
        <f t="shared" si="10"/>
        <v>3.1597222222222221E-4</v>
      </c>
      <c r="M72" s="18"/>
      <c r="N72" s="17"/>
    </row>
    <row r="73" spans="2:15" x14ac:dyDescent="0.15">
      <c r="B73" s="1">
        <v>36348</v>
      </c>
      <c r="C73" t="s">
        <v>100</v>
      </c>
      <c r="D73">
        <v>6.25E-2</v>
      </c>
      <c r="E73">
        <v>0</v>
      </c>
      <c r="F73">
        <v>13.3</v>
      </c>
      <c r="G73" s="2">
        <f t="shared" si="7"/>
        <v>2.4629629629629632E-3</v>
      </c>
      <c r="H73" s="13">
        <f>(PBS!$D$17+(50*PBS!$D$17/230)*LOG10(D73))/G73/86400</f>
        <v>1.1344115373401362</v>
      </c>
      <c r="I73" s="14"/>
      <c r="J73" s="15">
        <f t="shared" si="8"/>
        <v>1</v>
      </c>
      <c r="K73" s="16">
        <f t="shared" si="9"/>
        <v>2.4629629629629632E-3</v>
      </c>
      <c r="L73" s="17">
        <f t="shared" si="10"/>
        <v>1.539351851851852E-4</v>
      </c>
      <c r="M73" s="18"/>
      <c r="N73" s="17"/>
    </row>
    <row r="74" spans="2:15" x14ac:dyDescent="0.15">
      <c r="B74" s="1">
        <v>36351</v>
      </c>
      <c r="C74" t="s">
        <v>77</v>
      </c>
      <c r="D74">
        <v>13.1122</v>
      </c>
      <c r="E74">
        <v>89</v>
      </c>
      <c r="F74">
        <v>1</v>
      </c>
      <c r="G74" s="2">
        <f t="shared" si="7"/>
        <v>4.7144742781249247E-3</v>
      </c>
      <c r="H74" s="13">
        <f>(PBS!$D$17+(50*PBS!$D$17/230)*LOG10(D74))/G74/86400</f>
        <v>0.99784346329194773</v>
      </c>
      <c r="I74" s="14" t="e">
        <f ca="1">_xlfnodf.SKEWP($I$2,B74,"Y")</f>
        <v>#NAME?</v>
      </c>
      <c r="J74" s="15" t="e">
        <f t="shared" ca="1" si="8"/>
        <v>#NAME?</v>
      </c>
      <c r="K74" s="16" t="e">
        <f t="shared" ca="1" si="9"/>
        <v>#NAME?</v>
      </c>
      <c r="L74" s="17" t="e">
        <f t="shared" ca="1" si="10"/>
        <v>#NAME?</v>
      </c>
      <c r="M74" s="18">
        <v>0.65590000000000004</v>
      </c>
      <c r="N74" s="17">
        <v>6.1817129629629632E-2</v>
      </c>
      <c r="O74" s="26" t="s">
        <v>101</v>
      </c>
    </row>
    <row r="75" spans="2:15" x14ac:dyDescent="0.15">
      <c r="B75" s="1">
        <v>36362</v>
      </c>
      <c r="C75" t="s">
        <v>71</v>
      </c>
      <c r="D75">
        <v>1</v>
      </c>
      <c r="E75">
        <v>4</v>
      </c>
      <c r="F75">
        <v>53</v>
      </c>
      <c r="G75" s="2">
        <f t="shared" si="7"/>
        <v>3.3912037037037036E-3</v>
      </c>
      <c r="H75" s="13">
        <f>(PBS!$D$17+(50*PBS!$D$17/230)*LOG10(D75))/G75/86400</f>
        <v>1.1160409556313995</v>
      </c>
      <c r="I75" s="14" t="e">
        <f ca="1">_xlfnodf.SKEWP($I$2,B75,"Y")</f>
        <v>#NAME?</v>
      </c>
      <c r="J75" s="15" t="e">
        <f t="shared" ca="1" si="8"/>
        <v>#NAME?</v>
      </c>
      <c r="K75" s="16" t="e">
        <f t="shared" ca="1" si="9"/>
        <v>#NAME?</v>
      </c>
      <c r="L75" s="17" t="e">
        <f t="shared" ca="1" si="10"/>
        <v>#NAME?</v>
      </c>
      <c r="M75" s="18"/>
      <c r="N75" s="17"/>
      <c r="O75" t="s">
        <v>102</v>
      </c>
    </row>
    <row r="76" spans="2:15" x14ac:dyDescent="0.15">
      <c r="B76" s="1">
        <v>36404</v>
      </c>
      <c r="C76" t="s">
        <v>80</v>
      </c>
      <c r="D76">
        <v>11.5</v>
      </c>
      <c r="H76" s="19"/>
      <c r="I76" s="14" t="e">
        <f ca="1">_xlfnodf.SKEWP($I$2,B76,"Y")</f>
        <v>#NAME?</v>
      </c>
      <c r="J76" s="15"/>
      <c r="K76" s="16"/>
      <c r="L76" s="17"/>
      <c r="M76" s="18"/>
      <c r="N76" s="17"/>
      <c r="O76" t="s">
        <v>103</v>
      </c>
    </row>
    <row r="77" spans="2:15" x14ac:dyDescent="0.15">
      <c r="D77">
        <f>17*60+56</f>
        <v>1076</v>
      </c>
      <c r="E77">
        <f>D77*D69/6</f>
        <v>1114.5639113320904</v>
      </c>
      <c r="H77" s="19"/>
      <c r="I77" s="14"/>
      <c r="J77" s="15"/>
      <c r="K77" s="16"/>
      <c r="L77" s="17"/>
      <c r="M77" s="18"/>
      <c r="N77" s="17"/>
    </row>
    <row r="78" spans="2:15" x14ac:dyDescent="0.15">
      <c r="B78" s="1">
        <v>36586</v>
      </c>
      <c r="C78" t="s">
        <v>104</v>
      </c>
      <c r="D78">
        <v>4</v>
      </c>
      <c r="E78">
        <v>28</v>
      </c>
      <c r="F78">
        <v>0</v>
      </c>
      <c r="G78" s="2">
        <f>(E78+F78/60)/D78/60/24</f>
        <v>4.8611111111111112E-3</v>
      </c>
      <c r="H78" s="13">
        <f>(PBS!$D$17+(50*PBS!$D$17/230)*LOG10(D78))/G78/86400</f>
        <v>0.88047288673097501</v>
      </c>
      <c r="I78" s="14" t="e">
        <f ca="1">_xlfnodf.SKEWP($I$2,B78,"Y")</f>
        <v>#NAME?</v>
      </c>
      <c r="J78" s="15" t="e">
        <f t="shared" ca="1" si="8"/>
        <v>#NAME?</v>
      </c>
      <c r="K78" s="16" t="e">
        <f t="shared" ca="1" si="9"/>
        <v>#NAME?</v>
      </c>
      <c r="L78" s="17" t="e">
        <f t="shared" ca="1" si="10"/>
        <v>#NAME?</v>
      </c>
      <c r="M78" s="18"/>
      <c r="N78" s="17"/>
      <c r="O78" t="s">
        <v>105</v>
      </c>
    </row>
    <row r="79" spans="2:15" x14ac:dyDescent="0.15">
      <c r="B79" s="1">
        <v>36617</v>
      </c>
      <c r="C79" t="s">
        <v>106</v>
      </c>
      <c r="D79">
        <v>2</v>
      </c>
      <c r="E79" t="s">
        <v>87</v>
      </c>
      <c r="F79" t="s">
        <v>87</v>
      </c>
      <c r="H79" s="19"/>
      <c r="I79" s="14" t="e">
        <f ca="1">_xlfnodf.SKEWP($I$2,B79,"Y")</f>
        <v>#NAME?</v>
      </c>
      <c r="J79" s="15"/>
      <c r="K79" s="16"/>
      <c r="L79" s="17"/>
      <c r="M79" s="18"/>
      <c r="N79" s="17"/>
    </row>
    <row r="80" spans="2:15" x14ac:dyDescent="0.15">
      <c r="B80" s="1">
        <v>36708</v>
      </c>
      <c r="C80" t="s">
        <v>77</v>
      </c>
      <c r="D80">
        <v>13.1122</v>
      </c>
      <c r="E80" t="s">
        <v>87</v>
      </c>
      <c r="F80" t="s">
        <v>87</v>
      </c>
      <c r="H80" s="19"/>
      <c r="I80" s="14" t="e">
        <f ca="1">_xlfnodf.SKEWP($I$2,B80,"Y")</f>
        <v>#NAME?</v>
      </c>
      <c r="J80" s="15"/>
      <c r="K80" s="16"/>
      <c r="L80" s="17"/>
      <c r="M80" s="18"/>
      <c r="N80" s="17"/>
    </row>
    <row r="81" spans="2:15" x14ac:dyDescent="0.15">
      <c r="B81" s="1">
        <v>36730</v>
      </c>
      <c r="C81" t="s">
        <v>75</v>
      </c>
      <c r="D81">
        <v>16.2</v>
      </c>
      <c r="E81">
        <v>111</v>
      </c>
      <c r="F81">
        <v>30</v>
      </c>
      <c r="G81" s="2">
        <f>(E81+F81/60)/D81/60/24</f>
        <v>4.7796639231824419E-3</v>
      </c>
      <c r="H81" s="13">
        <f>(PBS!$D$17+(50*PBS!$D$17/230)*LOG10(D81))/G81/86400</f>
        <v>1.0000430505634019</v>
      </c>
      <c r="I81" s="14" t="e">
        <f ca="1">_xlfnodf.SKEWP($I$2,B81,"Y")</f>
        <v>#NAME?</v>
      </c>
      <c r="J81" s="15" t="e">
        <f t="shared" ca="1" si="8"/>
        <v>#NAME?</v>
      </c>
      <c r="K81" s="16" t="e">
        <f t="shared" ca="1" si="9"/>
        <v>#NAME?</v>
      </c>
      <c r="L81" s="17" t="e">
        <f t="shared" ca="1" si="10"/>
        <v>#NAME?</v>
      </c>
      <c r="M81" s="18"/>
      <c r="N81" s="17"/>
      <c r="O81" t="s">
        <v>107</v>
      </c>
    </row>
    <row r="82" spans="2:15" x14ac:dyDescent="0.15">
      <c r="B82" s="1">
        <v>36736</v>
      </c>
      <c r="C82" t="s">
        <v>108</v>
      </c>
      <c r="D82">
        <f>10/1.609</f>
        <v>6.2150403977625857</v>
      </c>
      <c r="E82">
        <v>47</v>
      </c>
      <c r="F82">
        <v>31</v>
      </c>
      <c r="G82" s="2">
        <f>(E82+F82/60)/D82/60/24</f>
        <v>5.3093275462962955E-3</v>
      </c>
      <c r="H82" s="13">
        <f>(PBS!$D$17+(50*PBS!$D$17/230)*LOG10(D82))/G82/86400</f>
        <v>0.83580089111072442</v>
      </c>
      <c r="I82" s="14" t="e">
        <f ca="1">_xlfnodf.SKEWP($I$2,B82,"Y")</f>
        <v>#NAME?</v>
      </c>
      <c r="J82" s="15" t="e">
        <f t="shared" ca="1" si="8"/>
        <v>#NAME?</v>
      </c>
      <c r="K82" s="16" t="e">
        <f t="shared" ca="1" si="9"/>
        <v>#NAME?</v>
      </c>
      <c r="L82" s="17" t="e">
        <f t="shared" ca="1" si="10"/>
        <v>#NAME?</v>
      </c>
      <c r="M82" s="18"/>
      <c r="N82" s="17"/>
    </row>
    <row r="83" spans="2:15" x14ac:dyDescent="0.15">
      <c r="H83" s="19"/>
      <c r="I83" s="14"/>
      <c r="J83" s="15"/>
      <c r="K83" s="16"/>
      <c r="L83" s="17"/>
      <c r="M83" s="18"/>
      <c r="N83" s="17"/>
    </row>
    <row r="84" spans="2:15" x14ac:dyDescent="0.15">
      <c r="B84" s="1">
        <v>36951</v>
      </c>
      <c r="C84" t="s">
        <v>104</v>
      </c>
      <c r="D84">
        <v>4</v>
      </c>
      <c r="E84">
        <v>26</v>
      </c>
      <c r="F84">
        <v>30</v>
      </c>
      <c r="G84" s="2">
        <f>(E84+F84/60)/D84/60/24</f>
        <v>4.6006944444444446E-3</v>
      </c>
      <c r="H84" s="13">
        <f>(PBS!$D$17+(50*PBS!$D$17/230)*LOG10(D84))/G84/86400</f>
        <v>0.93031097465914336</v>
      </c>
      <c r="I84" s="14" t="e">
        <f ca="1">_xlfnodf.SKEWP($I$2,B84,"Y")</f>
        <v>#NAME?</v>
      </c>
      <c r="J84" s="15" t="e">
        <f t="shared" ca="1" si="8"/>
        <v>#NAME?</v>
      </c>
      <c r="K84" s="16" t="e">
        <f t="shared" ca="1" si="9"/>
        <v>#NAME?</v>
      </c>
      <c r="L84" s="17" t="e">
        <f t="shared" ca="1" si="10"/>
        <v>#NAME?</v>
      </c>
      <c r="M84" s="18"/>
      <c r="N84" s="17"/>
      <c r="O84" t="s">
        <v>109</v>
      </c>
    </row>
    <row r="85" spans="2:15" x14ac:dyDescent="0.15">
      <c r="B85" s="1">
        <v>37043</v>
      </c>
      <c r="C85" t="s">
        <v>110</v>
      </c>
      <c r="D85">
        <v>13.1122</v>
      </c>
      <c r="E85">
        <v>140</v>
      </c>
      <c r="F85">
        <v>0</v>
      </c>
      <c r="G85" s="2">
        <f>(E85+F85/60)/D85/60/24</f>
        <v>7.4146384452816625E-3</v>
      </c>
      <c r="H85" s="13">
        <f>(PBS!$D$17+(50*PBS!$D$17/230)*LOG10(D85))/G85/86400</f>
        <v>0.6344621354097969</v>
      </c>
      <c r="I85" s="14" t="e">
        <f ca="1">_xlfnodf.SKEWP($I$2,B85,"Y")</f>
        <v>#NAME?</v>
      </c>
      <c r="J85" s="15" t="e">
        <f t="shared" ca="1" si="8"/>
        <v>#NAME?</v>
      </c>
      <c r="K85" s="16" t="e">
        <f t="shared" ca="1" si="9"/>
        <v>#NAME?</v>
      </c>
      <c r="L85" s="17" t="e">
        <f t="shared" ca="1" si="10"/>
        <v>#NAME?</v>
      </c>
      <c r="M85" s="18"/>
      <c r="N85" s="17"/>
    </row>
    <row r="86" spans="2:15" x14ac:dyDescent="0.15">
      <c r="H86" s="19"/>
      <c r="I86" s="14"/>
      <c r="J86" s="15"/>
      <c r="K86" s="16"/>
      <c r="L86" s="17">
        <f t="shared" si="10"/>
        <v>0</v>
      </c>
      <c r="M86" s="18"/>
      <c r="N86" s="17"/>
    </row>
    <row r="87" spans="2:15" x14ac:dyDescent="0.15">
      <c r="B87" s="1">
        <v>37828</v>
      </c>
      <c r="C87" t="s">
        <v>111</v>
      </c>
      <c r="D87">
        <v>5</v>
      </c>
      <c r="E87">
        <v>32</v>
      </c>
      <c r="F87">
        <v>37</v>
      </c>
      <c r="G87" s="2">
        <f>(E87+F87/60)/D87/60/24</f>
        <v>4.5300925925925925E-3</v>
      </c>
      <c r="H87" s="13">
        <f>(PBS!$D$17+(50*PBS!$D$17/230)*LOG10(D87))/G87/86400</f>
        <v>0.96241096144157989</v>
      </c>
      <c r="I87" s="14" t="e">
        <f ca="1">_xlfnodf.SKEWP($I$2,B87,"Y")</f>
        <v>#NAME?</v>
      </c>
      <c r="J87" s="15" t="e">
        <f t="shared" ca="1" si="8"/>
        <v>#NAME?</v>
      </c>
      <c r="K87" s="16" t="e">
        <f t="shared" ca="1" si="9"/>
        <v>#NAME?</v>
      </c>
      <c r="L87" s="17" t="e">
        <f t="shared" ca="1" si="10"/>
        <v>#NAME?</v>
      </c>
      <c r="M87" s="18"/>
      <c r="N87" s="17"/>
      <c r="O87" t="s">
        <v>112</v>
      </c>
    </row>
    <row r="88" spans="2:15" x14ac:dyDescent="0.15">
      <c r="H88" s="19"/>
      <c r="I88" s="14"/>
      <c r="J88" s="15"/>
      <c r="K88" s="16"/>
      <c r="L88" s="17">
        <f t="shared" si="10"/>
        <v>0</v>
      </c>
      <c r="M88" s="18"/>
      <c r="N88" s="17"/>
    </row>
    <row r="89" spans="2:15" x14ac:dyDescent="0.15">
      <c r="B89" s="1">
        <v>38074</v>
      </c>
      <c r="C89" t="s">
        <v>113</v>
      </c>
      <c r="D89">
        <f>10/1.609</f>
        <v>6.2150403977625857</v>
      </c>
      <c r="E89">
        <v>40</v>
      </c>
      <c r="F89">
        <v>24</v>
      </c>
      <c r="G89" s="2">
        <f t="shared" ref="G89:G94" si="11">(E89+F89/60)/D89/60/24</f>
        <v>4.5141388888888887E-3</v>
      </c>
      <c r="H89" s="13">
        <f>(PBS!$D$17+(50*PBS!$D$17/230)*LOG10(D89))/G89/86400</f>
        <v>0.98303149362899134</v>
      </c>
      <c r="I89" s="14" t="e">
        <f t="shared" ref="I89:I94" ca="1" si="12">_xlfnodf.SKEWP($I$2,B89,"Y")</f>
        <v>#NAME?</v>
      </c>
      <c r="J89" s="15" t="e">
        <f t="shared" ca="1" si="8"/>
        <v>#NAME?</v>
      </c>
      <c r="K89" s="16" t="e">
        <f t="shared" ca="1" si="9"/>
        <v>#NAME?</v>
      </c>
      <c r="L89" s="17" t="e">
        <f t="shared" ca="1" si="10"/>
        <v>#NAME?</v>
      </c>
      <c r="M89" s="18">
        <v>0.66249999999999998</v>
      </c>
      <c r="N89" s="17">
        <v>2.7997685185185184E-2</v>
      </c>
    </row>
    <row r="90" spans="2:15" x14ac:dyDescent="0.15">
      <c r="B90" s="1">
        <v>38088</v>
      </c>
      <c r="C90" t="s">
        <v>114</v>
      </c>
      <c r="D90">
        <v>3</v>
      </c>
      <c r="E90">
        <v>17</v>
      </c>
      <c r="F90">
        <v>56</v>
      </c>
      <c r="G90" s="2">
        <f t="shared" si="11"/>
        <v>4.1512345679012349E-3</v>
      </c>
      <c r="H90" s="13">
        <f>(PBS!$D$17+(50*PBS!$D$17/230)*LOG10(D90))/G90/86400</f>
        <v>1.0062744364958762</v>
      </c>
      <c r="I90" s="14" t="e">
        <f t="shared" ca="1" si="12"/>
        <v>#NAME?</v>
      </c>
      <c r="J90" s="15" t="e">
        <f t="shared" ca="1" si="8"/>
        <v>#NAME?</v>
      </c>
      <c r="K90" s="16" t="e">
        <f t="shared" ca="1" si="9"/>
        <v>#NAME?</v>
      </c>
      <c r="L90" s="17" t="e">
        <f t="shared" ca="1" si="10"/>
        <v>#NAME?</v>
      </c>
      <c r="M90" s="18">
        <v>0.70399999999999996</v>
      </c>
      <c r="N90" s="17">
        <v>1.2800925925925926E-2</v>
      </c>
    </row>
    <row r="91" spans="2:15" x14ac:dyDescent="0.15">
      <c r="B91" s="1">
        <v>38108</v>
      </c>
      <c r="C91" t="s">
        <v>115</v>
      </c>
      <c r="D91">
        <v>4</v>
      </c>
      <c r="E91">
        <v>30</v>
      </c>
      <c r="F91">
        <v>6</v>
      </c>
      <c r="G91" s="2">
        <f t="shared" si="11"/>
        <v>5.2256944444444451E-3</v>
      </c>
      <c r="H91" s="13">
        <f>(PBS!$D$17+(50*PBS!$D$17/230)*LOG10(D91))/G91/86400</f>
        <v>0.81904454579625574</v>
      </c>
      <c r="I91" s="14" t="e">
        <f t="shared" ca="1" si="12"/>
        <v>#NAME?</v>
      </c>
      <c r="J91" s="15" t="e">
        <f t="shared" ca="1" si="8"/>
        <v>#NAME?</v>
      </c>
      <c r="K91" s="16" t="e">
        <f t="shared" ca="1" si="9"/>
        <v>#NAME?</v>
      </c>
      <c r="L91" s="17" t="e">
        <f t="shared" ca="1" si="10"/>
        <v>#NAME?</v>
      </c>
      <c r="M91" s="18"/>
      <c r="N91" s="17"/>
    </row>
    <row r="92" spans="2:15" x14ac:dyDescent="0.15">
      <c r="B92" s="1">
        <v>38235</v>
      </c>
      <c r="C92" t="s">
        <v>116</v>
      </c>
      <c r="D92">
        <f>10/1.609</f>
        <v>6.2150403977625857</v>
      </c>
      <c r="E92">
        <v>40</v>
      </c>
      <c r="F92">
        <v>16</v>
      </c>
      <c r="G92" s="2">
        <f t="shared" si="11"/>
        <v>4.4992407407407403E-3</v>
      </c>
      <c r="H92" s="13">
        <f>(PBS!$D$17+(50*PBS!$D$17/230)*LOG10(D92))/G92/86400</f>
        <v>0.98628656479994825</v>
      </c>
      <c r="I92" s="14" t="e">
        <f t="shared" ca="1" si="12"/>
        <v>#NAME?</v>
      </c>
      <c r="J92" s="15" t="e">
        <f t="shared" ca="1" si="8"/>
        <v>#NAME?</v>
      </c>
      <c r="K92" s="16" t="e">
        <f t="shared" ca="1" si="9"/>
        <v>#NAME?</v>
      </c>
      <c r="L92" s="17" t="e">
        <f t="shared" ca="1" si="10"/>
        <v>#NAME?</v>
      </c>
      <c r="M92" s="18">
        <v>0.66559999999999997</v>
      </c>
      <c r="N92" s="17">
        <v>2.7870370370370368E-2</v>
      </c>
      <c r="O92" t="s">
        <v>117</v>
      </c>
    </row>
    <row r="93" spans="2:15" x14ac:dyDescent="0.15">
      <c r="B93" s="1">
        <v>38242</v>
      </c>
      <c r="C93" t="s">
        <v>118</v>
      </c>
      <c r="D93">
        <v>13.1122</v>
      </c>
      <c r="E93">
        <v>92</v>
      </c>
      <c r="F93">
        <v>57</v>
      </c>
      <c r="G93" s="2">
        <f t="shared" si="11"/>
        <v>4.9227903106352187E-3</v>
      </c>
      <c r="H93" s="13">
        <f>(PBS!$D$17+(50*PBS!$D$17/230)*LOG10(D93))/G93/86400</f>
        <v>0.95561806301636953</v>
      </c>
      <c r="I93" s="14" t="e">
        <f t="shared" ca="1" si="12"/>
        <v>#NAME?</v>
      </c>
      <c r="J93" s="15" t="e">
        <f t="shared" ca="1" si="8"/>
        <v>#NAME?</v>
      </c>
      <c r="K93" s="16" t="e">
        <f t="shared" ca="1" si="9"/>
        <v>#NAME?</v>
      </c>
      <c r="L93" s="17" t="e">
        <f t="shared" ca="1" si="10"/>
        <v>#NAME?</v>
      </c>
      <c r="M93" s="18">
        <v>0.62880000000000003</v>
      </c>
      <c r="N93" s="17">
        <v>6.4479166666666657E-2</v>
      </c>
      <c r="O93" t="s">
        <v>119</v>
      </c>
    </row>
    <row r="94" spans="2:15" x14ac:dyDescent="0.15">
      <c r="B94" s="1">
        <v>38333</v>
      </c>
      <c r="C94" t="s">
        <v>120</v>
      </c>
      <c r="D94">
        <v>12.6</v>
      </c>
      <c r="E94">
        <v>90</v>
      </c>
      <c r="F94">
        <v>0</v>
      </c>
      <c r="G94" s="2">
        <f t="shared" si="11"/>
        <v>4.9603174603174609E-3</v>
      </c>
      <c r="H94" s="13">
        <f>(PBS!$D$17+(50*PBS!$D$17/230)*LOG10(D94))/G94/86400</f>
        <v>0.94551798389667396</v>
      </c>
      <c r="I94" s="14" t="e">
        <f t="shared" ca="1" si="12"/>
        <v>#NAME?</v>
      </c>
      <c r="J94" s="15" t="e">
        <f t="shared" ca="1" si="8"/>
        <v>#NAME?</v>
      </c>
      <c r="K94" s="16" t="e">
        <f t="shared" ca="1" si="9"/>
        <v>#NAME?</v>
      </c>
      <c r="L94" s="17" t="e">
        <f t="shared" ca="1" si="10"/>
        <v>#NAME?</v>
      </c>
      <c r="M94" s="18"/>
      <c r="N94" s="17"/>
      <c r="O94" t="s">
        <v>121</v>
      </c>
    </row>
    <row r="95" spans="2:15" x14ac:dyDescent="0.15">
      <c r="H95" s="19"/>
      <c r="I95" s="14"/>
      <c r="J95" s="15"/>
      <c r="K95" s="16"/>
      <c r="L95" s="17"/>
      <c r="M95" s="18"/>
      <c r="N95" s="17"/>
    </row>
    <row r="96" spans="2:15" x14ac:dyDescent="0.15">
      <c r="B96" s="1">
        <v>38375</v>
      </c>
      <c r="C96" t="s">
        <v>122</v>
      </c>
      <c r="D96">
        <f>10/1.609</f>
        <v>6.2150403977625857</v>
      </c>
      <c r="E96">
        <v>38</v>
      </c>
      <c r="F96">
        <v>45</v>
      </c>
      <c r="G96" s="2">
        <f t="shared" ref="G96:G102" si="13">(E96+F96/60)/D96/60/24</f>
        <v>4.3297743055555555E-3</v>
      </c>
      <c r="H96" s="13">
        <f>(PBS!$D$17+(50*PBS!$D$17/230)*LOG10(D96))/G96/86400</f>
        <v>1.0248896088415804</v>
      </c>
      <c r="I96" s="14" t="e">
        <f t="shared" ref="I96:I102" ca="1" si="14">_xlfnodf.SKEWP($I$2,B96,"Y")</f>
        <v>#NAME?</v>
      </c>
      <c r="J96" s="15" t="e">
        <f t="shared" ca="1" si="8"/>
        <v>#NAME?</v>
      </c>
      <c r="K96" s="16" t="e">
        <f t="shared" ca="1" si="9"/>
        <v>#NAME?</v>
      </c>
      <c r="L96" s="17" t="e">
        <f t="shared" ca="1" si="10"/>
        <v>#NAME?</v>
      </c>
      <c r="M96" s="18">
        <v>0.69159999999999999</v>
      </c>
      <c r="N96" s="17">
        <v>2.6828703703703702E-2</v>
      </c>
    </row>
    <row r="97" spans="2:15" x14ac:dyDescent="0.15">
      <c r="B97" s="1">
        <v>38382</v>
      </c>
      <c r="C97" t="s">
        <v>123</v>
      </c>
      <c r="D97">
        <v>6</v>
      </c>
      <c r="E97">
        <v>37</v>
      </c>
      <c r="F97">
        <v>35</v>
      </c>
      <c r="G97" s="2">
        <f t="shared" si="13"/>
        <v>4.3499228395061729E-3</v>
      </c>
      <c r="H97" s="13">
        <f>(PBS!$D$17+(50*PBS!$D$17/230)*LOG10(D97))/G97/86400</f>
        <v>1.0172498557073852</v>
      </c>
      <c r="I97" s="14" t="e">
        <f t="shared" ca="1" si="14"/>
        <v>#NAME?</v>
      </c>
      <c r="J97" s="15" t="e">
        <f t="shared" ca="1" si="8"/>
        <v>#NAME?</v>
      </c>
      <c r="K97" s="16" t="e">
        <f t="shared" ca="1" si="9"/>
        <v>#NAME?</v>
      </c>
      <c r="L97" s="17" t="e">
        <f t="shared" ca="1" si="10"/>
        <v>#NAME?</v>
      </c>
      <c r="M97" s="18"/>
      <c r="N97" s="17"/>
    </row>
    <row r="98" spans="2:15" x14ac:dyDescent="0.15">
      <c r="B98" s="1">
        <v>38561</v>
      </c>
      <c r="C98" t="s">
        <v>124</v>
      </c>
      <c r="D98">
        <f>10/1.609</f>
        <v>6.2150403977625857</v>
      </c>
      <c r="E98">
        <v>41</v>
      </c>
      <c r="F98">
        <v>8</v>
      </c>
      <c r="G98" s="2">
        <f t="shared" si="13"/>
        <v>4.5960787037037038E-3</v>
      </c>
      <c r="H98" s="13">
        <f>(PBS!$D$17+(50*PBS!$D$17/230)*LOG10(D98))/G98/86400</f>
        <v>0.96550581059832841</v>
      </c>
      <c r="I98" s="14" t="e">
        <f t="shared" ca="1" si="14"/>
        <v>#NAME?</v>
      </c>
      <c r="J98" s="15" t="e">
        <f t="shared" ca="1" si="8"/>
        <v>#NAME?</v>
      </c>
      <c r="K98" s="16" t="e">
        <f t="shared" ca="1" si="9"/>
        <v>#NAME?</v>
      </c>
      <c r="L98" s="17" t="e">
        <f t="shared" ca="1" si="10"/>
        <v>#NAME?</v>
      </c>
      <c r="M98" s="18"/>
      <c r="N98" s="17"/>
      <c r="O98" t="s">
        <v>125</v>
      </c>
    </row>
    <row r="99" spans="2:15" x14ac:dyDescent="0.15">
      <c r="B99" s="1">
        <v>38563</v>
      </c>
      <c r="C99" t="s">
        <v>126</v>
      </c>
      <c r="D99">
        <f>5/1.609</f>
        <v>3.1075201988812928</v>
      </c>
      <c r="E99">
        <v>19</v>
      </c>
      <c r="F99">
        <v>21</v>
      </c>
      <c r="G99" s="2">
        <f t="shared" si="13"/>
        <v>4.3241875000000008E-3</v>
      </c>
      <c r="H99" s="13">
        <f>(PBS!$D$17+(50*PBS!$D$17/230)*LOG10(D99))/G99/86400</f>
        <v>0.96893660118675728</v>
      </c>
      <c r="I99" s="14" t="e">
        <f t="shared" ca="1" si="14"/>
        <v>#NAME?</v>
      </c>
      <c r="J99" s="15" t="e">
        <f t="shared" ca="1" si="8"/>
        <v>#NAME?</v>
      </c>
      <c r="K99" s="16" t="e">
        <f t="shared" ca="1" si="9"/>
        <v>#NAME?</v>
      </c>
      <c r="L99" s="17" t="e">
        <f t="shared" ca="1" si="10"/>
        <v>#NAME?</v>
      </c>
      <c r="M99" s="18"/>
      <c r="N99" s="17"/>
      <c r="O99" t="s">
        <v>127</v>
      </c>
    </row>
    <row r="100" spans="2:15" x14ac:dyDescent="0.15">
      <c r="B100" s="1">
        <v>38569</v>
      </c>
      <c r="C100" t="s">
        <v>128</v>
      </c>
      <c r="D100">
        <v>4</v>
      </c>
      <c r="E100">
        <v>24</v>
      </c>
      <c r="F100">
        <v>30</v>
      </c>
      <c r="G100" s="2">
        <f t="shared" si="13"/>
        <v>4.2534722222222219E-3</v>
      </c>
      <c r="H100" s="13">
        <f>(PBS!$D$17+(50*PBS!$D$17/230)*LOG10(D100))/G100/86400</f>
        <v>1.0062547276925429</v>
      </c>
      <c r="I100" s="14" t="e">
        <f t="shared" ca="1" si="14"/>
        <v>#NAME?</v>
      </c>
      <c r="J100" s="15" t="e">
        <f t="shared" ca="1" si="8"/>
        <v>#NAME?</v>
      </c>
      <c r="K100" s="16" t="e">
        <f t="shared" ca="1" si="9"/>
        <v>#NAME?</v>
      </c>
      <c r="L100" s="17" t="e">
        <f t="shared" ca="1" si="10"/>
        <v>#NAME?</v>
      </c>
      <c r="M100" s="18"/>
      <c r="N100" s="17"/>
      <c r="O100" t="s">
        <v>127</v>
      </c>
    </row>
    <row r="101" spans="2:15" x14ac:dyDescent="0.15">
      <c r="B101" s="1">
        <v>38697</v>
      </c>
      <c r="C101" t="s">
        <v>120</v>
      </c>
      <c r="D101">
        <v>13.1122</v>
      </c>
      <c r="E101">
        <v>105</v>
      </c>
      <c r="F101">
        <v>0</v>
      </c>
      <c r="G101" s="2">
        <f t="shared" si="13"/>
        <v>5.5609788339612476E-3</v>
      </c>
      <c r="H101" s="13">
        <f>(PBS!$D$17+(50*PBS!$D$17/230)*LOG10(D101))/G101/86400</f>
        <v>0.84594951387972905</v>
      </c>
      <c r="I101" s="14" t="e">
        <f t="shared" ca="1" si="14"/>
        <v>#NAME?</v>
      </c>
      <c r="J101" s="15" t="e">
        <f t="shared" ca="1" si="8"/>
        <v>#NAME?</v>
      </c>
      <c r="K101" s="16" t="e">
        <f t="shared" ca="1" si="9"/>
        <v>#NAME?</v>
      </c>
      <c r="L101" s="17" t="e">
        <f t="shared" ca="1" si="10"/>
        <v>#NAME?</v>
      </c>
      <c r="M101" s="18"/>
      <c r="N101" s="17"/>
      <c r="O101" t="s">
        <v>129</v>
      </c>
    </row>
    <row r="102" spans="2:15" x14ac:dyDescent="0.15">
      <c r="B102" s="1">
        <v>38712</v>
      </c>
      <c r="C102" t="s">
        <v>130</v>
      </c>
      <c r="D102">
        <v>6</v>
      </c>
      <c r="E102">
        <v>42</v>
      </c>
      <c r="F102">
        <v>30</v>
      </c>
      <c r="G102" s="2">
        <f t="shared" si="13"/>
        <v>4.9189814814814816E-3</v>
      </c>
      <c r="H102" s="13">
        <f>(PBS!$D$17+(50*PBS!$D$17/230)*LOG10(D102))/G102/86400</f>
        <v>0.89956800965496231</v>
      </c>
      <c r="I102" s="14" t="e">
        <f t="shared" ca="1" si="14"/>
        <v>#NAME?</v>
      </c>
      <c r="J102" s="15" t="e">
        <f t="shared" ca="1" si="8"/>
        <v>#NAME?</v>
      </c>
      <c r="K102" s="16" t="e">
        <f t="shared" ca="1" si="9"/>
        <v>#NAME?</v>
      </c>
      <c r="L102" s="17" t="e">
        <f t="shared" ca="1" si="10"/>
        <v>#NAME?</v>
      </c>
      <c r="M102" s="18"/>
      <c r="N102" s="17"/>
      <c r="O102" t="s">
        <v>131</v>
      </c>
    </row>
    <row r="103" spans="2:15" x14ac:dyDescent="0.15">
      <c r="H103" s="19"/>
      <c r="I103" s="14"/>
      <c r="J103" s="15"/>
      <c r="K103" s="16"/>
      <c r="L103" s="17"/>
      <c r="M103" s="18"/>
      <c r="N103" s="17"/>
    </row>
    <row r="104" spans="2:15" x14ac:dyDescent="0.15">
      <c r="B104" s="1">
        <v>38990</v>
      </c>
      <c r="C104" t="s">
        <v>132</v>
      </c>
      <c r="D104">
        <v>6.4</v>
      </c>
      <c r="E104">
        <v>47</v>
      </c>
      <c r="F104">
        <v>50</v>
      </c>
      <c r="G104" s="2">
        <f>(E104+F104/60)/D104/60/24</f>
        <v>5.1902488425925927E-3</v>
      </c>
      <c r="H104" s="13">
        <f>(PBS!$D$17+(50*PBS!$D$17/230)*LOG10(D104))/G104/86400</f>
        <v>0.85699541353987874</v>
      </c>
      <c r="I104" s="14" t="e">
        <f ca="1">_xlfnodf.SKEWP($I$2,B104,"Y")</f>
        <v>#NAME?</v>
      </c>
      <c r="J104" s="15" t="e">
        <f t="shared" ca="1" si="8"/>
        <v>#NAME?</v>
      </c>
      <c r="K104" s="16" t="e">
        <f t="shared" ca="1" si="9"/>
        <v>#NAME?</v>
      </c>
      <c r="L104" s="17" t="e">
        <f t="shared" ca="1" si="10"/>
        <v>#NAME?</v>
      </c>
      <c r="M104" s="18"/>
      <c r="N104" s="17"/>
      <c r="O104" t="s">
        <v>133</v>
      </c>
    </row>
    <row r="105" spans="2:15" x14ac:dyDescent="0.15">
      <c r="H105" s="19"/>
      <c r="I105" s="14"/>
      <c r="J105" s="15"/>
      <c r="K105" s="16"/>
      <c r="L105" s="17"/>
      <c r="M105" s="18"/>
      <c r="N105" s="17"/>
    </row>
    <row r="106" spans="2:15" x14ac:dyDescent="0.15">
      <c r="B106" s="1">
        <v>39179</v>
      </c>
      <c r="C106" t="s">
        <v>134</v>
      </c>
      <c r="D106">
        <f>10/1.609</f>
        <v>6.2150403977625857</v>
      </c>
      <c r="E106">
        <v>43</v>
      </c>
      <c r="F106">
        <v>11</v>
      </c>
      <c r="G106" s="2">
        <f t="shared" ref="G106:G118" si="15">(E106+F106/60)/D106/60/24</f>
        <v>4.8251377314814806E-3</v>
      </c>
      <c r="H106" s="13" t="e">
        <f ca="1">(PBS!$D$17+(50*PBS!$D$17/230)*LOG10(D106))/G106/86400*J106</f>
        <v>#NAME?</v>
      </c>
      <c r="I106" s="14" t="e">
        <f t="shared" ref="I106:I116" ca="1" si="16">_xlfnodf.SKEWP($I$2,B106,"Y")</f>
        <v>#NAME?</v>
      </c>
      <c r="J106" s="15" t="e">
        <f t="shared" ca="1" si="8"/>
        <v>#NAME?</v>
      </c>
      <c r="K106" s="16" t="e">
        <f t="shared" ca="1" si="9"/>
        <v>#NAME?</v>
      </c>
      <c r="L106" s="17" t="e">
        <f t="shared" ca="1" si="10"/>
        <v>#NAME?</v>
      </c>
      <c r="M106" s="18"/>
      <c r="N106" s="17"/>
      <c r="O106" t="s">
        <v>135</v>
      </c>
    </row>
    <row r="107" spans="2:15" x14ac:dyDescent="0.15">
      <c r="B107" s="1">
        <v>39186</v>
      </c>
      <c r="C107" t="s">
        <v>136</v>
      </c>
      <c r="D107">
        <f>5/1.609</f>
        <v>3.1075201988812928</v>
      </c>
      <c r="E107">
        <v>19</v>
      </c>
      <c r="F107">
        <v>29</v>
      </c>
      <c r="G107" s="2">
        <f t="shared" si="15"/>
        <v>4.3539837962962959E-3</v>
      </c>
      <c r="H107" s="13" t="e">
        <f ca="1">(PBS!$D$17+(50*PBS!$D$17/230)*LOG10(D107))/G107/86400*J107</f>
        <v>#NAME?</v>
      </c>
      <c r="I107" s="14" t="e">
        <f t="shared" ca="1" si="16"/>
        <v>#NAME?</v>
      </c>
      <c r="J107" s="15" t="e">
        <f t="shared" ca="1" si="8"/>
        <v>#NAME?</v>
      </c>
      <c r="K107" s="16" t="e">
        <f t="shared" ca="1" si="9"/>
        <v>#NAME?</v>
      </c>
      <c r="L107" s="17" t="e">
        <f t="shared" ca="1" si="10"/>
        <v>#NAME?</v>
      </c>
      <c r="M107" s="18"/>
      <c r="N107" s="17"/>
      <c r="O107" t="s">
        <v>137</v>
      </c>
    </row>
    <row r="108" spans="2:15" ht="15" x14ac:dyDescent="0.15">
      <c r="B108" s="1">
        <v>39203</v>
      </c>
      <c r="C108" t="s">
        <v>138</v>
      </c>
      <c r="D108" s="21">
        <f>3000/1609</f>
        <v>1.8645121193287757</v>
      </c>
      <c r="E108">
        <v>10</v>
      </c>
      <c r="F108">
        <v>46</v>
      </c>
      <c r="G108" s="2">
        <f t="shared" si="15"/>
        <v>4.0100848765432092E-3</v>
      </c>
      <c r="H108" s="13" t="e">
        <f ca="1">(PBS!$D$17+(50*PBS!$D$17/230)*LOG10(D108))/G108/86400*J108</f>
        <v>#NAME?</v>
      </c>
      <c r="I108" s="14" t="e">
        <f t="shared" ca="1" si="16"/>
        <v>#NAME?</v>
      </c>
      <c r="J108" s="15" t="e">
        <f t="shared" ca="1" si="8"/>
        <v>#NAME?</v>
      </c>
      <c r="K108" s="16" t="e">
        <f t="shared" ca="1" si="9"/>
        <v>#NAME?</v>
      </c>
      <c r="L108" s="17" t="e">
        <f t="shared" ca="1" si="10"/>
        <v>#NAME?</v>
      </c>
      <c r="M108" s="18"/>
      <c r="N108" s="17"/>
      <c r="O108" t="s">
        <v>139</v>
      </c>
    </row>
    <row r="109" spans="2:15" ht="15" x14ac:dyDescent="0.15">
      <c r="B109" s="1">
        <v>39207</v>
      </c>
      <c r="C109" t="s">
        <v>140</v>
      </c>
      <c r="D109">
        <f>5/1.609</f>
        <v>3.1075201988812928</v>
      </c>
      <c r="E109">
        <v>18</v>
      </c>
      <c r="F109">
        <v>29</v>
      </c>
      <c r="G109" s="2">
        <f t="shared" si="15"/>
        <v>4.1305115740740746E-3</v>
      </c>
      <c r="H109" s="13" t="e">
        <f ca="1">(PBS!$D$17+(50*PBS!$D$17/230)*LOG10(D109))/G109/86400*J109</f>
        <v>#NAME?</v>
      </c>
      <c r="I109" s="14" t="e">
        <f t="shared" ca="1" si="16"/>
        <v>#NAME?</v>
      </c>
      <c r="J109" s="15" t="e">
        <f t="shared" ca="1" si="8"/>
        <v>#NAME?</v>
      </c>
      <c r="K109" s="16" t="e">
        <f t="shared" ca="1" si="9"/>
        <v>#NAME?</v>
      </c>
      <c r="L109" s="17" t="e">
        <f t="shared" ca="1" si="10"/>
        <v>#NAME?</v>
      </c>
      <c r="M109" s="18">
        <v>0.71779999999999999</v>
      </c>
      <c r="N109" s="17">
        <v>1.2592592592592593E-2</v>
      </c>
      <c r="O109" t="s">
        <v>141</v>
      </c>
    </row>
    <row r="110" spans="2:15" x14ac:dyDescent="0.15">
      <c r="B110" s="1">
        <v>39256</v>
      </c>
      <c r="C110" t="s">
        <v>69</v>
      </c>
      <c r="D110">
        <f>10/1.609</f>
        <v>6.2150403977625857</v>
      </c>
      <c r="E110">
        <v>38</v>
      </c>
      <c r="F110">
        <v>24</v>
      </c>
      <c r="G110" s="2">
        <f t="shared" si="15"/>
        <v>4.2906666666666657E-3</v>
      </c>
      <c r="H110" s="13" t="e">
        <f ca="1">(PBS!$D$17+(50*PBS!$D$17/230)*LOG10(D110))/G110/86400*J110</f>
        <v>#NAME?</v>
      </c>
      <c r="I110" s="14" t="e">
        <f t="shared" ca="1" si="16"/>
        <v>#NAME?</v>
      </c>
      <c r="J110" s="15" t="e">
        <f t="shared" ca="1" si="8"/>
        <v>#NAME?</v>
      </c>
      <c r="K110" s="16" t="e">
        <f t="shared" ca="1" si="9"/>
        <v>#NAME?</v>
      </c>
      <c r="L110" s="17" t="e">
        <f t="shared" ca="1" si="10"/>
        <v>#NAME?</v>
      </c>
      <c r="M110" s="18">
        <v>0.70230000000000004</v>
      </c>
      <c r="N110" s="17">
        <v>2.642361111111111E-2</v>
      </c>
    </row>
    <row r="111" spans="2:15" ht="15" x14ac:dyDescent="0.15">
      <c r="B111" s="1">
        <v>39261</v>
      </c>
      <c r="C111" t="s">
        <v>142</v>
      </c>
      <c r="D111">
        <v>1</v>
      </c>
      <c r="E111">
        <v>5</v>
      </c>
      <c r="F111">
        <v>9.8000000000000007</v>
      </c>
      <c r="G111" s="2">
        <f t="shared" si="15"/>
        <v>3.5856481481481481E-3</v>
      </c>
      <c r="H111" s="13" t="e">
        <f ca="1">(PBS!$D$17+(50*PBS!$D$17/230)*LOG10(D111))/G111/86400*J111</f>
        <v>#NAME?</v>
      </c>
      <c r="I111" s="14" t="e">
        <f t="shared" ca="1" si="16"/>
        <v>#NAME?</v>
      </c>
      <c r="J111" s="15" t="e">
        <f t="shared" ca="1" si="8"/>
        <v>#NAME?</v>
      </c>
      <c r="K111" s="16" t="e">
        <f t="shared" ca="1" si="9"/>
        <v>#NAME?</v>
      </c>
      <c r="L111" s="17" t="e">
        <f t="shared" ca="1" si="10"/>
        <v>#NAME?</v>
      </c>
      <c r="M111" s="18"/>
      <c r="N111" s="17"/>
      <c r="O111" t="s">
        <v>143</v>
      </c>
    </row>
    <row r="112" spans="2:15" x14ac:dyDescent="0.15">
      <c r="B112" s="1">
        <v>39263</v>
      </c>
      <c r="C112" t="s">
        <v>144</v>
      </c>
      <c r="D112">
        <v>7.5</v>
      </c>
      <c r="E112">
        <v>54</v>
      </c>
      <c r="F112">
        <v>17</v>
      </c>
      <c r="G112" s="2">
        <f t="shared" si="15"/>
        <v>5.0262345679012348E-3</v>
      </c>
      <c r="H112" s="13" t="e">
        <f ca="1">(PBS!$D$17+(50*PBS!$D$17/230)*LOG10(D112))/G112/86400*J112</f>
        <v>#NAME?</v>
      </c>
      <c r="I112" s="14" t="e">
        <f t="shared" ca="1" si="16"/>
        <v>#NAME?</v>
      </c>
      <c r="J112" s="15" t="e">
        <f t="shared" ca="1" si="8"/>
        <v>#NAME?</v>
      </c>
      <c r="K112" s="16" t="e">
        <f t="shared" ca="1" si="9"/>
        <v>#NAME?</v>
      </c>
      <c r="L112" s="17" t="e">
        <f t="shared" ca="1" si="10"/>
        <v>#NAME?</v>
      </c>
      <c r="M112" s="18"/>
      <c r="N112" s="17"/>
      <c r="O112" t="s">
        <v>145</v>
      </c>
    </row>
    <row r="113" spans="2:15" x14ac:dyDescent="0.15">
      <c r="B113" s="1">
        <v>39270</v>
      </c>
      <c r="C113" t="s">
        <v>146</v>
      </c>
      <c r="D113">
        <v>13.1122</v>
      </c>
      <c r="E113">
        <v>86</v>
      </c>
      <c r="F113">
        <v>35.5</v>
      </c>
      <c r="G113" s="2">
        <f t="shared" si="15"/>
        <v>4.5860421479120101E-3</v>
      </c>
      <c r="H113" s="13" t="e">
        <f ca="1">(PBS!$D$17+(50*PBS!$D$17/230)*LOG10(D113))/G113/86400*J113</f>
        <v>#NAME?</v>
      </c>
      <c r="I113" s="14" t="e">
        <f t="shared" ca="1" si="16"/>
        <v>#NAME?</v>
      </c>
      <c r="J113" s="15" t="e">
        <f t="shared" ca="1" si="8"/>
        <v>#NAME?</v>
      </c>
      <c r="K113" s="16" t="e">
        <f t="shared" ca="1" si="9"/>
        <v>#NAME?</v>
      </c>
      <c r="L113" s="17" t="e">
        <f t="shared" ca="1" si="10"/>
        <v>#NAME?</v>
      </c>
      <c r="M113" s="18">
        <v>0.67779999999999996</v>
      </c>
      <c r="N113" s="17">
        <v>5.9814814814814814E-2</v>
      </c>
    </row>
    <row r="114" spans="2:15" x14ac:dyDescent="0.15">
      <c r="B114" s="1">
        <v>39298</v>
      </c>
      <c r="C114" t="s">
        <v>147</v>
      </c>
      <c r="D114">
        <f>8/1.609</f>
        <v>4.9720323182100685</v>
      </c>
      <c r="E114">
        <v>30</v>
      </c>
      <c r="F114">
        <v>46.4</v>
      </c>
      <c r="G114" s="2">
        <f t="shared" si="15"/>
        <v>4.2981157407407404E-3</v>
      </c>
      <c r="H114" s="13" t="e">
        <f ca="1">(PBS!$D$17+(50*PBS!$D$17/230)*LOG10(D114))/G114/86400*J114</f>
        <v>#NAME?</v>
      </c>
      <c r="I114" s="14" t="e">
        <f t="shared" ca="1" si="16"/>
        <v>#NAME?</v>
      </c>
      <c r="J114" s="15" t="e">
        <f t="shared" ca="1" si="8"/>
        <v>#NAME?</v>
      </c>
      <c r="K114" s="16" t="e">
        <f t="shared" ca="1" si="9"/>
        <v>#NAME?</v>
      </c>
      <c r="L114" s="17" t="e">
        <f t="shared" ca="1" si="10"/>
        <v>#NAME?</v>
      </c>
      <c r="M114" s="18">
        <v>0.69769999999999999</v>
      </c>
      <c r="N114" s="17"/>
    </row>
    <row r="115" spans="2:15" x14ac:dyDescent="0.15">
      <c r="B115" s="1">
        <v>39340</v>
      </c>
      <c r="C115" t="s">
        <v>148</v>
      </c>
      <c r="D115">
        <v>8.6999999999999993</v>
      </c>
      <c r="E115">
        <v>74</v>
      </c>
      <c r="F115">
        <v>6.4</v>
      </c>
      <c r="G115" s="2">
        <f t="shared" si="15"/>
        <v>5.9152830991911461E-3</v>
      </c>
      <c r="H115" s="13" t="e">
        <f ca="1">(PBS!$D$17+(50*PBS!$D$17/230)*LOG10(D115))/G115/86400*J115</f>
        <v>#NAME?</v>
      </c>
      <c r="I115" s="14" t="e">
        <f t="shared" ca="1" si="16"/>
        <v>#NAME?</v>
      </c>
      <c r="J115" s="15" t="e">
        <f t="shared" ca="1" si="8"/>
        <v>#NAME?</v>
      </c>
      <c r="K115" s="16" t="e">
        <f t="shared" ca="1" si="9"/>
        <v>#NAME?</v>
      </c>
      <c r="L115" s="17" t="e">
        <f t="shared" ca="1" si="10"/>
        <v>#NAME?</v>
      </c>
      <c r="M115" s="18"/>
      <c r="N115" s="17"/>
    </row>
    <row r="116" spans="2:15" x14ac:dyDescent="0.15">
      <c r="B116" s="1">
        <v>39375</v>
      </c>
      <c r="C116" t="s">
        <v>149</v>
      </c>
      <c r="D116">
        <v>6.5</v>
      </c>
      <c r="E116">
        <v>49</v>
      </c>
      <c r="F116">
        <v>59</v>
      </c>
      <c r="G116" s="2">
        <f t="shared" si="15"/>
        <v>5.3400997150997156E-3</v>
      </c>
      <c r="H116" s="13" t="e">
        <f ca="1">(PBS!$D$17+(50*PBS!$D$17/230)*LOG10(D116))/G116/86400*J116</f>
        <v>#NAME?</v>
      </c>
      <c r="I116" s="14" t="e">
        <f t="shared" ca="1" si="16"/>
        <v>#NAME?</v>
      </c>
      <c r="J116" s="15" t="e">
        <f t="shared" ca="1" si="8"/>
        <v>#NAME?</v>
      </c>
      <c r="K116" s="16" t="e">
        <f t="shared" ca="1" si="9"/>
        <v>#NAME?</v>
      </c>
      <c r="L116" s="17" t="e">
        <f t="shared" ca="1" si="10"/>
        <v>#NAME?</v>
      </c>
      <c r="M116" s="18"/>
      <c r="N116" s="17"/>
      <c r="O116" t="s">
        <v>150</v>
      </c>
    </row>
    <row r="117" spans="2:15" x14ac:dyDescent="0.15">
      <c r="H117" s="19"/>
      <c r="I117" s="14"/>
      <c r="J117" s="15"/>
      <c r="K117" s="16"/>
      <c r="L117" s="17"/>
      <c r="M117" s="18"/>
      <c r="N117" s="17"/>
    </row>
    <row r="118" spans="2:15" x14ac:dyDescent="0.15">
      <c r="B118" s="1">
        <v>39543</v>
      </c>
      <c r="C118" t="s">
        <v>151</v>
      </c>
      <c r="D118">
        <f>5/1.609</f>
        <v>3.1075201988812928</v>
      </c>
      <c r="E118">
        <v>19</v>
      </c>
      <c r="F118">
        <v>55</v>
      </c>
      <c r="G118" s="2">
        <f t="shared" si="15"/>
        <v>4.4508217592592594E-3</v>
      </c>
      <c r="H118" s="13" t="e">
        <f ca="1">(PBS!$D$17+(50*PBS!$D$17/230)*LOG10(D118))/G118/86400*J118</f>
        <v>#NAME?</v>
      </c>
      <c r="I118" s="14" t="e">
        <f ca="1">_xlfnodf.SKEWP($I$2,B118,"Y")</f>
        <v>#NAME?</v>
      </c>
      <c r="J118" s="15" t="e">
        <f t="shared" ca="1" si="8"/>
        <v>#NAME?</v>
      </c>
      <c r="K118" s="16" t="e">
        <f t="shared" ca="1" si="9"/>
        <v>#NAME?</v>
      </c>
      <c r="L118" s="17" t="e">
        <f t="shared" ca="1" si="10"/>
        <v>#NAME?</v>
      </c>
      <c r="M118" s="18"/>
      <c r="N118" s="17"/>
      <c r="O118">
        <f>(16*60+12)/2.75</f>
        <v>353.45454545454544</v>
      </c>
    </row>
    <row r="119" spans="2:15" x14ac:dyDescent="0.15">
      <c r="B119" s="1">
        <v>39600</v>
      </c>
      <c r="C119" t="s">
        <v>152</v>
      </c>
      <c r="E119">
        <v>32</v>
      </c>
      <c r="F119">
        <v>9</v>
      </c>
      <c r="H119" s="19"/>
      <c r="I119" s="14" t="e">
        <f ca="1">_xlfnodf.SKEWP($I$2,B119,"Y")</f>
        <v>#NAME?</v>
      </c>
      <c r="J119" s="15"/>
      <c r="K119" s="16"/>
      <c r="L119" s="17"/>
      <c r="M119" s="18"/>
      <c r="N119" s="17"/>
      <c r="O119" t="s">
        <v>153</v>
      </c>
    </row>
    <row r="120" spans="2:15" x14ac:dyDescent="0.15">
      <c r="B120" s="1">
        <v>39627</v>
      </c>
      <c r="C120" t="s">
        <v>144</v>
      </c>
      <c r="D120">
        <v>7.2</v>
      </c>
      <c r="E120">
        <v>50</v>
      </c>
      <c r="F120">
        <v>39</v>
      </c>
      <c r="G120" s="2">
        <f t="shared" ref="G120:G135" si="17">(E120+F120/60)/D120/60/24</f>
        <v>4.8852237654320981E-3</v>
      </c>
      <c r="H120" s="13" t="e">
        <f ca="1">(PBS!$D$17+(50*PBS!$D$17/230)*LOG10(D120))/G120/86400*J120</f>
        <v>#NAME?</v>
      </c>
      <c r="I120" s="14" t="e">
        <f ca="1">_xlfnodf.SKEWP($I$2,B120,"Y")</f>
        <v>#NAME?</v>
      </c>
      <c r="J120" s="15" t="e">
        <f t="shared" ca="1" si="8"/>
        <v>#NAME?</v>
      </c>
      <c r="K120" s="16" t="e">
        <f t="shared" ca="1" si="9"/>
        <v>#NAME?</v>
      </c>
      <c r="L120" s="17" t="e">
        <f t="shared" ca="1" si="10"/>
        <v>#NAME?</v>
      </c>
      <c r="M120" s="18"/>
      <c r="N120" s="17"/>
    </row>
    <row r="121" spans="2:15" x14ac:dyDescent="0.15">
      <c r="B121" s="1">
        <v>39677</v>
      </c>
      <c r="C121" t="s">
        <v>154</v>
      </c>
      <c r="D121">
        <f>10/1.609</f>
        <v>6.2150403977625857</v>
      </c>
      <c r="E121">
        <v>39</v>
      </c>
      <c r="F121">
        <v>38</v>
      </c>
      <c r="G121" s="2">
        <f t="shared" si="17"/>
        <v>4.4284745370370363E-3</v>
      </c>
      <c r="H121" s="13" t="e">
        <f ca="1">(PBS!$D$17+(50*PBS!$D$17/230)*LOG10(D121))/G121/86400*J121</f>
        <v>#NAME?</v>
      </c>
      <c r="I121" s="14" t="e">
        <f ca="1">_xlfnodf.SKEWP($I$2,B121,"Y")</f>
        <v>#NAME?</v>
      </c>
      <c r="J121" s="15" t="e">
        <f t="shared" ca="1" si="8"/>
        <v>#NAME?</v>
      </c>
      <c r="K121" s="16" t="e">
        <f t="shared" ca="1" si="9"/>
        <v>#NAME?</v>
      </c>
      <c r="L121" s="17" t="e">
        <f t="shared" ca="1" si="10"/>
        <v>#NAME?</v>
      </c>
      <c r="M121" s="18"/>
      <c r="N121" s="17"/>
      <c r="O121" t="s">
        <v>155</v>
      </c>
    </row>
    <row r="122" spans="2:15" x14ac:dyDescent="0.15">
      <c r="B122" s="1">
        <v>39709</v>
      </c>
      <c r="C122" t="s">
        <v>82</v>
      </c>
      <c r="D122">
        <f>42.195/1.609</f>
        <v>26.224362958359229</v>
      </c>
      <c r="E122">
        <v>243</v>
      </c>
      <c r="F122">
        <v>28.5</v>
      </c>
      <c r="G122" s="2">
        <f t="shared" si="17"/>
        <v>6.4474344478677031E-3</v>
      </c>
      <c r="H122" s="13" t="e">
        <f ca="1">(PBS!$D$17+(50*PBS!$D$17/230)*LOG10(D122))/G122/86400*J122</f>
        <v>#NAME?</v>
      </c>
      <c r="I122" s="14" t="e">
        <f ca="1">_xlfnodf.SKEWP($I$2,B122,"Y")</f>
        <v>#NAME?</v>
      </c>
      <c r="J122" s="15" t="e">
        <f t="shared" ca="1" si="8"/>
        <v>#NAME?</v>
      </c>
      <c r="K122" s="16" t="e">
        <f t="shared" ca="1" si="9"/>
        <v>#NAME?</v>
      </c>
      <c r="L122" s="17" t="e">
        <f t="shared" ca="1" si="10"/>
        <v>#NAME?</v>
      </c>
      <c r="M122" s="18"/>
      <c r="N122" s="17"/>
      <c r="O122">
        <f>16.2/2.75</f>
        <v>5.8909090909090907</v>
      </c>
    </row>
    <row r="123" spans="2:15" x14ac:dyDescent="0.15">
      <c r="H123" s="19"/>
      <c r="I123" s="14"/>
      <c r="J123" s="15"/>
      <c r="K123" s="16"/>
      <c r="L123" s="17"/>
      <c r="M123" s="18"/>
      <c r="N123" s="17"/>
    </row>
    <row r="124" spans="2:15" x14ac:dyDescent="0.15">
      <c r="B124" s="1">
        <v>39887</v>
      </c>
      <c r="C124" t="s">
        <v>156</v>
      </c>
      <c r="D124">
        <v>7.2</v>
      </c>
      <c r="E124">
        <v>53</v>
      </c>
      <c r="F124">
        <v>19</v>
      </c>
      <c r="G124" s="2">
        <f t="shared" si="17"/>
        <v>5.1424254115226336E-3</v>
      </c>
      <c r="H124" s="13" t="e">
        <f ca="1">(PBS!$D$17+(50*PBS!$D$17/230)*LOG10(D124))/G124/86400*J124</f>
        <v>#NAME?</v>
      </c>
      <c r="I124" s="14" t="e">
        <f t="shared" ref="I124:I129" ca="1" si="18">_xlfnodf.SKEWP($I$2,B124,"Y")</f>
        <v>#NAME?</v>
      </c>
      <c r="J124" s="15" t="e">
        <f t="shared" ca="1" si="8"/>
        <v>#NAME?</v>
      </c>
      <c r="K124" s="16" t="e">
        <f t="shared" ca="1" si="9"/>
        <v>#NAME?</v>
      </c>
      <c r="L124" s="17" t="e">
        <f t="shared" ca="1" si="10"/>
        <v>#NAME?</v>
      </c>
      <c r="M124" s="18"/>
      <c r="N124" s="17"/>
      <c r="O124" t="s">
        <v>157</v>
      </c>
    </row>
    <row r="125" spans="2:15" x14ac:dyDescent="0.15">
      <c r="B125" s="1">
        <v>39914</v>
      </c>
      <c r="C125" t="s">
        <v>57</v>
      </c>
      <c r="D125">
        <f>5/1.609</f>
        <v>3.1075201988812928</v>
      </c>
      <c r="E125">
        <v>20</v>
      </c>
      <c r="F125">
        <v>9.3000000000000007</v>
      </c>
      <c r="G125" s="2">
        <f t="shared" si="17"/>
        <v>4.5040826388888884E-3</v>
      </c>
      <c r="H125" s="13" t="e">
        <f ca="1">(PBS!$D$17+(50*PBS!$D$17/230)*LOG10(D125))/G125/86400*J125</f>
        <v>#NAME?</v>
      </c>
      <c r="I125" s="14" t="e">
        <f t="shared" ca="1" si="18"/>
        <v>#NAME?</v>
      </c>
      <c r="J125" s="15" t="e">
        <f t="shared" ca="1" si="8"/>
        <v>#NAME?</v>
      </c>
      <c r="K125" s="16" t="e">
        <f t="shared" ca="1" si="9"/>
        <v>#NAME?</v>
      </c>
      <c r="L125" s="17" t="e">
        <f t="shared" ca="1" si="10"/>
        <v>#NAME?</v>
      </c>
      <c r="M125" s="18"/>
      <c r="N125" s="17"/>
    </row>
    <row r="126" spans="2:15" x14ac:dyDescent="0.15">
      <c r="B126" s="1">
        <v>39973</v>
      </c>
      <c r="C126" t="s">
        <v>158</v>
      </c>
      <c r="D126">
        <v>4</v>
      </c>
      <c r="E126">
        <v>37</v>
      </c>
      <c r="F126">
        <v>44</v>
      </c>
      <c r="G126" s="2">
        <f t="shared" si="17"/>
        <v>6.5509259259259262E-3</v>
      </c>
      <c r="H126" s="13" t="e">
        <f ca="1">(PBS!$D$17+(50*PBS!$D$17/230)*LOG10(D126))/G126/86400*J126</f>
        <v>#NAME?</v>
      </c>
      <c r="I126" s="14" t="e">
        <f t="shared" ca="1" si="18"/>
        <v>#NAME?</v>
      </c>
      <c r="J126" s="15" t="e">
        <f t="shared" ca="1" si="8"/>
        <v>#NAME?</v>
      </c>
      <c r="K126" s="16" t="e">
        <f t="shared" ca="1" si="9"/>
        <v>#NAME?</v>
      </c>
      <c r="L126" s="17" t="e">
        <f t="shared" ca="1" si="10"/>
        <v>#NAME?</v>
      </c>
      <c r="M126" s="18"/>
      <c r="N126" s="17"/>
      <c r="O126" t="s">
        <v>159</v>
      </c>
    </row>
    <row r="127" spans="2:15" x14ac:dyDescent="0.15">
      <c r="B127" s="1">
        <v>39983</v>
      </c>
      <c r="C127" t="s">
        <v>69</v>
      </c>
      <c r="D127">
        <f>10/1.609</f>
        <v>6.2150403977625857</v>
      </c>
      <c r="E127">
        <v>37</v>
      </c>
      <c r="F127">
        <v>46.9</v>
      </c>
      <c r="G127" s="2">
        <f t="shared" si="17"/>
        <v>4.2215765046296292E-3</v>
      </c>
      <c r="H127" s="13" t="e">
        <f ca="1">(PBS!$D$17+(50*PBS!$D$17/230)*LOG10(D127))/G127/86400*J127</f>
        <v>#NAME?</v>
      </c>
      <c r="I127" s="14" t="e">
        <f t="shared" ca="1" si="18"/>
        <v>#NAME?</v>
      </c>
      <c r="J127" s="15" t="e">
        <f t="shared" ca="1" si="8"/>
        <v>#NAME?</v>
      </c>
      <c r="K127" s="16" t="e">
        <f t="shared" ca="1" si="9"/>
        <v>#NAME?</v>
      </c>
      <c r="L127" s="17" t="e">
        <f t="shared" ca="1" si="10"/>
        <v>#NAME?</v>
      </c>
      <c r="M127" s="18">
        <v>0.7167</v>
      </c>
      <c r="N127" s="17">
        <v>2.5891203703703704E-2</v>
      </c>
      <c r="O127" t="s">
        <v>160</v>
      </c>
    </row>
    <row r="128" spans="2:15" x14ac:dyDescent="0.15">
      <c r="B128" s="1">
        <v>39991</v>
      </c>
      <c r="C128" t="s">
        <v>144</v>
      </c>
      <c r="D128">
        <v>7.2</v>
      </c>
      <c r="E128">
        <v>52</v>
      </c>
      <c r="F128">
        <v>36</v>
      </c>
      <c r="G128" s="2">
        <f t="shared" si="17"/>
        <v>5.0733024691358023E-3</v>
      </c>
      <c r="H128" s="13" t="e">
        <f ca="1">(PBS!$D$17+(50*PBS!$D$17/230)*LOG10(D128))/G128/86400*J128</f>
        <v>#NAME?</v>
      </c>
      <c r="I128" s="14" t="e">
        <f t="shared" ca="1" si="18"/>
        <v>#NAME?</v>
      </c>
      <c r="J128" s="15" t="e">
        <f t="shared" ca="1" si="8"/>
        <v>#NAME?</v>
      </c>
      <c r="K128" s="16" t="e">
        <f t="shared" ca="1" si="9"/>
        <v>#NAME?</v>
      </c>
      <c r="L128" s="17" t="e">
        <f t="shared" ca="1" si="10"/>
        <v>#NAME?</v>
      </c>
      <c r="M128" s="18"/>
      <c r="N128" s="17"/>
      <c r="O128" t="s">
        <v>161</v>
      </c>
    </row>
    <row r="129" spans="1:15" x14ac:dyDescent="0.15">
      <c r="B129" s="1">
        <v>39996</v>
      </c>
      <c r="C129" t="s">
        <v>142</v>
      </c>
      <c r="D129">
        <v>1</v>
      </c>
      <c r="E129">
        <v>5</v>
      </c>
      <c r="F129">
        <v>15</v>
      </c>
      <c r="G129" s="2">
        <f t="shared" si="17"/>
        <v>3.645833333333333E-3</v>
      </c>
      <c r="H129" s="13" t="e">
        <f ca="1">(PBS!$D$17+(50*PBS!$D$17/230)*LOG10(D129))/G129/86400*J129</f>
        <v>#NAME?</v>
      </c>
      <c r="I129" s="14" t="e">
        <f t="shared" ca="1" si="18"/>
        <v>#NAME?</v>
      </c>
      <c r="J129" s="15" t="e">
        <f t="shared" ca="1" si="8"/>
        <v>#NAME?</v>
      </c>
      <c r="K129" s="16" t="e">
        <f t="shared" ca="1" si="9"/>
        <v>#NAME?</v>
      </c>
      <c r="L129" s="17" t="e">
        <f t="shared" ca="1" si="10"/>
        <v>#NAME?</v>
      </c>
      <c r="M129" s="18"/>
      <c r="N129" s="17"/>
      <c r="O129" t="s">
        <v>162</v>
      </c>
    </row>
    <row r="130" spans="1:15" x14ac:dyDescent="0.15">
      <c r="B130" s="1">
        <v>40006</v>
      </c>
      <c r="C130" t="s">
        <v>163</v>
      </c>
      <c r="E130">
        <v>63</v>
      </c>
      <c r="F130">
        <v>35</v>
      </c>
      <c r="H130" s="19"/>
      <c r="I130" s="14"/>
      <c r="J130" s="15"/>
      <c r="K130" s="16"/>
      <c r="L130" s="17"/>
      <c r="M130" s="18"/>
      <c r="N130" s="17"/>
      <c r="O130" t="s">
        <v>164</v>
      </c>
    </row>
    <row r="131" spans="1:15" x14ac:dyDescent="0.15">
      <c r="B131" s="1">
        <v>40012</v>
      </c>
      <c r="C131" t="s">
        <v>165</v>
      </c>
      <c r="E131">
        <v>88</v>
      </c>
      <c r="F131">
        <v>43</v>
      </c>
      <c r="H131" s="19"/>
      <c r="I131" s="14"/>
      <c r="J131" s="15"/>
      <c r="K131" s="16"/>
      <c r="L131" s="17"/>
      <c r="M131" s="18"/>
      <c r="N131" s="17"/>
      <c r="O131" t="s">
        <v>166</v>
      </c>
    </row>
    <row r="132" spans="1:15" x14ac:dyDescent="0.15">
      <c r="B132" s="1">
        <v>40019</v>
      </c>
      <c r="C132" t="s">
        <v>167</v>
      </c>
      <c r="D132">
        <v>1</v>
      </c>
      <c r="E132">
        <v>5</v>
      </c>
      <c r="F132">
        <v>10.3</v>
      </c>
      <c r="G132" s="2">
        <f t="shared" si="17"/>
        <v>3.5914351851851854E-3</v>
      </c>
      <c r="H132" s="13" t="e">
        <f ca="1">(PBS!$D$17+(50*PBS!$D$17/230)*LOG10(D132))/G132/86400*J132</f>
        <v>#NAME?</v>
      </c>
      <c r="I132" s="14" t="e">
        <f ca="1">_xlfnodf.SKEWP($I$2,B132,"Y")</f>
        <v>#NAME?</v>
      </c>
      <c r="J132" s="15" t="e">
        <f ca="1">IF(I132&gt;35,POWER(I132-35,2)*0.00005+(I132-35)*0.008+1,1)</f>
        <v>#NAME?</v>
      </c>
      <c r="K132" s="16" t="e">
        <f ca="1">G132/J132</f>
        <v>#NAME?</v>
      </c>
      <c r="L132" s="17" t="e">
        <f ca="1">K132*D132</f>
        <v>#NAME?</v>
      </c>
      <c r="M132" s="18"/>
      <c r="N132" s="17"/>
      <c r="O132" t="s">
        <v>168</v>
      </c>
    </row>
    <row r="133" spans="1:15" x14ac:dyDescent="0.15">
      <c r="B133" s="1">
        <v>40033</v>
      </c>
      <c r="C133" t="s">
        <v>146</v>
      </c>
      <c r="D133">
        <v>13.1122</v>
      </c>
      <c r="E133">
        <v>90</v>
      </c>
      <c r="F133">
        <v>7.7</v>
      </c>
      <c r="G133" s="2">
        <f t="shared" si="17"/>
        <v>4.7733500381606725E-3</v>
      </c>
      <c r="H133" s="13" t="e">
        <f ca="1">(PBS!$D$17+(50*PBS!$D$17/230)*LOG10(D133))/G133/86400*J133</f>
        <v>#NAME?</v>
      </c>
      <c r="I133" s="14" t="e">
        <f t="shared" ref="I133:I170" ca="1" si="19">_xlfnodf.SKEWP($I$2,B133,"Y")</f>
        <v>#NAME?</v>
      </c>
      <c r="J133" s="15" t="e">
        <f t="shared" ref="J133:J170" ca="1" si="20">IF(I133&gt;35,POWER(I133-35,2)*0.00005+(I133-35)*0.008+1,1)</f>
        <v>#NAME?</v>
      </c>
      <c r="K133" s="16" t="e">
        <f ca="1">G133/J133</f>
        <v>#NAME?</v>
      </c>
      <c r="L133" s="17" t="e">
        <f t="shared" ref="L133:L170" ca="1" si="21">K133*D133</f>
        <v>#NAME?</v>
      </c>
      <c r="M133" s="18"/>
      <c r="N133" s="17"/>
    </row>
    <row r="134" spans="1:15" x14ac:dyDescent="0.15">
      <c r="B134" s="1">
        <v>40040</v>
      </c>
      <c r="C134" t="s">
        <v>154</v>
      </c>
      <c r="D134">
        <f>11/1.609</f>
        <v>6.8365444375388442</v>
      </c>
      <c r="E134">
        <v>45</v>
      </c>
      <c r="F134">
        <v>18</v>
      </c>
      <c r="G134" s="2">
        <f t="shared" si="17"/>
        <v>4.6014962121212121E-3</v>
      </c>
      <c r="H134" s="13" t="e">
        <f ca="1">(PBS!$D$17+(50*PBS!$D$17/230)*LOG10(D134))/G134/86400*J134</f>
        <v>#NAME?</v>
      </c>
      <c r="I134" s="14" t="e">
        <f t="shared" ca="1" si="19"/>
        <v>#NAME?</v>
      </c>
      <c r="J134" s="15" t="e">
        <f t="shared" ca="1" si="20"/>
        <v>#NAME?</v>
      </c>
      <c r="K134" s="16" t="e">
        <f t="shared" ref="K134:K170" ca="1" si="22">G134/J134</f>
        <v>#NAME?</v>
      </c>
      <c r="L134" s="17" t="e">
        <f t="shared" ca="1" si="21"/>
        <v>#NAME?</v>
      </c>
      <c r="M134" s="18"/>
      <c r="N134" s="17"/>
      <c r="O134" t="s">
        <v>169</v>
      </c>
    </row>
    <row r="135" spans="1:15" x14ac:dyDescent="0.15">
      <c r="B135" s="1">
        <v>40041</v>
      </c>
      <c r="C135" t="s">
        <v>170</v>
      </c>
      <c r="D135">
        <f>10/1.609</f>
        <v>6.2150403977625857</v>
      </c>
      <c r="E135">
        <v>45</v>
      </c>
      <c r="F135">
        <v>52</v>
      </c>
      <c r="G135" s="2">
        <f t="shared" si="17"/>
        <v>5.1249629629629622E-3</v>
      </c>
      <c r="H135" s="13" t="e">
        <f ca="1">(PBS!$D$17+(50*PBS!$D$17/230)*LOG10(D135))/G135/86400*J135</f>
        <v>#NAME?</v>
      </c>
      <c r="I135" s="14" t="e">
        <f t="shared" ca="1" si="19"/>
        <v>#NAME?</v>
      </c>
      <c r="J135" s="15" t="e">
        <f t="shared" ca="1" si="20"/>
        <v>#NAME?</v>
      </c>
      <c r="K135" s="16" t="e">
        <f t="shared" ca="1" si="22"/>
        <v>#NAME?</v>
      </c>
      <c r="L135" s="17" t="e">
        <f t="shared" ca="1" si="21"/>
        <v>#NAME?</v>
      </c>
      <c r="M135" s="18"/>
      <c r="N135" s="17"/>
      <c r="O135" t="s">
        <v>171</v>
      </c>
    </row>
    <row r="136" spans="1:15" x14ac:dyDescent="0.15">
      <c r="B136" s="1">
        <v>40074</v>
      </c>
      <c r="C136" t="s">
        <v>82</v>
      </c>
      <c r="D136">
        <f>42.195/1.609</f>
        <v>26.224362958359229</v>
      </c>
      <c r="E136">
        <v>229</v>
      </c>
      <c r="F136">
        <v>11.2</v>
      </c>
      <c r="G136" s="2">
        <f>(E136+F136/60)/D136/60/24</f>
        <v>6.0690666789552919E-3</v>
      </c>
      <c r="H136" s="13" t="e">
        <f ca="1">(PBS!$D$17+(50*PBS!$D$17/230)*LOG10(D136))/G136/86400*J136</f>
        <v>#NAME?</v>
      </c>
      <c r="I136" s="14" t="e">
        <f t="shared" ca="1" si="19"/>
        <v>#NAME?</v>
      </c>
      <c r="J136" s="15" t="e">
        <f t="shared" ca="1" si="20"/>
        <v>#NAME?</v>
      </c>
      <c r="K136" s="16" t="e">
        <f t="shared" ca="1" si="22"/>
        <v>#NAME?</v>
      </c>
      <c r="L136" s="17" t="e">
        <f t="shared" ca="1" si="21"/>
        <v>#NAME?</v>
      </c>
      <c r="M136" s="18"/>
      <c r="N136" s="17"/>
      <c r="O136" t="s">
        <v>172</v>
      </c>
    </row>
    <row r="137" spans="1:15" x14ac:dyDescent="0.15">
      <c r="B137" s="1">
        <v>40110</v>
      </c>
      <c r="C137" t="s">
        <v>173</v>
      </c>
      <c r="D137">
        <v>6.8</v>
      </c>
      <c r="E137">
        <v>46</v>
      </c>
      <c r="F137">
        <v>3</v>
      </c>
      <c r="G137" s="2">
        <f>(E137+F137/60)/D137/60/24</f>
        <v>4.7028186274509802E-3</v>
      </c>
      <c r="H137" s="13" t="e">
        <f ca="1">(PBS!$D$17+(50*PBS!$D$17/230)*LOG10(D137))/G137/86400*J137</f>
        <v>#NAME?</v>
      </c>
      <c r="I137" s="14" t="e">
        <f t="shared" ca="1" si="19"/>
        <v>#NAME?</v>
      </c>
      <c r="J137" s="15" t="e">
        <f t="shared" ca="1" si="20"/>
        <v>#NAME?</v>
      </c>
      <c r="K137" s="16" t="e">
        <f t="shared" ca="1" si="22"/>
        <v>#NAME?</v>
      </c>
      <c r="L137" s="17" t="e">
        <f t="shared" ca="1" si="21"/>
        <v>#NAME?</v>
      </c>
      <c r="M137" s="18"/>
      <c r="N137" s="17"/>
      <c r="O137" t="s">
        <v>174</v>
      </c>
    </row>
    <row r="138" spans="1:15" x14ac:dyDescent="0.15">
      <c r="B138" s="1">
        <v>40152</v>
      </c>
      <c r="C138" t="s">
        <v>175</v>
      </c>
      <c r="E138">
        <v>47</v>
      </c>
      <c r="F138">
        <v>42</v>
      </c>
      <c r="H138" s="19"/>
      <c r="I138" s="14" t="e">
        <f t="shared" ca="1" si="19"/>
        <v>#NAME?</v>
      </c>
      <c r="J138" s="15"/>
      <c r="K138" s="16"/>
      <c r="L138" s="17"/>
      <c r="M138" s="18"/>
      <c r="N138" s="17"/>
      <c r="O138" t="s">
        <v>176</v>
      </c>
    </row>
    <row r="139" spans="1:15" x14ac:dyDescent="0.15">
      <c r="H139" s="19"/>
      <c r="I139" s="14"/>
      <c r="J139" s="15"/>
      <c r="K139" s="16"/>
      <c r="L139" s="17"/>
      <c r="M139" s="18"/>
      <c r="N139" s="17"/>
    </row>
    <row r="140" spans="1:15" x14ac:dyDescent="0.15">
      <c r="B140" s="1">
        <v>40271</v>
      </c>
      <c r="C140" t="s">
        <v>177</v>
      </c>
      <c r="D140">
        <f>10/1.609</f>
        <v>6.2150403977625857</v>
      </c>
      <c r="E140">
        <v>39</v>
      </c>
      <c r="F140">
        <v>26</v>
      </c>
      <c r="G140" s="2">
        <f>(E140+F140/60)/D140/60/24</f>
        <v>4.4061273148148141E-3</v>
      </c>
      <c r="H140" s="13" t="e">
        <f ca="1">(PBS!$D$17+(50*PBS!$D$17/230)*LOG10(D140))/G140/86400*J140</f>
        <v>#NAME?</v>
      </c>
      <c r="I140" s="14" t="e">
        <f t="shared" ca="1" si="19"/>
        <v>#NAME?</v>
      </c>
      <c r="J140" s="15" t="e">
        <f t="shared" ca="1" si="20"/>
        <v>#NAME?</v>
      </c>
      <c r="K140" s="16" t="e">
        <f t="shared" ca="1" si="22"/>
        <v>#NAME?</v>
      </c>
      <c r="L140" s="17" t="e">
        <f t="shared" ca="1" si="21"/>
        <v>#NAME?</v>
      </c>
      <c r="M140" s="18"/>
      <c r="N140" s="17"/>
      <c r="O140" t="s">
        <v>178</v>
      </c>
    </row>
    <row r="141" spans="1:15" x14ac:dyDescent="0.15">
      <c r="B141" s="1">
        <v>40278</v>
      </c>
      <c r="C141" t="s">
        <v>136</v>
      </c>
      <c r="D141">
        <f>5/1.609</f>
        <v>3.1075201988812928</v>
      </c>
      <c r="E141">
        <v>18</v>
      </c>
      <c r="F141">
        <v>28.2</v>
      </c>
      <c r="G141" s="2">
        <f t="shared" ref="G141:G153" si="23">(E141+F141/60)/D141/60/24</f>
        <v>4.1275319444444439E-3</v>
      </c>
      <c r="H141" s="13" t="e">
        <f ca="1">(PBS!$D$17+(50*PBS!$D$17/230)*LOG10(D141))/G141/86400*J141</f>
        <v>#NAME?</v>
      </c>
      <c r="I141" s="14" t="e">
        <f t="shared" ca="1" si="19"/>
        <v>#NAME?</v>
      </c>
      <c r="J141" s="15" t="e">
        <f t="shared" ca="1" si="20"/>
        <v>#NAME?</v>
      </c>
      <c r="K141" s="16" t="e">
        <f t="shared" ca="1" si="22"/>
        <v>#NAME?</v>
      </c>
      <c r="L141" s="17" t="e">
        <f t="shared" ca="1" si="21"/>
        <v>#NAME?</v>
      </c>
      <c r="M141" s="18">
        <v>0.7319</v>
      </c>
      <c r="N141" s="17">
        <v>1.2314814814814815E-2</v>
      </c>
    </row>
    <row r="142" spans="1:15" x14ac:dyDescent="0.15">
      <c r="B142" s="1">
        <v>40307</v>
      </c>
      <c r="C142" t="s">
        <v>179</v>
      </c>
      <c r="D142">
        <v>11</v>
      </c>
      <c r="E142">
        <v>83</v>
      </c>
      <c r="F142">
        <v>53</v>
      </c>
      <c r="G142" s="2">
        <f t="shared" si="23"/>
        <v>5.2956649831649829E-3</v>
      </c>
      <c r="H142" s="13" t="e">
        <f ca="1">(PBS!$D$17+(50*PBS!$D$17/230)*LOG10(D142))/G142/86400*J142</f>
        <v>#NAME?</v>
      </c>
      <c r="I142" s="14" t="e">
        <f t="shared" ca="1" si="19"/>
        <v>#NAME?</v>
      </c>
      <c r="J142" s="15" t="e">
        <f t="shared" ca="1" si="20"/>
        <v>#NAME?</v>
      </c>
      <c r="K142" s="16" t="e">
        <f t="shared" ca="1" si="22"/>
        <v>#NAME?</v>
      </c>
      <c r="L142" s="17" t="e">
        <f t="shared" ca="1" si="21"/>
        <v>#NAME?</v>
      </c>
      <c r="M142" s="18"/>
      <c r="N142" s="17"/>
    </row>
    <row r="143" spans="1:15" x14ac:dyDescent="0.15">
      <c r="A143" s="1"/>
      <c r="B143" s="1">
        <v>40348</v>
      </c>
      <c r="C143" t="s">
        <v>69</v>
      </c>
      <c r="D143">
        <f>10/1.609</f>
        <v>6.2150403977625857</v>
      </c>
      <c r="E143">
        <v>41</v>
      </c>
      <c r="F143">
        <v>15.9</v>
      </c>
      <c r="G143" s="2">
        <f t="shared" si="23"/>
        <v>4.6107906249999997E-3</v>
      </c>
      <c r="H143" s="13" t="e">
        <f ca="1">(PBS!$D$17+(50*PBS!$D$17/230)*LOG10(D143))/G143/86400*J143</f>
        <v>#NAME?</v>
      </c>
      <c r="I143" s="14" t="e">
        <f t="shared" ca="1" si="19"/>
        <v>#NAME?</v>
      </c>
      <c r="J143" s="15" t="e">
        <f t="shared" ca="1" si="20"/>
        <v>#NAME?</v>
      </c>
      <c r="K143" s="16" t="e">
        <f t="shared" ca="1" si="22"/>
        <v>#NAME?</v>
      </c>
      <c r="L143" s="17" t="e">
        <f t="shared" ca="1" si="21"/>
        <v>#NAME?</v>
      </c>
      <c r="M143" s="18"/>
      <c r="N143" s="17"/>
      <c r="O143" t="s">
        <v>180</v>
      </c>
    </row>
    <row r="144" spans="1:15" x14ac:dyDescent="0.15">
      <c r="B144" s="1">
        <v>40360</v>
      </c>
      <c r="C144" t="s">
        <v>142</v>
      </c>
      <c r="D144">
        <v>1</v>
      </c>
      <c r="E144">
        <v>5</v>
      </c>
      <c r="F144">
        <v>14</v>
      </c>
      <c r="G144" s="2">
        <f t="shared" si="23"/>
        <v>3.6342592592592594E-3</v>
      </c>
      <c r="H144" s="13" t="e">
        <f ca="1">(PBS!$D$17+(50*PBS!$D$17/230)*LOG10(D144))/G144/86400*J144</f>
        <v>#NAME?</v>
      </c>
      <c r="I144" s="14" t="e">
        <f t="shared" ca="1" si="19"/>
        <v>#NAME?</v>
      </c>
      <c r="J144" s="15" t="e">
        <f t="shared" ca="1" si="20"/>
        <v>#NAME?</v>
      </c>
      <c r="K144" s="16" t="e">
        <f t="shared" ca="1" si="22"/>
        <v>#NAME?</v>
      </c>
      <c r="L144" s="17" t="e">
        <f t="shared" ca="1" si="21"/>
        <v>#NAME?</v>
      </c>
      <c r="M144" s="18"/>
      <c r="N144" s="17"/>
      <c r="O144" t="s">
        <v>181</v>
      </c>
    </row>
    <row r="145" spans="1:15" x14ac:dyDescent="0.15">
      <c r="B145" s="1">
        <v>40376</v>
      </c>
      <c r="C145" t="s">
        <v>182</v>
      </c>
      <c r="D145">
        <f>8/1.609</f>
        <v>4.9720323182100685</v>
      </c>
      <c r="E145">
        <v>29</v>
      </c>
      <c r="F145">
        <v>30.3</v>
      </c>
      <c r="G145" s="2">
        <f t="shared" si="23"/>
        <v>4.1209674479166661E-3</v>
      </c>
      <c r="H145" s="13" t="e">
        <f ca="1">(PBS!$D$17+(50*PBS!$D$17/230)*LOG10(D145))/G145/86400*J145</f>
        <v>#NAME?</v>
      </c>
      <c r="I145" s="14" t="e">
        <f t="shared" ca="1" si="19"/>
        <v>#NAME?</v>
      </c>
      <c r="J145" s="15" t="e">
        <f t="shared" ca="1" si="20"/>
        <v>#NAME?</v>
      </c>
      <c r="K145" s="16" t="e">
        <f t="shared" ca="1" si="22"/>
        <v>#NAME?</v>
      </c>
      <c r="L145" s="17" t="e">
        <f t="shared" ca="1" si="21"/>
        <v>#NAME?</v>
      </c>
      <c r="M145" s="18">
        <v>0.74439999999999995</v>
      </c>
      <c r="N145" s="17">
        <v>1.9884259259259258E-2</v>
      </c>
      <c r="O145" t="s">
        <v>183</v>
      </c>
    </row>
    <row r="146" spans="1:15" x14ac:dyDescent="0.15">
      <c r="B146" s="1">
        <v>40383</v>
      </c>
      <c r="C146" t="s">
        <v>167</v>
      </c>
      <c r="D146">
        <v>1</v>
      </c>
      <c r="E146">
        <v>5</v>
      </c>
      <c r="F146">
        <v>14.7</v>
      </c>
      <c r="G146" s="2">
        <f t="shared" si="23"/>
        <v>3.6423611111111114E-3</v>
      </c>
      <c r="H146" s="13" t="e">
        <f ca="1">(PBS!$D$17+(50*PBS!$D$17/230)*LOG10(D146))/G146/86400*J146</f>
        <v>#NAME?</v>
      </c>
      <c r="I146" s="14" t="e">
        <f t="shared" ca="1" si="19"/>
        <v>#NAME?</v>
      </c>
      <c r="J146" s="15" t="e">
        <f t="shared" ca="1" si="20"/>
        <v>#NAME?</v>
      </c>
      <c r="K146" s="16" t="e">
        <f t="shared" ca="1" si="22"/>
        <v>#NAME?</v>
      </c>
      <c r="L146" s="17" t="e">
        <f t="shared" ca="1" si="21"/>
        <v>#NAME?</v>
      </c>
      <c r="M146" s="18"/>
      <c r="N146" s="17"/>
      <c r="O146" t="s">
        <v>184</v>
      </c>
    </row>
    <row r="147" spans="1:15" x14ac:dyDescent="0.15">
      <c r="B147" s="1">
        <v>40384</v>
      </c>
      <c r="C147" t="s">
        <v>185</v>
      </c>
      <c r="D147">
        <f>26.07/1.609</f>
        <v>16.202610316967061</v>
      </c>
      <c r="E147">
        <v>117</v>
      </c>
      <c r="F147">
        <v>2.4</v>
      </c>
      <c r="G147" s="2">
        <f t="shared" si="23"/>
        <v>5.0163384903891238E-3</v>
      </c>
      <c r="H147" s="13" t="e">
        <f ca="1">(PBS!$D$17+(50*PBS!$D$17/230)*LOG10(D147))/G147/86400*J147</f>
        <v>#NAME?</v>
      </c>
      <c r="I147" s="14" t="e">
        <f t="shared" ca="1" si="19"/>
        <v>#NAME?</v>
      </c>
      <c r="J147" s="15" t="e">
        <f t="shared" ca="1" si="20"/>
        <v>#NAME?</v>
      </c>
      <c r="K147" s="16" t="e">
        <f t="shared" ca="1" si="22"/>
        <v>#NAME?</v>
      </c>
      <c r="L147" s="17" t="e">
        <f t="shared" ca="1" si="21"/>
        <v>#NAME?</v>
      </c>
      <c r="M147" s="18"/>
      <c r="N147" s="17"/>
      <c r="O147" t="s">
        <v>186</v>
      </c>
    </row>
    <row r="148" spans="1:15" x14ac:dyDescent="0.15">
      <c r="B148" s="1">
        <v>40397</v>
      </c>
      <c r="C148" t="s">
        <v>146</v>
      </c>
      <c r="D148">
        <v>13.1122</v>
      </c>
      <c r="E148">
        <v>89</v>
      </c>
      <c r="F148">
        <v>1</v>
      </c>
      <c r="G148" s="2">
        <f t="shared" si="23"/>
        <v>4.7144742781249247E-3</v>
      </c>
      <c r="H148" s="13" t="e">
        <f ca="1">(PBS!$D$17+(50*PBS!$D$17/230)*LOG10(D148))/G148/86400*J148</f>
        <v>#NAME?</v>
      </c>
      <c r="I148" s="14" t="e">
        <f t="shared" ca="1" si="19"/>
        <v>#NAME?</v>
      </c>
      <c r="J148" s="15" t="e">
        <f t="shared" ca="1" si="20"/>
        <v>#NAME?</v>
      </c>
      <c r="K148" s="16" t="e">
        <f t="shared" ca="1" si="22"/>
        <v>#NAME?</v>
      </c>
      <c r="L148" s="17" t="e">
        <f t="shared" ca="1" si="21"/>
        <v>#NAME?</v>
      </c>
      <c r="M148" s="18">
        <v>0.67030000000000001</v>
      </c>
      <c r="N148" s="17">
        <v>6.0486111111111109E-2</v>
      </c>
      <c r="O148" t="s">
        <v>187</v>
      </c>
    </row>
    <row r="149" spans="1:15" x14ac:dyDescent="0.15">
      <c r="B149" s="1">
        <v>40418</v>
      </c>
      <c r="C149" t="s">
        <v>188</v>
      </c>
      <c r="D149">
        <f>5/1.609</f>
        <v>3.1075201988812928</v>
      </c>
      <c r="E149">
        <v>21</v>
      </c>
      <c r="F149">
        <v>7.4</v>
      </c>
      <c r="G149" s="2">
        <f t="shared" si="23"/>
        <v>4.7204782407407409E-3</v>
      </c>
      <c r="H149" s="13" t="e">
        <f ca="1">(PBS!$D$17+(50*PBS!$D$17/230)*LOG10(D149))/G149/86400*J149</f>
        <v>#NAME?</v>
      </c>
      <c r="I149" s="14" t="e">
        <f t="shared" ca="1" si="19"/>
        <v>#NAME?</v>
      </c>
      <c r="J149" s="15" t="e">
        <f t="shared" ca="1" si="20"/>
        <v>#NAME?</v>
      </c>
      <c r="K149" s="16" t="e">
        <f t="shared" ca="1" si="22"/>
        <v>#NAME?</v>
      </c>
      <c r="L149" s="17" t="e">
        <f t="shared" ca="1" si="21"/>
        <v>#NAME?</v>
      </c>
      <c r="M149" s="18"/>
      <c r="N149" s="17"/>
      <c r="O149" t="s">
        <v>189</v>
      </c>
    </row>
    <row r="150" spans="1:15" x14ac:dyDescent="0.15">
      <c r="B150" s="1">
        <v>40439</v>
      </c>
      <c r="C150" t="s">
        <v>82</v>
      </c>
      <c r="D150">
        <f>42.195/1.609</f>
        <v>26.224362958359229</v>
      </c>
      <c r="E150">
        <v>239</v>
      </c>
      <c r="F150">
        <v>46.7</v>
      </c>
      <c r="G150" s="2">
        <f t="shared" si="23"/>
        <v>6.3495434282190705E-3</v>
      </c>
      <c r="H150" s="13" t="e">
        <f ca="1">(PBS!$D$17+(50*PBS!$D$17/230)*LOG10(D150))/G150/86400*J150</f>
        <v>#NAME?</v>
      </c>
      <c r="I150" s="14" t="e">
        <f t="shared" ca="1" si="19"/>
        <v>#NAME?</v>
      </c>
      <c r="J150" s="15" t="e">
        <f t="shared" ca="1" si="20"/>
        <v>#NAME?</v>
      </c>
      <c r="K150" s="16" t="e">
        <f t="shared" ca="1" si="22"/>
        <v>#NAME?</v>
      </c>
      <c r="L150" s="17" t="e">
        <f t="shared" ca="1" si="21"/>
        <v>#NAME?</v>
      </c>
      <c r="M150" s="18"/>
      <c r="N150" s="17"/>
    </row>
    <row r="151" spans="1:15" x14ac:dyDescent="0.15">
      <c r="H151" s="19"/>
      <c r="I151" s="14"/>
      <c r="J151" s="15"/>
      <c r="K151" s="16"/>
      <c r="L151" s="17"/>
      <c r="M151" s="18"/>
      <c r="N151" s="17"/>
    </row>
    <row r="152" spans="1:15" x14ac:dyDescent="0.15">
      <c r="B152" s="1">
        <v>40678</v>
      </c>
      <c r="C152" t="s">
        <v>179</v>
      </c>
      <c r="D152">
        <v>11</v>
      </c>
      <c r="E152">
        <v>76</v>
      </c>
      <c r="F152">
        <v>48</v>
      </c>
      <c r="G152" s="2">
        <f t="shared" si="23"/>
        <v>4.8484848484848485E-3</v>
      </c>
      <c r="H152" s="13" t="e">
        <f ca="1">(PBS!$D$17+(50*PBS!$D$17/230)*LOG10(D152))/G152/86400*J152</f>
        <v>#NAME?</v>
      </c>
      <c r="I152" s="14" t="e">
        <f t="shared" ca="1" si="19"/>
        <v>#NAME?</v>
      </c>
      <c r="J152" s="15" t="e">
        <f t="shared" ca="1" si="20"/>
        <v>#NAME?</v>
      </c>
      <c r="K152" s="16" t="e">
        <f t="shared" ca="1" si="22"/>
        <v>#NAME?</v>
      </c>
      <c r="L152" s="17" t="e">
        <f t="shared" ca="1" si="21"/>
        <v>#NAME?</v>
      </c>
      <c r="M152" s="18"/>
      <c r="N152" s="17"/>
    </row>
    <row r="153" spans="1:15" s="27" customFormat="1" x14ac:dyDescent="0.15">
      <c r="B153" s="28">
        <v>40691</v>
      </c>
      <c r="C153" s="27" t="s">
        <v>190</v>
      </c>
      <c r="D153" s="27">
        <v>6.7</v>
      </c>
      <c r="E153" s="27">
        <v>59</v>
      </c>
      <c r="F153" s="27">
        <v>54</v>
      </c>
      <c r="G153" s="29">
        <f t="shared" si="23"/>
        <v>6.2085406301824212E-3</v>
      </c>
      <c r="H153" s="13" t="e">
        <f ca="1">(PBS!$D$17+(50*PBS!$D$17/230)*LOG10(D153))/G153/86400*J153</f>
        <v>#NAME?</v>
      </c>
      <c r="I153" s="14" t="e">
        <f t="shared" ca="1" si="19"/>
        <v>#NAME?</v>
      </c>
      <c r="J153" s="15" t="e">
        <f t="shared" ca="1" si="20"/>
        <v>#NAME?</v>
      </c>
      <c r="K153" s="16" t="e">
        <f t="shared" ca="1" si="22"/>
        <v>#NAME?</v>
      </c>
      <c r="L153" s="17" t="e">
        <f t="shared" ca="1" si="21"/>
        <v>#NAME?</v>
      </c>
      <c r="M153" s="18"/>
      <c r="N153" s="17"/>
      <c r="O153" s="27" t="s">
        <v>191</v>
      </c>
    </row>
    <row r="154" spans="1:15" x14ac:dyDescent="0.15">
      <c r="B154" s="1">
        <v>40747</v>
      </c>
      <c r="C154" t="s">
        <v>167</v>
      </c>
      <c r="D154">
        <v>1</v>
      </c>
      <c r="E154">
        <v>5</v>
      </c>
      <c r="F154">
        <v>34.4</v>
      </c>
      <c r="G154" s="2">
        <f t="shared" ref="G154:G163" si="24">(E154+F154/60)/D154/60/24</f>
        <v>3.8703703703703699E-3</v>
      </c>
      <c r="H154" s="13" t="e">
        <f ca="1">(PBS!$D$17+(50*PBS!$D$17/230)*LOG10(D154))/G154/86400*J154</f>
        <v>#NAME?</v>
      </c>
      <c r="I154" s="14" t="e">
        <f t="shared" ca="1" si="19"/>
        <v>#NAME?</v>
      </c>
      <c r="J154" s="15" t="e">
        <f t="shared" ca="1" si="20"/>
        <v>#NAME?</v>
      </c>
      <c r="K154" s="16" t="e">
        <f t="shared" ca="1" si="22"/>
        <v>#NAME?</v>
      </c>
      <c r="L154" s="17" t="e">
        <f t="shared" ca="1" si="21"/>
        <v>#NAME?</v>
      </c>
      <c r="M154" s="18"/>
      <c r="N154" s="17"/>
      <c r="O154" t="s">
        <v>192</v>
      </c>
    </row>
    <row r="155" spans="1:15" x14ac:dyDescent="0.15">
      <c r="H155" s="19"/>
      <c r="I155" s="14"/>
      <c r="J155" s="15"/>
      <c r="K155" s="16"/>
      <c r="L155" s="17"/>
      <c r="M155" s="18"/>
      <c r="N155" s="17"/>
    </row>
    <row r="156" spans="1:15" x14ac:dyDescent="0.15">
      <c r="B156" s="1">
        <v>41038</v>
      </c>
      <c r="C156" t="s">
        <v>140</v>
      </c>
      <c r="D156">
        <f>5/1.609</f>
        <v>3.1075201988812928</v>
      </c>
      <c r="E156">
        <v>21</v>
      </c>
      <c r="F156">
        <v>56.9</v>
      </c>
      <c r="G156" s="2">
        <f t="shared" si="24"/>
        <v>4.9048428240740733E-3</v>
      </c>
      <c r="H156" s="13" t="e">
        <f ca="1">(PBS!$D$17+(50*PBS!$D$17/230)*LOG10(D156))/G156/86400*J156</f>
        <v>#NAME?</v>
      </c>
      <c r="I156" s="14" t="e">
        <f t="shared" ca="1" si="19"/>
        <v>#NAME?</v>
      </c>
      <c r="J156" s="15" t="e">
        <f t="shared" ca="1" si="20"/>
        <v>#NAME?</v>
      </c>
      <c r="K156" s="16" t="e">
        <f t="shared" ca="1" si="22"/>
        <v>#NAME?</v>
      </c>
      <c r="L156" s="17" t="e">
        <f t="shared" ca="1" si="21"/>
        <v>#NAME?</v>
      </c>
      <c r="M156" s="18"/>
      <c r="N156" s="17"/>
      <c r="O156" t="s">
        <v>193</v>
      </c>
    </row>
    <row r="157" spans="1:15" x14ac:dyDescent="0.15">
      <c r="B157" s="1">
        <v>41083</v>
      </c>
      <c r="C157" t="s">
        <v>69</v>
      </c>
      <c r="D157">
        <f>10/1.609</f>
        <v>6.2150403977625857</v>
      </c>
      <c r="E157">
        <v>41</v>
      </c>
      <c r="F157">
        <v>17.5</v>
      </c>
      <c r="G157" s="2">
        <f t="shared" si="24"/>
        <v>4.6137702546296296E-3</v>
      </c>
      <c r="H157" s="13" t="e">
        <f ca="1">(PBS!$D$17+(50*PBS!$D$17/230)*LOG10(D157))/G157/86400*J157</f>
        <v>#NAME?</v>
      </c>
      <c r="I157" s="14" t="e">
        <f t="shared" ca="1" si="19"/>
        <v>#NAME?</v>
      </c>
      <c r="J157" s="15" t="e">
        <f t="shared" ca="1" si="20"/>
        <v>#NAME?</v>
      </c>
      <c r="K157" s="16" t="e">
        <f t="shared" ca="1" si="22"/>
        <v>#NAME?</v>
      </c>
      <c r="L157" s="17" t="e">
        <f t="shared" ca="1" si="21"/>
        <v>#NAME?</v>
      </c>
      <c r="M157" s="18"/>
      <c r="N157" s="17"/>
    </row>
    <row r="158" spans="1:15" x14ac:dyDescent="0.15">
      <c r="A158">
        <f>A157/2</f>
        <v>0</v>
      </c>
      <c r="B158" s="1">
        <v>41088</v>
      </c>
      <c r="C158" t="s">
        <v>142</v>
      </c>
      <c r="D158">
        <v>1</v>
      </c>
      <c r="E158">
        <v>5</v>
      </c>
      <c r="F158">
        <v>37.299999999999997</v>
      </c>
      <c r="G158" s="2">
        <f t="shared" si="24"/>
        <v>3.9039351851851852E-3</v>
      </c>
      <c r="H158" s="13" t="e">
        <f ca="1">(PBS!$D$17+(50*PBS!$D$17/230)*LOG10(D158))/G158/86400*J158</f>
        <v>#NAME?</v>
      </c>
      <c r="I158" s="14" t="e">
        <f t="shared" ca="1" si="19"/>
        <v>#NAME?</v>
      </c>
      <c r="J158" s="15" t="e">
        <f t="shared" ca="1" si="20"/>
        <v>#NAME?</v>
      </c>
      <c r="K158" s="16" t="e">
        <f t="shared" ca="1" si="22"/>
        <v>#NAME?</v>
      </c>
      <c r="L158" s="17" t="e">
        <f t="shared" ca="1" si="21"/>
        <v>#NAME?</v>
      </c>
      <c r="M158" s="18"/>
      <c r="N158" s="17"/>
    </row>
    <row r="159" spans="1:15" x14ac:dyDescent="0.15">
      <c r="B159" s="1">
        <v>41104</v>
      </c>
      <c r="C159" t="s">
        <v>194</v>
      </c>
      <c r="D159">
        <v>5.37</v>
      </c>
      <c r="E159">
        <v>34</v>
      </c>
      <c r="F159">
        <v>18.100000000000001</v>
      </c>
      <c r="G159" s="2">
        <f t="shared" si="24"/>
        <v>4.435866266639079E-3</v>
      </c>
      <c r="H159" s="13" t="e">
        <f ca="1">(PBS!$D$17+(50*PBS!$D$17/230)*LOG10(D159))/G159/86400*J159</f>
        <v>#NAME?</v>
      </c>
      <c r="I159" s="14" t="e">
        <f t="shared" ca="1" si="19"/>
        <v>#NAME?</v>
      </c>
      <c r="J159" s="15" t="e">
        <f t="shared" ca="1" si="20"/>
        <v>#NAME?</v>
      </c>
      <c r="K159" s="16" t="e">
        <f t="shared" ca="1" si="22"/>
        <v>#NAME?</v>
      </c>
      <c r="L159" s="17" t="e">
        <f t="shared" ca="1" si="21"/>
        <v>#NAME?</v>
      </c>
      <c r="M159" s="18"/>
      <c r="N159" s="17"/>
      <c r="O159" t="s">
        <v>195</v>
      </c>
    </row>
    <row r="160" spans="1:15" x14ac:dyDescent="0.15">
      <c r="B160" s="1">
        <v>41111</v>
      </c>
      <c r="C160" t="s">
        <v>167</v>
      </c>
      <c r="D160">
        <v>1</v>
      </c>
      <c r="E160">
        <v>5</v>
      </c>
      <c r="F160">
        <v>30.3</v>
      </c>
      <c r="G160" s="2">
        <f t="shared" si="24"/>
        <v>3.8229166666666667E-3</v>
      </c>
      <c r="H160" s="13" t="e">
        <f ca="1">(PBS!$D$17+(50*PBS!$D$17/230)*LOG10(D160))/G160/86400*J160</f>
        <v>#NAME?</v>
      </c>
      <c r="I160" s="14" t="e">
        <f t="shared" ca="1" si="19"/>
        <v>#NAME?</v>
      </c>
      <c r="J160" s="15" t="e">
        <f t="shared" ca="1" si="20"/>
        <v>#NAME?</v>
      </c>
      <c r="K160" s="16" t="e">
        <f t="shared" ca="1" si="22"/>
        <v>#NAME?</v>
      </c>
      <c r="L160" s="17" t="e">
        <f t="shared" ca="1" si="21"/>
        <v>#NAME?</v>
      </c>
      <c r="M160" s="18"/>
      <c r="N160" s="17"/>
      <c r="O160" t="s">
        <v>196</v>
      </c>
    </row>
    <row r="161" spans="2:15" x14ac:dyDescent="0.15">
      <c r="B161" s="1">
        <v>41112</v>
      </c>
      <c r="C161" t="s">
        <v>75</v>
      </c>
      <c r="D161">
        <f>26.2/1.609</f>
        <v>16.283405842137974</v>
      </c>
      <c r="E161">
        <v>143</v>
      </c>
      <c r="F161">
        <v>21.7</v>
      </c>
      <c r="G161" s="2">
        <f t="shared" si="24"/>
        <v>6.1139981357789105E-3</v>
      </c>
      <c r="H161" s="13" t="e">
        <f ca="1">(PBS!$D$17+(50*PBS!$D$17/230)*LOG10(D161))/G161/86400*J161</f>
        <v>#NAME?</v>
      </c>
      <c r="I161" s="14" t="e">
        <f t="shared" ca="1" si="19"/>
        <v>#NAME?</v>
      </c>
      <c r="J161" s="15" t="e">
        <f t="shared" ca="1" si="20"/>
        <v>#NAME?</v>
      </c>
      <c r="K161" s="16" t="e">
        <f t="shared" ca="1" si="22"/>
        <v>#NAME?</v>
      </c>
      <c r="L161" s="17" t="e">
        <f t="shared" ca="1" si="21"/>
        <v>#NAME?</v>
      </c>
      <c r="M161" s="18"/>
      <c r="N161" s="17"/>
      <c r="O161" t="s">
        <v>197</v>
      </c>
    </row>
    <row r="162" spans="2:15" x14ac:dyDescent="0.15">
      <c r="B162" s="1">
        <v>41125</v>
      </c>
      <c r="C162" t="s">
        <v>146</v>
      </c>
      <c r="D162">
        <v>13.1122</v>
      </c>
      <c r="E162">
        <v>107</v>
      </c>
      <c r="F162">
        <v>49</v>
      </c>
      <c r="G162" s="2">
        <f t="shared" si="24"/>
        <v>5.7101542979198913E-3</v>
      </c>
      <c r="H162" s="13" t="e">
        <f ca="1">(PBS!$D$17+(50*PBS!$D$17/230)*LOG10(D162))/G162/86400*J162</f>
        <v>#NAME?</v>
      </c>
      <c r="I162" s="14" t="e">
        <f t="shared" ca="1" si="19"/>
        <v>#NAME?</v>
      </c>
      <c r="J162" s="15" t="e">
        <f t="shared" ca="1" si="20"/>
        <v>#NAME?</v>
      </c>
      <c r="K162" s="16" t="e">
        <f t="shared" ca="1" si="22"/>
        <v>#NAME?</v>
      </c>
      <c r="L162" s="17" t="e">
        <f t="shared" ca="1" si="21"/>
        <v>#NAME?</v>
      </c>
      <c r="M162" s="18"/>
      <c r="N162" s="17"/>
      <c r="O162" t="s">
        <v>198</v>
      </c>
    </row>
    <row r="163" spans="2:15" x14ac:dyDescent="0.15">
      <c r="B163" s="1">
        <v>41146</v>
      </c>
      <c r="C163" t="s">
        <v>188</v>
      </c>
      <c r="D163">
        <f>5/1.609</f>
        <v>3.1075201988812928</v>
      </c>
      <c r="E163">
        <v>20</v>
      </c>
      <c r="F163">
        <v>24.2</v>
      </c>
      <c r="G163" s="2">
        <f t="shared" si="24"/>
        <v>4.5595782407407406E-3</v>
      </c>
      <c r="H163" s="13" t="e">
        <f ca="1">(PBS!$D$17+(50*PBS!$D$17/230)*LOG10(D163))/G163/86400*J163</f>
        <v>#NAME?</v>
      </c>
      <c r="I163" s="14" t="e">
        <f t="shared" ca="1" si="19"/>
        <v>#NAME?</v>
      </c>
      <c r="J163" s="15" t="e">
        <f t="shared" ca="1" si="20"/>
        <v>#NAME?</v>
      </c>
      <c r="K163" s="16" t="e">
        <f t="shared" ca="1" si="22"/>
        <v>#NAME?</v>
      </c>
      <c r="L163" s="17" t="e">
        <f t="shared" ca="1" si="21"/>
        <v>#NAME?</v>
      </c>
      <c r="M163" s="18"/>
      <c r="N163" s="17"/>
    </row>
    <row r="164" spans="2:15" x14ac:dyDescent="0.15">
      <c r="B164" s="1">
        <v>41167</v>
      </c>
      <c r="C164" t="s">
        <v>82</v>
      </c>
      <c r="D164">
        <f>42.195/1.609</f>
        <v>26.224362958359229</v>
      </c>
      <c r="E164">
        <v>261</v>
      </c>
      <c r="F164">
        <v>42</v>
      </c>
      <c r="G164" s="2">
        <f>(E164+F164/60)/D164/60/24</f>
        <v>6.9300486497873614E-3</v>
      </c>
      <c r="H164" s="13" t="e">
        <f ca="1">(PBS!$D$17+(50*PBS!$D$17/230)*LOG10(D164))/G164/86400*J164</f>
        <v>#NAME?</v>
      </c>
      <c r="I164" s="14" t="e">
        <f t="shared" ca="1" si="19"/>
        <v>#NAME?</v>
      </c>
      <c r="J164" s="15" t="e">
        <f t="shared" ca="1" si="20"/>
        <v>#NAME?</v>
      </c>
      <c r="K164" s="16" t="e">
        <f t="shared" ca="1" si="22"/>
        <v>#NAME?</v>
      </c>
      <c r="L164" s="17" t="e">
        <f t="shared" ca="1" si="21"/>
        <v>#NAME?</v>
      </c>
      <c r="M164" s="18"/>
      <c r="N164" s="17"/>
      <c r="O164" t="s">
        <v>199</v>
      </c>
    </row>
    <row r="165" spans="2:15" x14ac:dyDescent="0.15">
      <c r="B165" s="1">
        <v>41174</v>
      </c>
      <c r="C165" t="s">
        <v>200</v>
      </c>
      <c r="D165">
        <f>5/1.609</f>
        <v>3.1075201988812928</v>
      </c>
      <c r="E165">
        <v>19</v>
      </c>
      <c r="F165">
        <v>55</v>
      </c>
      <c r="G165" s="2">
        <f>(E165+F165/60)/D165/60/24</f>
        <v>4.4508217592592594E-3</v>
      </c>
      <c r="H165" s="13" t="e">
        <f ca="1">(PBS!$D$17+(50*PBS!$D$17/230)*LOG10(D165))/G165/86400*J165</f>
        <v>#NAME?</v>
      </c>
      <c r="I165" s="14" t="e">
        <f t="shared" ca="1" si="19"/>
        <v>#NAME?</v>
      </c>
      <c r="J165" s="15" t="e">
        <f t="shared" ca="1" si="20"/>
        <v>#NAME?</v>
      </c>
      <c r="K165" s="16" t="e">
        <f t="shared" ca="1" si="22"/>
        <v>#NAME?</v>
      </c>
      <c r="L165" s="17" t="e">
        <f t="shared" ca="1" si="21"/>
        <v>#NAME?</v>
      </c>
      <c r="M165" s="18"/>
      <c r="N165" s="17"/>
      <c r="O165" t="s">
        <v>201</v>
      </c>
    </row>
    <row r="166" spans="2:15" x14ac:dyDescent="0.15">
      <c r="B166" s="1">
        <v>41209</v>
      </c>
      <c r="C166" t="s">
        <v>202</v>
      </c>
      <c r="D166">
        <v>10</v>
      </c>
      <c r="E166">
        <v>68</v>
      </c>
      <c r="F166">
        <v>51</v>
      </c>
      <c r="G166" s="2">
        <f>(E166+F166/60)/D166/60/24</f>
        <v>4.7812499999999999E-3</v>
      </c>
      <c r="H166" s="13" t="e">
        <f ca="1">(PBS!$D$17+(50*PBS!$D$17/230)*LOG10(D166))/G166/86400*J166</f>
        <v>#NAME?</v>
      </c>
      <c r="I166" s="14" t="e">
        <f t="shared" ca="1" si="19"/>
        <v>#NAME?</v>
      </c>
      <c r="J166" s="15" t="e">
        <f t="shared" ca="1" si="20"/>
        <v>#NAME?</v>
      </c>
      <c r="K166" s="16" t="e">
        <f t="shared" ca="1" si="22"/>
        <v>#NAME?</v>
      </c>
      <c r="L166" s="17" t="e">
        <f t="shared" ca="1" si="21"/>
        <v>#NAME?</v>
      </c>
      <c r="M166" s="18"/>
      <c r="N166" s="17"/>
      <c r="O166" t="s">
        <v>203</v>
      </c>
    </row>
    <row r="167" spans="2:15" x14ac:dyDescent="0.15">
      <c r="H167" s="19"/>
      <c r="I167" s="14"/>
      <c r="J167" s="15"/>
      <c r="K167" s="16"/>
      <c r="L167" s="17"/>
      <c r="M167" s="18"/>
      <c r="N167" s="17"/>
    </row>
    <row r="168" spans="2:15" x14ac:dyDescent="0.15">
      <c r="B168" s="1">
        <v>41377</v>
      </c>
      <c r="C168" t="s">
        <v>57</v>
      </c>
      <c r="D168">
        <f>5/1.609</f>
        <v>3.1075201988812928</v>
      </c>
      <c r="E168">
        <v>19</v>
      </c>
      <c r="F168">
        <v>51.4</v>
      </c>
      <c r="G168" s="2">
        <f>(E168+F168/60)/D168/60/24</f>
        <v>4.437413425925925E-3</v>
      </c>
      <c r="H168" s="13" t="e">
        <f ca="1">(PBS!$D$17+(50*PBS!$D$17/230)*LOG10(D168))/G168/86400*J168</f>
        <v>#NAME?</v>
      </c>
      <c r="I168" s="14" t="e">
        <f t="shared" ca="1" si="19"/>
        <v>#NAME?</v>
      </c>
      <c r="J168" s="15" t="e">
        <f t="shared" ca="1" si="20"/>
        <v>#NAME?</v>
      </c>
      <c r="K168" s="16" t="e">
        <f t="shared" ca="1" si="22"/>
        <v>#NAME?</v>
      </c>
      <c r="L168" s="17" t="e">
        <f t="shared" ca="1" si="21"/>
        <v>#NAME?</v>
      </c>
      <c r="M168" s="18"/>
      <c r="N168" s="17"/>
    </row>
    <row r="169" spans="2:15" x14ac:dyDescent="0.15">
      <c r="B169" s="1">
        <v>41447</v>
      </c>
      <c r="C169" t="s">
        <v>69</v>
      </c>
      <c r="D169">
        <f>10/1.609</f>
        <v>6.2150403977625857</v>
      </c>
      <c r="E169">
        <v>41</v>
      </c>
      <c r="F169">
        <v>10</v>
      </c>
      <c r="G169" s="2">
        <f>(E169+F169/60)/D169/60/24</f>
        <v>4.5998032407407402E-3</v>
      </c>
      <c r="H169" s="13" t="e">
        <f ca="1">(PBS!$D$17+(50*PBS!$D$17/230)*LOG10(D169))/G169/86400*J169</f>
        <v>#NAME?</v>
      </c>
      <c r="I169" s="14" t="e">
        <f t="shared" ca="1" si="19"/>
        <v>#NAME?</v>
      </c>
      <c r="J169" s="15" t="e">
        <f t="shared" ca="1" si="20"/>
        <v>#NAME?</v>
      </c>
      <c r="K169" s="16" t="e">
        <f t="shared" ca="1" si="22"/>
        <v>#NAME?</v>
      </c>
      <c r="L169" s="17" t="e">
        <f t="shared" ca="1" si="21"/>
        <v>#NAME?</v>
      </c>
      <c r="M169" s="18"/>
      <c r="N169" s="17"/>
    </row>
    <row r="170" spans="2:15" x14ac:dyDescent="0.15">
      <c r="B170" s="1">
        <v>41452</v>
      </c>
      <c r="C170" t="s">
        <v>142</v>
      </c>
      <c r="D170">
        <v>1</v>
      </c>
      <c r="E170">
        <v>5</v>
      </c>
      <c r="F170">
        <v>27.7</v>
      </c>
      <c r="G170" s="2">
        <f>(E170+F170/60)/D170/60/24</f>
        <v>3.7928240740740739E-3</v>
      </c>
      <c r="H170" s="13" t="e">
        <f ca="1">(PBS!$D$17+(50*PBS!$D$17/230)*LOG10(D170))/G170/86400*J170</f>
        <v>#NAME?</v>
      </c>
      <c r="I170" s="14" t="e">
        <f t="shared" ca="1" si="19"/>
        <v>#NAME?</v>
      </c>
      <c r="J170" s="15" t="e">
        <f t="shared" ca="1" si="20"/>
        <v>#NAME?</v>
      </c>
      <c r="K170" s="16" t="e">
        <f t="shared" ca="1" si="22"/>
        <v>#NAME?</v>
      </c>
      <c r="L170" s="17" t="e">
        <f t="shared" ca="1" si="21"/>
        <v>#NAME?</v>
      </c>
      <c r="M170" s="18"/>
      <c r="N170" s="17"/>
    </row>
    <row r="171" spans="2:15" x14ac:dyDescent="0.15">
      <c r="H171" s="13"/>
      <c r="I171" s="14"/>
      <c r="J171" s="15"/>
      <c r="K171" s="16"/>
      <c r="L171" s="17"/>
      <c r="M171" s="18"/>
      <c r="N171" s="17"/>
    </row>
    <row r="172" spans="2:15" x14ac:dyDescent="0.15">
      <c r="H172" s="13"/>
      <c r="I172" s="14"/>
      <c r="J172" s="15"/>
      <c r="K172" s="16"/>
      <c r="L172" s="17"/>
      <c r="M172" s="18"/>
      <c r="N172" s="17"/>
    </row>
    <row r="173" spans="2:15" x14ac:dyDescent="0.15">
      <c r="H173" s="13"/>
      <c r="I173" s="14"/>
      <c r="J173" s="15"/>
      <c r="K173" s="16"/>
      <c r="L173" s="17"/>
      <c r="M173" s="18"/>
      <c r="N173" s="17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A7" sqref="A7"/>
    </sheetView>
  </sheetViews>
  <sheetFormatPr baseColWidth="10" defaultColWidth="11.6640625" defaultRowHeight="13" x14ac:dyDescent="0.15"/>
  <cols>
    <col min="1" max="1" width="18" customWidth="1"/>
    <col min="2" max="4" width="23.83203125" customWidth="1"/>
  </cols>
  <sheetData>
    <row r="1" spans="1:3" x14ac:dyDescent="0.15">
      <c r="A1" t="s">
        <v>204</v>
      </c>
      <c r="B1" t="s">
        <v>205</v>
      </c>
    </row>
    <row r="2" spans="1:3" x14ac:dyDescent="0.15">
      <c r="A2" s="30">
        <v>0.12430000000000001</v>
      </c>
      <c r="B2" s="30">
        <v>0.74390000000000001</v>
      </c>
      <c r="C2" s="30"/>
    </row>
    <row r="3" spans="1:3" x14ac:dyDescent="0.15">
      <c r="A3" s="30">
        <v>0.24860000000000002</v>
      </c>
      <c r="B3" s="30">
        <v>0.79900000000000004</v>
      </c>
      <c r="C3" s="30"/>
    </row>
    <row r="4" spans="1:3" x14ac:dyDescent="0.15">
      <c r="A4" s="30">
        <v>0.49720000000000003</v>
      </c>
      <c r="B4" s="30">
        <v>0.93670000000000009</v>
      </c>
      <c r="C4" s="30"/>
    </row>
    <row r="5" spans="1:3" x14ac:dyDescent="0.15">
      <c r="A5" s="30">
        <v>1</v>
      </c>
      <c r="B5" s="30">
        <v>1</v>
      </c>
      <c r="C5" s="30"/>
    </row>
    <row r="6" spans="1:3" x14ac:dyDescent="0.15">
      <c r="A6" s="30">
        <v>3</v>
      </c>
      <c r="B6" s="30">
        <f>B5+(A6-A5)/(A7-A5)*(B7-B5)</f>
        <v>1.0989798339264532</v>
      </c>
      <c r="C6" s="30"/>
    </row>
    <row r="7" spans="1:3" x14ac:dyDescent="0.15">
      <c r="A7" s="30">
        <v>3.1074999999999999</v>
      </c>
      <c r="B7" s="30">
        <v>1.1043000000000001</v>
      </c>
      <c r="C7" s="30"/>
    </row>
    <row r="8" spans="1:3" x14ac:dyDescent="0.15">
      <c r="A8" s="30">
        <v>4</v>
      </c>
      <c r="B8" s="30">
        <f>B7+(A8-A7)/(A9-A7)*(B9-B7)</f>
        <v>1.1186891391794047</v>
      </c>
      <c r="C8" s="30"/>
    </row>
    <row r="9" spans="1:3" x14ac:dyDescent="0.15">
      <c r="A9" s="30">
        <v>5</v>
      </c>
      <c r="B9" s="30">
        <f>B7+(A9-A7)/(A10-A7)*(B10-B7)</f>
        <v>1.1348114239742559</v>
      </c>
      <c r="C9" s="30"/>
    </row>
    <row r="10" spans="1:3" x14ac:dyDescent="0.15">
      <c r="A10" s="30">
        <v>6</v>
      </c>
      <c r="B10" s="30">
        <f>B7+(A10-A7)/(A11-A7)*(B11-B7)</f>
        <v>1.1509337087691072</v>
      </c>
      <c r="C10" s="30"/>
    </row>
    <row r="11" spans="1:3" x14ac:dyDescent="0.15">
      <c r="A11" s="30">
        <v>6.2149999999999999</v>
      </c>
      <c r="B11" s="30">
        <v>1.1544000000000001</v>
      </c>
      <c r="C11" s="30"/>
    </row>
    <row r="12" spans="1:3" x14ac:dyDescent="0.15">
      <c r="A12" s="30">
        <v>9</v>
      </c>
      <c r="B12" s="30">
        <f>B11+(A12-A11)/(A13-A11)*(B13-B11)</f>
        <v>1.1691050973338364</v>
      </c>
      <c r="C12" s="30"/>
    </row>
    <row r="13" spans="1:3" x14ac:dyDescent="0.15">
      <c r="A13" s="30">
        <v>13.1088</v>
      </c>
      <c r="B13" s="30">
        <v>1.1908000000000001</v>
      </c>
      <c r="C13" s="30"/>
    </row>
    <row r="14" spans="1:3" x14ac:dyDescent="0.15">
      <c r="A14" s="30">
        <v>16.2</v>
      </c>
      <c r="B14" s="30">
        <f>B13+(A14-A13)/(A15-A13)*(B15-B13)</f>
        <v>1.2100187478544784</v>
      </c>
      <c r="C14" s="30"/>
    </row>
    <row r="15" spans="1:3" x14ac:dyDescent="0.15">
      <c r="A15" s="30">
        <v>26.217500000000001</v>
      </c>
      <c r="B15" s="30">
        <v>1.2723</v>
      </c>
      <c r="C15" s="30"/>
    </row>
    <row r="17" spans="1:4" x14ac:dyDescent="0.15">
      <c r="A17" t="s">
        <v>204</v>
      </c>
      <c r="B17" t="s">
        <v>205</v>
      </c>
      <c r="C17" t="s">
        <v>206</v>
      </c>
      <c r="D17" t="s">
        <v>207</v>
      </c>
    </row>
    <row r="18" spans="1:4" x14ac:dyDescent="0.15">
      <c r="A18" s="30">
        <v>6.2149999999999999</v>
      </c>
      <c r="B18" s="30">
        <v>1.1544000000000001</v>
      </c>
      <c r="C18" s="30">
        <f>6+58/60</f>
        <v>6.9666666666666668</v>
      </c>
      <c r="D18" s="30">
        <f>C18/B18</f>
        <v>6.0348810348810344</v>
      </c>
    </row>
    <row r="19" spans="1:4" x14ac:dyDescent="0.15">
      <c r="A19" s="30">
        <v>6</v>
      </c>
      <c r="B19" s="30">
        <v>1.1499999999999999</v>
      </c>
      <c r="C19" s="30">
        <f>7+8/60</f>
        <v>7.1333333333333337</v>
      </c>
      <c r="D19" s="30">
        <f>C19/B19</f>
        <v>6.2028985507246386</v>
      </c>
    </row>
    <row r="20" spans="1:4" x14ac:dyDescent="0.15">
      <c r="A20" s="30"/>
      <c r="B20" s="30"/>
      <c r="C20" s="30"/>
      <c r="D20" s="30"/>
    </row>
    <row r="21" spans="1:4" x14ac:dyDescent="0.15">
      <c r="A21" s="30"/>
      <c r="B21" s="30">
        <f>6.2/6.215</f>
        <v>0.99758648431214803</v>
      </c>
      <c r="C21" s="30"/>
      <c r="D21" s="30"/>
    </row>
    <row r="22" spans="1:4" x14ac:dyDescent="0.15">
      <c r="A22" s="30"/>
      <c r="B22" s="30"/>
      <c r="C22" s="30"/>
      <c r="D22" s="30"/>
    </row>
    <row r="23" spans="1:4" x14ac:dyDescent="0.15">
      <c r="A23" s="30"/>
      <c r="B23" s="30"/>
      <c r="C23" s="30"/>
      <c r="D23" s="30"/>
    </row>
    <row r="24" spans="1:4" x14ac:dyDescent="0.15">
      <c r="A24" s="30"/>
      <c r="B24" s="30"/>
      <c r="C24" s="30"/>
      <c r="D24" s="30"/>
    </row>
    <row r="25" spans="1:4" x14ac:dyDescent="0.15">
      <c r="A25" s="30"/>
      <c r="B25" s="30"/>
      <c r="C25" s="30"/>
      <c r="D25" s="30"/>
    </row>
    <row r="26" spans="1:4" x14ac:dyDescent="0.15">
      <c r="A26" s="30"/>
      <c r="B26" s="30"/>
      <c r="C26" s="30"/>
      <c r="D26" s="30"/>
    </row>
    <row r="27" spans="1:4" x14ac:dyDescent="0.15">
      <c r="A27" s="30"/>
      <c r="B27" s="30"/>
      <c r="C27" s="30"/>
      <c r="D27" s="30"/>
    </row>
    <row r="28" spans="1:4" x14ac:dyDescent="0.15">
      <c r="A28" s="30"/>
      <c r="B28" s="30"/>
      <c r="C28" s="30"/>
      <c r="D28" s="30"/>
    </row>
    <row r="29" spans="1:4" x14ac:dyDescent="0.15">
      <c r="A29" s="30"/>
      <c r="B29" s="30"/>
      <c r="C29" s="30"/>
      <c r="D29" s="30"/>
    </row>
    <row r="30" spans="1:4" x14ac:dyDescent="0.15">
      <c r="A30" s="30"/>
      <c r="B30" s="30"/>
      <c r="C30" s="30"/>
      <c r="D30" s="30"/>
    </row>
    <row r="31" spans="1:4" x14ac:dyDescent="0.15">
      <c r="A31" s="30"/>
      <c r="B31" s="30"/>
      <c r="C31" s="30"/>
      <c r="D31" s="30"/>
    </row>
    <row r="32" spans="1:4" x14ac:dyDescent="0.15">
      <c r="A32" s="30"/>
      <c r="B32" s="30"/>
      <c r="C32" s="30"/>
      <c r="D32" s="30"/>
    </row>
    <row r="33" spans="1:4" x14ac:dyDescent="0.15">
      <c r="A33" s="30"/>
      <c r="B33" s="30"/>
      <c r="C33" s="30"/>
      <c r="D33" s="30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5"/>
  <sheetViews>
    <sheetView workbookViewId="0">
      <selection activeCell="I32" sqref="I31:I32"/>
    </sheetView>
  </sheetViews>
  <sheetFormatPr baseColWidth="10" defaultColWidth="8.83203125" defaultRowHeight="13" x14ac:dyDescent="0.15"/>
  <cols>
    <col min="1" max="1" width="9.1640625" style="5" customWidth="1"/>
    <col min="2" max="2" width="20.33203125" customWidth="1"/>
    <col min="3" max="3" width="20.83203125" customWidth="1"/>
    <col min="4" max="4" width="24" customWidth="1"/>
    <col min="5" max="5" width="19.83203125" customWidth="1"/>
    <col min="6" max="6" width="26.5" customWidth="1"/>
    <col min="7" max="7" width="28.33203125" customWidth="1"/>
    <col min="8" max="8" width="27.33203125" customWidth="1"/>
    <col min="9" max="9" width="18.5" customWidth="1"/>
    <col min="10" max="10" width="24.5" customWidth="1"/>
    <col min="11" max="11" width="18.33203125" customWidth="1"/>
    <col min="12" max="12" width="28.5" customWidth="1"/>
    <col min="13" max="13" width="15.83203125" customWidth="1"/>
    <col min="14" max="14" width="14.83203125" customWidth="1"/>
  </cols>
  <sheetData>
    <row r="1" spans="1:13" s="5" customFormat="1" x14ac:dyDescent="0.15">
      <c r="B1" s="5" t="s">
        <v>208</v>
      </c>
      <c r="C1" s="5" t="s">
        <v>209</v>
      </c>
      <c r="D1" s="5" t="s">
        <v>210</v>
      </c>
      <c r="E1" s="5" t="s">
        <v>211</v>
      </c>
      <c r="F1" s="5" t="s">
        <v>212</v>
      </c>
      <c r="G1" s="5" t="s">
        <v>213</v>
      </c>
      <c r="H1" s="5" t="s">
        <v>214</v>
      </c>
      <c r="I1" s="5" t="s">
        <v>215</v>
      </c>
      <c r="K1" s="5" t="s">
        <v>216</v>
      </c>
      <c r="L1" s="5" t="s">
        <v>217</v>
      </c>
    </row>
    <row r="2" spans="1:13" x14ac:dyDescent="0.15">
      <c r="A2" s="5" t="s">
        <v>218</v>
      </c>
      <c r="B2" t="s">
        <v>219</v>
      </c>
      <c r="C2" t="s">
        <v>220</v>
      </c>
      <c r="D2" t="s">
        <v>221</v>
      </c>
      <c r="E2" t="s">
        <v>222</v>
      </c>
      <c r="F2" t="s">
        <v>223</v>
      </c>
      <c r="G2" t="s">
        <v>221</v>
      </c>
      <c r="H2" t="s">
        <v>224</v>
      </c>
      <c r="I2" t="s">
        <v>221</v>
      </c>
      <c r="K2" t="s">
        <v>221</v>
      </c>
      <c r="L2" s="31" t="s">
        <v>225</v>
      </c>
    </row>
    <row r="3" spans="1:13" x14ac:dyDescent="0.15">
      <c r="A3" s="5" t="s">
        <v>226</v>
      </c>
      <c r="B3" t="s">
        <v>227</v>
      </c>
      <c r="C3" t="s">
        <v>228</v>
      </c>
      <c r="D3" t="s">
        <v>221</v>
      </c>
      <c r="E3" t="s">
        <v>229</v>
      </c>
      <c r="F3" t="s">
        <v>230</v>
      </c>
      <c r="G3" t="s">
        <v>221</v>
      </c>
      <c r="H3" t="s">
        <v>231</v>
      </c>
      <c r="I3" t="s">
        <v>221</v>
      </c>
      <c r="K3" t="s">
        <v>221</v>
      </c>
      <c r="L3" s="31" t="s">
        <v>232</v>
      </c>
    </row>
    <row r="4" spans="1:13" x14ac:dyDescent="0.15">
      <c r="A4" s="5" t="s">
        <v>233</v>
      </c>
      <c r="B4" t="s">
        <v>234</v>
      </c>
      <c r="C4" t="s">
        <v>235</v>
      </c>
      <c r="D4" t="s">
        <v>221</v>
      </c>
      <c r="E4" t="s">
        <v>236</v>
      </c>
      <c r="F4" t="s">
        <v>237</v>
      </c>
      <c r="G4" t="s">
        <v>221</v>
      </c>
      <c r="H4" t="s">
        <v>238</v>
      </c>
      <c r="I4" t="s">
        <v>221</v>
      </c>
      <c r="K4" t="s">
        <v>239</v>
      </c>
      <c r="L4" s="31" t="s">
        <v>240</v>
      </c>
    </row>
    <row r="5" spans="1:13" x14ac:dyDescent="0.15">
      <c r="A5" s="5" t="s">
        <v>241</v>
      </c>
      <c r="B5" t="s">
        <v>242</v>
      </c>
      <c r="C5" t="s">
        <v>243</v>
      </c>
      <c r="D5" t="s">
        <v>221</v>
      </c>
      <c r="E5" t="s">
        <v>244</v>
      </c>
      <c r="F5" t="s">
        <v>245</v>
      </c>
      <c r="G5" t="s">
        <v>221</v>
      </c>
      <c r="H5" t="s">
        <v>246</v>
      </c>
      <c r="I5" t="s">
        <v>247</v>
      </c>
      <c r="K5" t="s">
        <v>248</v>
      </c>
      <c r="L5" s="31" t="s">
        <v>249</v>
      </c>
    </row>
    <row r="6" spans="1:13" x14ac:dyDescent="0.15">
      <c r="A6" s="5" t="s">
        <v>250</v>
      </c>
      <c r="B6" t="s">
        <v>221</v>
      </c>
      <c r="C6" t="s">
        <v>251</v>
      </c>
      <c r="D6" t="s">
        <v>252</v>
      </c>
      <c r="E6" t="s">
        <v>253</v>
      </c>
      <c r="F6" t="s">
        <v>254</v>
      </c>
      <c r="G6" t="s">
        <v>255</v>
      </c>
      <c r="H6" t="s">
        <v>256</v>
      </c>
      <c r="I6" t="s">
        <v>257</v>
      </c>
      <c r="K6" t="s">
        <v>258</v>
      </c>
      <c r="L6" s="31" t="s">
        <v>259</v>
      </c>
    </row>
    <row r="7" spans="1:13" x14ac:dyDescent="0.15">
      <c r="A7" s="5" t="s">
        <v>260</v>
      </c>
      <c r="B7" t="s">
        <v>261</v>
      </c>
      <c r="C7" t="s">
        <v>262</v>
      </c>
      <c r="D7" t="s">
        <v>263</v>
      </c>
      <c r="E7" t="s">
        <v>221</v>
      </c>
      <c r="F7" t="s">
        <v>264</v>
      </c>
      <c r="G7" t="s">
        <v>265</v>
      </c>
      <c r="H7" t="s">
        <v>266</v>
      </c>
      <c r="I7" t="s">
        <v>267</v>
      </c>
      <c r="K7" t="s">
        <v>268</v>
      </c>
      <c r="L7" s="31" t="s">
        <v>269</v>
      </c>
    </row>
    <row r="8" spans="1:13" x14ac:dyDescent="0.15">
      <c r="A8" s="5" t="s">
        <v>270</v>
      </c>
      <c r="B8" t="s">
        <v>221</v>
      </c>
      <c r="C8" t="s">
        <v>221</v>
      </c>
      <c r="D8" t="s">
        <v>271</v>
      </c>
      <c r="E8" t="s">
        <v>272</v>
      </c>
      <c r="F8" t="s">
        <v>273</v>
      </c>
      <c r="G8" t="s">
        <v>274</v>
      </c>
      <c r="H8" t="s">
        <v>275</v>
      </c>
      <c r="I8" t="s">
        <v>276</v>
      </c>
      <c r="K8" t="s">
        <v>259</v>
      </c>
      <c r="L8" s="31" t="s">
        <v>277</v>
      </c>
    </row>
    <row r="9" spans="1:13" x14ac:dyDescent="0.15">
      <c r="A9" s="5" t="s">
        <v>278</v>
      </c>
      <c r="B9" t="s">
        <v>221</v>
      </c>
      <c r="C9" t="s">
        <v>221</v>
      </c>
      <c r="D9" t="s">
        <v>221</v>
      </c>
      <c r="E9" t="s">
        <v>221</v>
      </c>
      <c r="F9" t="s">
        <v>279</v>
      </c>
      <c r="G9" t="s">
        <v>221</v>
      </c>
      <c r="H9" t="s">
        <v>221</v>
      </c>
      <c r="I9" t="s">
        <v>280</v>
      </c>
      <c r="K9" t="s">
        <v>281</v>
      </c>
      <c r="L9" s="31" t="s">
        <v>282</v>
      </c>
    </row>
    <row r="11" spans="1:13" x14ac:dyDescent="0.15">
      <c r="L11" t="s">
        <v>283</v>
      </c>
    </row>
    <row r="13" spans="1:13" x14ac:dyDescent="0.15">
      <c r="D13" t="s">
        <v>284</v>
      </c>
      <c r="E13" t="s">
        <v>285</v>
      </c>
      <c r="F13" t="s">
        <v>286</v>
      </c>
    </row>
    <row r="14" spans="1:13" x14ac:dyDescent="0.15">
      <c r="A14" s="21">
        <f>200/1609</f>
        <v>0.12430080795525171</v>
      </c>
      <c r="B14">
        <v>21</v>
      </c>
      <c r="C14" s="31">
        <f t="shared" ref="C14:C21" si="0">(230+50*LOG10(A14))*A14</f>
        <v>22.961304857457751</v>
      </c>
      <c r="D14" s="31">
        <f>($D$17+(50*$D$17/230)*LOG10($A14))*$A14</f>
        <v>32.644985601689932</v>
      </c>
      <c r="E14" s="32">
        <f t="shared" ref="E14:E21" si="1">D14/60/A14</f>
        <v>4.3771484860932581</v>
      </c>
      <c r="F14" s="31">
        <f t="shared" ref="F14:F21" si="2">D14/A14*400/1609</f>
        <v>65.289971203379849</v>
      </c>
      <c r="G14" s="31"/>
      <c r="I14" s="31"/>
      <c r="J14" s="31"/>
      <c r="K14" s="32"/>
      <c r="L14" s="31"/>
      <c r="M14" s="31"/>
    </row>
    <row r="15" spans="1:13" x14ac:dyDescent="0.15">
      <c r="A15" s="21">
        <f>400/1609</f>
        <v>0.24860161591050342</v>
      </c>
      <c r="B15">
        <v>45</v>
      </c>
      <c r="C15" s="31">
        <f t="shared" si="0"/>
        <v>49.66443688289538</v>
      </c>
      <c r="D15" s="31">
        <f>($D$17+(50*$D$17/230)*LOG10($A15))*$A15</f>
        <v>70.609873307420813</v>
      </c>
      <c r="E15" s="32">
        <f t="shared" si="1"/>
        <v>4.7338035896516706</v>
      </c>
      <c r="F15" s="31">
        <f t="shared" si="2"/>
        <v>70.609873307420813</v>
      </c>
      <c r="G15" s="31"/>
      <c r="I15" s="31"/>
      <c r="J15" s="31"/>
      <c r="K15" s="32"/>
      <c r="L15" s="31"/>
      <c r="M15" s="31"/>
    </row>
    <row r="16" spans="1:13" x14ac:dyDescent="0.15">
      <c r="A16" s="21">
        <f>800/1609</f>
        <v>0.49720323182100684</v>
      </c>
      <c r="B16">
        <v>105</v>
      </c>
      <c r="C16" s="31">
        <f t="shared" si="0"/>
        <v>106.8125281017505</v>
      </c>
      <c r="D16" s="31">
        <f>($D$17+(50*$D$17/230)*LOG10($A16))*$A16</f>
        <v>151.85955082292355</v>
      </c>
      <c r="E16" s="32">
        <f t="shared" si="1"/>
        <v>5.090458693210083</v>
      </c>
      <c r="F16" s="31">
        <f t="shared" si="2"/>
        <v>75.929775411461776</v>
      </c>
      <c r="G16" s="31"/>
      <c r="I16" s="31"/>
      <c r="J16" s="31"/>
      <c r="K16" s="32"/>
      <c r="L16" s="31"/>
      <c r="M16" s="31"/>
    </row>
    <row r="17" spans="1:13" x14ac:dyDescent="0.15">
      <c r="A17">
        <v>1</v>
      </c>
      <c r="B17">
        <v>230</v>
      </c>
      <c r="C17" s="31">
        <f t="shared" si="0"/>
        <v>230</v>
      </c>
      <c r="D17" s="31">
        <v>327</v>
      </c>
      <c r="E17" s="32">
        <f t="shared" si="1"/>
        <v>5.45</v>
      </c>
      <c r="F17" s="31">
        <f t="shared" si="2"/>
        <v>81.292728402734625</v>
      </c>
      <c r="G17" s="31"/>
      <c r="I17" s="31"/>
      <c r="J17" s="31"/>
      <c r="K17" s="32"/>
      <c r="L17" s="31"/>
      <c r="M17" s="31"/>
    </row>
    <row r="18" spans="1:13" x14ac:dyDescent="0.15">
      <c r="A18" s="21">
        <f>5000/1609</f>
        <v>3.1075201988812928</v>
      </c>
      <c r="B18" s="21">
        <f>13*60</f>
        <v>780</v>
      </c>
      <c r="C18" s="31">
        <f t="shared" si="0"/>
        <v>791.23896212507611</v>
      </c>
      <c r="D18" s="31">
        <f>($D$17+(50*$D$17/230)*LOG10($A18))*$A18</f>
        <v>1124.9353939778255</v>
      </c>
      <c r="E18" s="32">
        <f t="shared" si="1"/>
        <v>6.033403496367737</v>
      </c>
      <c r="F18" s="31">
        <f t="shared" si="2"/>
        <v>89.994831518226036</v>
      </c>
      <c r="G18" s="31"/>
      <c r="I18" s="31"/>
      <c r="J18" s="31"/>
      <c r="K18" s="32"/>
      <c r="L18" s="31"/>
      <c r="M18" s="31"/>
    </row>
    <row r="19" spans="1:13" x14ac:dyDescent="0.15">
      <c r="A19" s="21">
        <f>10000/1609</f>
        <v>6.2150403977625857</v>
      </c>
      <c r="B19" s="21">
        <f>28*60</f>
        <v>1680</v>
      </c>
      <c r="C19" s="31">
        <f t="shared" si="0"/>
        <v>1676.023603449649</v>
      </c>
      <c r="D19" s="31">
        <f>($D$17+(50*$D$17/230)*LOG10($A19))*$A19</f>
        <v>2382.8683405566749</v>
      </c>
      <c r="E19" s="32">
        <f t="shared" si="1"/>
        <v>6.3900585999261494</v>
      </c>
      <c r="F19" s="31">
        <f t="shared" si="2"/>
        <v>95.314733622266985</v>
      </c>
      <c r="G19" s="31"/>
      <c r="I19" s="31"/>
      <c r="J19" s="31"/>
      <c r="K19" s="32"/>
      <c r="L19" s="31"/>
      <c r="M19" s="31"/>
    </row>
    <row r="20" spans="1:13" x14ac:dyDescent="0.15">
      <c r="A20" s="21">
        <f>A21/2</f>
        <v>13.109073958980733</v>
      </c>
      <c r="B20" s="21">
        <f>61*60</f>
        <v>3660</v>
      </c>
      <c r="C20" s="31">
        <f t="shared" si="0"/>
        <v>3747.6037196566167</v>
      </c>
      <c r="D20" s="31">
        <f>($D$17+(50*$D$17/230)*LOG10($A20))*$A20</f>
        <v>5328.114853598755</v>
      </c>
      <c r="E20" s="32">
        <f t="shared" si="1"/>
        <v>6.7740798857732978</v>
      </c>
      <c r="F20" s="31">
        <f t="shared" si="2"/>
        <v>101.04283235460481</v>
      </c>
      <c r="G20" s="31"/>
      <c r="I20" s="31"/>
      <c r="J20" s="31"/>
      <c r="K20" s="32"/>
      <c r="L20" s="31"/>
      <c r="M20" s="31"/>
    </row>
    <row r="21" spans="1:13" x14ac:dyDescent="0.15">
      <c r="A21" s="21">
        <f>(351+26*1609)/1609</f>
        <v>26.218147917961467</v>
      </c>
      <c r="B21" s="21">
        <f>126*60</f>
        <v>7560</v>
      </c>
      <c r="C21" s="31">
        <f t="shared" si="0"/>
        <v>7889.8298870163098</v>
      </c>
      <c r="D21" s="31">
        <f>($D$17+(50*$D$17/230)*LOG10($A21))*$A21</f>
        <v>11217.279882844929</v>
      </c>
      <c r="E21" s="32">
        <f t="shared" si="1"/>
        <v>7.1307349893317102</v>
      </c>
      <c r="F21" s="31">
        <f t="shared" si="2"/>
        <v>106.36273445864575</v>
      </c>
      <c r="G21" s="31"/>
      <c r="I21" s="31"/>
      <c r="J21" s="31"/>
      <c r="K21" s="32"/>
      <c r="L21" s="31"/>
      <c r="M21" s="31"/>
    </row>
    <row r="22" spans="1:13" x14ac:dyDescent="0.15">
      <c r="A22"/>
      <c r="F22" s="31"/>
      <c r="G22" s="31"/>
      <c r="L22" s="31"/>
      <c r="M22" s="31"/>
    </row>
    <row r="23" spans="1:13" x14ac:dyDescent="0.15">
      <c r="A23" t="s">
        <v>287</v>
      </c>
      <c r="B23" t="s">
        <v>288</v>
      </c>
      <c r="C23" t="s">
        <v>289</v>
      </c>
      <c r="D23" t="s">
        <v>290</v>
      </c>
      <c r="E23" t="s">
        <v>291</v>
      </c>
    </row>
    <row r="24" spans="1:13" x14ac:dyDescent="0.15">
      <c r="A24"/>
      <c r="B24" t="s">
        <v>292</v>
      </c>
      <c r="D24" t="s">
        <v>293</v>
      </c>
      <c r="E24" t="s">
        <v>294</v>
      </c>
      <c r="F24" t="s">
        <v>295</v>
      </c>
    </row>
    <row r="25" spans="1:13" x14ac:dyDescent="0.15">
      <c r="A25"/>
      <c r="D25" t="s">
        <v>296</v>
      </c>
    </row>
    <row r="26" spans="1:13" x14ac:dyDescent="0.15">
      <c r="A26"/>
      <c r="D26" t="s">
        <v>297</v>
      </c>
    </row>
    <row r="27" spans="1:13" x14ac:dyDescent="0.15">
      <c r="A27"/>
      <c r="D27" t="s">
        <v>298</v>
      </c>
    </row>
    <row r="28" spans="1:13" x14ac:dyDescent="0.15">
      <c r="A28"/>
      <c r="D28" t="s">
        <v>299</v>
      </c>
    </row>
    <row r="30" spans="1:13" x14ac:dyDescent="0.15">
      <c r="E30" t="s">
        <v>284</v>
      </c>
      <c r="F30" t="s">
        <v>285</v>
      </c>
      <c r="G30" t="s">
        <v>286</v>
      </c>
    </row>
    <row r="31" spans="1:13" x14ac:dyDescent="0.15">
      <c r="A31" s="5">
        <v>1</v>
      </c>
      <c r="E31" s="31">
        <f>($D$17+(50*$D$17/230)*LOG10($A31))*$A31</f>
        <v>327</v>
      </c>
      <c r="F31" s="32" t="e">
        <f t="shared" ref="F31:F38" si="3">E31/60/B31</f>
        <v>#DIV/0!</v>
      </c>
      <c r="G31" s="31" t="e">
        <f t="shared" ref="G31:G38" si="4">E31/B31*400/1609</f>
        <v>#DIV/0!</v>
      </c>
    </row>
    <row r="32" spans="1:13" x14ac:dyDescent="0.15">
      <c r="E32" s="31" t="e">
        <f>($D$17+(50*$D$17/230)*LOG10($A32))*$A32</f>
        <v>#NUM!</v>
      </c>
      <c r="F32" s="32" t="e">
        <f t="shared" si="3"/>
        <v>#NUM!</v>
      </c>
      <c r="G32" s="31" t="e">
        <f t="shared" si="4"/>
        <v>#NUM!</v>
      </c>
    </row>
    <row r="33" spans="5:7" x14ac:dyDescent="0.15">
      <c r="E33" s="31" t="e">
        <f>($D$17+(50*$D$17/230)*LOG10($A33))*$A33</f>
        <v>#NUM!</v>
      </c>
      <c r="F33" s="32" t="e">
        <f t="shared" si="3"/>
        <v>#NUM!</v>
      </c>
      <c r="G33" s="31" t="e">
        <f t="shared" si="4"/>
        <v>#NUM!</v>
      </c>
    </row>
    <row r="34" spans="5:7" x14ac:dyDescent="0.15">
      <c r="E34" s="31">
        <v>308</v>
      </c>
      <c r="F34" s="32" t="e">
        <f t="shared" si="3"/>
        <v>#DIV/0!</v>
      </c>
      <c r="G34" s="31" t="e">
        <f t="shared" si="4"/>
        <v>#DIV/0!</v>
      </c>
    </row>
    <row r="35" spans="5:7" x14ac:dyDescent="0.15">
      <c r="E35" s="31" t="e">
        <f>($D$17+(50*$D$17/230)*LOG10($A35))*$A35</f>
        <v>#NUM!</v>
      </c>
      <c r="F35" s="32" t="e">
        <f t="shared" si="3"/>
        <v>#NUM!</v>
      </c>
      <c r="G35" s="31" t="e">
        <f t="shared" si="4"/>
        <v>#NUM!</v>
      </c>
    </row>
    <row r="36" spans="5:7" x14ac:dyDescent="0.15">
      <c r="E36" s="31" t="e">
        <f>($D$17+(50*$D$17/230)*LOG10($A36))*$A36</f>
        <v>#NUM!</v>
      </c>
      <c r="F36" s="32" t="e">
        <f t="shared" si="3"/>
        <v>#NUM!</v>
      </c>
      <c r="G36" s="31" t="e">
        <f t="shared" si="4"/>
        <v>#NUM!</v>
      </c>
    </row>
    <row r="37" spans="5:7" x14ac:dyDescent="0.15">
      <c r="E37" s="31" t="e">
        <f>($D$17+(50*$D$17/230)*LOG10($A37))*$A37</f>
        <v>#NUM!</v>
      </c>
      <c r="F37" s="32" t="e">
        <f t="shared" si="3"/>
        <v>#NUM!</v>
      </c>
      <c r="G37" s="31" t="e">
        <f t="shared" si="4"/>
        <v>#NUM!</v>
      </c>
    </row>
    <row r="38" spans="5:7" x14ac:dyDescent="0.15">
      <c r="E38" s="31" t="e">
        <f>($D$17+(50*$D$17/230)*LOG10($A38))*$A38</f>
        <v>#NUM!</v>
      </c>
      <c r="F38" s="32" t="e">
        <f t="shared" si="3"/>
        <v>#NUM!</v>
      </c>
      <c r="G38" s="31" t="e">
        <f t="shared" si="4"/>
        <v>#NUM!</v>
      </c>
    </row>
    <row r="39" spans="5:7" x14ac:dyDescent="0.15">
      <c r="G39" s="31"/>
    </row>
    <row r="40" spans="5:7" x14ac:dyDescent="0.15">
      <c r="E40" t="s">
        <v>290</v>
      </c>
      <c r="F40" t="s">
        <v>291</v>
      </c>
    </row>
    <row r="41" spans="5:7" x14ac:dyDescent="0.15">
      <c r="E41" t="s">
        <v>293</v>
      </c>
      <c r="F41" t="s">
        <v>294</v>
      </c>
      <c r="G41" t="s">
        <v>295</v>
      </c>
    </row>
    <row r="42" spans="5:7" x14ac:dyDescent="0.15">
      <c r="E42" t="s">
        <v>296</v>
      </c>
    </row>
    <row r="43" spans="5:7" x14ac:dyDescent="0.15">
      <c r="E43" t="s">
        <v>297</v>
      </c>
    </row>
    <row r="44" spans="5:7" x14ac:dyDescent="0.15">
      <c r="E44" t="s">
        <v>298</v>
      </c>
    </row>
    <row r="45" spans="5:7" x14ac:dyDescent="0.15">
      <c r="E45" t="s">
        <v>299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3"/>
  <sheetViews>
    <sheetView workbookViewId="0">
      <selection activeCell="B16" sqref="B16"/>
    </sheetView>
  </sheetViews>
  <sheetFormatPr baseColWidth="10" defaultColWidth="8.83203125" defaultRowHeight="13" x14ac:dyDescent="0.15"/>
  <cols>
    <col min="2" max="2" width="16.1640625" customWidth="1"/>
    <col min="3" max="3" width="15.33203125" customWidth="1"/>
    <col min="4" max="4" width="14.1640625" customWidth="1"/>
    <col min="5" max="5" width="13.83203125" customWidth="1"/>
    <col min="6" max="6" width="12.5" customWidth="1"/>
  </cols>
  <sheetData>
    <row r="2" spans="1:7" x14ac:dyDescent="0.15">
      <c r="A2" t="s">
        <v>300</v>
      </c>
      <c r="B2" t="s">
        <v>301</v>
      </c>
      <c r="C2" t="s">
        <v>302</v>
      </c>
      <c r="D2" t="s">
        <v>303</v>
      </c>
      <c r="E2" t="s">
        <v>304</v>
      </c>
      <c r="F2" t="s">
        <v>305</v>
      </c>
    </row>
    <row r="3" spans="1:7" x14ac:dyDescent="0.15">
      <c r="A3">
        <v>1998</v>
      </c>
      <c r="B3" t="s">
        <v>87</v>
      </c>
      <c r="C3" t="s">
        <v>87</v>
      </c>
      <c r="D3">
        <v>13</v>
      </c>
      <c r="E3" t="s">
        <v>87</v>
      </c>
      <c r="F3">
        <v>5</v>
      </c>
    </row>
    <row r="4" spans="1:7" x14ac:dyDescent="0.15">
      <c r="A4">
        <v>1999</v>
      </c>
      <c r="B4" t="s">
        <v>306</v>
      </c>
      <c r="C4">
        <v>123</v>
      </c>
      <c r="D4">
        <v>21</v>
      </c>
      <c r="E4">
        <v>41</v>
      </c>
      <c r="F4">
        <v>5</v>
      </c>
      <c r="G4" t="s">
        <v>307</v>
      </c>
    </row>
    <row r="5" spans="1:7" x14ac:dyDescent="0.15">
      <c r="A5">
        <v>2000</v>
      </c>
      <c r="B5" t="s">
        <v>308</v>
      </c>
      <c r="C5">
        <v>16</v>
      </c>
      <c r="D5">
        <v>133</v>
      </c>
      <c r="E5">
        <v>12</v>
      </c>
      <c r="F5">
        <v>40</v>
      </c>
      <c r="G5" t="s">
        <v>309</v>
      </c>
    </row>
    <row r="7" spans="1:7" x14ac:dyDescent="0.15">
      <c r="A7">
        <v>2007</v>
      </c>
      <c r="B7" t="s">
        <v>310</v>
      </c>
      <c r="C7" t="s">
        <v>87</v>
      </c>
    </row>
    <row r="8" spans="1:7" x14ac:dyDescent="0.15">
      <c r="A8">
        <v>2008</v>
      </c>
      <c r="B8" t="s">
        <v>311</v>
      </c>
      <c r="E8">
        <v>10</v>
      </c>
      <c r="F8">
        <v>39</v>
      </c>
    </row>
    <row r="9" spans="1:7" x14ac:dyDescent="0.15">
      <c r="A9">
        <v>2009</v>
      </c>
      <c r="B9" t="s">
        <v>312</v>
      </c>
      <c r="C9">
        <v>127</v>
      </c>
      <c r="D9">
        <v>19</v>
      </c>
      <c r="E9">
        <v>79</v>
      </c>
      <c r="F9">
        <v>4</v>
      </c>
      <c r="G9" t="s">
        <v>313</v>
      </c>
    </row>
    <row r="10" spans="1:7" x14ac:dyDescent="0.15">
      <c r="A10">
        <v>2010</v>
      </c>
      <c r="B10" t="s">
        <v>314</v>
      </c>
      <c r="C10">
        <v>268</v>
      </c>
      <c r="D10">
        <v>5</v>
      </c>
      <c r="E10">
        <v>150</v>
      </c>
      <c r="F10">
        <v>3</v>
      </c>
      <c r="G10" t="s">
        <v>315</v>
      </c>
    </row>
    <row r="12" spans="1:7" x14ac:dyDescent="0.15">
      <c r="A12">
        <v>2012</v>
      </c>
      <c r="B12" s="33" t="s">
        <v>316</v>
      </c>
      <c r="C12">
        <v>134</v>
      </c>
      <c r="D12">
        <v>17</v>
      </c>
      <c r="E12">
        <v>155</v>
      </c>
      <c r="F12">
        <v>1</v>
      </c>
      <c r="G12" t="s">
        <v>317</v>
      </c>
    </row>
    <row r="13" spans="1:7" x14ac:dyDescent="0.15">
      <c r="A13">
        <v>2013</v>
      </c>
      <c r="B13" t="s">
        <v>318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9"/>
  <sheetViews>
    <sheetView workbookViewId="0">
      <selection activeCell="F46" sqref="F46"/>
    </sheetView>
  </sheetViews>
  <sheetFormatPr baseColWidth="10" defaultColWidth="8.83203125" defaultRowHeight="13" x14ac:dyDescent="0.15"/>
  <sheetData>
    <row r="1" spans="1:2" x14ac:dyDescent="0.15">
      <c r="A1" t="s">
        <v>319</v>
      </c>
      <c r="B1" t="s">
        <v>320</v>
      </c>
    </row>
    <row r="2" spans="1:2" x14ac:dyDescent="0.15">
      <c r="A2">
        <v>35</v>
      </c>
      <c r="B2" s="15">
        <f>POWER(A2-35,2)*0.00005+(A2-35)*0.008+1</f>
        <v>1</v>
      </c>
    </row>
    <row r="3" spans="1:2" x14ac:dyDescent="0.15">
      <c r="A3">
        <f>A2+1</f>
        <v>36</v>
      </c>
      <c r="B3" s="15">
        <f t="shared" ref="B3:B59" si="0">POWER(A3-35,2)*0.00005+(A3-35)*0.008+1</f>
        <v>1.0080499999999999</v>
      </c>
    </row>
    <row r="4" spans="1:2" x14ac:dyDescent="0.15">
      <c r="A4">
        <f t="shared" ref="A4:A26" si="1">A3+1</f>
        <v>37</v>
      </c>
      <c r="B4" s="15">
        <f t="shared" si="0"/>
        <v>1.0162</v>
      </c>
    </row>
    <row r="5" spans="1:2" x14ac:dyDescent="0.15">
      <c r="A5">
        <f t="shared" si="1"/>
        <v>38</v>
      </c>
      <c r="B5" s="15">
        <f t="shared" si="0"/>
        <v>1.0244500000000001</v>
      </c>
    </row>
    <row r="6" spans="1:2" x14ac:dyDescent="0.15">
      <c r="A6">
        <f t="shared" si="1"/>
        <v>39</v>
      </c>
      <c r="B6" s="15">
        <f t="shared" si="0"/>
        <v>1.0327999999999999</v>
      </c>
    </row>
    <row r="7" spans="1:2" x14ac:dyDescent="0.15">
      <c r="A7">
        <f t="shared" si="1"/>
        <v>40</v>
      </c>
      <c r="B7" s="15">
        <f t="shared" si="0"/>
        <v>1.04125</v>
      </c>
    </row>
    <row r="8" spans="1:2" x14ac:dyDescent="0.15">
      <c r="A8">
        <f t="shared" si="1"/>
        <v>41</v>
      </c>
      <c r="B8" s="15">
        <f t="shared" si="0"/>
        <v>1.0498000000000001</v>
      </c>
    </row>
    <row r="9" spans="1:2" x14ac:dyDescent="0.15">
      <c r="A9">
        <f t="shared" si="1"/>
        <v>42</v>
      </c>
      <c r="B9" s="15">
        <f t="shared" si="0"/>
        <v>1.0584500000000001</v>
      </c>
    </row>
    <row r="10" spans="1:2" x14ac:dyDescent="0.15">
      <c r="A10">
        <f t="shared" si="1"/>
        <v>43</v>
      </c>
      <c r="B10" s="15">
        <f t="shared" si="0"/>
        <v>1.0671999999999999</v>
      </c>
    </row>
    <row r="11" spans="1:2" x14ac:dyDescent="0.15">
      <c r="A11">
        <f t="shared" si="1"/>
        <v>44</v>
      </c>
      <c r="B11" s="15">
        <f t="shared" si="0"/>
        <v>1.07605</v>
      </c>
    </row>
    <row r="12" spans="1:2" x14ac:dyDescent="0.15">
      <c r="A12">
        <f t="shared" si="1"/>
        <v>45</v>
      </c>
      <c r="B12" s="15">
        <f t="shared" si="0"/>
        <v>1.085</v>
      </c>
    </row>
    <row r="13" spans="1:2" x14ac:dyDescent="0.15">
      <c r="A13">
        <f t="shared" si="1"/>
        <v>46</v>
      </c>
      <c r="B13" s="15">
        <f t="shared" si="0"/>
        <v>1.09405</v>
      </c>
    </row>
    <row r="14" spans="1:2" x14ac:dyDescent="0.15">
      <c r="A14">
        <f t="shared" si="1"/>
        <v>47</v>
      </c>
      <c r="B14" s="15">
        <f t="shared" si="0"/>
        <v>1.1032</v>
      </c>
    </row>
    <row r="15" spans="1:2" x14ac:dyDescent="0.15">
      <c r="A15">
        <f t="shared" si="1"/>
        <v>48</v>
      </c>
      <c r="B15" s="15">
        <f t="shared" si="0"/>
        <v>1.1124499999999999</v>
      </c>
    </row>
    <row r="16" spans="1:2" x14ac:dyDescent="0.15">
      <c r="A16">
        <f t="shared" si="1"/>
        <v>49</v>
      </c>
      <c r="B16" s="15">
        <f t="shared" si="0"/>
        <v>1.1217999999999999</v>
      </c>
    </row>
    <row r="17" spans="1:2" x14ac:dyDescent="0.15">
      <c r="A17">
        <f t="shared" si="1"/>
        <v>50</v>
      </c>
      <c r="B17" s="15">
        <f t="shared" si="0"/>
        <v>1.1312500000000001</v>
      </c>
    </row>
    <row r="18" spans="1:2" x14ac:dyDescent="0.15">
      <c r="A18">
        <f t="shared" si="1"/>
        <v>51</v>
      </c>
      <c r="B18" s="15">
        <f t="shared" si="0"/>
        <v>1.1408</v>
      </c>
    </row>
    <row r="19" spans="1:2" x14ac:dyDescent="0.15">
      <c r="A19">
        <f t="shared" si="1"/>
        <v>52</v>
      </c>
      <c r="B19" s="15">
        <f t="shared" si="0"/>
        <v>1.15045</v>
      </c>
    </row>
    <row r="20" spans="1:2" x14ac:dyDescent="0.15">
      <c r="A20">
        <f t="shared" si="1"/>
        <v>53</v>
      </c>
      <c r="B20" s="15">
        <f t="shared" si="0"/>
        <v>1.1602000000000001</v>
      </c>
    </row>
    <row r="21" spans="1:2" x14ac:dyDescent="0.15">
      <c r="A21">
        <f t="shared" si="1"/>
        <v>54</v>
      </c>
      <c r="B21" s="15">
        <f t="shared" si="0"/>
        <v>1.17005</v>
      </c>
    </row>
    <row r="22" spans="1:2" x14ac:dyDescent="0.15">
      <c r="A22">
        <f t="shared" si="1"/>
        <v>55</v>
      </c>
      <c r="B22" s="15">
        <f t="shared" si="0"/>
        <v>1.18</v>
      </c>
    </row>
    <row r="23" spans="1:2" x14ac:dyDescent="0.15">
      <c r="A23">
        <f t="shared" si="1"/>
        <v>56</v>
      </c>
      <c r="B23" s="15">
        <f t="shared" si="0"/>
        <v>1.1900500000000001</v>
      </c>
    </row>
    <row r="24" spans="1:2" x14ac:dyDescent="0.15">
      <c r="A24">
        <f t="shared" si="1"/>
        <v>57</v>
      </c>
      <c r="B24" s="15">
        <f t="shared" si="0"/>
        <v>1.2001999999999999</v>
      </c>
    </row>
    <row r="25" spans="1:2" x14ac:dyDescent="0.15">
      <c r="A25">
        <f t="shared" si="1"/>
        <v>58</v>
      </c>
      <c r="B25" s="15">
        <f t="shared" si="0"/>
        <v>1.21045</v>
      </c>
    </row>
    <row r="26" spans="1:2" x14ac:dyDescent="0.15">
      <c r="A26">
        <f t="shared" si="1"/>
        <v>59</v>
      </c>
      <c r="B26" s="15">
        <f t="shared" si="0"/>
        <v>1.2208000000000001</v>
      </c>
    </row>
    <row r="27" spans="1:2" x14ac:dyDescent="0.15">
      <c r="A27">
        <f t="shared" ref="A27:A59" si="2">A26+1</f>
        <v>60</v>
      </c>
      <c r="B27" s="15">
        <f t="shared" si="0"/>
        <v>1.23125</v>
      </c>
    </row>
    <row r="28" spans="1:2" x14ac:dyDescent="0.15">
      <c r="A28">
        <f t="shared" si="2"/>
        <v>61</v>
      </c>
      <c r="B28" s="15">
        <f t="shared" si="0"/>
        <v>1.2418</v>
      </c>
    </row>
    <row r="29" spans="1:2" x14ac:dyDescent="0.15">
      <c r="A29">
        <f t="shared" si="2"/>
        <v>62</v>
      </c>
      <c r="B29" s="15">
        <f t="shared" si="0"/>
        <v>1.2524500000000001</v>
      </c>
    </row>
    <row r="30" spans="1:2" x14ac:dyDescent="0.15">
      <c r="A30">
        <f t="shared" si="2"/>
        <v>63</v>
      </c>
      <c r="B30" s="15">
        <f t="shared" si="0"/>
        <v>1.2631999999999999</v>
      </c>
    </row>
    <row r="31" spans="1:2" x14ac:dyDescent="0.15">
      <c r="A31">
        <f t="shared" si="2"/>
        <v>64</v>
      </c>
      <c r="B31" s="15">
        <f t="shared" si="0"/>
        <v>1.2740499999999999</v>
      </c>
    </row>
    <row r="32" spans="1:2" x14ac:dyDescent="0.15">
      <c r="A32">
        <f t="shared" si="2"/>
        <v>65</v>
      </c>
      <c r="B32" s="15">
        <f t="shared" si="0"/>
        <v>1.2849999999999999</v>
      </c>
    </row>
    <row r="33" spans="1:2" x14ac:dyDescent="0.15">
      <c r="A33">
        <f t="shared" si="2"/>
        <v>66</v>
      </c>
      <c r="B33" s="15">
        <f t="shared" si="0"/>
        <v>1.2960499999999999</v>
      </c>
    </row>
    <row r="34" spans="1:2" x14ac:dyDescent="0.15">
      <c r="A34">
        <f t="shared" si="2"/>
        <v>67</v>
      </c>
      <c r="B34" s="15">
        <f t="shared" si="0"/>
        <v>1.3071999999999999</v>
      </c>
    </row>
    <row r="35" spans="1:2" x14ac:dyDescent="0.15">
      <c r="A35">
        <f t="shared" si="2"/>
        <v>68</v>
      </c>
      <c r="B35" s="15">
        <f t="shared" si="0"/>
        <v>1.3184499999999999</v>
      </c>
    </row>
    <row r="36" spans="1:2" x14ac:dyDescent="0.15">
      <c r="A36">
        <f t="shared" si="2"/>
        <v>69</v>
      </c>
      <c r="B36" s="15">
        <f t="shared" si="0"/>
        <v>1.3298000000000001</v>
      </c>
    </row>
    <row r="37" spans="1:2" x14ac:dyDescent="0.15">
      <c r="A37">
        <f t="shared" si="2"/>
        <v>70</v>
      </c>
      <c r="B37" s="15">
        <f t="shared" si="0"/>
        <v>1.3412500000000001</v>
      </c>
    </row>
    <row r="38" spans="1:2" x14ac:dyDescent="0.15">
      <c r="A38">
        <f t="shared" si="2"/>
        <v>71</v>
      </c>
      <c r="B38" s="15">
        <f t="shared" si="0"/>
        <v>1.3528</v>
      </c>
    </row>
    <row r="39" spans="1:2" x14ac:dyDescent="0.15">
      <c r="A39">
        <f t="shared" si="2"/>
        <v>72</v>
      </c>
      <c r="B39" s="15">
        <f t="shared" si="0"/>
        <v>1.3644499999999999</v>
      </c>
    </row>
    <row r="40" spans="1:2" x14ac:dyDescent="0.15">
      <c r="A40">
        <f t="shared" si="2"/>
        <v>73</v>
      </c>
      <c r="B40" s="15">
        <f t="shared" si="0"/>
        <v>1.3761999999999999</v>
      </c>
    </row>
    <row r="41" spans="1:2" x14ac:dyDescent="0.15">
      <c r="A41">
        <f t="shared" si="2"/>
        <v>74</v>
      </c>
      <c r="B41" s="15">
        <f t="shared" si="0"/>
        <v>1.38805</v>
      </c>
    </row>
    <row r="42" spans="1:2" x14ac:dyDescent="0.15">
      <c r="A42">
        <f t="shared" si="2"/>
        <v>75</v>
      </c>
      <c r="B42" s="15">
        <f t="shared" si="0"/>
        <v>1.4</v>
      </c>
    </row>
    <row r="43" spans="1:2" x14ac:dyDescent="0.15">
      <c r="A43">
        <f t="shared" si="2"/>
        <v>76</v>
      </c>
      <c r="B43" s="15">
        <f t="shared" si="0"/>
        <v>1.41205</v>
      </c>
    </row>
    <row r="44" spans="1:2" x14ac:dyDescent="0.15">
      <c r="A44">
        <f t="shared" si="2"/>
        <v>77</v>
      </c>
      <c r="B44" s="15">
        <f t="shared" si="0"/>
        <v>1.4241999999999999</v>
      </c>
    </row>
    <row r="45" spans="1:2" x14ac:dyDescent="0.15">
      <c r="A45">
        <f t="shared" si="2"/>
        <v>78</v>
      </c>
      <c r="B45" s="15">
        <f t="shared" si="0"/>
        <v>1.43645</v>
      </c>
    </row>
    <row r="46" spans="1:2" x14ac:dyDescent="0.15">
      <c r="A46">
        <f t="shared" si="2"/>
        <v>79</v>
      </c>
      <c r="B46" s="15">
        <f t="shared" si="0"/>
        <v>1.4487999999999999</v>
      </c>
    </row>
    <row r="47" spans="1:2" x14ac:dyDescent="0.15">
      <c r="A47">
        <f t="shared" si="2"/>
        <v>80</v>
      </c>
      <c r="B47" s="15">
        <f t="shared" si="0"/>
        <v>1.4612499999999999</v>
      </c>
    </row>
    <row r="48" spans="1:2" x14ac:dyDescent="0.15">
      <c r="A48">
        <f t="shared" si="2"/>
        <v>81</v>
      </c>
      <c r="B48" s="15">
        <f t="shared" si="0"/>
        <v>1.4738</v>
      </c>
    </row>
    <row r="49" spans="1:2" x14ac:dyDescent="0.15">
      <c r="A49">
        <f t="shared" si="2"/>
        <v>82</v>
      </c>
      <c r="B49" s="15">
        <f t="shared" si="0"/>
        <v>1.48645</v>
      </c>
    </row>
    <row r="50" spans="1:2" x14ac:dyDescent="0.15">
      <c r="A50">
        <f t="shared" si="2"/>
        <v>83</v>
      </c>
      <c r="B50" s="15">
        <f t="shared" si="0"/>
        <v>1.4992000000000001</v>
      </c>
    </row>
    <row r="51" spans="1:2" x14ac:dyDescent="0.15">
      <c r="A51">
        <f t="shared" si="2"/>
        <v>84</v>
      </c>
      <c r="B51" s="15">
        <f t="shared" si="0"/>
        <v>1.5120499999999999</v>
      </c>
    </row>
    <row r="52" spans="1:2" x14ac:dyDescent="0.15">
      <c r="A52">
        <f t="shared" si="2"/>
        <v>85</v>
      </c>
      <c r="B52" s="15">
        <f t="shared" si="0"/>
        <v>1.5249999999999999</v>
      </c>
    </row>
    <row r="53" spans="1:2" x14ac:dyDescent="0.15">
      <c r="A53">
        <f t="shared" si="2"/>
        <v>86</v>
      </c>
      <c r="B53" s="15">
        <f t="shared" si="0"/>
        <v>1.5380500000000001</v>
      </c>
    </row>
    <row r="54" spans="1:2" x14ac:dyDescent="0.15">
      <c r="A54">
        <f t="shared" si="2"/>
        <v>87</v>
      </c>
      <c r="B54" s="15">
        <f t="shared" si="0"/>
        <v>1.5512000000000001</v>
      </c>
    </row>
    <row r="55" spans="1:2" x14ac:dyDescent="0.15">
      <c r="A55">
        <f t="shared" si="2"/>
        <v>88</v>
      </c>
      <c r="B55" s="15">
        <f t="shared" si="0"/>
        <v>1.5644499999999999</v>
      </c>
    </row>
    <row r="56" spans="1:2" x14ac:dyDescent="0.15">
      <c r="A56">
        <f t="shared" si="2"/>
        <v>89</v>
      </c>
      <c r="B56" s="15">
        <f t="shared" si="0"/>
        <v>1.5777999999999999</v>
      </c>
    </row>
    <row r="57" spans="1:2" x14ac:dyDescent="0.15">
      <c r="A57">
        <f t="shared" si="2"/>
        <v>90</v>
      </c>
      <c r="B57" s="15">
        <f t="shared" si="0"/>
        <v>1.5912500000000001</v>
      </c>
    </row>
    <row r="58" spans="1:2" x14ac:dyDescent="0.15">
      <c r="A58">
        <f t="shared" si="2"/>
        <v>91</v>
      </c>
      <c r="B58" s="15">
        <f t="shared" si="0"/>
        <v>1.6048</v>
      </c>
    </row>
    <row r="59" spans="1:2" x14ac:dyDescent="0.15">
      <c r="A59">
        <f t="shared" si="2"/>
        <v>92</v>
      </c>
      <c r="B59" s="15">
        <f t="shared" si="0"/>
        <v>1.6184500000000002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24"/>
  <sheetViews>
    <sheetView tabSelected="1" topLeftCell="A6" workbookViewId="0">
      <pane ySplit="740" activePane="bottomLeft"/>
      <selection activeCell="M6" sqref="A1:M65536"/>
      <selection pane="bottomLeft" activeCell="A29" sqref="A29"/>
    </sheetView>
  </sheetViews>
  <sheetFormatPr baseColWidth="10" defaultColWidth="8.83203125" defaultRowHeight="16" x14ac:dyDescent="0.2"/>
  <cols>
    <col min="1" max="1" width="14.33203125" style="71" customWidth="1"/>
    <col min="2" max="2" width="15" style="72" customWidth="1"/>
    <col min="3" max="3" width="41.5" style="71" customWidth="1"/>
    <col min="4" max="4" width="11.5" style="73" customWidth="1"/>
    <col min="5" max="5" width="8.33203125" style="71" customWidth="1"/>
    <col min="6" max="6" width="9.6640625" style="71" customWidth="1"/>
    <col min="7" max="7" width="9.6640625" style="74" customWidth="1"/>
    <col min="8" max="8" width="17.83203125" style="71" customWidth="1"/>
    <col min="9" max="9" width="12.33203125" style="71" customWidth="1"/>
    <col min="10" max="10" width="19.5" style="71" customWidth="1"/>
    <col min="11" max="11" width="29.6640625" style="71" customWidth="1"/>
    <col min="12" max="12" width="27.33203125" style="71" customWidth="1"/>
    <col min="13" max="13" width="220" style="71" customWidth="1"/>
  </cols>
  <sheetData>
    <row r="1" spans="1:19" s="94" customFormat="1" ht="17" x14ac:dyDescent="0.2">
      <c r="A1" s="89"/>
      <c r="B1" s="90" t="s">
        <v>0</v>
      </c>
      <c r="C1" s="89" t="s">
        <v>1</v>
      </c>
      <c r="D1" s="91" t="s">
        <v>459</v>
      </c>
      <c r="E1" s="89" t="s">
        <v>12</v>
      </c>
      <c r="F1" s="89" t="s">
        <v>13</v>
      </c>
      <c r="G1" s="92" t="s">
        <v>461</v>
      </c>
      <c r="H1" s="93" t="s">
        <v>460</v>
      </c>
      <c r="I1" s="95">
        <v>26132</v>
      </c>
      <c r="J1" s="95" t="s">
        <v>460</v>
      </c>
      <c r="K1" s="93" t="s">
        <v>462</v>
      </c>
      <c r="L1" s="93" t="s">
        <v>463</v>
      </c>
      <c r="M1" s="89" t="s">
        <v>464</v>
      </c>
    </row>
    <row r="2" spans="1:19" s="34" customFormat="1" x14ac:dyDescent="0.2">
      <c r="A2" s="71" t="s">
        <v>19</v>
      </c>
      <c r="B2" s="72">
        <v>30563</v>
      </c>
      <c r="C2" s="71" t="s">
        <v>20</v>
      </c>
      <c r="D2" s="73">
        <v>6</v>
      </c>
      <c r="E2" s="71">
        <v>42</v>
      </c>
      <c r="F2" s="71">
        <v>45</v>
      </c>
      <c r="G2" s="74">
        <f t="shared" ref="G2:G33" si="0">(E2+F2/60)/D2/60/24</f>
        <v>4.9479166666666664E-3</v>
      </c>
      <c r="H2" s="75">
        <f>(PBS!$D$17+(50*PBS!$D$17/230)*LOG10(D2))/G2/86400</f>
        <v>0.89430737801955329</v>
      </c>
      <c r="I2" s="87">
        <f>DATEDIF(DATE(1971,7,18),B2,"Y")</f>
        <v>12</v>
      </c>
      <c r="J2" s="73">
        <f t="shared" ref="J2:J33" si="1">IF(I2&gt;35,POWER(I2-35,2)*0.00005+(I2-35)*0.008+1,1)</f>
        <v>1</v>
      </c>
      <c r="K2" s="76">
        <f t="shared" ref="K2:K33" si="2">G2/J2</f>
        <v>4.9479166666666664E-3</v>
      </c>
      <c r="L2" s="76">
        <f t="shared" ref="L2:L33" si="3">K2*D2</f>
        <v>2.9687499999999999E-2</v>
      </c>
      <c r="M2" s="71" t="s">
        <v>21</v>
      </c>
      <c r="N2" s="5"/>
      <c r="O2" s="5"/>
      <c r="P2" s="5"/>
      <c r="Q2" s="5"/>
      <c r="R2" s="5"/>
      <c r="S2" s="5"/>
    </row>
    <row r="3" spans="1:19" s="35" customFormat="1" x14ac:dyDescent="0.2">
      <c r="A3" s="71"/>
      <c r="B3" s="72">
        <v>30803</v>
      </c>
      <c r="C3" s="71" t="s">
        <v>321</v>
      </c>
      <c r="D3" s="73">
        <v>0.25</v>
      </c>
      <c r="E3" s="71">
        <v>1</v>
      </c>
      <c r="F3" s="71">
        <v>16.2</v>
      </c>
      <c r="G3" s="74">
        <f t="shared" si="0"/>
        <v>3.5277777777777777E-3</v>
      </c>
      <c r="H3" s="75">
        <f>(PBS!$D$17+(50*PBS!$D$17/230)*LOG10(D3))/G3/86400</f>
        <v>0.93241925056755415</v>
      </c>
      <c r="I3" s="87">
        <f t="shared" ref="I3:I66" si="4">DATEDIF(DATE(1971,7,18),B3,"Y")</f>
        <v>12</v>
      </c>
      <c r="J3" s="73">
        <f t="shared" si="1"/>
        <v>1</v>
      </c>
      <c r="K3" s="76">
        <f t="shared" si="2"/>
        <v>3.5277777777777777E-3</v>
      </c>
      <c r="L3" s="76">
        <f t="shared" si="3"/>
        <v>8.8194444444444442E-4</v>
      </c>
      <c r="M3" s="71"/>
      <c r="N3" s="34"/>
      <c r="O3" s="34"/>
      <c r="P3" s="34"/>
      <c r="Q3" s="34"/>
      <c r="R3" s="34"/>
      <c r="S3" s="34"/>
    </row>
    <row r="4" spans="1:19" s="35" customFormat="1" x14ac:dyDescent="0.2">
      <c r="A4" s="71"/>
      <c r="B4" s="72">
        <v>30803</v>
      </c>
      <c r="C4" s="71" t="s">
        <v>322</v>
      </c>
      <c r="D4" s="73">
        <v>0.5</v>
      </c>
      <c r="E4" s="71">
        <v>3</v>
      </c>
      <c r="F4" s="71">
        <v>10</v>
      </c>
      <c r="G4" s="74">
        <f t="shared" si="0"/>
        <v>4.3981481481481484E-3</v>
      </c>
      <c r="H4" s="75">
        <f>(PBS!$D$17+(50*PBS!$D$17/230)*LOG10(D4))/G4/86400</f>
        <v>0.8042123520697243</v>
      </c>
      <c r="I4" s="87">
        <f t="shared" si="4"/>
        <v>12</v>
      </c>
      <c r="J4" s="73">
        <f t="shared" si="1"/>
        <v>1</v>
      </c>
      <c r="K4" s="76">
        <f t="shared" si="2"/>
        <v>4.3981481481481484E-3</v>
      </c>
      <c r="L4" s="76">
        <f t="shared" si="3"/>
        <v>2.1990740740740742E-3</v>
      </c>
      <c r="M4" s="71"/>
      <c r="N4" s="34"/>
      <c r="O4" s="34"/>
      <c r="P4" s="34"/>
      <c r="Q4" s="34"/>
      <c r="R4" s="34"/>
      <c r="S4" s="34"/>
    </row>
    <row r="5" spans="1:19" s="34" customFormat="1" x14ac:dyDescent="0.2">
      <c r="A5" s="71"/>
      <c r="B5" s="72">
        <v>30835</v>
      </c>
      <c r="C5" s="71" t="s">
        <v>22</v>
      </c>
      <c r="D5" s="73">
        <v>9.2000000000000011</v>
      </c>
      <c r="E5" s="71">
        <v>92</v>
      </c>
      <c r="F5" s="71">
        <v>30</v>
      </c>
      <c r="G5" s="74">
        <f t="shared" si="0"/>
        <v>6.9821859903381632E-3</v>
      </c>
      <c r="H5" s="75">
        <f>(PBS!$D$17+(50*PBS!$D$17/230)*LOG10(D5))/G5/86400</f>
        <v>0.65562472776288172</v>
      </c>
      <c r="I5" s="87">
        <f t="shared" si="4"/>
        <v>12</v>
      </c>
      <c r="J5" s="73">
        <f t="shared" si="1"/>
        <v>1</v>
      </c>
      <c r="K5" s="76">
        <f t="shared" si="2"/>
        <v>6.9821859903381632E-3</v>
      </c>
      <c r="L5" s="76">
        <f t="shared" si="3"/>
        <v>6.4236111111111105E-2</v>
      </c>
      <c r="M5" s="71" t="s">
        <v>23</v>
      </c>
      <c r="N5"/>
      <c r="O5"/>
      <c r="P5"/>
      <c r="Q5"/>
      <c r="R5"/>
      <c r="S5"/>
    </row>
    <row r="6" spans="1:19" s="34" customFormat="1" x14ac:dyDescent="0.2">
      <c r="A6" s="71"/>
      <c r="B6" s="72">
        <v>30926</v>
      </c>
      <c r="C6" s="71" t="s">
        <v>20</v>
      </c>
      <c r="D6" s="73">
        <v>5</v>
      </c>
      <c r="E6" s="71">
        <v>37</v>
      </c>
      <c r="F6" s="71">
        <v>30</v>
      </c>
      <c r="G6" s="74">
        <f t="shared" si="0"/>
        <v>5.208333333333333E-3</v>
      </c>
      <c r="H6" s="75">
        <f>(PBS!$D$17+(50*PBS!$D$17/230)*LOG10(D6))/G6/86400</f>
        <v>0.83708366735163209</v>
      </c>
      <c r="I6" s="87">
        <f t="shared" si="4"/>
        <v>13</v>
      </c>
      <c r="J6" s="73">
        <f t="shared" si="1"/>
        <v>1</v>
      </c>
      <c r="K6" s="76">
        <f t="shared" si="2"/>
        <v>5.208333333333333E-3</v>
      </c>
      <c r="L6" s="76">
        <f t="shared" si="3"/>
        <v>2.6041666666666664E-2</v>
      </c>
      <c r="M6" s="71"/>
      <c r="N6"/>
      <c r="O6"/>
      <c r="P6"/>
      <c r="Q6"/>
      <c r="R6"/>
      <c r="S6"/>
    </row>
    <row r="7" spans="1:19" s="34" customFormat="1" x14ac:dyDescent="0.2">
      <c r="A7" s="71"/>
      <c r="B7" s="72">
        <v>30926</v>
      </c>
      <c r="C7" s="71" t="s">
        <v>24</v>
      </c>
      <c r="D7" s="73">
        <v>9</v>
      </c>
      <c r="E7" s="71">
        <v>93</v>
      </c>
      <c r="F7" s="71">
        <v>20</v>
      </c>
      <c r="G7" s="74">
        <f t="shared" si="0"/>
        <v>7.2016460905349787E-3</v>
      </c>
      <c r="H7" s="75">
        <f>(PBS!$D$17+(50*PBS!$D$17/230)*LOG10(D7))/G7/86400</f>
        <v>0.63455495750310298</v>
      </c>
      <c r="I7" s="87">
        <f t="shared" si="4"/>
        <v>13</v>
      </c>
      <c r="J7" s="73">
        <f t="shared" si="1"/>
        <v>1</v>
      </c>
      <c r="K7" s="76">
        <f t="shared" si="2"/>
        <v>7.2016460905349787E-3</v>
      </c>
      <c r="L7" s="76">
        <f t="shared" si="3"/>
        <v>6.4814814814814811E-2</v>
      </c>
      <c r="M7" s="71" t="s">
        <v>25</v>
      </c>
      <c r="N7"/>
      <c r="O7"/>
      <c r="P7"/>
      <c r="Q7"/>
      <c r="R7"/>
      <c r="S7"/>
    </row>
    <row r="8" spans="1:19" s="34" customFormat="1" x14ac:dyDescent="0.2">
      <c r="A8" s="71"/>
      <c r="B8" s="72">
        <v>31168</v>
      </c>
      <c r="C8" s="71" t="s">
        <v>322</v>
      </c>
      <c r="D8" s="73">
        <v>0.5</v>
      </c>
      <c r="E8" s="71">
        <v>3</v>
      </c>
      <c r="F8" s="71">
        <v>2</v>
      </c>
      <c r="G8" s="74">
        <f t="shared" si="0"/>
        <v>4.2129629629629626E-3</v>
      </c>
      <c r="H8" s="75">
        <f>(PBS!$D$17+(50*PBS!$D$17/230)*LOG10(D8))/G8/86400</f>
        <v>0.8395623455672947</v>
      </c>
      <c r="I8" s="87">
        <f t="shared" si="4"/>
        <v>13</v>
      </c>
      <c r="J8" s="73">
        <f t="shared" si="1"/>
        <v>1</v>
      </c>
      <c r="K8" s="76">
        <f t="shared" si="2"/>
        <v>4.2129629629629626E-3</v>
      </c>
      <c r="L8" s="76">
        <f t="shared" si="3"/>
        <v>2.1064814814814813E-3</v>
      </c>
      <c r="M8" s="71"/>
    </row>
    <row r="9" spans="1:19" s="34" customFormat="1" x14ac:dyDescent="0.2">
      <c r="A9" s="71"/>
      <c r="B9" s="72">
        <v>31168</v>
      </c>
      <c r="C9" s="71" t="s">
        <v>323</v>
      </c>
      <c r="D9" s="73">
        <f>1500/1609</f>
        <v>0.93225605966438785</v>
      </c>
      <c r="E9" s="71">
        <v>6</v>
      </c>
      <c r="F9" s="71">
        <v>30</v>
      </c>
      <c r="G9" s="74">
        <f t="shared" si="0"/>
        <v>4.8418981481481481E-3</v>
      </c>
      <c r="H9" s="75">
        <f>(PBS!$D$17+(50*PBS!$D$17/230)*LOG10(D9))/G9/86400</f>
        <v>0.77648408268437008</v>
      </c>
      <c r="I9" s="87">
        <f t="shared" si="4"/>
        <v>13</v>
      </c>
      <c r="J9" s="73">
        <f t="shared" si="1"/>
        <v>1</v>
      </c>
      <c r="K9" s="76">
        <f t="shared" si="2"/>
        <v>4.8418981481481481E-3</v>
      </c>
      <c r="L9" s="76">
        <f t="shared" si="3"/>
        <v>4.5138888888888893E-3</v>
      </c>
      <c r="M9" s="71"/>
    </row>
    <row r="10" spans="1:19" s="34" customFormat="1" x14ac:dyDescent="0.2">
      <c r="A10" s="71"/>
      <c r="B10" s="72">
        <v>31199</v>
      </c>
      <c r="C10" s="71" t="s">
        <v>26</v>
      </c>
      <c r="D10" s="73">
        <v>4</v>
      </c>
      <c r="E10" s="71">
        <v>26</v>
      </c>
      <c r="F10" s="71">
        <v>27</v>
      </c>
      <c r="G10" s="74">
        <f t="shared" si="0"/>
        <v>4.5920138888888885E-3</v>
      </c>
      <c r="H10" s="75">
        <f>(PBS!$D$17+(50*PBS!$D$17/230)*LOG10(D10))/G10/86400</f>
        <v>0.93206959653940646</v>
      </c>
      <c r="I10" s="87">
        <f t="shared" si="4"/>
        <v>13</v>
      </c>
      <c r="J10" s="73">
        <f t="shared" si="1"/>
        <v>1</v>
      </c>
      <c r="K10" s="76">
        <f t="shared" si="2"/>
        <v>4.5920138888888885E-3</v>
      </c>
      <c r="L10" s="76">
        <f t="shared" si="3"/>
        <v>1.8368055555555554E-2</v>
      </c>
      <c r="M10" s="71" t="s">
        <v>27</v>
      </c>
      <c r="N10" s="36"/>
      <c r="O10" s="36"/>
      <c r="P10" s="36"/>
      <c r="Q10" s="36"/>
      <c r="R10" s="36"/>
      <c r="S10" s="36"/>
    </row>
    <row r="11" spans="1:19" s="34" customFormat="1" x14ac:dyDescent="0.2">
      <c r="A11" s="71" t="s">
        <v>28</v>
      </c>
      <c r="B11" s="72">
        <v>31291</v>
      </c>
      <c r="C11" s="71" t="s">
        <v>24</v>
      </c>
      <c r="D11" s="73">
        <v>9</v>
      </c>
      <c r="E11" s="71">
        <v>67</v>
      </c>
      <c r="F11" s="71">
        <v>10</v>
      </c>
      <c r="G11" s="74">
        <f t="shared" si="0"/>
        <v>5.1826131687242802E-3</v>
      </c>
      <c r="H11" s="75">
        <f>(PBS!$D$17+(50*PBS!$D$17/230)*LOG10(D11))/G11/86400</f>
        <v>0.88176371265939857</v>
      </c>
      <c r="I11" s="87">
        <f t="shared" si="4"/>
        <v>14</v>
      </c>
      <c r="J11" s="73">
        <f t="shared" si="1"/>
        <v>1</v>
      </c>
      <c r="K11" s="76">
        <f t="shared" si="2"/>
        <v>5.1826131687242802E-3</v>
      </c>
      <c r="L11" s="76">
        <f t="shared" si="3"/>
        <v>4.6643518518518522E-2</v>
      </c>
      <c r="M11" s="71" t="s">
        <v>29</v>
      </c>
      <c r="N11"/>
      <c r="O11"/>
      <c r="P11"/>
      <c r="Q11"/>
      <c r="R11"/>
      <c r="S11"/>
    </row>
    <row r="12" spans="1:19" s="34" customFormat="1" x14ac:dyDescent="0.2">
      <c r="A12" s="71"/>
      <c r="B12" s="72">
        <v>31564</v>
      </c>
      <c r="C12" s="71" t="s">
        <v>26</v>
      </c>
      <c r="D12" s="73">
        <v>4</v>
      </c>
      <c r="E12" s="71">
        <v>32</v>
      </c>
      <c r="F12" s="71">
        <v>30</v>
      </c>
      <c r="G12" s="74">
        <f t="shared" si="0"/>
        <v>5.642361111111111E-3</v>
      </c>
      <c r="H12" s="75">
        <f>(PBS!$D$17+(50*PBS!$D$17/230)*LOG10(D12))/G12/86400</f>
        <v>0.75856125626053228</v>
      </c>
      <c r="I12" s="87">
        <f t="shared" si="4"/>
        <v>14</v>
      </c>
      <c r="J12" s="73">
        <f t="shared" si="1"/>
        <v>1</v>
      </c>
      <c r="K12" s="76">
        <f t="shared" si="2"/>
        <v>5.642361111111111E-3</v>
      </c>
      <c r="L12" s="76">
        <f t="shared" si="3"/>
        <v>2.2569444444444444E-2</v>
      </c>
      <c r="M12" s="71" t="s">
        <v>30</v>
      </c>
      <c r="N12" s="36"/>
      <c r="O12" s="36"/>
      <c r="P12" s="36"/>
      <c r="Q12" s="36"/>
      <c r="R12" s="36"/>
      <c r="S12" s="36"/>
    </row>
    <row r="13" spans="1:19" s="34" customFormat="1" x14ac:dyDescent="0.2">
      <c r="A13" s="71"/>
      <c r="B13" s="72">
        <v>31594</v>
      </c>
      <c r="C13" s="71" t="s">
        <v>324</v>
      </c>
      <c r="D13" s="73">
        <f>15/16.09</f>
        <v>0.93225605966438785</v>
      </c>
      <c r="E13" s="71">
        <v>6</v>
      </c>
      <c r="F13" s="71">
        <v>3</v>
      </c>
      <c r="G13" s="74">
        <f t="shared" si="0"/>
        <v>4.5066898148148149E-3</v>
      </c>
      <c r="H13" s="75">
        <f>(PBS!$D$17+(50*PBS!$D$17/230)*LOG10(D13))/G13/86400</f>
        <v>0.83423909709890987</v>
      </c>
      <c r="I13" s="87">
        <f t="shared" si="4"/>
        <v>14</v>
      </c>
      <c r="J13" s="73">
        <f t="shared" si="1"/>
        <v>1</v>
      </c>
      <c r="K13" s="76">
        <f t="shared" si="2"/>
        <v>4.5066898148148149E-3</v>
      </c>
      <c r="L13" s="76">
        <f t="shared" si="3"/>
        <v>4.2013888888888891E-3</v>
      </c>
      <c r="M13" s="71"/>
    </row>
    <row r="14" spans="1:19" s="34" customFormat="1" x14ac:dyDescent="0.2">
      <c r="A14" s="71"/>
      <c r="B14" s="72">
        <v>31662</v>
      </c>
      <c r="C14" s="71" t="s">
        <v>24</v>
      </c>
      <c r="D14" s="73">
        <v>9</v>
      </c>
      <c r="E14" s="71">
        <v>66</v>
      </c>
      <c r="F14" s="71">
        <v>30</v>
      </c>
      <c r="G14" s="74">
        <f t="shared" si="0"/>
        <v>5.1311728395061736E-3</v>
      </c>
      <c r="H14" s="75">
        <f>(PBS!$D$17+(50*PBS!$D$17/230)*LOG10(D14))/G14/86400</f>
        <v>0.89060344912716205</v>
      </c>
      <c r="I14" s="87">
        <f t="shared" si="4"/>
        <v>15</v>
      </c>
      <c r="J14" s="73">
        <f t="shared" si="1"/>
        <v>1</v>
      </c>
      <c r="K14" s="76">
        <f t="shared" si="2"/>
        <v>5.1311728395061736E-3</v>
      </c>
      <c r="L14" s="76">
        <f t="shared" si="3"/>
        <v>4.6180555555555565E-2</v>
      </c>
      <c r="M14" s="71" t="s">
        <v>31</v>
      </c>
      <c r="N14"/>
      <c r="O14"/>
      <c r="P14"/>
      <c r="Q14"/>
      <c r="R14"/>
      <c r="S14"/>
    </row>
    <row r="15" spans="1:19" s="34" customFormat="1" x14ac:dyDescent="0.2">
      <c r="A15" s="71"/>
      <c r="B15" s="72">
        <v>31689</v>
      </c>
      <c r="C15" s="71" t="s">
        <v>32</v>
      </c>
      <c r="D15" s="73">
        <f>10/1.609</f>
        <v>6.2150403977625857</v>
      </c>
      <c r="E15" s="71">
        <v>42</v>
      </c>
      <c r="F15" s="71">
        <v>30</v>
      </c>
      <c r="G15" s="74">
        <f t="shared" si="0"/>
        <v>4.7487847222222219E-3</v>
      </c>
      <c r="H15" s="75">
        <f>(PBS!$D$17+(50*PBS!$D$17/230)*LOG10(D15))/G15/86400</f>
        <v>0.93445817276732346</v>
      </c>
      <c r="I15" s="87">
        <f t="shared" si="4"/>
        <v>15</v>
      </c>
      <c r="J15" s="73">
        <f t="shared" si="1"/>
        <v>1</v>
      </c>
      <c r="K15" s="76">
        <f t="shared" si="2"/>
        <v>4.7487847222222219E-3</v>
      </c>
      <c r="L15" s="76">
        <f t="shared" si="3"/>
        <v>2.9513888888888888E-2</v>
      </c>
      <c r="M15" s="71"/>
      <c r="N15" s="37"/>
      <c r="O15" s="37"/>
      <c r="P15" s="37"/>
      <c r="Q15" s="37"/>
      <c r="R15" s="37"/>
      <c r="S15" s="37"/>
    </row>
    <row r="16" spans="1:19" s="34" customFormat="1" x14ac:dyDescent="0.2">
      <c r="A16" s="71"/>
      <c r="B16" s="72">
        <v>31934</v>
      </c>
      <c r="C16" s="71" t="s">
        <v>22</v>
      </c>
      <c r="D16" s="73">
        <v>4</v>
      </c>
      <c r="E16" s="71">
        <v>28</v>
      </c>
      <c r="F16" s="71">
        <v>0</v>
      </c>
      <c r="G16" s="74">
        <f t="shared" si="0"/>
        <v>4.8611111111111112E-3</v>
      </c>
      <c r="H16" s="75">
        <f>(PBS!$D$17+(50*PBS!$D$17/230)*LOG10(D16))/G16/86400</f>
        <v>0.88047288673097501</v>
      </c>
      <c r="I16" s="87">
        <f t="shared" si="4"/>
        <v>15</v>
      </c>
      <c r="J16" s="73">
        <f t="shared" si="1"/>
        <v>1</v>
      </c>
      <c r="K16" s="76">
        <f t="shared" si="2"/>
        <v>4.8611111111111112E-3</v>
      </c>
      <c r="L16" s="76">
        <f t="shared" si="3"/>
        <v>1.9444444444444445E-2</v>
      </c>
      <c r="M16" s="71" t="s">
        <v>33</v>
      </c>
      <c r="N16" s="36"/>
      <c r="O16" s="36"/>
      <c r="P16" s="36"/>
      <c r="Q16" s="36"/>
      <c r="R16" s="36"/>
      <c r="S16" s="36"/>
    </row>
    <row r="17" spans="1:19" s="34" customFormat="1" x14ac:dyDescent="0.2">
      <c r="A17" s="71"/>
      <c r="B17" s="72">
        <v>31962</v>
      </c>
      <c r="C17" s="71" t="s">
        <v>34</v>
      </c>
      <c r="D17" s="73">
        <f>5/1.609</f>
        <v>3.1075201988812928</v>
      </c>
      <c r="E17" s="71">
        <v>21</v>
      </c>
      <c r="F17" s="71">
        <v>20</v>
      </c>
      <c r="G17" s="74">
        <f t="shared" si="0"/>
        <v>4.7674074074074068E-3</v>
      </c>
      <c r="H17" s="75">
        <f>(PBS!$D$17+(50*PBS!$D$17/230)*LOG10(D17))/G17/86400</f>
        <v>0.87885577654517621</v>
      </c>
      <c r="I17" s="87">
        <f t="shared" si="4"/>
        <v>15</v>
      </c>
      <c r="J17" s="73">
        <f t="shared" si="1"/>
        <v>1</v>
      </c>
      <c r="K17" s="76">
        <f t="shared" si="2"/>
        <v>4.7674074074074068E-3</v>
      </c>
      <c r="L17" s="76">
        <f t="shared" si="3"/>
        <v>1.4814814814814814E-2</v>
      </c>
      <c r="M17" s="71" t="s">
        <v>35</v>
      </c>
      <c r="N17" s="38"/>
      <c r="O17" s="38"/>
      <c r="P17" s="38"/>
      <c r="Q17" s="38"/>
      <c r="R17" s="38"/>
      <c r="S17" s="38"/>
    </row>
    <row r="18" spans="1:19" s="34" customFormat="1" x14ac:dyDescent="0.2">
      <c r="A18" s="71"/>
      <c r="B18" s="72">
        <v>31990</v>
      </c>
      <c r="C18" s="71" t="s">
        <v>36</v>
      </c>
      <c r="D18" s="73">
        <v>3.85</v>
      </c>
      <c r="E18" s="71">
        <v>25</v>
      </c>
      <c r="F18" s="71">
        <v>25</v>
      </c>
      <c r="G18" s="74">
        <f t="shared" si="0"/>
        <v>4.5845358345358344E-3</v>
      </c>
      <c r="H18" s="75">
        <f>(PBS!$D$17+(50*PBS!$D$17/230)*LOG10(D18))/G18/86400</f>
        <v>0.93061094588948357</v>
      </c>
      <c r="I18" s="87">
        <f t="shared" si="4"/>
        <v>16</v>
      </c>
      <c r="J18" s="73">
        <f t="shared" si="1"/>
        <v>1</v>
      </c>
      <c r="K18" s="76">
        <f t="shared" si="2"/>
        <v>4.5845358345358344E-3</v>
      </c>
      <c r="L18" s="76">
        <f t="shared" si="3"/>
        <v>1.7650462962962962E-2</v>
      </c>
      <c r="M18" s="71" t="s">
        <v>37</v>
      </c>
      <c r="N18"/>
      <c r="O18"/>
      <c r="P18"/>
      <c r="Q18"/>
      <c r="R18"/>
      <c r="S18"/>
    </row>
    <row r="19" spans="1:19" s="34" customFormat="1" x14ac:dyDescent="0.2">
      <c r="A19" s="71" t="s">
        <v>38</v>
      </c>
      <c r="B19" s="72">
        <v>32026</v>
      </c>
      <c r="C19" s="71" t="s">
        <v>20</v>
      </c>
      <c r="D19" s="73">
        <v>5</v>
      </c>
      <c r="E19" s="71">
        <v>31</v>
      </c>
      <c r="F19" s="71">
        <v>30</v>
      </c>
      <c r="G19" s="74">
        <f t="shared" si="0"/>
        <v>4.3749999999999995E-3</v>
      </c>
      <c r="H19" s="75">
        <f>(PBS!$D$17+(50*PBS!$D$17/230)*LOG10(D19))/G19/86400</f>
        <v>0.9965281754186095</v>
      </c>
      <c r="I19" s="87">
        <f t="shared" si="4"/>
        <v>16</v>
      </c>
      <c r="J19" s="73">
        <f t="shared" si="1"/>
        <v>1</v>
      </c>
      <c r="K19" s="76">
        <f t="shared" si="2"/>
        <v>4.3749999999999995E-3</v>
      </c>
      <c r="L19" s="76">
        <f t="shared" si="3"/>
        <v>2.1874999999999999E-2</v>
      </c>
      <c r="M19" s="71" t="s">
        <v>39</v>
      </c>
      <c r="N19"/>
      <c r="O19"/>
      <c r="P19"/>
      <c r="Q19"/>
      <c r="R19"/>
      <c r="S19"/>
    </row>
    <row r="20" spans="1:19" s="34" customFormat="1" x14ac:dyDescent="0.2">
      <c r="A20" s="71"/>
      <c r="B20" s="72">
        <v>32054</v>
      </c>
      <c r="C20" s="71" t="s">
        <v>40</v>
      </c>
      <c r="D20" s="73">
        <v>3</v>
      </c>
      <c r="E20" s="71">
        <v>21</v>
      </c>
      <c r="F20" s="71">
        <v>30</v>
      </c>
      <c r="G20" s="74">
        <f t="shared" si="0"/>
        <v>4.9768518518518521E-3</v>
      </c>
      <c r="H20" s="75">
        <f>(PBS!$D$17+(50*PBS!$D$17/230)*LOG10(D20))/G20/86400</f>
        <v>0.83934208811594024</v>
      </c>
      <c r="I20" s="87">
        <f t="shared" si="4"/>
        <v>16</v>
      </c>
      <c r="J20" s="73">
        <f t="shared" si="1"/>
        <v>1</v>
      </c>
      <c r="K20" s="76">
        <f t="shared" si="2"/>
        <v>4.9768518518518521E-3</v>
      </c>
      <c r="L20" s="76">
        <f t="shared" si="3"/>
        <v>1.4930555555555556E-2</v>
      </c>
      <c r="M20" s="71" t="s">
        <v>41</v>
      </c>
    </row>
    <row r="21" spans="1:19" s="39" customFormat="1" x14ac:dyDescent="0.2">
      <c r="A21" s="71"/>
      <c r="B21" s="72">
        <v>32082</v>
      </c>
      <c r="C21" s="71" t="s">
        <v>32</v>
      </c>
      <c r="D21" s="73">
        <f>10/1.609</f>
        <v>6.2150403977625857</v>
      </c>
      <c r="E21" s="71">
        <v>48</v>
      </c>
      <c r="F21" s="71">
        <v>30</v>
      </c>
      <c r="G21" s="74">
        <f t="shared" si="0"/>
        <v>5.4192013888888883E-3</v>
      </c>
      <c r="H21" s="75">
        <f>(PBS!$D$17+(50*PBS!$D$17/230)*LOG10(D21))/G21/86400</f>
        <v>0.81885509984765459</v>
      </c>
      <c r="I21" s="87">
        <f t="shared" si="4"/>
        <v>16</v>
      </c>
      <c r="J21" s="73">
        <f t="shared" si="1"/>
        <v>1</v>
      </c>
      <c r="K21" s="76">
        <f t="shared" si="2"/>
        <v>5.4192013888888883E-3</v>
      </c>
      <c r="L21" s="76">
        <f t="shared" si="3"/>
        <v>3.3680555555555554E-2</v>
      </c>
      <c r="M21" s="71"/>
      <c r="N21" s="37"/>
      <c r="O21" s="37"/>
      <c r="P21" s="37"/>
      <c r="Q21" s="37"/>
      <c r="R21" s="37"/>
      <c r="S21" s="37"/>
    </row>
    <row r="22" spans="1:19" s="39" customFormat="1" x14ac:dyDescent="0.2">
      <c r="A22" s="71"/>
      <c r="B22" s="72">
        <v>32298</v>
      </c>
      <c r="C22" s="71" t="s">
        <v>26</v>
      </c>
      <c r="D22" s="73">
        <v>4</v>
      </c>
      <c r="E22" s="71">
        <v>27</v>
      </c>
      <c r="F22" s="71">
        <v>30</v>
      </c>
      <c r="G22" s="74">
        <f t="shared" si="0"/>
        <v>4.7743055555555551E-3</v>
      </c>
      <c r="H22" s="75">
        <f>(PBS!$D$17+(50*PBS!$D$17/230)*LOG10(D22))/G22/86400</f>
        <v>0.89648148467153832</v>
      </c>
      <c r="I22" s="87">
        <f t="shared" si="4"/>
        <v>16</v>
      </c>
      <c r="J22" s="73">
        <f t="shared" si="1"/>
        <v>1</v>
      </c>
      <c r="K22" s="76">
        <f t="shared" si="2"/>
        <v>4.7743055555555551E-3</v>
      </c>
      <c r="L22" s="76">
        <f t="shared" si="3"/>
        <v>1.909722222222222E-2</v>
      </c>
      <c r="M22" s="71" t="s">
        <v>42</v>
      </c>
      <c r="N22" s="36"/>
      <c r="O22" s="36"/>
      <c r="P22" s="36"/>
      <c r="Q22" s="36"/>
      <c r="R22" s="36"/>
      <c r="S22" s="36"/>
    </row>
    <row r="23" spans="1:19" s="39" customFormat="1" x14ac:dyDescent="0.2">
      <c r="A23" s="71"/>
      <c r="B23" s="72">
        <v>32326</v>
      </c>
      <c r="C23" s="71" t="s">
        <v>34</v>
      </c>
      <c r="D23" s="73">
        <f>5/1.609</f>
        <v>3.1075201988812928</v>
      </c>
      <c r="E23" s="71">
        <v>21</v>
      </c>
      <c r="F23" s="71">
        <v>0</v>
      </c>
      <c r="G23" s="74">
        <f t="shared" si="0"/>
        <v>4.6929166666666664E-3</v>
      </c>
      <c r="H23" s="75">
        <f>(PBS!$D$17+(50*PBS!$D$17/230)*LOG10(D23))/G23/86400</f>
        <v>0.89280586823636943</v>
      </c>
      <c r="I23" s="87">
        <f t="shared" si="4"/>
        <v>16</v>
      </c>
      <c r="J23" s="73">
        <f t="shared" si="1"/>
        <v>1</v>
      </c>
      <c r="K23" s="76">
        <f t="shared" si="2"/>
        <v>4.6929166666666664E-3</v>
      </c>
      <c r="L23" s="76">
        <f t="shared" si="3"/>
        <v>1.4583333333333334E-2</v>
      </c>
      <c r="M23" s="71" t="s">
        <v>43</v>
      </c>
      <c r="N23" s="38"/>
      <c r="O23" s="38"/>
      <c r="P23" s="38"/>
      <c r="Q23" s="38"/>
      <c r="R23" s="38"/>
      <c r="S23" s="38"/>
    </row>
    <row r="24" spans="1:19" s="39" customFormat="1" x14ac:dyDescent="0.2">
      <c r="A24" s="71"/>
      <c r="B24" s="72">
        <v>32362</v>
      </c>
      <c r="C24" s="71" t="s">
        <v>36</v>
      </c>
      <c r="D24" s="73">
        <v>4.5</v>
      </c>
      <c r="E24" s="71">
        <v>27</v>
      </c>
      <c r="F24" s="71">
        <v>40</v>
      </c>
      <c r="G24" s="74">
        <f t="shared" si="0"/>
        <v>4.2695473251028815E-3</v>
      </c>
      <c r="H24" s="75">
        <f>(PBS!$D$17+(50*PBS!$D$17/230)*LOG10(D24))/G24/86400</f>
        <v>1.012323495811998</v>
      </c>
      <c r="I24" s="87">
        <f t="shared" si="4"/>
        <v>17</v>
      </c>
      <c r="J24" s="73">
        <f t="shared" si="1"/>
        <v>1</v>
      </c>
      <c r="K24" s="76">
        <f t="shared" si="2"/>
        <v>4.2695473251028815E-3</v>
      </c>
      <c r="L24" s="76">
        <f t="shared" si="3"/>
        <v>1.9212962962962966E-2</v>
      </c>
      <c r="M24" s="71" t="s">
        <v>44</v>
      </c>
      <c r="N24"/>
      <c r="O24"/>
      <c r="P24"/>
      <c r="Q24"/>
      <c r="R24"/>
      <c r="S24"/>
    </row>
    <row r="25" spans="1:19" s="39" customFormat="1" x14ac:dyDescent="0.2">
      <c r="A25" s="71"/>
      <c r="B25" s="72">
        <v>32389</v>
      </c>
      <c r="C25" s="71" t="s">
        <v>45</v>
      </c>
      <c r="D25" s="73">
        <f>10/1.609</f>
        <v>6.2150403977625857</v>
      </c>
      <c r="E25" s="71">
        <v>51</v>
      </c>
      <c r="F25" s="71">
        <v>30</v>
      </c>
      <c r="G25" s="74">
        <f t="shared" si="0"/>
        <v>5.7544097222222224E-3</v>
      </c>
      <c r="H25" s="75">
        <f>(PBS!$D$17+(50*PBS!$D$17/230)*LOG10(D25))/G25/86400</f>
        <v>0.77115480276915027</v>
      </c>
      <c r="I25" s="87">
        <f t="shared" si="4"/>
        <v>17</v>
      </c>
      <c r="J25" s="73">
        <f t="shared" si="1"/>
        <v>1</v>
      </c>
      <c r="K25" s="76">
        <f t="shared" si="2"/>
        <v>5.7544097222222224E-3</v>
      </c>
      <c r="L25" s="76">
        <f t="shared" si="3"/>
        <v>3.5763888888888894E-2</v>
      </c>
      <c r="M25" s="71"/>
      <c r="N25" s="37"/>
      <c r="O25" s="37"/>
      <c r="P25" s="37"/>
      <c r="Q25" s="37"/>
      <c r="R25" s="37"/>
      <c r="S25" s="37"/>
    </row>
    <row r="26" spans="1:19" s="39" customFormat="1" x14ac:dyDescent="0.2">
      <c r="A26" s="71"/>
      <c r="B26" s="72">
        <v>32397</v>
      </c>
      <c r="C26" s="71" t="s">
        <v>24</v>
      </c>
      <c r="D26" s="73">
        <v>9</v>
      </c>
      <c r="E26" s="71">
        <v>59</v>
      </c>
      <c r="F26" s="71">
        <v>30</v>
      </c>
      <c r="G26" s="74">
        <f t="shared" si="0"/>
        <v>4.5910493827160488E-3</v>
      </c>
      <c r="H26" s="75">
        <f>(PBS!$D$17+(50*PBS!$D$17/230)*LOG10(D26))/G26/86400</f>
        <v>0.9953803254950635</v>
      </c>
      <c r="I26" s="87">
        <f t="shared" si="4"/>
        <v>17</v>
      </c>
      <c r="J26" s="73">
        <f t="shared" si="1"/>
        <v>1</v>
      </c>
      <c r="K26" s="76">
        <f t="shared" si="2"/>
        <v>4.5910493827160488E-3</v>
      </c>
      <c r="L26" s="76">
        <f t="shared" si="3"/>
        <v>4.1319444444444436E-2</v>
      </c>
      <c r="M26" s="71" t="s">
        <v>46</v>
      </c>
      <c r="N26"/>
      <c r="O26"/>
      <c r="P26"/>
      <c r="Q26"/>
      <c r="R26"/>
      <c r="S26"/>
    </row>
    <row r="27" spans="1:19" s="39" customFormat="1" x14ac:dyDescent="0.2">
      <c r="A27" s="71"/>
      <c r="B27" s="72">
        <v>32434</v>
      </c>
      <c r="C27" s="71" t="s">
        <v>47</v>
      </c>
      <c r="D27" s="73">
        <v>13.1122</v>
      </c>
      <c r="E27" s="71">
        <v>97</v>
      </c>
      <c r="F27" s="71">
        <v>5</v>
      </c>
      <c r="G27" s="74">
        <f t="shared" si="0"/>
        <v>5.1416986837816295E-3</v>
      </c>
      <c r="H27" s="75">
        <f>(PBS!$D$17+(50*PBS!$D$17/230)*LOG10(D27))/G27/86400</f>
        <v>0.91493252144932069</v>
      </c>
      <c r="I27" s="87">
        <f t="shared" si="4"/>
        <v>17</v>
      </c>
      <c r="J27" s="73">
        <f t="shared" si="1"/>
        <v>1</v>
      </c>
      <c r="K27" s="76">
        <f t="shared" si="2"/>
        <v>5.1416986837816295E-3</v>
      </c>
      <c r="L27" s="76">
        <f t="shared" si="3"/>
        <v>6.7418981481481483E-2</v>
      </c>
      <c r="M27" s="71"/>
      <c r="N27" s="40"/>
      <c r="O27" s="40"/>
      <c r="P27" s="40"/>
      <c r="Q27" s="40"/>
      <c r="R27" s="40"/>
      <c r="S27" s="40"/>
    </row>
    <row r="28" spans="1:19" s="39" customFormat="1" x14ac:dyDescent="0.2">
      <c r="A28" s="71"/>
      <c r="B28" s="72">
        <v>32662</v>
      </c>
      <c r="C28" s="71" t="s">
        <v>26</v>
      </c>
      <c r="D28" s="73">
        <v>4</v>
      </c>
      <c r="E28" s="71">
        <v>27</v>
      </c>
      <c r="F28" s="71">
        <v>40</v>
      </c>
      <c r="G28" s="74">
        <f t="shared" si="0"/>
        <v>4.8032407407407407E-3</v>
      </c>
      <c r="H28" s="75">
        <f>(PBS!$D$17+(50*PBS!$D$17/230)*LOG10(D28))/G28/86400</f>
        <v>0.89108099380002281</v>
      </c>
      <c r="I28" s="87">
        <f t="shared" si="4"/>
        <v>17</v>
      </c>
      <c r="J28" s="73">
        <f t="shared" si="1"/>
        <v>1</v>
      </c>
      <c r="K28" s="76">
        <f t="shared" si="2"/>
        <v>4.8032407407407407E-3</v>
      </c>
      <c r="L28" s="76">
        <f t="shared" si="3"/>
        <v>1.9212962962962963E-2</v>
      </c>
      <c r="M28" s="71" t="s">
        <v>48</v>
      </c>
      <c r="N28" s="41"/>
      <c r="O28" s="41"/>
      <c r="P28" s="41"/>
      <c r="Q28" s="41"/>
      <c r="R28" s="41"/>
      <c r="S28" s="41"/>
    </row>
    <row r="29" spans="1:19" s="39" customFormat="1" x14ac:dyDescent="0.2">
      <c r="A29" s="71"/>
      <c r="B29" s="72">
        <v>32753</v>
      </c>
      <c r="C29" s="71" t="s">
        <v>49</v>
      </c>
      <c r="D29" s="73">
        <f>10/1.609</f>
        <v>6.2150403977625857</v>
      </c>
      <c r="E29" s="71">
        <v>45</v>
      </c>
      <c r="F29" s="71">
        <v>17</v>
      </c>
      <c r="G29" s="74">
        <f t="shared" si="0"/>
        <v>5.0597835648148147E-3</v>
      </c>
      <c r="H29" s="75">
        <f>(PBS!$D$17+(50*PBS!$D$17/230)*LOG10(D29))/G29/86400</f>
        <v>0.87702184046988396</v>
      </c>
      <c r="I29" s="87">
        <f t="shared" si="4"/>
        <v>18</v>
      </c>
      <c r="J29" s="73">
        <f t="shared" si="1"/>
        <v>1</v>
      </c>
      <c r="K29" s="76">
        <f t="shared" si="2"/>
        <v>5.0597835648148147E-3</v>
      </c>
      <c r="L29" s="76">
        <f t="shared" si="3"/>
        <v>3.1446759259259258E-2</v>
      </c>
      <c r="M29" s="71" t="s">
        <v>50</v>
      </c>
      <c r="N29" s="37"/>
      <c r="O29" s="37"/>
      <c r="P29" s="37"/>
      <c r="Q29" s="37"/>
      <c r="R29" s="37"/>
      <c r="S29" s="37"/>
    </row>
    <row r="30" spans="1:19" s="39" customFormat="1" x14ac:dyDescent="0.2">
      <c r="A30" s="71"/>
      <c r="B30" s="72">
        <v>32761</v>
      </c>
      <c r="C30" s="71" t="s">
        <v>24</v>
      </c>
      <c r="D30" s="73">
        <v>9</v>
      </c>
      <c r="E30" s="71">
        <v>62</v>
      </c>
      <c r="F30" s="71">
        <v>30</v>
      </c>
      <c r="G30" s="74">
        <f t="shared" si="0"/>
        <v>4.8225308641975306E-3</v>
      </c>
      <c r="H30" s="75">
        <f>(PBS!$D$17+(50*PBS!$D$17/230)*LOG10(D30))/G30/86400</f>
        <v>0.94760206987130058</v>
      </c>
      <c r="I30" s="87">
        <f t="shared" si="4"/>
        <v>18</v>
      </c>
      <c r="J30" s="73">
        <f t="shared" si="1"/>
        <v>1</v>
      </c>
      <c r="K30" s="76">
        <f t="shared" si="2"/>
        <v>4.8225308641975306E-3</v>
      </c>
      <c r="L30" s="76">
        <f t="shared" si="3"/>
        <v>4.3402777777777776E-2</v>
      </c>
      <c r="M30" s="71"/>
      <c r="N30"/>
      <c r="O30"/>
      <c r="P30"/>
      <c r="Q30"/>
      <c r="R30"/>
      <c r="S30"/>
    </row>
    <row r="31" spans="1:19" s="39" customFormat="1" x14ac:dyDescent="0.2">
      <c r="A31" s="71"/>
      <c r="B31" s="72">
        <v>33329</v>
      </c>
      <c r="C31" s="71" t="s">
        <v>325</v>
      </c>
      <c r="D31" s="73">
        <f>1500/1609</f>
        <v>0.93225605966438785</v>
      </c>
      <c r="E31" s="71">
        <v>4</v>
      </c>
      <c r="F31" s="71">
        <v>35</v>
      </c>
      <c r="G31" s="74">
        <f t="shared" si="0"/>
        <v>3.4141589506172833E-3</v>
      </c>
      <c r="H31" s="75">
        <f>(PBS!$D$17+(50*PBS!$D$17/230)*LOG10(D31))/G31/86400</f>
        <v>1.1011956081705614</v>
      </c>
      <c r="I31" s="87">
        <f t="shared" si="4"/>
        <v>19</v>
      </c>
      <c r="J31" s="73">
        <f t="shared" si="1"/>
        <v>1</v>
      </c>
      <c r="K31" s="76">
        <f t="shared" si="2"/>
        <v>3.4141589506172833E-3</v>
      </c>
      <c r="L31" s="76">
        <f t="shared" si="3"/>
        <v>3.1828703703703698E-3</v>
      </c>
      <c r="M31" s="71"/>
      <c r="N31" s="34"/>
      <c r="O31" s="34"/>
      <c r="P31" s="34"/>
      <c r="Q31" s="34"/>
      <c r="R31" s="34"/>
      <c r="S31" s="34"/>
    </row>
    <row r="32" spans="1:19" s="39" customFormat="1" x14ac:dyDescent="0.2">
      <c r="A32" s="71"/>
      <c r="B32" s="72">
        <v>33359</v>
      </c>
      <c r="C32" s="71" t="s">
        <v>326</v>
      </c>
      <c r="D32" s="73">
        <f>60/1609</f>
        <v>3.7290242386575516E-2</v>
      </c>
      <c r="E32" s="71">
        <v>0</v>
      </c>
      <c r="F32" s="71">
        <v>8.6</v>
      </c>
      <c r="G32" s="74">
        <f t="shared" si="0"/>
        <v>2.669251543209876E-3</v>
      </c>
      <c r="H32" s="75">
        <f>(PBS!$D$17+(50*PBS!$D$17/230)*LOG10(D32))/G32/86400</f>
        <v>0.97760728402898234</v>
      </c>
      <c r="I32" s="87">
        <f t="shared" si="4"/>
        <v>19</v>
      </c>
      <c r="J32" s="73">
        <f t="shared" si="1"/>
        <v>1</v>
      </c>
      <c r="K32" s="76">
        <f t="shared" si="2"/>
        <v>2.669251543209876E-3</v>
      </c>
      <c r="L32" s="76">
        <f t="shared" si="3"/>
        <v>9.9537037037037031E-5</v>
      </c>
      <c r="M32" s="71"/>
      <c r="N32" s="34"/>
      <c r="O32" s="34"/>
      <c r="P32" s="34"/>
      <c r="Q32" s="34"/>
      <c r="R32" s="34"/>
      <c r="S32" s="34"/>
    </row>
    <row r="33" spans="1:19" s="39" customFormat="1" x14ac:dyDescent="0.2">
      <c r="A33" s="71"/>
      <c r="B33" s="72">
        <v>33359</v>
      </c>
      <c r="C33" s="71" t="s">
        <v>327</v>
      </c>
      <c r="D33" s="73">
        <v>0.25</v>
      </c>
      <c r="E33" s="71">
        <v>0</v>
      </c>
      <c r="F33" s="71">
        <v>58.2</v>
      </c>
      <c r="G33" s="74">
        <f t="shared" si="0"/>
        <v>2.6944444444444451E-3</v>
      </c>
      <c r="H33" s="75">
        <f>(PBS!$D$17+(50*PBS!$D$17/230)*LOG10(D33))/G33/86400</f>
        <v>1.220796338371952</v>
      </c>
      <c r="I33" s="87">
        <f t="shared" si="4"/>
        <v>19</v>
      </c>
      <c r="J33" s="73">
        <f t="shared" si="1"/>
        <v>1</v>
      </c>
      <c r="K33" s="76">
        <f t="shared" si="2"/>
        <v>2.6944444444444451E-3</v>
      </c>
      <c r="L33" s="76">
        <f t="shared" si="3"/>
        <v>6.7361111111111126E-4</v>
      </c>
      <c r="M33" s="71"/>
      <c r="N33" s="34"/>
      <c r="O33" s="34"/>
      <c r="P33" s="34"/>
      <c r="Q33" s="34"/>
      <c r="R33" s="34"/>
      <c r="S33" s="34"/>
    </row>
    <row r="34" spans="1:19" s="39" customFormat="1" x14ac:dyDescent="0.2">
      <c r="A34" s="71"/>
      <c r="B34" s="72">
        <v>33359</v>
      </c>
      <c r="C34" s="71" t="s">
        <v>328</v>
      </c>
      <c r="D34" s="73">
        <v>1</v>
      </c>
      <c r="E34" s="71">
        <v>4</v>
      </c>
      <c r="F34" s="71">
        <v>52</v>
      </c>
      <c r="G34" s="74">
        <f t="shared" ref="G34:G57" si="5">(E34+F34/60)/D34/60/24</f>
        <v>3.37962962962963E-3</v>
      </c>
      <c r="H34" s="75">
        <f>(PBS!$D$17+(50*PBS!$D$17/230)*LOG10(D34))/G34/86400</f>
        <v>1.1198630136986298</v>
      </c>
      <c r="I34" s="87">
        <f t="shared" si="4"/>
        <v>19</v>
      </c>
      <c r="J34" s="73">
        <f t="shared" ref="J34:J57" si="6">IF(I34&gt;35,POWER(I34-35,2)*0.00005+(I34-35)*0.008+1,1)</f>
        <v>1</v>
      </c>
      <c r="K34" s="76">
        <f t="shared" ref="K34:K57" si="7">G34/J34</f>
        <v>3.37962962962963E-3</v>
      </c>
      <c r="L34" s="76">
        <f t="shared" ref="L34:L57" si="8">K34*D34</f>
        <v>3.37962962962963E-3</v>
      </c>
      <c r="M34" s="71" t="s">
        <v>61</v>
      </c>
    </row>
    <row r="35" spans="1:19" s="39" customFormat="1" x14ac:dyDescent="0.2">
      <c r="A35" s="71"/>
      <c r="B35" s="72">
        <v>33359</v>
      </c>
      <c r="C35" s="71" t="s">
        <v>329</v>
      </c>
      <c r="D35" s="73">
        <f>5/1.609</f>
        <v>3.1075201988812928</v>
      </c>
      <c r="E35" s="71">
        <v>16</v>
      </c>
      <c r="F35" s="71">
        <v>55</v>
      </c>
      <c r="G35" s="74">
        <f t="shared" si="5"/>
        <v>3.7804050925925926E-3</v>
      </c>
      <c r="H35" s="75">
        <f>(PBS!$D$17+(50*PBS!$D$17/230)*LOG10(D35))/G35/86400</f>
        <v>1.1083107329830792</v>
      </c>
      <c r="I35" s="87">
        <f t="shared" si="4"/>
        <v>19</v>
      </c>
      <c r="J35" s="73">
        <f t="shared" si="6"/>
        <v>1</v>
      </c>
      <c r="K35" s="76">
        <f t="shared" si="7"/>
        <v>3.7804050925925926E-3</v>
      </c>
      <c r="L35" s="76">
        <f t="shared" si="8"/>
        <v>1.1747685185185186E-2</v>
      </c>
      <c r="M35" s="71" t="s">
        <v>330</v>
      </c>
      <c r="N35" s="38"/>
      <c r="O35" s="38"/>
      <c r="P35" s="38"/>
      <c r="Q35" s="38"/>
      <c r="R35" s="38"/>
      <c r="S35" s="38"/>
    </row>
    <row r="36" spans="1:19" s="39" customFormat="1" x14ac:dyDescent="0.2">
      <c r="A36" s="71"/>
      <c r="B36" s="72">
        <v>33373</v>
      </c>
      <c r="C36" s="71" t="s">
        <v>331</v>
      </c>
      <c r="D36" s="73">
        <v>13.1122</v>
      </c>
      <c r="E36" s="71">
        <v>90</v>
      </c>
      <c r="F36" s="71">
        <v>20</v>
      </c>
      <c r="G36" s="74">
        <f t="shared" si="5"/>
        <v>4.7842071873126927E-3</v>
      </c>
      <c r="H36" s="75">
        <f>(PBS!$D$17+(50*PBS!$D$17/230)*LOG10(D36))/G36/86400</f>
        <v>0.98329925045060751</v>
      </c>
      <c r="I36" s="87">
        <f t="shared" si="4"/>
        <v>19</v>
      </c>
      <c r="J36" s="73">
        <f t="shared" si="6"/>
        <v>1</v>
      </c>
      <c r="K36" s="76">
        <f t="shared" si="7"/>
        <v>4.7842071873126927E-3</v>
      </c>
      <c r="L36" s="76">
        <f t="shared" si="8"/>
        <v>6.2731481481481485E-2</v>
      </c>
      <c r="M36" s="71"/>
      <c r="N36" s="40"/>
      <c r="O36" s="40"/>
      <c r="P36" s="40"/>
      <c r="Q36" s="40"/>
      <c r="R36" s="40"/>
      <c r="S36" s="40"/>
    </row>
    <row r="37" spans="1:19" s="34" customFormat="1" x14ac:dyDescent="0.2">
      <c r="A37" s="71"/>
      <c r="B37" s="72">
        <v>34455</v>
      </c>
      <c r="C37" s="71" t="s">
        <v>332</v>
      </c>
      <c r="D37" s="73">
        <v>0.25</v>
      </c>
      <c r="E37" s="71">
        <v>0</v>
      </c>
      <c r="F37" s="71">
        <v>58.5</v>
      </c>
      <c r="G37" s="74">
        <f t="shared" si="5"/>
        <v>2.7083333333333334E-3</v>
      </c>
      <c r="H37" s="75">
        <f>(PBS!$D$17+(50*PBS!$D$17/230)*LOG10(D37))/G37/86400</f>
        <v>1.2145358443290191</v>
      </c>
      <c r="I37" s="87">
        <f t="shared" si="4"/>
        <v>22</v>
      </c>
      <c r="J37" s="73">
        <f t="shared" si="6"/>
        <v>1</v>
      </c>
      <c r="K37" s="76">
        <f t="shared" si="7"/>
        <v>2.7083333333333334E-3</v>
      </c>
      <c r="L37" s="76">
        <f t="shared" si="8"/>
        <v>6.7708333333333336E-4</v>
      </c>
      <c r="M37" s="71"/>
    </row>
    <row r="38" spans="1:19" s="34" customFormat="1" x14ac:dyDescent="0.2">
      <c r="A38" s="71"/>
      <c r="B38" s="72">
        <v>34881</v>
      </c>
      <c r="C38" s="71" t="s">
        <v>55</v>
      </c>
      <c r="D38" s="73">
        <v>13.1122</v>
      </c>
      <c r="E38" s="71">
        <v>119</v>
      </c>
      <c r="F38" s="71">
        <v>12</v>
      </c>
      <c r="G38" s="74">
        <f t="shared" si="5"/>
        <v>6.3130350191255317E-3</v>
      </c>
      <c r="H38" s="75">
        <f>(PBS!$D$17+(50*PBS!$D$17/230)*LOG10(D38))/G38/86400</f>
        <v>0.74517364897123772</v>
      </c>
      <c r="I38" s="87">
        <f t="shared" si="4"/>
        <v>23</v>
      </c>
      <c r="J38" s="73">
        <f t="shared" si="6"/>
        <v>1</v>
      </c>
      <c r="K38" s="76">
        <f t="shared" si="7"/>
        <v>6.3130350191255317E-3</v>
      </c>
      <c r="L38" s="76">
        <f t="shared" si="8"/>
        <v>8.2777777777777797E-2</v>
      </c>
      <c r="M38" s="71" t="s">
        <v>56</v>
      </c>
      <c r="N38" s="40"/>
      <c r="O38" s="40"/>
      <c r="P38" s="40"/>
      <c r="Q38" s="40"/>
      <c r="R38" s="40"/>
      <c r="S38" s="40"/>
    </row>
    <row r="39" spans="1:19" s="34" customFormat="1" x14ac:dyDescent="0.2">
      <c r="A39" s="71"/>
      <c r="B39" s="72">
        <v>35889</v>
      </c>
      <c r="C39" s="71" t="s">
        <v>57</v>
      </c>
      <c r="D39" s="73">
        <f>5/1.609</f>
        <v>3.1075201988812928</v>
      </c>
      <c r="E39" s="71">
        <v>20</v>
      </c>
      <c r="F39" s="71">
        <v>30</v>
      </c>
      <c r="G39" s="74">
        <f t="shared" si="5"/>
        <v>4.5811805555555554E-3</v>
      </c>
      <c r="H39" s="75">
        <f>(PBS!$D$17+(50*PBS!$D$17/230)*LOG10(D39))/G39/86400</f>
        <v>0.91458162112018326</v>
      </c>
      <c r="I39" s="87">
        <f t="shared" si="4"/>
        <v>26</v>
      </c>
      <c r="J39" s="73">
        <f t="shared" si="6"/>
        <v>1</v>
      </c>
      <c r="K39" s="76">
        <f t="shared" si="7"/>
        <v>4.5811805555555554E-3</v>
      </c>
      <c r="L39" s="76">
        <f t="shared" si="8"/>
        <v>1.4236111111111111E-2</v>
      </c>
      <c r="M39" s="71" t="s">
        <v>58</v>
      </c>
      <c r="N39" s="38"/>
      <c r="O39" s="38"/>
      <c r="P39" s="38"/>
      <c r="Q39" s="38"/>
      <c r="R39" s="38"/>
      <c r="S39" s="38"/>
    </row>
    <row r="40" spans="1:19" s="34" customFormat="1" x14ac:dyDescent="0.2">
      <c r="A40" s="71"/>
      <c r="B40" s="72">
        <v>35910</v>
      </c>
      <c r="C40" s="71" t="s">
        <v>59</v>
      </c>
      <c r="D40" s="73">
        <f>10/1.609</f>
        <v>6.2150403977625857</v>
      </c>
      <c r="E40" s="71">
        <v>41</v>
      </c>
      <c r="F40" s="71">
        <v>40</v>
      </c>
      <c r="G40" s="74">
        <f t="shared" si="5"/>
        <v>4.6556712962962958E-3</v>
      </c>
      <c r="H40" s="75">
        <f>(PBS!$D$17+(50*PBS!$D$17/230)*LOG10(D40))/G40/86400</f>
        <v>0.95314733622267001</v>
      </c>
      <c r="I40" s="87">
        <f t="shared" si="4"/>
        <v>26</v>
      </c>
      <c r="J40" s="73">
        <f t="shared" si="6"/>
        <v>1</v>
      </c>
      <c r="K40" s="76">
        <f t="shared" si="7"/>
        <v>4.6556712962962958E-3</v>
      </c>
      <c r="L40" s="76">
        <f t="shared" si="8"/>
        <v>2.8935185185185182E-2</v>
      </c>
      <c r="M40" s="71"/>
      <c r="N40" s="37"/>
      <c r="O40" s="37"/>
      <c r="P40" s="37"/>
      <c r="Q40" s="37"/>
      <c r="R40" s="37"/>
      <c r="S40" s="37"/>
    </row>
    <row r="41" spans="1:19" s="38" customFormat="1" x14ac:dyDescent="0.2">
      <c r="A41" s="71"/>
      <c r="B41" s="72">
        <v>35956</v>
      </c>
      <c r="C41" s="71" t="s">
        <v>65</v>
      </c>
      <c r="D41" s="73">
        <v>0.125</v>
      </c>
      <c r="E41" s="71">
        <v>0</v>
      </c>
      <c r="F41" s="71">
        <v>27.4</v>
      </c>
      <c r="G41" s="74">
        <f t="shared" si="5"/>
        <v>2.5370370370370369E-3</v>
      </c>
      <c r="H41" s="75">
        <f>(PBS!$D$17+(50*PBS!$D$17/230)*LOG10(D41))/G41/86400</f>
        <v>1.1989146047421797</v>
      </c>
      <c r="I41" s="87">
        <f t="shared" si="4"/>
        <v>26</v>
      </c>
      <c r="J41" s="73">
        <f t="shared" si="6"/>
        <v>1</v>
      </c>
      <c r="K41" s="76">
        <f t="shared" si="7"/>
        <v>2.5370370370370369E-3</v>
      </c>
      <c r="L41" s="76">
        <f t="shared" si="8"/>
        <v>3.1712962962962961E-4</v>
      </c>
      <c r="M41" s="71" t="s">
        <v>66</v>
      </c>
      <c r="N41" s="35"/>
      <c r="O41" s="35"/>
      <c r="P41" s="35"/>
      <c r="Q41" s="35"/>
      <c r="R41" s="35"/>
      <c r="S41" s="35"/>
    </row>
    <row r="42" spans="1:19" s="38" customFormat="1" x14ac:dyDescent="0.2">
      <c r="A42" s="71"/>
      <c r="B42" s="72">
        <v>35956</v>
      </c>
      <c r="C42" s="71" t="s">
        <v>64</v>
      </c>
      <c r="D42" s="73">
        <v>0.25</v>
      </c>
      <c r="E42" s="71">
        <v>0</v>
      </c>
      <c r="F42" s="71">
        <v>58.4</v>
      </c>
      <c r="G42" s="74">
        <f t="shared" si="5"/>
        <v>2.7037037037037034E-3</v>
      </c>
      <c r="H42" s="75">
        <f>(PBS!$D$17+(50*PBS!$D$17/230)*LOG10(D42))/G42/86400</f>
        <v>1.2166155289939662</v>
      </c>
      <c r="I42" s="87">
        <f t="shared" si="4"/>
        <v>26</v>
      </c>
      <c r="J42" s="73">
        <f t="shared" si="6"/>
        <v>1</v>
      </c>
      <c r="K42" s="76">
        <f t="shared" si="7"/>
        <v>2.7037037037037034E-3</v>
      </c>
      <c r="L42" s="76">
        <f t="shared" si="8"/>
        <v>6.7592592592592585E-4</v>
      </c>
      <c r="M42" s="71" t="s">
        <v>63</v>
      </c>
      <c r="N42" s="34"/>
      <c r="O42" s="34"/>
      <c r="P42" s="34"/>
      <c r="Q42" s="34"/>
      <c r="R42" s="34"/>
      <c r="S42" s="34"/>
    </row>
    <row r="43" spans="1:19" s="38" customFormat="1" x14ac:dyDescent="0.2">
      <c r="A43" s="71"/>
      <c r="B43" s="72">
        <v>35956</v>
      </c>
      <c r="C43" s="71" t="s">
        <v>62</v>
      </c>
      <c r="D43" s="73">
        <v>0.5</v>
      </c>
      <c r="E43" s="71">
        <v>2</v>
      </c>
      <c r="F43" s="71">
        <v>21</v>
      </c>
      <c r="G43" s="74">
        <f t="shared" si="5"/>
        <v>3.2638888888888891E-3</v>
      </c>
      <c r="H43" s="75">
        <f>(PBS!$D$17+(50*PBS!$D$17/230)*LOG10(D43))/G43/86400</f>
        <v>1.08369040349821</v>
      </c>
      <c r="I43" s="87">
        <f t="shared" si="4"/>
        <v>26</v>
      </c>
      <c r="J43" s="73">
        <f t="shared" si="6"/>
        <v>1</v>
      </c>
      <c r="K43" s="76">
        <f t="shared" si="7"/>
        <v>3.2638888888888891E-3</v>
      </c>
      <c r="L43" s="76">
        <f t="shared" si="8"/>
        <v>1.6319444444444445E-3</v>
      </c>
      <c r="M43" s="71" t="s">
        <v>63</v>
      </c>
      <c r="N43" s="34"/>
      <c r="O43" s="34"/>
      <c r="P43" s="34"/>
      <c r="Q43" s="34"/>
      <c r="R43" s="34"/>
      <c r="S43" s="34"/>
    </row>
    <row r="44" spans="1:19" s="38" customFormat="1" x14ac:dyDescent="0.2">
      <c r="A44" s="71"/>
      <c r="B44" s="72">
        <v>35956</v>
      </c>
      <c r="C44" s="71" t="s">
        <v>60</v>
      </c>
      <c r="D44" s="73">
        <v>1</v>
      </c>
      <c r="E44" s="71">
        <v>5</v>
      </c>
      <c r="F44" s="71">
        <v>12</v>
      </c>
      <c r="G44" s="74">
        <f t="shared" si="5"/>
        <v>3.6111111111111114E-3</v>
      </c>
      <c r="H44" s="75">
        <f>(PBS!$D$17+(50*PBS!$D$17/230)*LOG10(D44))/G44/86400</f>
        <v>1.0480769230769229</v>
      </c>
      <c r="I44" s="87">
        <f t="shared" si="4"/>
        <v>26</v>
      </c>
      <c r="J44" s="73">
        <f t="shared" si="6"/>
        <v>1</v>
      </c>
      <c r="K44" s="76">
        <f t="shared" si="7"/>
        <v>3.6111111111111114E-3</v>
      </c>
      <c r="L44" s="76">
        <f t="shared" si="8"/>
        <v>3.6111111111111114E-3</v>
      </c>
      <c r="M44" s="71" t="s">
        <v>61</v>
      </c>
      <c r="N44" s="39"/>
      <c r="O44" s="39"/>
      <c r="P44" s="39"/>
      <c r="Q44" s="39"/>
      <c r="R44" s="39"/>
      <c r="S44" s="39"/>
    </row>
    <row r="45" spans="1:19" s="38" customFormat="1" x14ac:dyDescent="0.2">
      <c r="A45" s="71"/>
      <c r="B45" s="72">
        <v>35959</v>
      </c>
      <c r="C45" s="71" t="s">
        <v>67</v>
      </c>
      <c r="D45" s="73">
        <f>5/1.609</f>
        <v>3.1075201988812928</v>
      </c>
      <c r="E45" s="71">
        <v>19</v>
      </c>
      <c r="F45" s="71">
        <v>20</v>
      </c>
      <c r="G45" s="74">
        <f t="shared" si="5"/>
        <v>4.3204629629629626E-3</v>
      </c>
      <c r="H45" s="75">
        <f>(PBS!$D$17+(50*PBS!$D$17/230)*LOG10(D45))/G45/86400</f>
        <v>0.96977189136019437</v>
      </c>
      <c r="I45" s="87">
        <f t="shared" si="4"/>
        <v>26</v>
      </c>
      <c r="J45" s="73">
        <f t="shared" si="6"/>
        <v>1</v>
      </c>
      <c r="K45" s="76">
        <f t="shared" si="7"/>
        <v>4.3204629629629626E-3</v>
      </c>
      <c r="L45" s="76">
        <f t="shared" si="8"/>
        <v>1.3425925925925924E-2</v>
      </c>
      <c r="M45" s="71" t="s">
        <v>68</v>
      </c>
      <c r="Q45" s="42">
        <f>27.667*4/4.5</f>
        <v>24.59288888888889</v>
      </c>
    </row>
    <row r="46" spans="1:19" s="38" customFormat="1" x14ac:dyDescent="0.2">
      <c r="A46" s="71"/>
      <c r="B46" s="72">
        <v>35966</v>
      </c>
      <c r="C46" s="71" t="s">
        <v>69</v>
      </c>
      <c r="D46" s="73">
        <f>10/1.609</f>
        <v>6.2150403977625857</v>
      </c>
      <c r="E46" s="71">
        <v>39</v>
      </c>
      <c r="F46" s="71">
        <v>20</v>
      </c>
      <c r="G46" s="74">
        <f t="shared" si="5"/>
        <v>4.3949537037037039E-3</v>
      </c>
      <c r="H46" s="75">
        <f>(PBS!$D$17+(50*PBS!$D$17/230)*LOG10(D46))/G46/86400</f>
        <v>1.0096899748121502</v>
      </c>
      <c r="I46" s="87">
        <f t="shared" si="4"/>
        <v>26</v>
      </c>
      <c r="J46" s="73">
        <f t="shared" si="6"/>
        <v>1</v>
      </c>
      <c r="K46" s="76">
        <f t="shared" si="7"/>
        <v>4.3949537037037039E-3</v>
      </c>
      <c r="L46" s="76">
        <f t="shared" si="8"/>
        <v>2.7314814814814816E-2</v>
      </c>
      <c r="M46" s="71" t="s">
        <v>70</v>
      </c>
      <c r="N46" s="37"/>
      <c r="O46" s="37"/>
      <c r="P46" s="37"/>
      <c r="Q46" s="37"/>
      <c r="R46" s="37"/>
      <c r="S46" s="37"/>
    </row>
    <row r="47" spans="1:19" s="38" customFormat="1" x14ac:dyDescent="0.2">
      <c r="A47" s="71"/>
      <c r="B47" s="72">
        <v>35970</v>
      </c>
      <c r="C47" s="71" t="s">
        <v>65</v>
      </c>
      <c r="D47" s="73">
        <v>0.125</v>
      </c>
      <c r="E47" s="71">
        <v>0</v>
      </c>
      <c r="F47" s="71">
        <v>27.2</v>
      </c>
      <c r="G47" s="74">
        <f t="shared" si="5"/>
        <v>2.5185185185185185E-3</v>
      </c>
      <c r="H47" s="75">
        <f>(PBS!$D$17+(50*PBS!$D$17/230)*LOG10(D47))/G47/86400</f>
        <v>1.2077301533064604</v>
      </c>
      <c r="I47" s="87">
        <f t="shared" si="4"/>
        <v>26</v>
      </c>
      <c r="J47" s="73">
        <f t="shared" si="6"/>
        <v>1</v>
      </c>
      <c r="K47" s="76">
        <f t="shared" si="7"/>
        <v>2.5185185185185185E-3</v>
      </c>
      <c r="L47" s="76">
        <f t="shared" si="8"/>
        <v>3.1481481481481481E-4</v>
      </c>
      <c r="M47" s="71"/>
      <c r="N47" s="34"/>
      <c r="O47" s="34"/>
      <c r="P47" s="34"/>
      <c r="Q47" s="34"/>
      <c r="R47" s="34"/>
      <c r="S47" s="34"/>
    </row>
    <row r="48" spans="1:19" s="38" customFormat="1" x14ac:dyDescent="0.2">
      <c r="A48" s="71"/>
      <c r="B48" s="72">
        <v>35970</v>
      </c>
      <c r="C48" s="71" t="s">
        <v>62</v>
      </c>
      <c r="D48" s="73">
        <v>0.5</v>
      </c>
      <c r="E48" s="71">
        <v>2</v>
      </c>
      <c r="F48" s="71">
        <v>16</v>
      </c>
      <c r="G48" s="74">
        <f t="shared" si="5"/>
        <v>3.1481481481481482E-3</v>
      </c>
      <c r="H48" s="75">
        <f>(PBS!$D$17+(50*PBS!$D$17/230)*LOG10(D48))/G48/86400</f>
        <v>1.1235319624503501</v>
      </c>
      <c r="I48" s="87">
        <f t="shared" si="4"/>
        <v>26</v>
      </c>
      <c r="J48" s="73">
        <f t="shared" si="6"/>
        <v>1</v>
      </c>
      <c r="K48" s="76">
        <f t="shared" si="7"/>
        <v>3.1481481481481482E-3</v>
      </c>
      <c r="L48" s="76">
        <f t="shared" si="8"/>
        <v>1.5740740740740741E-3</v>
      </c>
      <c r="M48" s="71"/>
      <c r="N48" s="34"/>
      <c r="O48" s="34"/>
      <c r="P48" s="34"/>
      <c r="Q48" s="34"/>
      <c r="R48" s="34"/>
      <c r="S48" s="34"/>
    </row>
    <row r="49" spans="1:19" s="38" customFormat="1" x14ac:dyDescent="0.2">
      <c r="A49" s="71"/>
      <c r="B49" s="72">
        <v>35984</v>
      </c>
      <c r="C49" s="71" t="s">
        <v>64</v>
      </c>
      <c r="D49" s="73">
        <v>0.25</v>
      </c>
      <c r="E49" s="71">
        <v>0</v>
      </c>
      <c r="F49" s="71">
        <v>59.1</v>
      </c>
      <c r="G49" s="74">
        <f t="shared" si="5"/>
        <v>2.736111111111111E-3</v>
      </c>
      <c r="H49" s="75">
        <f>(PBS!$D$17+(50*PBS!$D$17/230)*LOG10(D49))/G49/86400</f>
        <v>1.2022055311886231</v>
      </c>
      <c r="I49" s="87">
        <f t="shared" si="4"/>
        <v>26</v>
      </c>
      <c r="J49" s="73">
        <f t="shared" si="6"/>
        <v>1</v>
      </c>
      <c r="K49" s="76">
        <f t="shared" si="7"/>
        <v>2.736111111111111E-3</v>
      </c>
      <c r="L49" s="76">
        <f t="shared" si="8"/>
        <v>6.8402777777777776E-4</v>
      </c>
      <c r="M49" s="71"/>
      <c r="N49" s="34"/>
      <c r="O49" s="34"/>
      <c r="P49" s="34"/>
      <c r="Q49" s="34"/>
      <c r="R49" s="34"/>
      <c r="S49" s="34"/>
    </row>
    <row r="50" spans="1:19" s="38" customFormat="1" x14ac:dyDescent="0.2">
      <c r="A50" s="71"/>
      <c r="B50" s="72">
        <v>35984</v>
      </c>
      <c r="C50" s="71" t="s">
        <v>60</v>
      </c>
      <c r="D50" s="73">
        <v>1</v>
      </c>
      <c r="E50" s="71">
        <v>5</v>
      </c>
      <c r="F50" s="71">
        <v>3</v>
      </c>
      <c r="G50" s="74">
        <f t="shared" si="5"/>
        <v>3.5069444444444445E-3</v>
      </c>
      <c r="H50" s="75">
        <f>(PBS!$D$17+(50*PBS!$D$17/230)*LOG10(D50))/G50/86400</f>
        <v>1.0792079207920793</v>
      </c>
      <c r="I50" s="87">
        <f t="shared" si="4"/>
        <v>26</v>
      </c>
      <c r="J50" s="73">
        <f t="shared" si="6"/>
        <v>1</v>
      </c>
      <c r="K50" s="76">
        <f t="shared" si="7"/>
        <v>3.5069444444444445E-3</v>
      </c>
      <c r="L50" s="76">
        <f t="shared" si="8"/>
        <v>3.5069444444444445E-3</v>
      </c>
      <c r="M50" s="71"/>
      <c r="N50" s="39"/>
      <c r="O50" s="39"/>
      <c r="P50" s="39"/>
      <c r="Q50" s="39"/>
      <c r="R50" s="39"/>
      <c r="S50" s="39"/>
    </row>
    <row r="51" spans="1:19" s="38" customFormat="1" x14ac:dyDescent="0.2">
      <c r="A51" s="71"/>
      <c r="B51" s="72">
        <v>35998</v>
      </c>
      <c r="C51" s="71" t="s">
        <v>71</v>
      </c>
      <c r="D51" s="73">
        <v>1</v>
      </c>
      <c r="E51" s="71">
        <v>5</v>
      </c>
      <c r="F51" s="71">
        <v>1</v>
      </c>
      <c r="G51" s="74">
        <f t="shared" si="5"/>
        <v>3.483796296296296E-3</v>
      </c>
      <c r="H51" s="75">
        <f>(PBS!$D$17+(50*PBS!$D$17/230)*LOG10(D51))/G51/86400</f>
        <v>1.0863787375415284</v>
      </c>
      <c r="I51" s="87">
        <f t="shared" si="4"/>
        <v>27</v>
      </c>
      <c r="J51" s="73">
        <f t="shared" si="6"/>
        <v>1</v>
      </c>
      <c r="K51" s="76">
        <f t="shared" si="7"/>
        <v>3.483796296296296E-3</v>
      </c>
      <c r="L51" s="76">
        <f t="shared" si="8"/>
        <v>3.483796296296296E-3</v>
      </c>
      <c r="M51" s="71" t="s">
        <v>72</v>
      </c>
      <c r="N51" s="39"/>
      <c r="O51" s="39"/>
      <c r="P51" s="39"/>
      <c r="Q51" s="39"/>
      <c r="R51" s="39"/>
      <c r="S51" s="39"/>
    </row>
    <row r="52" spans="1:19" s="38" customFormat="1" x14ac:dyDescent="0.2">
      <c r="A52" s="71"/>
      <c r="B52" s="72">
        <v>35999</v>
      </c>
      <c r="C52" s="71" t="s">
        <v>73</v>
      </c>
      <c r="D52" s="73">
        <v>9</v>
      </c>
      <c r="E52" s="71">
        <v>61</v>
      </c>
      <c r="F52" s="71">
        <v>15</v>
      </c>
      <c r="G52" s="74">
        <f t="shared" si="5"/>
        <v>4.7260802469135796E-3</v>
      </c>
      <c r="H52" s="75">
        <f>(PBS!$D$17+(50*PBS!$D$17/230)*LOG10(D52))/G52/86400</f>
        <v>0.96694088762377606</v>
      </c>
      <c r="I52" s="87">
        <f t="shared" si="4"/>
        <v>27</v>
      </c>
      <c r="J52" s="73">
        <f t="shared" si="6"/>
        <v>1</v>
      </c>
      <c r="K52" s="76">
        <f t="shared" si="7"/>
        <v>4.7260802469135796E-3</v>
      </c>
      <c r="L52" s="76">
        <f t="shared" si="8"/>
        <v>4.2534722222222217E-2</v>
      </c>
      <c r="M52" s="71" t="s">
        <v>74</v>
      </c>
      <c r="N52"/>
      <c r="O52"/>
      <c r="P52"/>
      <c r="Q52"/>
      <c r="R52"/>
      <c r="S52"/>
    </row>
    <row r="53" spans="1:19" s="38" customFormat="1" x14ac:dyDescent="0.2">
      <c r="A53" s="71"/>
      <c r="B53" s="72">
        <v>36002</v>
      </c>
      <c r="C53" s="71" t="s">
        <v>75</v>
      </c>
      <c r="D53" s="73">
        <v>16.2</v>
      </c>
      <c r="E53" s="71">
        <v>115</v>
      </c>
      <c r="F53" s="71">
        <v>0</v>
      </c>
      <c r="G53" s="74">
        <f t="shared" si="5"/>
        <v>4.9296982167352536E-3</v>
      </c>
      <c r="H53" s="75">
        <f>(PBS!$D$17+(50*PBS!$D$17/230)*LOG10(D53))/G53/86400</f>
        <v>0.96960695772016814</v>
      </c>
      <c r="I53" s="87">
        <f t="shared" si="4"/>
        <v>27</v>
      </c>
      <c r="J53" s="73">
        <f t="shared" si="6"/>
        <v>1</v>
      </c>
      <c r="K53" s="76">
        <f t="shared" si="7"/>
        <v>4.9296982167352536E-3</v>
      </c>
      <c r="L53" s="76">
        <f t="shared" si="8"/>
        <v>7.9861111111111105E-2</v>
      </c>
      <c r="M53" s="71" t="s">
        <v>76</v>
      </c>
      <c r="N53"/>
      <c r="O53"/>
      <c r="P53"/>
      <c r="Q53"/>
      <c r="R53"/>
      <c r="S53"/>
    </row>
    <row r="54" spans="1:19" s="38" customFormat="1" x14ac:dyDescent="0.2">
      <c r="A54" s="71"/>
      <c r="B54" s="72">
        <v>36015</v>
      </c>
      <c r="C54" s="71" t="s">
        <v>77</v>
      </c>
      <c r="D54" s="73">
        <v>13.1122</v>
      </c>
      <c r="E54" s="71">
        <v>89</v>
      </c>
      <c r="F54" s="71">
        <v>15</v>
      </c>
      <c r="G54" s="74">
        <f t="shared" si="5"/>
        <v>4.7268320088670601E-3</v>
      </c>
      <c r="H54" s="75">
        <f>(PBS!$D$17+(50*PBS!$D$17/230)*LOG10(D54))/G54/86400</f>
        <v>0.99523472221144604</v>
      </c>
      <c r="I54" s="87">
        <f t="shared" si="4"/>
        <v>27</v>
      </c>
      <c r="J54" s="73">
        <f t="shared" si="6"/>
        <v>1</v>
      </c>
      <c r="K54" s="76">
        <f t="shared" si="7"/>
        <v>4.7268320088670601E-3</v>
      </c>
      <c r="L54" s="76">
        <f t="shared" si="8"/>
        <v>6.1979166666666662E-2</v>
      </c>
      <c r="M54" s="71" t="s">
        <v>78</v>
      </c>
      <c r="N54" s="40"/>
      <c r="O54" s="40"/>
      <c r="P54" s="40"/>
      <c r="Q54" s="40"/>
      <c r="R54" s="40"/>
      <c r="S54" s="40"/>
    </row>
    <row r="55" spans="1:19" s="38" customFormat="1" x14ac:dyDescent="0.2">
      <c r="A55" s="71"/>
      <c r="B55" s="72">
        <v>36022</v>
      </c>
      <c r="C55" s="71" t="s">
        <v>79</v>
      </c>
      <c r="D55" s="73">
        <f>5/1.609</f>
        <v>3.1075201988812928</v>
      </c>
      <c r="E55" s="71">
        <v>18</v>
      </c>
      <c r="F55" s="71">
        <v>8</v>
      </c>
      <c r="G55" s="74">
        <f t="shared" si="5"/>
        <v>4.052296296296296E-3</v>
      </c>
      <c r="H55" s="75">
        <f>(PBS!$D$17+(50*PBS!$D$17/230)*LOG10(D55))/G55/86400</f>
        <v>1.0339479724060896</v>
      </c>
      <c r="I55" s="87">
        <f t="shared" si="4"/>
        <v>27</v>
      </c>
      <c r="J55" s="73">
        <f t="shared" si="6"/>
        <v>1</v>
      </c>
      <c r="K55" s="76">
        <f t="shared" si="7"/>
        <v>4.052296296296296E-3</v>
      </c>
      <c r="L55" s="76">
        <f t="shared" si="8"/>
        <v>1.2592592592592593E-2</v>
      </c>
      <c r="M55" s="71"/>
    </row>
    <row r="56" spans="1:19" s="38" customFormat="1" x14ac:dyDescent="0.2">
      <c r="A56" s="71"/>
      <c r="B56" s="72">
        <v>36034</v>
      </c>
      <c r="C56" s="71" t="s">
        <v>80</v>
      </c>
      <c r="D56" s="73">
        <v>11.5</v>
      </c>
      <c r="E56" s="71">
        <v>81</v>
      </c>
      <c r="F56" s="71">
        <v>20</v>
      </c>
      <c r="G56" s="74">
        <f t="shared" si="5"/>
        <v>4.911433172302737E-3</v>
      </c>
      <c r="H56" s="75">
        <f>(PBS!$D$17+(50*PBS!$D$17/230)*LOG10(D56))/G56/86400</f>
        <v>0.94828288616579459</v>
      </c>
      <c r="I56" s="87">
        <f t="shared" si="4"/>
        <v>27</v>
      </c>
      <c r="J56" s="73">
        <f t="shared" si="6"/>
        <v>1</v>
      </c>
      <c r="K56" s="76">
        <f t="shared" si="7"/>
        <v>4.911433172302737E-3</v>
      </c>
      <c r="L56" s="76">
        <f t="shared" si="8"/>
        <v>5.6481481481481473E-2</v>
      </c>
      <c r="M56" s="71" t="s">
        <v>81</v>
      </c>
      <c r="N56"/>
      <c r="O56"/>
      <c r="P56"/>
      <c r="Q56"/>
      <c r="R56"/>
      <c r="S56"/>
    </row>
    <row r="57" spans="1:19" s="38" customFormat="1" x14ac:dyDescent="0.2">
      <c r="A57" s="71"/>
      <c r="B57" s="72">
        <v>36057</v>
      </c>
      <c r="C57" s="71" t="s">
        <v>82</v>
      </c>
      <c r="D57" s="73">
        <f>42.195/1.609</f>
        <v>26.224362958359229</v>
      </c>
      <c r="E57" s="71">
        <v>245</v>
      </c>
      <c r="F57" s="71">
        <v>12</v>
      </c>
      <c r="G57" s="74">
        <f t="shared" si="5"/>
        <v>6.4931139813827329E-3</v>
      </c>
      <c r="H57" s="75">
        <f>(PBS!$D$17+(50*PBS!$D$17/230)*LOG10(D57))/G57/86400</f>
        <v>0.76265163464221486</v>
      </c>
      <c r="I57" s="87">
        <f t="shared" si="4"/>
        <v>27</v>
      </c>
      <c r="J57" s="73">
        <f t="shared" si="6"/>
        <v>1</v>
      </c>
      <c r="K57" s="76">
        <f t="shared" si="7"/>
        <v>6.4931139813827329E-3</v>
      </c>
      <c r="L57" s="76">
        <f t="shared" si="8"/>
        <v>0.17027777777777775</v>
      </c>
      <c r="M57" s="71" t="s">
        <v>83</v>
      </c>
      <c r="N57"/>
      <c r="O57"/>
      <c r="P57"/>
      <c r="Q57"/>
      <c r="R57"/>
      <c r="S57"/>
    </row>
    <row r="58" spans="1:19" s="38" customFormat="1" x14ac:dyDescent="0.2">
      <c r="A58" s="71"/>
      <c r="B58" s="72">
        <v>36071</v>
      </c>
      <c r="C58" s="71" t="s">
        <v>86</v>
      </c>
      <c r="D58" s="73">
        <v>6.7</v>
      </c>
      <c r="E58" s="71"/>
      <c r="F58" s="71"/>
      <c r="G58" s="74" t="s">
        <v>87</v>
      </c>
      <c r="H58" s="75"/>
      <c r="I58" s="87">
        <f t="shared" si="4"/>
        <v>27</v>
      </c>
      <c r="J58" s="73"/>
      <c r="K58" s="76"/>
      <c r="L58" s="76"/>
      <c r="M58" s="71"/>
      <c r="N58"/>
      <c r="O58"/>
      <c r="P58"/>
      <c r="Q58"/>
      <c r="R58"/>
      <c r="S58"/>
    </row>
    <row r="59" spans="1:19" s="38" customFormat="1" x14ac:dyDescent="0.2">
      <c r="A59" s="83"/>
      <c r="B59" s="84">
        <v>36078</v>
      </c>
      <c r="C59" s="83" t="s">
        <v>84</v>
      </c>
      <c r="D59" s="85">
        <v>6.5</v>
      </c>
      <c r="E59" s="83">
        <v>40</v>
      </c>
      <c r="F59" s="83">
        <v>12</v>
      </c>
      <c r="G59" s="74">
        <f t="shared" ref="G59:G75" si="9">(E59+F59/60)/D59/60/24</f>
        <v>4.2948717948717947E-3</v>
      </c>
      <c r="H59" s="75">
        <f>(PBS!$D$17+(50*PBS!$D$17/230)*LOG10(D59))/G59/86400</f>
        <v>1.0369481703389205</v>
      </c>
      <c r="I59" s="87">
        <f t="shared" si="4"/>
        <v>27</v>
      </c>
      <c r="J59" s="73">
        <f t="shared" ref="J59:J75" si="10">IF(I59&gt;35,POWER(I59-35,2)*0.00005+(I59-35)*0.008+1,1)</f>
        <v>1</v>
      </c>
      <c r="K59" s="76">
        <f t="shared" ref="K59:K75" si="11">G59/J59</f>
        <v>4.2948717948717947E-3</v>
      </c>
      <c r="L59" s="76">
        <f t="shared" ref="L59:L75" si="12">K59*D59</f>
        <v>2.7916666666666666E-2</v>
      </c>
      <c r="M59" s="83" t="s">
        <v>85</v>
      </c>
      <c r="N59"/>
      <c r="O59"/>
      <c r="P59"/>
      <c r="Q59"/>
      <c r="R59"/>
      <c r="S59"/>
    </row>
    <row r="60" spans="1:19" s="38" customFormat="1" x14ac:dyDescent="0.2">
      <c r="A60" s="71"/>
      <c r="B60" s="72">
        <v>36253</v>
      </c>
      <c r="C60" s="71" t="s">
        <v>57</v>
      </c>
      <c r="D60" s="73">
        <f>5/1.609</f>
        <v>3.1075201988812928</v>
      </c>
      <c r="E60" s="71">
        <v>19</v>
      </c>
      <c r="F60" s="71">
        <v>49</v>
      </c>
      <c r="G60" s="74">
        <f t="shared" si="9"/>
        <v>4.4284745370370363E-3</v>
      </c>
      <c r="H60" s="75">
        <f>(PBS!$D$17+(50*PBS!$D$17/230)*LOG10(D60))/G60/86400</f>
        <v>0.94611891840018969</v>
      </c>
      <c r="I60" s="87">
        <f t="shared" si="4"/>
        <v>27</v>
      </c>
      <c r="J60" s="73">
        <f t="shared" si="10"/>
        <v>1</v>
      </c>
      <c r="K60" s="76">
        <f t="shared" si="11"/>
        <v>4.4284745370370363E-3</v>
      </c>
      <c r="L60" s="76">
        <f t="shared" si="12"/>
        <v>1.3761574074074072E-2</v>
      </c>
      <c r="M60" s="71" t="s">
        <v>88</v>
      </c>
    </row>
    <row r="61" spans="1:19" s="38" customFormat="1" x14ac:dyDescent="0.2">
      <c r="A61" s="83"/>
      <c r="B61" s="84">
        <v>36274</v>
      </c>
      <c r="C61" s="83" t="s">
        <v>89</v>
      </c>
      <c r="D61" s="73">
        <f>5/1.609</f>
        <v>3.1075201988812928</v>
      </c>
      <c r="E61" s="83">
        <v>18</v>
      </c>
      <c r="F61" s="83">
        <v>0</v>
      </c>
      <c r="G61" s="86">
        <f t="shared" si="9"/>
        <v>4.0225E-3</v>
      </c>
      <c r="H61" s="75">
        <f>(PBS!$D$17+(50*PBS!$D$17/230)*LOG10(D61))/G61/86400</f>
        <v>1.0416068462757642</v>
      </c>
      <c r="I61" s="87">
        <f t="shared" si="4"/>
        <v>27</v>
      </c>
      <c r="J61" s="73">
        <f t="shared" si="10"/>
        <v>1</v>
      </c>
      <c r="K61" s="76">
        <f t="shared" si="11"/>
        <v>4.0225E-3</v>
      </c>
      <c r="L61" s="76">
        <f t="shared" si="12"/>
        <v>1.2500000000000001E-2</v>
      </c>
      <c r="M61" s="83" t="s">
        <v>90</v>
      </c>
    </row>
    <row r="62" spans="1:19" s="38" customFormat="1" x14ac:dyDescent="0.2">
      <c r="A62" s="71"/>
      <c r="B62" s="72">
        <v>36275</v>
      </c>
      <c r="C62" s="71" t="s">
        <v>91</v>
      </c>
      <c r="D62" s="73">
        <f>5/1.609</f>
        <v>3.1075201988812928</v>
      </c>
      <c r="E62" s="71">
        <v>18</v>
      </c>
      <c r="F62" s="71">
        <v>44</v>
      </c>
      <c r="G62" s="74">
        <f t="shared" si="9"/>
        <v>4.1863796296296293E-3</v>
      </c>
      <c r="H62" s="75">
        <f>(PBS!$D$17+(50*PBS!$D$17/230)*LOG10(D62))/G62/86400</f>
        <v>1.0008322010478874</v>
      </c>
      <c r="I62" s="87">
        <f t="shared" si="4"/>
        <v>27</v>
      </c>
      <c r="J62" s="73">
        <f t="shared" si="10"/>
        <v>1</v>
      </c>
      <c r="K62" s="76">
        <f t="shared" si="11"/>
        <v>4.1863796296296293E-3</v>
      </c>
      <c r="L62" s="76">
        <f t="shared" si="12"/>
        <v>1.3009259259259259E-2</v>
      </c>
      <c r="M62" s="71"/>
    </row>
    <row r="63" spans="1:19" x14ac:dyDescent="0.2">
      <c r="B63" s="72">
        <v>36281</v>
      </c>
      <c r="C63" s="71" t="s">
        <v>92</v>
      </c>
      <c r="D63" s="73">
        <f>10/1.609</f>
        <v>6.2150403977625857</v>
      </c>
      <c r="E63" s="71">
        <v>39</v>
      </c>
      <c r="F63" s="71">
        <v>48</v>
      </c>
      <c r="G63" s="74">
        <f t="shared" si="9"/>
        <v>4.4470972222222221E-3</v>
      </c>
      <c r="H63" s="75">
        <f>(PBS!$D$17+(50*PBS!$D$17/230)*LOG10(D63))/G63/86400</f>
        <v>0.99785106388470468</v>
      </c>
      <c r="I63" s="87">
        <f t="shared" si="4"/>
        <v>27</v>
      </c>
      <c r="J63" s="73">
        <f t="shared" si="10"/>
        <v>1</v>
      </c>
      <c r="K63" s="76">
        <f t="shared" si="11"/>
        <v>4.4470972222222221E-3</v>
      </c>
      <c r="L63" s="76">
        <f t="shared" si="12"/>
        <v>2.763888888888889E-2</v>
      </c>
      <c r="M63" s="71" t="s">
        <v>93</v>
      </c>
      <c r="N63" s="37"/>
      <c r="O63" s="37"/>
      <c r="P63" s="37"/>
      <c r="Q63" s="37"/>
      <c r="R63" s="37"/>
      <c r="S63" s="37"/>
    </row>
    <row r="64" spans="1:19" s="36" customFormat="1" x14ac:dyDescent="0.2">
      <c r="A64" s="83"/>
      <c r="B64" s="84">
        <v>36302</v>
      </c>
      <c r="C64" s="83" t="s">
        <v>94</v>
      </c>
      <c r="D64" s="73">
        <f>5/1.609</f>
        <v>3.1075201988812928</v>
      </c>
      <c r="E64" s="83">
        <v>16</v>
      </c>
      <c r="F64" s="83">
        <v>40</v>
      </c>
      <c r="G64" s="74">
        <f t="shared" si="9"/>
        <v>3.7245370370370371E-3</v>
      </c>
      <c r="H64" s="75">
        <f>(PBS!$D$17+(50*PBS!$D$17/230)*LOG10(D64))/G64/86400</f>
        <v>1.1249353939778253</v>
      </c>
      <c r="I64" s="87">
        <f t="shared" si="4"/>
        <v>27</v>
      </c>
      <c r="J64" s="73">
        <f t="shared" si="10"/>
        <v>1</v>
      </c>
      <c r="K64" s="76">
        <f t="shared" si="11"/>
        <v>3.7245370370370371E-3</v>
      </c>
      <c r="L64" s="76">
        <f t="shared" si="12"/>
        <v>1.1574074074074075E-2</v>
      </c>
      <c r="M64" s="83" t="s">
        <v>333</v>
      </c>
      <c r="N64" s="38"/>
      <c r="O64" s="38"/>
      <c r="P64" s="38"/>
      <c r="Q64" s="38"/>
      <c r="R64" s="38"/>
      <c r="S64" s="42">
        <f>25+25/60</f>
        <v>25.416666666666668</v>
      </c>
    </row>
    <row r="65" spans="1:19" s="36" customFormat="1" x14ac:dyDescent="0.2">
      <c r="A65" s="71"/>
      <c r="B65" s="72">
        <v>36320</v>
      </c>
      <c r="C65" s="71" t="s">
        <v>64</v>
      </c>
      <c r="D65" s="73">
        <v>0.25</v>
      </c>
      <c r="E65" s="71">
        <v>0</v>
      </c>
      <c r="F65" s="71">
        <v>58.2</v>
      </c>
      <c r="G65" s="74">
        <f t="shared" si="9"/>
        <v>2.6944444444444451E-3</v>
      </c>
      <c r="H65" s="75">
        <f>(PBS!$D$17+(50*PBS!$D$17/230)*LOG10(D65))/G65/86400</f>
        <v>1.220796338371952</v>
      </c>
      <c r="I65" s="87">
        <f t="shared" si="4"/>
        <v>27</v>
      </c>
      <c r="J65" s="73">
        <f t="shared" si="10"/>
        <v>1</v>
      </c>
      <c r="K65" s="76">
        <f t="shared" si="11"/>
        <v>2.6944444444444451E-3</v>
      </c>
      <c r="L65" s="76">
        <f t="shared" si="12"/>
        <v>6.7361111111111126E-4</v>
      </c>
      <c r="M65" s="71"/>
      <c r="N65" s="34"/>
      <c r="O65" s="34"/>
      <c r="P65" s="34"/>
      <c r="Q65" s="34"/>
      <c r="R65" s="34"/>
      <c r="S65" s="34"/>
    </row>
    <row r="66" spans="1:19" s="36" customFormat="1" x14ac:dyDescent="0.2">
      <c r="A66" s="71"/>
      <c r="B66" s="72">
        <v>36320</v>
      </c>
      <c r="C66" s="71" t="s">
        <v>62</v>
      </c>
      <c r="D66" s="73">
        <v>0.5</v>
      </c>
      <c r="E66" s="71">
        <v>2</v>
      </c>
      <c r="F66" s="71">
        <v>27</v>
      </c>
      <c r="G66" s="74">
        <f t="shared" si="9"/>
        <v>3.4027777777777784E-3</v>
      </c>
      <c r="H66" s="75">
        <f>(PBS!$D$17+(50*PBS!$D$17/230)*LOG10(D66))/G66/86400</f>
        <v>1.0394581421309361</v>
      </c>
      <c r="I66" s="87">
        <f t="shared" si="4"/>
        <v>27</v>
      </c>
      <c r="J66" s="73">
        <f t="shared" si="10"/>
        <v>1</v>
      </c>
      <c r="K66" s="76">
        <f t="shared" si="11"/>
        <v>3.4027777777777784E-3</v>
      </c>
      <c r="L66" s="76">
        <f t="shared" si="12"/>
        <v>1.7013888888888892E-3</v>
      </c>
      <c r="M66" s="71">
        <f>10/6*8.6</f>
        <v>14.333333333333334</v>
      </c>
      <c r="N66" s="34"/>
      <c r="O66" s="34"/>
      <c r="P66" s="34"/>
      <c r="Q66" s="34"/>
      <c r="R66" s="34"/>
      <c r="S66" s="34"/>
    </row>
    <row r="67" spans="1:19" s="36" customFormat="1" x14ac:dyDescent="0.2">
      <c r="A67" s="71"/>
      <c r="B67" s="72">
        <v>36320</v>
      </c>
      <c r="C67" s="71" t="s">
        <v>60</v>
      </c>
      <c r="D67" s="73">
        <v>1</v>
      </c>
      <c r="E67" s="71">
        <v>5</v>
      </c>
      <c r="F67" s="71">
        <v>9</v>
      </c>
      <c r="G67" s="74">
        <f t="shared" si="9"/>
        <v>3.5763888888888894E-3</v>
      </c>
      <c r="H67" s="75">
        <f>(PBS!$D$17+(50*PBS!$D$17/230)*LOG10(D67))/G67/86400</f>
        <v>1.058252427184466</v>
      </c>
      <c r="I67" s="87">
        <f t="shared" ref="I67:I130" si="13">DATEDIF(DATE(1971,7,18),B67,"Y")</f>
        <v>27</v>
      </c>
      <c r="J67" s="73">
        <f t="shared" si="10"/>
        <v>1</v>
      </c>
      <c r="K67" s="76">
        <f t="shared" si="11"/>
        <v>3.5763888888888894E-3</v>
      </c>
      <c r="L67" s="76">
        <f t="shared" si="12"/>
        <v>3.5763888888888894E-3</v>
      </c>
      <c r="M67" s="71"/>
      <c r="N67" s="39"/>
      <c r="O67" s="39"/>
      <c r="P67" s="39"/>
      <c r="Q67" s="39"/>
      <c r="R67" s="39"/>
      <c r="S67" s="39"/>
    </row>
    <row r="68" spans="1:19" s="41" customFormat="1" x14ac:dyDescent="0.2">
      <c r="A68" s="71"/>
      <c r="B68" s="72">
        <v>36330</v>
      </c>
      <c r="C68" s="71" t="s">
        <v>69</v>
      </c>
      <c r="D68" s="73">
        <f>10/1.609</f>
        <v>6.2150403977625857</v>
      </c>
      <c r="E68" s="71">
        <v>43</v>
      </c>
      <c r="F68" s="71">
        <v>43</v>
      </c>
      <c r="G68" s="74">
        <f t="shared" si="9"/>
        <v>4.8847303240740743E-3</v>
      </c>
      <c r="H68" s="75">
        <f>(PBS!$D$17+(50*PBS!$D$17/230)*LOG10(D68))/G68/86400</f>
        <v>0.90845152137120644</v>
      </c>
      <c r="I68" s="87">
        <f t="shared" si="13"/>
        <v>27</v>
      </c>
      <c r="J68" s="73">
        <f t="shared" si="10"/>
        <v>1</v>
      </c>
      <c r="K68" s="76">
        <f t="shared" si="11"/>
        <v>4.8847303240740743E-3</v>
      </c>
      <c r="L68" s="76">
        <f t="shared" si="12"/>
        <v>3.03587962962963E-2</v>
      </c>
      <c r="M68" s="71" t="s">
        <v>96</v>
      </c>
      <c r="N68" s="37"/>
      <c r="O68" s="37"/>
      <c r="P68" s="37"/>
      <c r="Q68" s="37"/>
      <c r="R68" s="37"/>
      <c r="S68" s="37"/>
    </row>
    <row r="69" spans="1:19" s="36" customFormat="1" x14ac:dyDescent="0.2">
      <c r="A69" s="71"/>
      <c r="B69" s="72">
        <v>36335</v>
      </c>
      <c r="C69" s="71" t="s">
        <v>97</v>
      </c>
      <c r="D69" s="73">
        <f>10/1.609</f>
        <v>6.2150403977625857</v>
      </c>
      <c r="E69" s="71">
        <v>45</v>
      </c>
      <c r="F69" s="71">
        <v>0</v>
      </c>
      <c r="G69" s="74">
        <f t="shared" si="9"/>
        <v>5.0281250000000005E-3</v>
      </c>
      <c r="H69" s="75">
        <f>(PBS!$D$17+(50*PBS!$D$17/230)*LOG10(D69))/G69/86400</f>
        <v>0.88254382983580537</v>
      </c>
      <c r="I69" s="87">
        <f t="shared" si="13"/>
        <v>27</v>
      </c>
      <c r="J69" s="73">
        <f t="shared" si="10"/>
        <v>1</v>
      </c>
      <c r="K69" s="76">
        <f t="shared" si="11"/>
        <v>5.0281250000000005E-3</v>
      </c>
      <c r="L69" s="76">
        <f t="shared" si="12"/>
        <v>3.1250000000000007E-2</v>
      </c>
      <c r="M69" s="71"/>
      <c r="N69" s="37"/>
      <c r="O69" s="37"/>
      <c r="P69" s="37"/>
      <c r="Q69" s="37"/>
      <c r="R69" s="37"/>
      <c r="S69" s="37"/>
    </row>
    <row r="70" spans="1:19" s="36" customFormat="1" x14ac:dyDescent="0.2">
      <c r="A70" s="83"/>
      <c r="B70" s="84">
        <v>36345</v>
      </c>
      <c r="C70" s="83" t="s">
        <v>98</v>
      </c>
      <c r="D70" s="73">
        <f>5/1.609</f>
        <v>3.1075201988812928</v>
      </c>
      <c r="E70" s="83">
        <v>19</v>
      </c>
      <c r="F70" s="83">
        <v>14</v>
      </c>
      <c r="G70" s="74">
        <f t="shared" si="9"/>
        <v>4.2981157407407404E-3</v>
      </c>
      <c r="H70" s="75">
        <f>(PBS!$D$17+(50*PBS!$D$17/230)*LOG10(D70))/G70/86400</f>
        <v>0.97481403290972746</v>
      </c>
      <c r="I70" s="87">
        <f t="shared" si="13"/>
        <v>27</v>
      </c>
      <c r="J70" s="73">
        <f t="shared" si="10"/>
        <v>1</v>
      </c>
      <c r="K70" s="76">
        <f t="shared" si="11"/>
        <v>4.2981157407407404E-3</v>
      </c>
      <c r="L70" s="76">
        <f t="shared" si="12"/>
        <v>1.3356481481481481E-2</v>
      </c>
      <c r="M70" s="83" t="s">
        <v>99</v>
      </c>
      <c r="N70" s="38"/>
      <c r="O70" s="38"/>
      <c r="P70" s="38"/>
      <c r="Q70" s="38"/>
      <c r="R70" s="38"/>
      <c r="S70" s="42">
        <f>25.417*4/3.85</f>
        <v>26.40727272727273</v>
      </c>
    </row>
    <row r="71" spans="1:19" s="36" customFormat="1" x14ac:dyDescent="0.2">
      <c r="A71" s="71"/>
      <c r="B71" s="72">
        <v>36348</v>
      </c>
      <c r="C71" s="71" t="s">
        <v>100</v>
      </c>
      <c r="D71" s="73">
        <v>6.25E-2</v>
      </c>
      <c r="E71" s="71">
        <v>0</v>
      </c>
      <c r="F71" s="71">
        <v>13.3</v>
      </c>
      <c r="G71" s="74">
        <f t="shared" si="9"/>
        <v>2.4629629629629632E-3</v>
      </c>
      <c r="H71" s="75">
        <f>(PBS!$D$17+(50*PBS!$D$17/230)*LOG10(D71))/G71/86400</f>
        <v>1.1344115373401362</v>
      </c>
      <c r="I71" s="87">
        <f t="shared" si="13"/>
        <v>27</v>
      </c>
      <c r="J71" s="73">
        <f t="shared" si="10"/>
        <v>1</v>
      </c>
      <c r="K71" s="76">
        <f t="shared" si="11"/>
        <v>2.4629629629629632E-3</v>
      </c>
      <c r="L71" s="76">
        <f t="shared" si="12"/>
        <v>1.539351851851852E-4</v>
      </c>
      <c r="M71" s="71"/>
      <c r="N71" s="35"/>
      <c r="O71" s="35"/>
      <c r="P71" s="35"/>
      <c r="Q71" s="35"/>
      <c r="R71" s="35"/>
      <c r="S71" s="35"/>
    </row>
    <row r="72" spans="1:19" s="41" customFormat="1" x14ac:dyDescent="0.2">
      <c r="A72" s="71"/>
      <c r="B72" s="72">
        <v>36348</v>
      </c>
      <c r="C72" s="71" t="s">
        <v>65</v>
      </c>
      <c r="D72" s="73">
        <v>0.125</v>
      </c>
      <c r="E72" s="71">
        <v>0</v>
      </c>
      <c r="F72" s="71">
        <v>27.3</v>
      </c>
      <c r="G72" s="74">
        <f t="shared" si="9"/>
        <v>2.5277777777777777E-3</v>
      </c>
      <c r="H72" s="75">
        <f>(PBS!$D$17+(50*PBS!$D$17/230)*LOG10(D72))/G72/86400</f>
        <v>1.203306233330979</v>
      </c>
      <c r="I72" s="87">
        <f t="shared" si="13"/>
        <v>27</v>
      </c>
      <c r="J72" s="73">
        <f t="shared" si="10"/>
        <v>1</v>
      </c>
      <c r="K72" s="76">
        <f t="shared" si="11"/>
        <v>2.5277777777777777E-3</v>
      </c>
      <c r="L72" s="76">
        <f t="shared" si="12"/>
        <v>3.1597222222222221E-4</v>
      </c>
      <c r="M72" s="71"/>
      <c r="N72" s="34"/>
      <c r="O72" s="34"/>
      <c r="P72" s="34"/>
      <c r="Q72" s="34"/>
      <c r="R72" s="34"/>
      <c r="S72" s="34"/>
    </row>
    <row r="73" spans="1:19" s="36" customFormat="1" x14ac:dyDescent="0.2">
      <c r="A73" s="71"/>
      <c r="B73" s="72">
        <v>36348</v>
      </c>
      <c r="C73" s="71" t="s">
        <v>60</v>
      </c>
      <c r="D73" s="73">
        <v>1</v>
      </c>
      <c r="E73" s="71">
        <v>5</v>
      </c>
      <c r="F73" s="71">
        <v>19</v>
      </c>
      <c r="G73" s="74">
        <f t="shared" si="9"/>
        <v>3.6921296296296298E-3</v>
      </c>
      <c r="H73" s="75">
        <f>(PBS!$D$17+(50*PBS!$D$17/230)*LOG10(D73))/G73/86400</f>
        <v>1.0250783699059562</v>
      </c>
      <c r="I73" s="87">
        <f t="shared" si="13"/>
        <v>27</v>
      </c>
      <c r="J73" s="73">
        <f t="shared" si="10"/>
        <v>1</v>
      </c>
      <c r="K73" s="76">
        <f t="shared" si="11"/>
        <v>3.6921296296296298E-3</v>
      </c>
      <c r="L73" s="76">
        <f t="shared" si="12"/>
        <v>3.6921296296296298E-3</v>
      </c>
      <c r="M73" s="71"/>
      <c r="N73" s="39"/>
      <c r="O73" s="39"/>
      <c r="P73" s="39"/>
      <c r="Q73" s="39"/>
      <c r="R73" s="39"/>
      <c r="S73" s="39"/>
    </row>
    <row r="74" spans="1:19" x14ac:dyDescent="0.2">
      <c r="B74" s="72">
        <v>36351</v>
      </c>
      <c r="C74" s="71" t="s">
        <v>77</v>
      </c>
      <c r="D74" s="73">
        <v>13.1122</v>
      </c>
      <c r="E74" s="71">
        <v>89</v>
      </c>
      <c r="F74" s="71">
        <v>1</v>
      </c>
      <c r="G74" s="74">
        <f t="shared" si="9"/>
        <v>4.7144742781249247E-3</v>
      </c>
      <c r="H74" s="75">
        <f>(PBS!$D$17+(50*PBS!$D$17/230)*LOG10(D74))/G74/86400</f>
        <v>0.99784346329194773</v>
      </c>
      <c r="I74" s="87">
        <f t="shared" si="13"/>
        <v>27</v>
      </c>
      <c r="J74" s="73">
        <f t="shared" si="10"/>
        <v>1</v>
      </c>
      <c r="K74" s="76">
        <f t="shared" si="11"/>
        <v>4.7144742781249247E-3</v>
      </c>
      <c r="L74" s="76">
        <f t="shared" si="12"/>
        <v>6.1817129629629639E-2</v>
      </c>
      <c r="M74" s="77" t="s">
        <v>101</v>
      </c>
      <c r="N74" s="40"/>
      <c r="O74" s="40"/>
      <c r="P74" s="40"/>
      <c r="Q74" s="40"/>
      <c r="R74" s="40"/>
      <c r="S74" s="40"/>
    </row>
    <row r="75" spans="1:19" s="23" customFormat="1" x14ac:dyDescent="0.2">
      <c r="A75" s="71"/>
      <c r="B75" s="72">
        <v>36362</v>
      </c>
      <c r="C75" s="71" t="s">
        <v>71</v>
      </c>
      <c r="D75" s="73">
        <v>1</v>
      </c>
      <c r="E75" s="71">
        <v>4</v>
      </c>
      <c r="F75" s="71">
        <v>53</v>
      </c>
      <c r="G75" s="74">
        <f t="shared" si="9"/>
        <v>3.3912037037037036E-3</v>
      </c>
      <c r="H75" s="75">
        <f>(PBS!$D$17+(50*PBS!$D$17/230)*LOG10(D75))/G75/86400</f>
        <v>1.1160409556313995</v>
      </c>
      <c r="I75" s="87">
        <f t="shared" si="13"/>
        <v>28</v>
      </c>
      <c r="J75" s="73">
        <f t="shared" si="10"/>
        <v>1</v>
      </c>
      <c r="K75" s="76">
        <f t="shared" si="11"/>
        <v>3.3912037037037036E-3</v>
      </c>
      <c r="L75" s="76">
        <f t="shared" si="12"/>
        <v>3.3912037037037036E-3</v>
      </c>
      <c r="M75" s="71" t="s">
        <v>102</v>
      </c>
      <c r="N75" s="39"/>
      <c r="O75" s="39"/>
      <c r="P75" s="39"/>
      <c r="Q75" s="39"/>
      <c r="R75" s="39"/>
      <c r="S75" s="39"/>
    </row>
    <row r="76" spans="1:19" x14ac:dyDescent="0.2">
      <c r="B76" s="72">
        <v>36404</v>
      </c>
      <c r="C76" s="71" t="s">
        <v>80</v>
      </c>
      <c r="D76" s="73">
        <v>11.5</v>
      </c>
      <c r="E76" s="71" t="s">
        <v>334</v>
      </c>
      <c r="H76" s="75"/>
      <c r="I76" s="87">
        <f t="shared" si="13"/>
        <v>28</v>
      </c>
      <c r="J76" s="73"/>
      <c r="K76" s="76"/>
      <c r="L76" s="76"/>
      <c r="M76" s="71" t="s">
        <v>103</v>
      </c>
      <c r="N76" s="43"/>
      <c r="O76" s="43"/>
      <c r="P76" s="43"/>
      <c r="Q76" s="43"/>
      <c r="R76" s="43"/>
      <c r="S76" s="43"/>
    </row>
    <row r="77" spans="1:19" x14ac:dyDescent="0.2">
      <c r="B77" s="72">
        <v>36586</v>
      </c>
      <c r="C77" s="71" t="s">
        <v>104</v>
      </c>
      <c r="D77" s="73">
        <v>4</v>
      </c>
      <c r="E77" s="71">
        <v>28</v>
      </c>
      <c r="F77" s="71">
        <v>0</v>
      </c>
      <c r="G77" s="74">
        <f>(E77+F77/60)/D77/60/24</f>
        <v>4.8611111111111112E-3</v>
      </c>
      <c r="H77" s="75">
        <f>(PBS!$D$17+(50*PBS!$D$17/230)*LOG10(D77))/G77/86400</f>
        <v>0.88047288673097501</v>
      </c>
      <c r="I77" s="87">
        <f t="shared" si="13"/>
        <v>28</v>
      </c>
      <c r="J77" s="73">
        <f>IF(I77&gt;35,POWER(I77-35,2)*0.00005+(I77-35)*0.008+1,1)</f>
        <v>1</v>
      </c>
      <c r="K77" s="76">
        <f>G77/J77</f>
        <v>4.8611111111111112E-3</v>
      </c>
      <c r="L77" s="76">
        <f>K77*D77</f>
        <v>1.9444444444444445E-2</v>
      </c>
      <c r="M77" s="71" t="s">
        <v>105</v>
      </c>
      <c r="N77" s="36"/>
      <c r="O77" s="36"/>
      <c r="P77" s="36"/>
      <c r="Q77" s="36"/>
      <c r="R77" s="36"/>
      <c r="S77" s="36"/>
    </row>
    <row r="78" spans="1:19" x14ac:dyDescent="0.2">
      <c r="B78" s="72">
        <v>36617</v>
      </c>
      <c r="C78" s="71" t="s">
        <v>106</v>
      </c>
      <c r="D78" s="73">
        <v>2</v>
      </c>
      <c r="E78" s="71" t="s">
        <v>87</v>
      </c>
      <c r="F78" s="71" t="s">
        <v>87</v>
      </c>
      <c r="H78" s="75"/>
      <c r="I78" s="87">
        <f t="shared" si="13"/>
        <v>28</v>
      </c>
      <c r="J78" s="73"/>
      <c r="K78" s="76"/>
      <c r="L78" s="76"/>
      <c r="N78" s="34"/>
      <c r="O78" s="34"/>
      <c r="P78" s="34"/>
      <c r="Q78" s="34"/>
      <c r="R78" s="34"/>
      <c r="S78" s="34"/>
    </row>
    <row r="79" spans="1:19" x14ac:dyDescent="0.2">
      <c r="B79" s="72">
        <v>36708</v>
      </c>
      <c r="C79" s="71" t="s">
        <v>77</v>
      </c>
      <c r="D79" s="73">
        <v>13.1122</v>
      </c>
      <c r="E79" s="71">
        <v>102</v>
      </c>
      <c r="F79" s="71">
        <v>41</v>
      </c>
      <c r="G79" s="74">
        <f t="shared" ref="G79:G118" si="14">(E79+F79/60)/D79/60/24</f>
        <v>5.4382842215928958E-3</v>
      </c>
      <c r="H79" s="75">
        <f>(PBS!$D$17+(50*PBS!$D$17/230)*LOG10(D79))/G79/86400</f>
        <v>0.86503521140111894</v>
      </c>
      <c r="I79" s="87">
        <f t="shared" si="13"/>
        <v>28</v>
      </c>
      <c r="J79" s="73">
        <f t="shared" ref="J79:J118" si="15">IF(I79&gt;35,POWER(I79-35,2)*0.00005+(I79-35)*0.008+1,1)</f>
        <v>1</v>
      </c>
      <c r="K79" s="76">
        <f t="shared" ref="K79:K118" si="16">G79/J79</f>
        <v>5.4382842215928958E-3</v>
      </c>
      <c r="L79" s="76">
        <f t="shared" ref="L79:L118" si="17">K79*D79</f>
        <v>7.1307870370370369E-2</v>
      </c>
      <c r="N79" s="40"/>
      <c r="O79" s="40"/>
      <c r="P79" s="40"/>
      <c r="Q79" s="40"/>
      <c r="R79" s="40"/>
      <c r="S79" s="40"/>
    </row>
    <row r="80" spans="1:19" x14ac:dyDescent="0.2">
      <c r="B80" s="72">
        <v>36730</v>
      </c>
      <c r="C80" s="71" t="s">
        <v>75</v>
      </c>
      <c r="D80" s="73">
        <v>16.2</v>
      </c>
      <c r="E80" s="71">
        <v>111</v>
      </c>
      <c r="F80" s="71">
        <v>30</v>
      </c>
      <c r="G80" s="74">
        <f t="shared" si="14"/>
        <v>4.7796639231824419E-3</v>
      </c>
      <c r="H80" s="75">
        <f>(PBS!$D$17+(50*PBS!$D$17/230)*LOG10(D80))/G80/86400</f>
        <v>1.0000430505634019</v>
      </c>
      <c r="I80" s="87">
        <f t="shared" si="13"/>
        <v>29</v>
      </c>
      <c r="J80" s="73">
        <f t="shared" si="15"/>
        <v>1</v>
      </c>
      <c r="K80" s="76">
        <f t="shared" si="16"/>
        <v>4.7796639231824419E-3</v>
      </c>
      <c r="L80" s="76">
        <f t="shared" si="17"/>
        <v>7.7430555555555558E-2</v>
      </c>
      <c r="M80" s="71" t="s">
        <v>107</v>
      </c>
    </row>
    <row r="81" spans="1:19" s="46" customFormat="1" ht="20" x14ac:dyDescent="0.2">
      <c r="A81" s="71"/>
      <c r="B81" s="72">
        <v>36736</v>
      </c>
      <c r="C81" s="71" t="s">
        <v>108</v>
      </c>
      <c r="D81" s="73">
        <f>10/1.609</f>
        <v>6.2150403977625857</v>
      </c>
      <c r="E81" s="71">
        <v>47</v>
      </c>
      <c r="F81" s="71">
        <v>31</v>
      </c>
      <c r="G81" s="74">
        <f t="shared" si="14"/>
        <v>5.3093275462962955E-3</v>
      </c>
      <c r="H81" s="75">
        <f>(PBS!$D$17+(50*PBS!$D$17/230)*LOG10(D81))/G81/86400</f>
        <v>0.83580089111072442</v>
      </c>
      <c r="I81" s="87">
        <f t="shared" si="13"/>
        <v>29</v>
      </c>
      <c r="J81" s="73">
        <f t="shared" si="15"/>
        <v>1</v>
      </c>
      <c r="K81" s="76">
        <f t="shared" si="16"/>
        <v>5.3093275462962955E-3</v>
      </c>
      <c r="L81" s="76">
        <f t="shared" si="17"/>
        <v>3.2997685185185179E-2</v>
      </c>
      <c r="M81" s="71" t="s">
        <v>357</v>
      </c>
      <c r="N81" s="45"/>
      <c r="O81" s="45"/>
      <c r="P81" s="45"/>
      <c r="Q81" s="45"/>
      <c r="R81" s="45"/>
      <c r="S81" s="45"/>
    </row>
    <row r="82" spans="1:19" x14ac:dyDescent="0.2">
      <c r="B82" s="72">
        <v>36951</v>
      </c>
      <c r="C82" s="71" t="s">
        <v>104</v>
      </c>
      <c r="D82" s="73">
        <v>4</v>
      </c>
      <c r="E82" s="71">
        <v>26</v>
      </c>
      <c r="F82" s="71">
        <v>30</v>
      </c>
      <c r="G82" s="74">
        <f t="shared" si="14"/>
        <v>4.6006944444444446E-3</v>
      </c>
      <c r="H82" s="75">
        <f>(PBS!$D$17+(50*PBS!$D$17/230)*LOG10(D82))/G82/86400</f>
        <v>0.93031097465914336</v>
      </c>
      <c r="I82" s="87">
        <f t="shared" si="13"/>
        <v>29</v>
      </c>
      <c r="J82" s="73">
        <f t="shared" si="15"/>
        <v>1</v>
      </c>
      <c r="K82" s="76">
        <f t="shared" si="16"/>
        <v>4.6006944444444446E-3</v>
      </c>
      <c r="L82" s="76">
        <f t="shared" si="17"/>
        <v>1.8402777777777778E-2</v>
      </c>
      <c r="M82" s="71" t="s">
        <v>109</v>
      </c>
      <c r="N82" s="36"/>
      <c r="O82" s="36"/>
      <c r="P82" s="36"/>
      <c r="Q82" s="36"/>
      <c r="R82" s="36"/>
      <c r="S82" s="36"/>
    </row>
    <row r="83" spans="1:19" x14ac:dyDescent="0.2">
      <c r="B83" s="72">
        <v>37043</v>
      </c>
      <c r="C83" s="71" t="s">
        <v>110</v>
      </c>
      <c r="D83" s="73">
        <v>13.1122</v>
      </c>
      <c r="E83" s="71">
        <v>140</v>
      </c>
      <c r="F83" s="71">
        <v>0</v>
      </c>
      <c r="G83" s="74">
        <f t="shared" si="14"/>
        <v>7.4146384452816625E-3</v>
      </c>
      <c r="H83" s="75">
        <f>(PBS!$D$17+(50*PBS!$D$17/230)*LOG10(D83))/G83/86400</f>
        <v>0.6344621354097969</v>
      </c>
      <c r="I83" s="87">
        <f t="shared" si="13"/>
        <v>29</v>
      </c>
      <c r="J83" s="73">
        <f t="shared" si="15"/>
        <v>1</v>
      </c>
      <c r="K83" s="76">
        <f t="shared" si="16"/>
        <v>7.4146384452816625E-3</v>
      </c>
      <c r="L83" s="76">
        <f t="shared" si="17"/>
        <v>9.722222222222221E-2</v>
      </c>
      <c r="N83" s="40"/>
      <c r="O83" s="40"/>
      <c r="P83" s="40"/>
      <c r="Q83" s="40"/>
      <c r="R83" s="40"/>
      <c r="S83" s="40"/>
    </row>
    <row r="84" spans="1:19" s="37" customFormat="1" x14ac:dyDescent="0.2">
      <c r="A84" s="71"/>
      <c r="B84" s="72">
        <v>37828</v>
      </c>
      <c r="C84" s="71" t="s">
        <v>111</v>
      </c>
      <c r="D84" s="73">
        <v>5</v>
      </c>
      <c r="E84" s="71">
        <v>32</v>
      </c>
      <c r="F84" s="71">
        <v>37</v>
      </c>
      <c r="G84" s="74">
        <f t="shared" si="14"/>
        <v>4.5300925925925925E-3</v>
      </c>
      <c r="H84" s="75">
        <f>(PBS!$D$17+(50*PBS!$D$17/230)*LOG10(D84))/G84/86400</f>
        <v>0.96241096144157989</v>
      </c>
      <c r="I84" s="87">
        <f t="shared" si="13"/>
        <v>32</v>
      </c>
      <c r="J84" s="73">
        <f t="shared" si="15"/>
        <v>1</v>
      </c>
      <c r="K84" s="76">
        <f t="shared" si="16"/>
        <v>4.5300925925925925E-3</v>
      </c>
      <c r="L84" s="76">
        <f t="shared" si="17"/>
        <v>2.2650462962962963E-2</v>
      </c>
      <c r="M84" s="71" t="s">
        <v>112</v>
      </c>
      <c r="N84"/>
      <c r="O84"/>
      <c r="P84"/>
      <c r="Q84"/>
      <c r="R84"/>
      <c r="S84"/>
    </row>
    <row r="85" spans="1:19" s="37" customFormat="1" x14ac:dyDescent="0.2">
      <c r="A85" s="71"/>
      <c r="B85" s="72">
        <v>38074</v>
      </c>
      <c r="C85" s="71" t="s">
        <v>113</v>
      </c>
      <c r="D85" s="73">
        <f>10/1.609</f>
        <v>6.2150403977625857</v>
      </c>
      <c r="E85" s="71">
        <v>40</v>
      </c>
      <c r="F85" s="71">
        <v>24</v>
      </c>
      <c r="G85" s="74">
        <f t="shared" si="14"/>
        <v>4.5141388888888887E-3</v>
      </c>
      <c r="H85" s="75">
        <f>(PBS!$D$17+(50*PBS!$D$17/230)*LOG10(D85))/G85/86400</f>
        <v>0.98303149362899134</v>
      </c>
      <c r="I85" s="87">
        <f t="shared" si="13"/>
        <v>32</v>
      </c>
      <c r="J85" s="73">
        <f t="shared" si="15"/>
        <v>1</v>
      </c>
      <c r="K85" s="76">
        <f t="shared" si="16"/>
        <v>4.5141388888888887E-3</v>
      </c>
      <c r="L85" s="76">
        <f t="shared" si="17"/>
        <v>2.8055555555555556E-2</v>
      </c>
      <c r="M85" s="71"/>
    </row>
    <row r="86" spans="1:19" s="37" customFormat="1" x14ac:dyDescent="0.2">
      <c r="A86" s="71"/>
      <c r="B86" s="72">
        <v>38088</v>
      </c>
      <c r="C86" s="71" t="s">
        <v>114</v>
      </c>
      <c r="D86" s="73">
        <v>3</v>
      </c>
      <c r="E86" s="71">
        <v>17</v>
      </c>
      <c r="F86" s="71">
        <v>56</v>
      </c>
      <c r="G86" s="74">
        <f t="shared" si="14"/>
        <v>4.1512345679012349E-3</v>
      </c>
      <c r="H86" s="75">
        <f>(PBS!$D$17+(50*PBS!$D$17/230)*LOG10(D86))/G86/86400</f>
        <v>1.0062744364958762</v>
      </c>
      <c r="I86" s="87">
        <f t="shared" si="13"/>
        <v>32</v>
      </c>
      <c r="J86" s="73">
        <f t="shared" si="15"/>
        <v>1</v>
      </c>
      <c r="K86" s="76">
        <f t="shared" si="16"/>
        <v>4.1512345679012349E-3</v>
      </c>
      <c r="L86" s="76">
        <f t="shared" si="17"/>
        <v>1.2453703703703705E-2</v>
      </c>
      <c r="M86" s="71"/>
      <c r="N86" s="34"/>
      <c r="O86" s="34"/>
      <c r="P86" s="34"/>
      <c r="Q86" s="34"/>
      <c r="R86" s="34"/>
      <c r="S86" s="34"/>
    </row>
    <row r="87" spans="1:19" s="37" customFormat="1" x14ac:dyDescent="0.2">
      <c r="A87" s="71"/>
      <c r="B87" s="72">
        <v>38108</v>
      </c>
      <c r="C87" s="71" t="s">
        <v>115</v>
      </c>
      <c r="D87" s="73">
        <v>4</v>
      </c>
      <c r="E87" s="71">
        <v>30</v>
      </c>
      <c r="F87" s="71">
        <v>6</v>
      </c>
      <c r="G87" s="74">
        <f t="shared" si="14"/>
        <v>5.2256944444444451E-3</v>
      </c>
      <c r="H87" s="75">
        <f>(PBS!$D$17+(50*PBS!$D$17/230)*LOG10(D87))/G87/86400</f>
        <v>0.81904454579625574</v>
      </c>
      <c r="I87" s="87">
        <f t="shared" si="13"/>
        <v>32</v>
      </c>
      <c r="J87" s="73">
        <f t="shared" si="15"/>
        <v>1</v>
      </c>
      <c r="K87" s="76">
        <f t="shared" si="16"/>
        <v>5.2256944444444451E-3</v>
      </c>
      <c r="L87" s="76">
        <f t="shared" si="17"/>
        <v>2.0902777777777781E-2</v>
      </c>
      <c r="M87" s="71"/>
      <c r="N87" s="36"/>
      <c r="O87" s="36"/>
      <c r="P87" s="36"/>
      <c r="Q87" s="36"/>
      <c r="R87" s="36"/>
      <c r="S87" s="36"/>
    </row>
    <row r="88" spans="1:19" s="37" customFormat="1" x14ac:dyDescent="0.2">
      <c r="A88" s="71"/>
      <c r="B88" s="72">
        <v>38235</v>
      </c>
      <c r="C88" s="71" t="s">
        <v>116</v>
      </c>
      <c r="D88" s="73">
        <f>10/1.609</f>
        <v>6.2150403977625857</v>
      </c>
      <c r="E88" s="71">
        <v>40</v>
      </c>
      <c r="F88" s="71">
        <v>16</v>
      </c>
      <c r="G88" s="74">
        <f t="shared" si="14"/>
        <v>4.4992407407407403E-3</v>
      </c>
      <c r="H88" s="75">
        <f>(PBS!$D$17+(50*PBS!$D$17/230)*LOG10(D88))/G88/86400</f>
        <v>0.98628656479994825</v>
      </c>
      <c r="I88" s="87">
        <f t="shared" si="13"/>
        <v>33</v>
      </c>
      <c r="J88" s="73">
        <f t="shared" si="15"/>
        <v>1</v>
      </c>
      <c r="K88" s="76">
        <f t="shared" si="16"/>
        <v>4.4992407407407403E-3</v>
      </c>
      <c r="L88" s="76">
        <f t="shared" si="17"/>
        <v>2.796296296296296E-2</v>
      </c>
      <c r="M88" s="71" t="s">
        <v>117</v>
      </c>
    </row>
    <row r="89" spans="1:19" s="37" customFormat="1" x14ac:dyDescent="0.2">
      <c r="A89" s="71"/>
      <c r="B89" s="72">
        <v>38242</v>
      </c>
      <c r="C89" s="71" t="s">
        <v>118</v>
      </c>
      <c r="D89" s="73">
        <v>13.1122</v>
      </c>
      <c r="E89" s="71">
        <v>92</v>
      </c>
      <c r="F89" s="71">
        <v>57</v>
      </c>
      <c r="G89" s="74">
        <f t="shared" si="14"/>
        <v>4.9227903106352187E-3</v>
      </c>
      <c r="H89" s="75">
        <f>(PBS!$D$17+(50*PBS!$D$17/230)*LOG10(D89))/G89/86400</f>
        <v>0.95561806301636953</v>
      </c>
      <c r="I89" s="87">
        <f t="shared" si="13"/>
        <v>33</v>
      </c>
      <c r="J89" s="73">
        <f t="shared" si="15"/>
        <v>1</v>
      </c>
      <c r="K89" s="76">
        <f t="shared" si="16"/>
        <v>4.9227903106352187E-3</v>
      </c>
      <c r="L89" s="76">
        <f t="shared" si="17"/>
        <v>6.4548611111111112E-2</v>
      </c>
      <c r="M89" s="71" t="s">
        <v>119</v>
      </c>
      <c r="N89" s="40"/>
      <c r="O89" s="40"/>
      <c r="P89" s="40"/>
      <c r="Q89" s="40"/>
      <c r="R89" s="40"/>
      <c r="S89" s="40"/>
    </row>
    <row r="90" spans="1:19" s="37" customFormat="1" x14ac:dyDescent="0.2">
      <c r="A90" s="71"/>
      <c r="B90" s="72">
        <v>38333</v>
      </c>
      <c r="C90" s="71" t="s">
        <v>120</v>
      </c>
      <c r="D90" s="73">
        <v>12.6</v>
      </c>
      <c r="E90" s="71">
        <v>90</v>
      </c>
      <c r="F90" s="71">
        <v>0</v>
      </c>
      <c r="G90" s="74">
        <f t="shared" si="14"/>
        <v>4.9603174603174609E-3</v>
      </c>
      <c r="H90" s="75">
        <f>(PBS!$D$17+(50*PBS!$D$17/230)*LOG10(D90))/G90/86400</f>
        <v>0.94551798389667396</v>
      </c>
      <c r="I90" s="87">
        <f t="shared" si="13"/>
        <v>33</v>
      </c>
      <c r="J90" s="73">
        <f t="shared" si="15"/>
        <v>1</v>
      </c>
      <c r="K90" s="76">
        <f t="shared" si="16"/>
        <v>4.9603174603174609E-3</v>
      </c>
      <c r="L90" s="76">
        <f t="shared" si="17"/>
        <v>6.25E-2</v>
      </c>
      <c r="M90" s="71" t="s">
        <v>121</v>
      </c>
      <c r="N90"/>
      <c r="O90"/>
      <c r="P90"/>
      <c r="Q90"/>
      <c r="R90"/>
      <c r="S90"/>
    </row>
    <row r="91" spans="1:19" s="37" customFormat="1" x14ac:dyDescent="0.2">
      <c r="A91" s="71"/>
      <c r="B91" s="72">
        <v>38375</v>
      </c>
      <c r="C91" s="71" t="s">
        <v>122</v>
      </c>
      <c r="D91" s="73">
        <f>10/1.609</f>
        <v>6.2150403977625857</v>
      </c>
      <c r="E91" s="71">
        <v>38</v>
      </c>
      <c r="F91" s="71">
        <v>45</v>
      </c>
      <c r="G91" s="74">
        <f t="shared" si="14"/>
        <v>4.3297743055555555E-3</v>
      </c>
      <c r="H91" s="75">
        <f>(PBS!$D$17+(50*PBS!$D$17/230)*LOG10(D91))/G91/86400</f>
        <v>1.0248896088415804</v>
      </c>
      <c r="I91" s="87">
        <f t="shared" si="13"/>
        <v>33</v>
      </c>
      <c r="J91" s="73">
        <f t="shared" si="15"/>
        <v>1</v>
      </c>
      <c r="K91" s="76">
        <f t="shared" si="16"/>
        <v>4.3297743055555555E-3</v>
      </c>
      <c r="L91" s="76">
        <f t="shared" si="17"/>
        <v>2.6909722222222224E-2</v>
      </c>
      <c r="M91" s="71"/>
    </row>
    <row r="92" spans="1:19" s="37" customFormat="1" x14ac:dyDescent="0.2">
      <c r="A92" s="71"/>
      <c r="B92" s="72">
        <v>38382</v>
      </c>
      <c r="C92" s="71" t="s">
        <v>123</v>
      </c>
      <c r="D92" s="73">
        <v>6</v>
      </c>
      <c r="E92" s="71">
        <v>37</v>
      </c>
      <c r="F92" s="71">
        <v>35</v>
      </c>
      <c r="G92" s="74">
        <f t="shared" si="14"/>
        <v>4.3499228395061729E-3</v>
      </c>
      <c r="H92" s="75">
        <f>(PBS!$D$17+(50*PBS!$D$17/230)*LOG10(D92))/G92/86400</f>
        <v>1.0172498557073852</v>
      </c>
      <c r="I92" s="87">
        <f t="shared" si="13"/>
        <v>33</v>
      </c>
      <c r="J92" s="73">
        <f t="shared" si="15"/>
        <v>1</v>
      </c>
      <c r="K92" s="76">
        <f t="shared" si="16"/>
        <v>4.3499228395061729E-3</v>
      </c>
      <c r="L92" s="76">
        <f t="shared" si="17"/>
        <v>2.6099537037037039E-2</v>
      </c>
      <c r="M92" s="71"/>
      <c r="N92"/>
      <c r="O92"/>
      <c r="P92"/>
      <c r="Q92"/>
      <c r="R92"/>
      <c r="S92"/>
    </row>
    <row r="93" spans="1:19" s="37" customFormat="1" x14ac:dyDescent="0.2">
      <c r="A93" s="71"/>
      <c r="B93" s="72">
        <v>38561</v>
      </c>
      <c r="C93" s="71" t="s">
        <v>124</v>
      </c>
      <c r="D93" s="73">
        <f>10/1.609</f>
        <v>6.2150403977625857</v>
      </c>
      <c r="E93" s="71">
        <v>41</v>
      </c>
      <c r="F93" s="71">
        <v>8</v>
      </c>
      <c r="G93" s="74">
        <f t="shared" si="14"/>
        <v>4.5960787037037038E-3</v>
      </c>
      <c r="H93" s="75">
        <f>(PBS!$D$17+(50*PBS!$D$17/230)*LOG10(D93))/G93/86400</f>
        <v>0.96550581059832841</v>
      </c>
      <c r="I93" s="87">
        <f t="shared" si="13"/>
        <v>34</v>
      </c>
      <c r="J93" s="73">
        <f t="shared" si="15"/>
        <v>1</v>
      </c>
      <c r="K93" s="76">
        <f t="shared" si="16"/>
        <v>4.5960787037037038E-3</v>
      </c>
      <c r="L93" s="76">
        <f t="shared" si="17"/>
        <v>2.8564814814814817E-2</v>
      </c>
      <c r="M93" s="71" t="s">
        <v>125</v>
      </c>
    </row>
    <row r="94" spans="1:19" s="37" customFormat="1" x14ac:dyDescent="0.2">
      <c r="A94" s="71"/>
      <c r="B94" s="72">
        <v>38563</v>
      </c>
      <c r="C94" s="71" t="s">
        <v>126</v>
      </c>
      <c r="D94" s="73">
        <f>5/1.609</f>
        <v>3.1075201988812928</v>
      </c>
      <c r="E94" s="71">
        <v>19</v>
      </c>
      <c r="F94" s="71">
        <v>21</v>
      </c>
      <c r="G94" s="74">
        <f t="shared" si="14"/>
        <v>4.3241875000000008E-3</v>
      </c>
      <c r="H94" s="75">
        <f>(PBS!$D$17+(50*PBS!$D$17/230)*LOG10(D94))/G94/86400</f>
        <v>0.96893660118675728</v>
      </c>
      <c r="I94" s="87">
        <f t="shared" si="13"/>
        <v>34</v>
      </c>
      <c r="J94" s="73">
        <f t="shared" si="15"/>
        <v>1</v>
      </c>
      <c r="K94" s="76">
        <f t="shared" si="16"/>
        <v>4.3241875000000008E-3</v>
      </c>
      <c r="L94" s="76">
        <f t="shared" si="17"/>
        <v>1.3437500000000003E-2</v>
      </c>
      <c r="M94" s="71" t="s">
        <v>127</v>
      </c>
      <c r="N94" s="38"/>
      <c r="O94" s="38"/>
      <c r="P94" s="38"/>
      <c r="Q94" s="38"/>
      <c r="R94" s="38"/>
      <c r="S94" s="38"/>
    </row>
    <row r="95" spans="1:19" s="37" customFormat="1" x14ac:dyDescent="0.2">
      <c r="A95" s="71"/>
      <c r="B95" s="72">
        <v>38569</v>
      </c>
      <c r="C95" s="71" t="s">
        <v>128</v>
      </c>
      <c r="D95" s="73">
        <v>4</v>
      </c>
      <c r="E95" s="71">
        <v>24</v>
      </c>
      <c r="F95" s="71">
        <v>30</v>
      </c>
      <c r="G95" s="74">
        <f t="shared" si="14"/>
        <v>4.2534722222222219E-3</v>
      </c>
      <c r="H95" s="75">
        <f>(PBS!$D$17+(50*PBS!$D$17/230)*LOG10(D95))/G95/86400</f>
        <v>1.0062547276925429</v>
      </c>
      <c r="I95" s="87">
        <f t="shared" si="13"/>
        <v>34</v>
      </c>
      <c r="J95" s="73">
        <f t="shared" si="15"/>
        <v>1</v>
      </c>
      <c r="K95" s="76">
        <f t="shared" si="16"/>
        <v>4.2534722222222219E-3</v>
      </c>
      <c r="L95" s="76">
        <f t="shared" si="17"/>
        <v>1.7013888888888887E-2</v>
      </c>
      <c r="M95" s="71" t="s">
        <v>127</v>
      </c>
      <c r="N95" s="41"/>
      <c r="O95" s="41"/>
      <c r="P95" s="41"/>
      <c r="Q95" s="41"/>
      <c r="R95" s="41"/>
      <c r="S95" s="41"/>
    </row>
    <row r="96" spans="1:19" s="37" customFormat="1" x14ac:dyDescent="0.2">
      <c r="A96" s="71"/>
      <c r="B96" s="72">
        <v>38697</v>
      </c>
      <c r="C96" s="71" t="s">
        <v>120</v>
      </c>
      <c r="D96" s="73">
        <v>13.1122</v>
      </c>
      <c r="E96" s="71">
        <v>105</v>
      </c>
      <c r="F96" s="71">
        <v>0</v>
      </c>
      <c r="G96" s="74">
        <f t="shared" si="14"/>
        <v>5.5609788339612476E-3</v>
      </c>
      <c r="H96" s="75">
        <f>(PBS!$D$17+(50*PBS!$D$17/230)*LOG10(D96))/G96/86400</f>
        <v>0.84594951387972905</v>
      </c>
      <c r="I96" s="87">
        <f t="shared" si="13"/>
        <v>34</v>
      </c>
      <c r="J96" s="73">
        <f t="shared" si="15"/>
        <v>1</v>
      </c>
      <c r="K96" s="76">
        <f t="shared" si="16"/>
        <v>5.5609788339612476E-3</v>
      </c>
      <c r="L96" s="76">
        <f t="shared" si="17"/>
        <v>7.2916666666666671E-2</v>
      </c>
      <c r="M96" s="71" t="s">
        <v>129</v>
      </c>
      <c r="N96" s="40"/>
      <c r="O96" s="40"/>
      <c r="P96" s="40"/>
      <c r="Q96" s="40"/>
      <c r="R96" s="40"/>
      <c r="S96" s="40"/>
    </row>
    <row r="97" spans="1:19" s="37" customFormat="1" x14ac:dyDescent="0.2">
      <c r="A97" s="71"/>
      <c r="B97" s="72">
        <v>38712</v>
      </c>
      <c r="C97" s="71" t="s">
        <v>130</v>
      </c>
      <c r="D97" s="73">
        <v>6</v>
      </c>
      <c r="E97" s="71">
        <v>42</v>
      </c>
      <c r="F97" s="71">
        <v>30</v>
      </c>
      <c r="G97" s="74">
        <f t="shared" si="14"/>
        <v>4.9189814814814816E-3</v>
      </c>
      <c r="H97" s="75">
        <f>(PBS!$D$17+(50*PBS!$D$17/230)*LOG10(D97))/G97/86400</f>
        <v>0.89956800965496231</v>
      </c>
      <c r="I97" s="87">
        <f t="shared" si="13"/>
        <v>34</v>
      </c>
      <c r="J97" s="73">
        <f t="shared" si="15"/>
        <v>1</v>
      </c>
      <c r="K97" s="76">
        <f t="shared" si="16"/>
        <v>4.9189814814814816E-3</v>
      </c>
      <c r="L97" s="76">
        <f t="shared" si="17"/>
        <v>2.9513888888888888E-2</v>
      </c>
      <c r="M97" s="71" t="s">
        <v>131</v>
      </c>
      <c r="N97"/>
      <c r="O97"/>
      <c r="P97"/>
      <c r="Q97"/>
      <c r="R97"/>
      <c r="S97"/>
    </row>
    <row r="98" spans="1:19" s="37" customFormat="1" x14ac:dyDescent="0.2">
      <c r="A98" s="71"/>
      <c r="B98" s="72">
        <v>38990</v>
      </c>
      <c r="C98" s="71" t="s">
        <v>132</v>
      </c>
      <c r="D98" s="73">
        <v>6.4</v>
      </c>
      <c r="E98" s="71">
        <v>47</v>
      </c>
      <c r="F98" s="71">
        <v>50</v>
      </c>
      <c r="G98" s="74">
        <f t="shared" si="14"/>
        <v>5.1902488425925927E-3</v>
      </c>
      <c r="H98" s="75">
        <f>(PBS!$D$17+(50*PBS!$D$17/230)*LOG10(D98))/G98/86400</f>
        <v>0.85699541353987874</v>
      </c>
      <c r="I98" s="87">
        <f t="shared" si="13"/>
        <v>35</v>
      </c>
      <c r="J98" s="73">
        <f t="shared" si="15"/>
        <v>1</v>
      </c>
      <c r="K98" s="76">
        <f t="shared" si="16"/>
        <v>5.1902488425925927E-3</v>
      </c>
      <c r="L98" s="76">
        <f t="shared" si="17"/>
        <v>3.3217592592592597E-2</v>
      </c>
      <c r="M98" s="71" t="s">
        <v>133</v>
      </c>
      <c r="N98"/>
      <c r="O98"/>
      <c r="P98"/>
      <c r="Q98"/>
      <c r="R98"/>
      <c r="S98"/>
    </row>
    <row r="99" spans="1:19" s="37" customFormat="1" x14ac:dyDescent="0.2">
      <c r="A99" s="71"/>
      <c r="B99" s="72">
        <v>39179</v>
      </c>
      <c r="C99" s="71" t="s">
        <v>134</v>
      </c>
      <c r="D99" s="73">
        <f>10/1.609</f>
        <v>6.2150403977625857</v>
      </c>
      <c r="E99" s="71">
        <v>43</v>
      </c>
      <c r="F99" s="71">
        <v>11</v>
      </c>
      <c r="G99" s="74">
        <f t="shared" si="14"/>
        <v>4.8251377314814806E-3</v>
      </c>
      <c r="H99" s="75">
        <f>(PBS!$D$17+(50*PBS!$D$17/230)*LOG10(D99))/G99/86400*J99</f>
        <v>0.91967130087096682</v>
      </c>
      <c r="I99" s="87">
        <f t="shared" si="13"/>
        <v>35</v>
      </c>
      <c r="J99" s="73">
        <f t="shared" si="15"/>
        <v>1</v>
      </c>
      <c r="K99" s="76">
        <f t="shared" si="16"/>
        <v>4.8251377314814806E-3</v>
      </c>
      <c r="L99" s="76">
        <f t="shared" si="17"/>
        <v>2.9988425925925922E-2</v>
      </c>
      <c r="M99" s="71" t="s">
        <v>135</v>
      </c>
    </row>
    <row r="100" spans="1:19" s="37" customFormat="1" x14ac:dyDescent="0.2">
      <c r="A100" s="71"/>
      <c r="B100" s="72">
        <v>39186</v>
      </c>
      <c r="C100" s="71" t="s">
        <v>136</v>
      </c>
      <c r="D100" s="73">
        <f>5/1.609</f>
        <v>3.1075201988812928</v>
      </c>
      <c r="E100" s="71">
        <v>19</v>
      </c>
      <c r="F100" s="71">
        <v>29</v>
      </c>
      <c r="G100" s="74">
        <f t="shared" si="14"/>
        <v>4.3539837962962959E-3</v>
      </c>
      <c r="H100" s="75">
        <f>(PBS!$D$17+(50*PBS!$D$17/230)*LOG10(D100))/G100/86400*J100</f>
        <v>0.96230572624279342</v>
      </c>
      <c r="I100" s="87">
        <f t="shared" si="13"/>
        <v>35</v>
      </c>
      <c r="J100" s="73">
        <f t="shared" si="15"/>
        <v>1</v>
      </c>
      <c r="K100" s="76">
        <f t="shared" si="16"/>
        <v>4.3539837962962959E-3</v>
      </c>
      <c r="L100" s="76">
        <f t="shared" si="17"/>
        <v>1.3530092592592592E-2</v>
      </c>
      <c r="M100" s="71" t="s">
        <v>137</v>
      </c>
      <c r="N100" s="38"/>
      <c r="O100" s="38"/>
      <c r="P100" s="38"/>
      <c r="Q100" s="38"/>
      <c r="R100" s="38"/>
      <c r="S100" s="38"/>
    </row>
    <row r="101" spans="1:19" s="37" customFormat="1" ht="19" x14ac:dyDescent="0.2">
      <c r="A101" s="71"/>
      <c r="B101" s="72">
        <v>39203</v>
      </c>
      <c r="C101" s="71" t="s">
        <v>138</v>
      </c>
      <c r="D101" s="73">
        <f>3000/1609</f>
        <v>1.8645121193287757</v>
      </c>
      <c r="E101" s="71">
        <v>10</v>
      </c>
      <c r="F101" s="71">
        <v>46</v>
      </c>
      <c r="G101" s="74">
        <f t="shared" si="14"/>
        <v>4.0100848765432092E-3</v>
      </c>
      <c r="H101" s="75">
        <f>(PBS!$D$17+(50*PBS!$D$17/230)*LOG10(D101))/G101/86400*J101</f>
        <v>0.99931400971225381</v>
      </c>
      <c r="I101" s="87">
        <f t="shared" si="13"/>
        <v>35</v>
      </c>
      <c r="J101" s="73">
        <f t="shared" si="15"/>
        <v>1</v>
      </c>
      <c r="K101" s="76">
        <f t="shared" si="16"/>
        <v>4.0100848765432092E-3</v>
      </c>
      <c r="L101" s="76">
        <f t="shared" si="17"/>
        <v>7.4768518518518508E-3</v>
      </c>
      <c r="M101" s="71" t="s">
        <v>455</v>
      </c>
      <c r="N101" s="34"/>
      <c r="O101" s="34"/>
      <c r="P101" s="34"/>
      <c r="Q101" s="34"/>
      <c r="R101" s="34"/>
      <c r="S101" s="34"/>
    </row>
    <row r="102" spans="1:19" s="37" customFormat="1" ht="19" x14ac:dyDescent="0.2">
      <c r="A102" s="71"/>
      <c r="B102" s="72">
        <v>39207</v>
      </c>
      <c r="C102" s="71" t="s">
        <v>140</v>
      </c>
      <c r="D102" s="73">
        <f>5/1.609</f>
        <v>3.1075201988812928</v>
      </c>
      <c r="E102" s="71">
        <v>18</v>
      </c>
      <c r="F102" s="71">
        <v>29</v>
      </c>
      <c r="G102" s="74">
        <f t="shared" si="14"/>
        <v>4.1305115740740746E-3</v>
      </c>
      <c r="H102" s="75">
        <f>(PBS!$D$17+(50*PBS!$D$17/230)*LOG10(D102))/G102/86400*J102</f>
        <v>1.0143691559763979</v>
      </c>
      <c r="I102" s="87">
        <f t="shared" si="13"/>
        <v>35</v>
      </c>
      <c r="J102" s="73">
        <f t="shared" si="15"/>
        <v>1</v>
      </c>
      <c r="K102" s="76">
        <f t="shared" si="16"/>
        <v>4.1305115740740746E-3</v>
      </c>
      <c r="L102" s="76">
        <f t="shared" si="17"/>
        <v>1.283564814814815E-2</v>
      </c>
      <c r="M102" s="71" t="s">
        <v>456</v>
      </c>
      <c r="N102" s="38"/>
      <c r="O102" s="38"/>
      <c r="P102" s="38"/>
      <c r="Q102" s="38"/>
      <c r="R102" s="38"/>
      <c r="S102" s="38"/>
    </row>
    <row r="103" spans="1:19" s="37" customFormat="1" x14ac:dyDescent="0.2">
      <c r="A103" s="71"/>
      <c r="B103" s="72">
        <v>39256</v>
      </c>
      <c r="C103" s="71" t="s">
        <v>69</v>
      </c>
      <c r="D103" s="73">
        <f>10/1.609</f>
        <v>6.2150403977625857</v>
      </c>
      <c r="E103" s="71">
        <v>38</v>
      </c>
      <c r="F103" s="71">
        <v>24</v>
      </c>
      <c r="G103" s="74">
        <f t="shared" si="14"/>
        <v>4.2906666666666657E-3</v>
      </c>
      <c r="H103" s="75">
        <f>(PBS!$D$17+(50*PBS!$D$17/230)*LOG10(D103))/G103/86400*J103</f>
        <v>1.0342310505888346</v>
      </c>
      <c r="I103" s="87">
        <f t="shared" si="13"/>
        <v>35</v>
      </c>
      <c r="J103" s="73">
        <f t="shared" si="15"/>
        <v>1</v>
      </c>
      <c r="K103" s="76">
        <f t="shared" si="16"/>
        <v>4.2906666666666657E-3</v>
      </c>
      <c r="L103" s="76">
        <f t="shared" si="17"/>
        <v>2.6666666666666661E-2</v>
      </c>
      <c r="M103" s="71"/>
    </row>
    <row r="104" spans="1:19" s="37" customFormat="1" ht="19" x14ac:dyDescent="0.2">
      <c r="A104" s="71"/>
      <c r="B104" s="72">
        <v>39261</v>
      </c>
      <c r="C104" s="71" t="s">
        <v>142</v>
      </c>
      <c r="D104" s="73">
        <v>1</v>
      </c>
      <c r="E104" s="71">
        <v>5</v>
      </c>
      <c r="F104" s="71">
        <v>9.8000000000000007</v>
      </c>
      <c r="G104" s="74">
        <f t="shared" si="14"/>
        <v>3.5856481481481481E-3</v>
      </c>
      <c r="H104" s="75">
        <f>(PBS!$D$17+(50*PBS!$D$17/230)*LOG10(D104))/G104/86400*J104</f>
        <v>1.0555196901226598</v>
      </c>
      <c r="I104" s="87">
        <f t="shared" si="13"/>
        <v>35</v>
      </c>
      <c r="J104" s="73">
        <f t="shared" si="15"/>
        <v>1</v>
      </c>
      <c r="K104" s="76">
        <f t="shared" si="16"/>
        <v>3.5856481481481481E-3</v>
      </c>
      <c r="L104" s="76">
        <f t="shared" si="17"/>
        <v>3.5856481481481481E-3</v>
      </c>
      <c r="M104" s="71" t="s">
        <v>457</v>
      </c>
      <c r="N104" s="39"/>
      <c r="O104" s="39"/>
      <c r="P104" s="39"/>
      <c r="Q104" s="39"/>
      <c r="R104" s="39"/>
      <c r="S104" s="39"/>
    </row>
    <row r="105" spans="1:19" s="37" customFormat="1" x14ac:dyDescent="0.2">
      <c r="A105" s="71"/>
      <c r="B105" s="72">
        <v>39263</v>
      </c>
      <c r="C105" s="71" t="s">
        <v>144</v>
      </c>
      <c r="D105" s="73">
        <v>7.5</v>
      </c>
      <c r="E105" s="71">
        <v>54</v>
      </c>
      <c r="F105" s="71">
        <v>17</v>
      </c>
      <c r="G105" s="74">
        <f t="shared" si="14"/>
        <v>5.0262345679012348E-3</v>
      </c>
      <c r="H105" s="75">
        <f>(PBS!$D$17+(50*PBS!$D$17/230)*LOG10(D105))/G105/86400*J105</f>
        <v>0.8962360500105554</v>
      </c>
      <c r="I105" s="87">
        <f t="shared" si="13"/>
        <v>35</v>
      </c>
      <c r="J105" s="73">
        <f t="shared" si="15"/>
        <v>1</v>
      </c>
      <c r="K105" s="76">
        <f t="shared" si="16"/>
        <v>5.0262345679012348E-3</v>
      </c>
      <c r="L105" s="76">
        <f t="shared" si="17"/>
        <v>3.7696759259259263E-2</v>
      </c>
      <c r="M105" s="71" t="s">
        <v>145</v>
      </c>
      <c r="N105"/>
      <c r="O105"/>
      <c r="P105"/>
      <c r="Q105"/>
      <c r="R105"/>
      <c r="S105"/>
    </row>
    <row r="106" spans="1:19" s="37" customFormat="1" x14ac:dyDescent="0.2">
      <c r="A106" s="71"/>
      <c r="B106" s="72">
        <v>39270</v>
      </c>
      <c r="C106" s="71" t="s">
        <v>146</v>
      </c>
      <c r="D106" s="73">
        <v>13.1122</v>
      </c>
      <c r="E106" s="71">
        <v>86</v>
      </c>
      <c r="F106" s="71">
        <v>35.5</v>
      </c>
      <c r="G106" s="74">
        <f t="shared" si="14"/>
        <v>4.5860421479120101E-3</v>
      </c>
      <c r="H106" s="75">
        <f>(PBS!$D$17+(50*PBS!$D$17/230)*LOG10(D106))/G106/86400*J106</f>
        <v>1.0257880738027703</v>
      </c>
      <c r="I106" s="87">
        <f t="shared" si="13"/>
        <v>35</v>
      </c>
      <c r="J106" s="73">
        <f t="shared" si="15"/>
        <v>1</v>
      </c>
      <c r="K106" s="76">
        <f t="shared" si="16"/>
        <v>4.5860421479120101E-3</v>
      </c>
      <c r="L106" s="76">
        <f t="shared" si="17"/>
        <v>6.0133101851851854E-2</v>
      </c>
      <c r="M106" s="71"/>
      <c r="N106" s="40"/>
      <c r="O106" s="40"/>
      <c r="P106" s="40"/>
      <c r="Q106" s="40"/>
      <c r="R106" s="40"/>
      <c r="S106" s="40"/>
    </row>
    <row r="107" spans="1:19" s="70" customFormat="1" x14ac:dyDescent="0.2">
      <c r="A107" s="77"/>
      <c r="B107" s="78">
        <v>39270</v>
      </c>
      <c r="C107" s="77" t="s">
        <v>449</v>
      </c>
      <c r="D107" s="79">
        <v>13.1122</v>
      </c>
      <c r="E107" s="77">
        <v>85</v>
      </c>
      <c r="F107" s="77">
        <v>59</v>
      </c>
      <c r="G107" s="80">
        <f t="shared" si="14"/>
        <v>4.5538237784771554E-3</v>
      </c>
      <c r="H107" s="81"/>
      <c r="I107" s="87">
        <f t="shared" si="13"/>
        <v>35</v>
      </c>
      <c r="J107" s="79"/>
      <c r="K107" s="82"/>
      <c r="L107" s="82"/>
      <c r="M107" s="77"/>
    </row>
    <row r="108" spans="1:19" s="70" customFormat="1" x14ac:dyDescent="0.2">
      <c r="A108" s="77"/>
      <c r="B108" s="78">
        <v>39270</v>
      </c>
      <c r="C108" s="77" t="s">
        <v>450</v>
      </c>
      <c r="D108" s="79">
        <f>D121*2</f>
        <v>12.430080795525171</v>
      </c>
      <c r="E108" s="77">
        <v>81</v>
      </c>
      <c r="F108" s="77">
        <v>15</v>
      </c>
      <c r="G108" s="80">
        <f t="shared" si="14"/>
        <v>4.5392795138888891E-3</v>
      </c>
      <c r="H108" s="81"/>
      <c r="I108" s="87">
        <f t="shared" si="13"/>
        <v>35</v>
      </c>
      <c r="J108" s="79"/>
      <c r="K108" s="82"/>
      <c r="L108" s="82"/>
      <c r="M108" s="77"/>
    </row>
    <row r="109" spans="1:19" s="70" customFormat="1" x14ac:dyDescent="0.2">
      <c r="A109" s="77"/>
      <c r="B109" s="78">
        <v>39270</v>
      </c>
      <c r="C109" s="77" t="s">
        <v>451</v>
      </c>
      <c r="D109" s="79">
        <v>10</v>
      </c>
      <c r="E109" s="77">
        <v>64</v>
      </c>
      <c r="F109" s="77">
        <v>10</v>
      </c>
      <c r="G109" s="80">
        <f t="shared" si="14"/>
        <v>4.4560185185185189E-3</v>
      </c>
      <c r="H109" s="81"/>
      <c r="I109" s="87">
        <f t="shared" si="13"/>
        <v>35</v>
      </c>
      <c r="J109" s="79"/>
      <c r="K109" s="82"/>
      <c r="L109" s="82"/>
      <c r="M109" s="77"/>
    </row>
    <row r="110" spans="1:19" s="70" customFormat="1" x14ac:dyDescent="0.2">
      <c r="A110" s="77"/>
      <c r="B110" s="78">
        <v>39270</v>
      </c>
      <c r="C110" s="77" t="s">
        <v>452</v>
      </c>
      <c r="D110" s="79">
        <f>D118*3</f>
        <v>9.3225605966438785</v>
      </c>
      <c r="E110" s="77">
        <v>59</v>
      </c>
      <c r="F110" s="77">
        <v>37</v>
      </c>
      <c r="G110" s="80">
        <f t="shared" si="14"/>
        <v>4.4408896604938271E-3</v>
      </c>
      <c r="H110" s="81"/>
      <c r="I110" s="87">
        <f t="shared" si="13"/>
        <v>35</v>
      </c>
      <c r="J110" s="79"/>
      <c r="K110" s="82"/>
      <c r="L110" s="82"/>
      <c r="M110" s="77"/>
    </row>
    <row r="111" spans="1:19" s="37" customFormat="1" x14ac:dyDescent="0.2">
      <c r="A111" s="71"/>
      <c r="B111" s="72">
        <v>39273</v>
      </c>
      <c r="C111" s="71" t="s">
        <v>448</v>
      </c>
      <c r="D111" s="73">
        <v>0.75</v>
      </c>
      <c r="E111" s="71">
        <v>4</v>
      </c>
      <c r="F111" s="71">
        <v>2</v>
      </c>
      <c r="G111" s="74">
        <f t="shared" si="14"/>
        <v>3.7345679012345677E-3</v>
      </c>
      <c r="H111" s="75"/>
      <c r="I111" s="87">
        <f t="shared" si="13"/>
        <v>35</v>
      </c>
      <c r="J111" s="73"/>
      <c r="K111" s="76"/>
      <c r="L111" s="76"/>
      <c r="M111" s="71"/>
      <c r="N111" s="40"/>
      <c r="O111" s="40"/>
      <c r="P111" s="40"/>
      <c r="Q111" s="40"/>
      <c r="R111" s="40"/>
      <c r="S111" s="40"/>
    </row>
    <row r="112" spans="1:19" s="37" customFormat="1" x14ac:dyDescent="0.2">
      <c r="A112" s="88"/>
      <c r="B112" s="72">
        <v>39293</v>
      </c>
      <c r="C112" s="71" t="s">
        <v>453</v>
      </c>
      <c r="D112" s="73">
        <v>7.1</v>
      </c>
      <c r="E112" s="71">
        <v>52</v>
      </c>
      <c r="F112" s="71">
        <v>29</v>
      </c>
      <c r="G112" s="74">
        <f t="shared" si="14"/>
        <v>5.1333463745435581E-3</v>
      </c>
      <c r="H112" s="75"/>
      <c r="I112" s="87">
        <f t="shared" si="13"/>
        <v>36</v>
      </c>
      <c r="J112" s="73"/>
      <c r="K112" s="76"/>
      <c r="L112" s="76"/>
      <c r="M112" s="71"/>
      <c r="N112" s="40"/>
      <c r="O112" s="40"/>
      <c r="P112" s="40"/>
      <c r="Q112" s="40"/>
      <c r="R112" s="40"/>
      <c r="S112" s="40"/>
    </row>
    <row r="113" spans="1:19" x14ac:dyDescent="0.2">
      <c r="B113" s="72">
        <v>39298</v>
      </c>
      <c r="C113" s="71" t="s">
        <v>147</v>
      </c>
      <c r="D113" s="73">
        <f>8/1.609</f>
        <v>4.9720323182100685</v>
      </c>
      <c r="E113" s="71">
        <v>30</v>
      </c>
      <c r="F113" s="71">
        <v>46.4</v>
      </c>
      <c r="G113" s="74">
        <f t="shared" si="14"/>
        <v>4.2981157407407404E-3</v>
      </c>
      <c r="H113" s="75">
        <f>(PBS!$D$17+(50*PBS!$D$17/230)*LOG10(D113))/G113/86400*J113</f>
        <v>1.0220494436708498</v>
      </c>
      <c r="I113" s="87">
        <f t="shared" si="13"/>
        <v>36</v>
      </c>
      <c r="J113" s="73">
        <f t="shared" si="15"/>
        <v>1.0080499999999999</v>
      </c>
      <c r="K113" s="76">
        <f t="shared" si="16"/>
        <v>4.2637922134226881E-3</v>
      </c>
      <c r="L113" s="76">
        <f t="shared" si="17"/>
        <v>2.1199712683270047E-2</v>
      </c>
      <c r="N113" s="23"/>
      <c r="O113" s="23"/>
      <c r="P113" s="23"/>
      <c r="Q113" s="23"/>
      <c r="R113" s="23"/>
      <c r="S113" s="23"/>
    </row>
    <row r="114" spans="1:19" x14ac:dyDescent="0.2">
      <c r="B114" s="72">
        <v>39299</v>
      </c>
      <c r="C114" s="71" t="s">
        <v>447</v>
      </c>
      <c r="D114" s="73">
        <v>5</v>
      </c>
      <c r="E114" s="71">
        <v>30</v>
      </c>
      <c r="F114" s="71">
        <v>35</v>
      </c>
      <c r="G114" s="74">
        <f t="shared" si="14"/>
        <v>4.2476851851851851E-3</v>
      </c>
      <c r="H114" s="75"/>
      <c r="I114" s="87">
        <f t="shared" si="13"/>
        <v>36</v>
      </c>
      <c r="J114" s="73"/>
      <c r="K114" s="76"/>
      <c r="L114" s="76"/>
      <c r="N114" s="23"/>
      <c r="O114" s="23"/>
      <c r="P114" s="23"/>
      <c r="Q114" s="23"/>
      <c r="R114" s="23"/>
      <c r="S114" s="23"/>
    </row>
    <row r="115" spans="1:19" x14ac:dyDescent="0.2">
      <c r="B115" s="72">
        <v>39320</v>
      </c>
      <c r="C115" s="71" t="s">
        <v>446</v>
      </c>
      <c r="D115" s="73">
        <v>5.25</v>
      </c>
      <c r="E115" s="71">
        <v>31</v>
      </c>
      <c r="F115" s="71">
        <v>55</v>
      </c>
      <c r="G115" s="74">
        <f t="shared" si="14"/>
        <v>4.2217813051146384E-3</v>
      </c>
      <c r="H115" s="75"/>
      <c r="I115" s="87">
        <f t="shared" si="13"/>
        <v>36</v>
      </c>
      <c r="J115" s="73"/>
      <c r="K115" s="76"/>
      <c r="L115" s="76"/>
      <c r="N115" s="23"/>
      <c r="O115" s="23"/>
      <c r="P115" s="23"/>
      <c r="Q115" s="23"/>
      <c r="R115" s="23"/>
      <c r="S115" s="23"/>
    </row>
    <row r="116" spans="1:19" x14ac:dyDescent="0.2">
      <c r="B116" s="72">
        <v>39340</v>
      </c>
      <c r="C116" s="71" t="s">
        <v>148</v>
      </c>
      <c r="D116" s="73">
        <v>8.6999999999999993</v>
      </c>
      <c r="E116" s="71">
        <v>74</v>
      </c>
      <c r="F116" s="71">
        <v>6.4</v>
      </c>
      <c r="G116" s="74">
        <f t="shared" si="14"/>
        <v>5.9152830991911461E-3</v>
      </c>
      <c r="H116" s="75">
        <f>(PBS!$D$17+(50*PBS!$D$17/230)*LOG10(D116))/G116/86400*J116</f>
        <v>0.77670266308576896</v>
      </c>
      <c r="I116" s="87">
        <f t="shared" si="13"/>
        <v>36</v>
      </c>
      <c r="J116" s="73">
        <f t="shared" si="15"/>
        <v>1.0080499999999999</v>
      </c>
      <c r="K116" s="76">
        <f t="shared" si="16"/>
        <v>5.8680453342504308E-3</v>
      </c>
      <c r="L116" s="76">
        <f t="shared" si="17"/>
        <v>5.1051994407978744E-2</v>
      </c>
    </row>
    <row r="117" spans="1:19" x14ac:dyDescent="0.2">
      <c r="B117" s="72">
        <v>39375</v>
      </c>
      <c r="C117" s="71" t="s">
        <v>149</v>
      </c>
      <c r="D117" s="73">
        <v>6.5</v>
      </c>
      <c r="E117" s="71">
        <v>49</v>
      </c>
      <c r="F117" s="71">
        <v>59</v>
      </c>
      <c r="G117" s="74">
        <f t="shared" si="14"/>
        <v>5.3400997150997156E-3</v>
      </c>
      <c r="H117" s="75">
        <f>(PBS!$D$17+(50*PBS!$D$17/230)*LOG10(D117))/G117/86400*J117</f>
        <v>0.84069789753307034</v>
      </c>
      <c r="I117" s="87">
        <f t="shared" si="13"/>
        <v>36</v>
      </c>
      <c r="J117" s="73">
        <f t="shared" si="15"/>
        <v>1.0080499999999999</v>
      </c>
      <c r="K117" s="76">
        <f t="shared" si="16"/>
        <v>5.2974552007338093E-3</v>
      </c>
      <c r="L117" s="76">
        <f t="shared" si="17"/>
        <v>3.4433458804769758E-2</v>
      </c>
      <c r="M117" s="71" t="s">
        <v>150</v>
      </c>
    </row>
    <row r="118" spans="1:19" x14ac:dyDescent="0.2">
      <c r="B118" s="72">
        <v>39543</v>
      </c>
      <c r="C118" s="71" t="s">
        <v>151</v>
      </c>
      <c r="D118" s="73">
        <f>5/1.609</f>
        <v>3.1075201988812928</v>
      </c>
      <c r="E118" s="71">
        <v>19</v>
      </c>
      <c r="F118" s="71">
        <v>55</v>
      </c>
      <c r="G118" s="74">
        <f t="shared" si="14"/>
        <v>4.4508217592592594E-3</v>
      </c>
      <c r="H118" s="75">
        <f>(PBS!$D$17+(50*PBS!$D$17/230)*LOG10(D118))/G118/86400*J118</f>
        <v>0.94894654719610616</v>
      </c>
      <c r="I118" s="87">
        <f t="shared" si="13"/>
        <v>36</v>
      </c>
      <c r="J118" s="73">
        <f t="shared" si="15"/>
        <v>1.0080499999999999</v>
      </c>
      <c r="K118" s="76">
        <f t="shared" si="16"/>
        <v>4.4152787651994046E-3</v>
      </c>
      <c r="L118" s="76">
        <f t="shared" si="17"/>
        <v>1.3720567946548802E-2</v>
      </c>
      <c r="M118" s="71">
        <f>(16*60+12)/2.75</f>
        <v>353.45454545454544</v>
      </c>
      <c r="N118" s="38"/>
      <c r="O118" s="38"/>
      <c r="P118" s="38"/>
      <c r="Q118" s="38"/>
      <c r="R118" s="38"/>
      <c r="S118" s="38"/>
    </row>
    <row r="119" spans="1:19" s="43" customFormat="1" x14ac:dyDescent="0.2">
      <c r="A119" s="71"/>
      <c r="B119" s="72">
        <v>39600</v>
      </c>
      <c r="C119" s="71" t="s">
        <v>152</v>
      </c>
      <c r="D119" s="73"/>
      <c r="E119" s="71">
        <v>32</v>
      </c>
      <c r="F119" s="71">
        <v>9</v>
      </c>
      <c r="G119" s="74"/>
      <c r="H119" s="75"/>
      <c r="I119" s="87">
        <f t="shared" si="13"/>
        <v>36</v>
      </c>
      <c r="J119" s="73"/>
      <c r="K119" s="76"/>
      <c r="L119" s="76"/>
      <c r="M119" s="71" t="s">
        <v>153</v>
      </c>
      <c r="N119"/>
      <c r="O119"/>
      <c r="P119"/>
      <c r="Q119"/>
      <c r="R119"/>
      <c r="S119"/>
    </row>
    <row r="120" spans="1:19" x14ac:dyDescent="0.2">
      <c r="B120" s="72">
        <v>39627</v>
      </c>
      <c r="C120" s="71" t="s">
        <v>144</v>
      </c>
      <c r="D120" s="73">
        <v>7.2</v>
      </c>
      <c r="E120" s="71">
        <v>50</v>
      </c>
      <c r="F120" s="71">
        <v>39</v>
      </c>
      <c r="G120" s="74">
        <f t="shared" ref="G120:G128" si="18">(E120+F120/60)/D120/60/24</f>
        <v>4.8852237654320981E-3</v>
      </c>
      <c r="H120" s="75">
        <f>(PBS!$D$17+(50*PBS!$D$17/230)*LOG10(D120))/G120/86400*J120</f>
        <v>0.92651873584102618</v>
      </c>
      <c r="I120" s="87">
        <f t="shared" si="13"/>
        <v>36</v>
      </c>
      <c r="J120" s="73">
        <f t="shared" ref="J120:J128" si="19">IF(I120&gt;35,POWER(I120-35,2)*0.00005+(I120-35)*0.008+1,1)</f>
        <v>1.0080499999999999</v>
      </c>
      <c r="K120" s="76">
        <f t="shared" ref="K120:K128" si="20">G120/J120</f>
        <v>4.846211760757997E-3</v>
      </c>
      <c r="L120" s="76">
        <f t="shared" ref="L120:L128" si="21">K120*D120</f>
        <v>3.4892724677457576E-2</v>
      </c>
    </row>
    <row r="121" spans="1:19" x14ac:dyDescent="0.2">
      <c r="B121" s="72">
        <v>39677</v>
      </c>
      <c r="C121" s="71" t="s">
        <v>154</v>
      </c>
      <c r="D121" s="73">
        <f>10/1.609</f>
        <v>6.2150403977625857</v>
      </c>
      <c r="E121" s="71">
        <v>39</v>
      </c>
      <c r="F121" s="71">
        <v>38</v>
      </c>
      <c r="G121" s="74">
        <f t="shared" si="18"/>
        <v>4.4284745370370363E-3</v>
      </c>
      <c r="H121" s="75">
        <f>(PBS!$D$17+(50*PBS!$D$17/230)*LOG10(D121))/G121/86400*J121</f>
        <v>1.0182804069275415</v>
      </c>
      <c r="I121" s="87">
        <f t="shared" si="13"/>
        <v>37</v>
      </c>
      <c r="J121" s="73">
        <f t="shared" si="19"/>
        <v>1.0162</v>
      </c>
      <c r="K121" s="76">
        <f t="shared" si="20"/>
        <v>4.3578769307587445E-3</v>
      </c>
      <c r="L121" s="76">
        <f t="shared" si="21"/>
        <v>2.7084381173143223E-2</v>
      </c>
      <c r="M121" s="71" t="s">
        <v>155</v>
      </c>
      <c r="N121" s="37"/>
      <c r="O121" s="37"/>
      <c r="P121" s="37"/>
      <c r="Q121" s="37"/>
      <c r="R121" s="37"/>
      <c r="S121" s="37"/>
    </row>
    <row r="122" spans="1:19" x14ac:dyDescent="0.2">
      <c r="B122" s="72">
        <v>39709</v>
      </c>
      <c r="C122" s="71" t="s">
        <v>82</v>
      </c>
      <c r="D122" s="73">
        <f>42.195/1.609</f>
        <v>26.224362958359229</v>
      </c>
      <c r="E122" s="71">
        <v>243</v>
      </c>
      <c r="F122" s="71">
        <v>28.5</v>
      </c>
      <c r="G122" s="74">
        <f t="shared" si="18"/>
        <v>6.4474344478677031E-3</v>
      </c>
      <c r="H122" s="75">
        <f>(PBS!$D$17+(50*PBS!$D$17/230)*LOG10(D122))/G122/86400*J122</f>
        <v>0.78049744796575526</v>
      </c>
      <c r="I122" s="87">
        <f t="shared" si="13"/>
        <v>37</v>
      </c>
      <c r="J122" s="73">
        <f t="shared" si="19"/>
        <v>1.0162</v>
      </c>
      <c r="K122" s="76">
        <f t="shared" si="20"/>
        <v>6.3446511000469427E-3</v>
      </c>
      <c r="L122" s="76">
        <f t="shared" si="21"/>
        <v>0.16638443329178418</v>
      </c>
      <c r="M122" s="71">
        <f>16.2/2.75</f>
        <v>5.8909090909090907</v>
      </c>
    </row>
    <row r="123" spans="1:19" x14ac:dyDescent="0.2">
      <c r="B123" s="72">
        <v>39887</v>
      </c>
      <c r="C123" s="71" t="s">
        <v>156</v>
      </c>
      <c r="D123" s="73">
        <v>7.2</v>
      </c>
      <c r="E123" s="71">
        <v>53</v>
      </c>
      <c r="F123" s="71">
        <v>19</v>
      </c>
      <c r="G123" s="74">
        <f t="shared" si="18"/>
        <v>5.1424254115226336E-3</v>
      </c>
      <c r="H123" s="75">
        <f>(PBS!$D$17+(50*PBS!$D$17/230)*LOG10(D123))/G123/86400*J123</f>
        <v>0.88729448580380155</v>
      </c>
      <c r="I123" s="87">
        <f t="shared" si="13"/>
        <v>37</v>
      </c>
      <c r="J123" s="73">
        <f t="shared" si="19"/>
        <v>1.0162</v>
      </c>
      <c r="K123" s="76">
        <f t="shared" si="20"/>
        <v>5.0604461833523261E-3</v>
      </c>
      <c r="L123" s="76">
        <f t="shared" si="21"/>
        <v>3.6435212520136748E-2</v>
      </c>
      <c r="M123" s="71" t="s">
        <v>157</v>
      </c>
    </row>
    <row r="124" spans="1:19" x14ac:dyDescent="0.2">
      <c r="B124" s="72">
        <v>39914</v>
      </c>
      <c r="C124" s="71" t="s">
        <v>57</v>
      </c>
      <c r="D124" s="73">
        <f>5/1.609</f>
        <v>3.1075201988812928</v>
      </c>
      <c r="E124" s="71">
        <v>20</v>
      </c>
      <c r="F124" s="71">
        <v>9.3000000000000007</v>
      </c>
      <c r="G124" s="74">
        <f t="shared" si="18"/>
        <v>4.5040826388888884E-3</v>
      </c>
      <c r="H124" s="75">
        <f>(PBS!$D$17+(50*PBS!$D$17/230)*LOG10(D124))/G124/86400*J124</f>
        <v>0.94530666282995635</v>
      </c>
      <c r="I124" s="87">
        <f t="shared" si="13"/>
        <v>37</v>
      </c>
      <c r="J124" s="73">
        <f t="shared" si="19"/>
        <v>1.0162</v>
      </c>
      <c r="K124" s="76">
        <f t="shared" si="20"/>
        <v>4.4322797076253575E-3</v>
      </c>
      <c r="L124" s="76">
        <f t="shared" si="21"/>
        <v>1.377339871853747E-2</v>
      </c>
      <c r="N124" s="38"/>
      <c r="O124" s="38"/>
      <c r="P124" s="38"/>
      <c r="Q124" s="38"/>
      <c r="R124" s="38"/>
      <c r="S124" s="38"/>
    </row>
    <row r="125" spans="1:19" x14ac:dyDescent="0.2">
      <c r="B125" s="72">
        <v>39973</v>
      </c>
      <c r="C125" s="71" t="s">
        <v>158</v>
      </c>
      <c r="D125" s="73">
        <v>4</v>
      </c>
      <c r="E125" s="71">
        <v>37</v>
      </c>
      <c r="F125" s="71">
        <v>44</v>
      </c>
      <c r="G125" s="74">
        <f t="shared" si="18"/>
        <v>6.5509259259259262E-3</v>
      </c>
      <c r="H125" s="75">
        <f>(PBS!$D$17+(50*PBS!$D$17/230)*LOG10(D125))/G125/86400*J125</f>
        <v>0.66393878082743296</v>
      </c>
      <c r="I125" s="87">
        <f t="shared" si="13"/>
        <v>37</v>
      </c>
      <c r="J125" s="73">
        <f t="shared" si="19"/>
        <v>1.0162</v>
      </c>
      <c r="K125" s="76">
        <f t="shared" si="20"/>
        <v>6.4464927434815253E-3</v>
      </c>
      <c r="L125" s="76">
        <f t="shared" si="21"/>
        <v>2.5785970973926101E-2</v>
      </c>
      <c r="M125" s="71" t="s">
        <v>159</v>
      </c>
      <c r="N125" s="36"/>
      <c r="O125" s="36"/>
      <c r="P125" s="36"/>
      <c r="Q125" s="36"/>
      <c r="R125" s="36"/>
      <c r="S125" s="36"/>
    </row>
    <row r="126" spans="1:19" x14ac:dyDescent="0.2">
      <c r="B126" s="72">
        <v>39983</v>
      </c>
      <c r="C126" s="71" t="s">
        <v>69</v>
      </c>
      <c r="D126" s="73">
        <f>10/1.609</f>
        <v>6.2150403977625857</v>
      </c>
      <c r="E126" s="71">
        <v>37</v>
      </c>
      <c r="F126" s="71">
        <v>46.9</v>
      </c>
      <c r="G126" s="74">
        <f t="shared" si="18"/>
        <v>4.2215765046296292E-3</v>
      </c>
      <c r="H126" s="75">
        <f>(PBS!$D$17+(50*PBS!$D$17/230)*LOG10(D126))/G126/86400*J126</f>
        <v>1.0681859842400161</v>
      </c>
      <c r="I126" s="87">
        <f t="shared" si="13"/>
        <v>37</v>
      </c>
      <c r="J126" s="73">
        <f t="shared" si="19"/>
        <v>1.0162</v>
      </c>
      <c r="K126" s="76">
        <f t="shared" si="20"/>
        <v>4.1542772137666099E-3</v>
      </c>
      <c r="L126" s="76">
        <f t="shared" si="21"/>
        <v>2.5819000707064079E-2</v>
      </c>
      <c r="M126" s="71" t="s">
        <v>160</v>
      </c>
      <c r="N126" s="37"/>
      <c r="O126" s="37"/>
      <c r="P126" s="37"/>
      <c r="Q126" s="37"/>
      <c r="R126" s="37"/>
      <c r="S126" s="37"/>
    </row>
    <row r="127" spans="1:19" x14ac:dyDescent="0.2">
      <c r="B127" s="72">
        <v>39991</v>
      </c>
      <c r="C127" s="71" t="s">
        <v>144</v>
      </c>
      <c r="D127" s="73">
        <v>7.2</v>
      </c>
      <c r="E127" s="71">
        <v>52</v>
      </c>
      <c r="F127" s="71">
        <v>36</v>
      </c>
      <c r="G127" s="74">
        <f t="shared" si="18"/>
        <v>5.0733024691358023E-3</v>
      </c>
      <c r="H127" s="75">
        <f>(PBS!$D$17+(50*PBS!$D$17/230)*LOG10(D127))/G127/86400*J127</f>
        <v>0.8993837326002414</v>
      </c>
      <c r="I127" s="87">
        <f t="shared" si="13"/>
        <v>37</v>
      </c>
      <c r="J127" s="73">
        <f t="shared" si="19"/>
        <v>1.0162</v>
      </c>
      <c r="K127" s="76">
        <f t="shared" si="20"/>
        <v>4.9924251812003568E-3</v>
      </c>
      <c r="L127" s="76">
        <f t="shared" si="21"/>
        <v>3.5945461304642573E-2</v>
      </c>
      <c r="M127" s="71" t="s">
        <v>161</v>
      </c>
    </row>
    <row r="128" spans="1:19" x14ac:dyDescent="0.2">
      <c r="B128" s="72">
        <v>39996</v>
      </c>
      <c r="C128" s="71" t="s">
        <v>142</v>
      </c>
      <c r="D128" s="73">
        <v>1</v>
      </c>
      <c r="E128" s="71">
        <v>5</v>
      </c>
      <c r="F128" s="71">
        <v>15</v>
      </c>
      <c r="G128" s="74">
        <f t="shared" si="18"/>
        <v>3.645833333333333E-3</v>
      </c>
      <c r="H128" s="75">
        <f>(PBS!$D$17+(50*PBS!$D$17/230)*LOG10(D128))/G128/86400*J128</f>
        <v>1.054912380952381</v>
      </c>
      <c r="I128" s="87">
        <f t="shared" si="13"/>
        <v>37</v>
      </c>
      <c r="J128" s="73">
        <f t="shared" si="19"/>
        <v>1.0162</v>
      </c>
      <c r="K128" s="76">
        <f t="shared" si="20"/>
        <v>3.5877123925736401E-3</v>
      </c>
      <c r="L128" s="76">
        <f t="shared" si="21"/>
        <v>3.5877123925736401E-3</v>
      </c>
      <c r="M128" s="71" t="s">
        <v>162</v>
      </c>
      <c r="N128" s="39"/>
      <c r="O128" s="39"/>
      <c r="P128" s="39"/>
      <c r="Q128" s="39"/>
      <c r="R128" s="39"/>
      <c r="S128" s="39"/>
    </row>
    <row r="129" spans="1:19" x14ac:dyDescent="0.2">
      <c r="B129" s="72">
        <v>40006</v>
      </c>
      <c r="C129" s="71" t="s">
        <v>163</v>
      </c>
      <c r="E129" s="71">
        <v>63</v>
      </c>
      <c r="F129" s="71">
        <v>35</v>
      </c>
      <c r="H129" s="75"/>
      <c r="I129" s="87">
        <f t="shared" si="13"/>
        <v>37</v>
      </c>
      <c r="J129" s="73"/>
      <c r="K129" s="76"/>
      <c r="L129" s="76"/>
      <c r="M129" s="71" t="s">
        <v>164</v>
      </c>
    </row>
    <row r="130" spans="1:19" x14ac:dyDescent="0.2">
      <c r="B130" s="72">
        <v>40012</v>
      </c>
      <c r="C130" s="71" t="s">
        <v>165</v>
      </c>
      <c r="E130" s="71">
        <v>88</v>
      </c>
      <c r="F130" s="71">
        <v>43</v>
      </c>
      <c r="H130" s="75"/>
      <c r="I130" s="87">
        <f t="shared" si="13"/>
        <v>38</v>
      </c>
      <c r="J130" s="73"/>
      <c r="K130" s="76"/>
      <c r="L130" s="76"/>
      <c r="M130" s="71" t="s">
        <v>166</v>
      </c>
    </row>
    <row r="131" spans="1:19" x14ac:dyDescent="0.2">
      <c r="B131" s="72">
        <v>40075</v>
      </c>
      <c r="C131" s="71" t="s">
        <v>445</v>
      </c>
      <c r="D131" s="73">
        <v>1</v>
      </c>
      <c r="E131" s="71">
        <v>5</v>
      </c>
      <c r="F131" s="71">
        <v>16</v>
      </c>
      <c r="G131" s="74">
        <f t="shared" ref="G131:G143" si="22">(E131+F131/60)/D131/60/24</f>
        <v>3.6574074074074074E-3</v>
      </c>
      <c r="H131" s="75"/>
      <c r="I131" s="87">
        <f t="shared" ref="I131:I194" si="23">DATEDIF(DATE(1971,7,18),B131,"Y")</f>
        <v>38</v>
      </c>
      <c r="J131" s="73"/>
      <c r="K131" s="76"/>
      <c r="L131" s="76"/>
    </row>
    <row r="132" spans="1:19" x14ac:dyDescent="0.2">
      <c r="B132" s="72">
        <v>40019</v>
      </c>
      <c r="C132" s="71" t="s">
        <v>167</v>
      </c>
      <c r="D132" s="73">
        <v>1</v>
      </c>
      <c r="E132" s="71">
        <v>5</v>
      </c>
      <c r="F132" s="71">
        <v>10.3</v>
      </c>
      <c r="G132" s="74">
        <f t="shared" si="22"/>
        <v>3.5914351851851854E-3</v>
      </c>
      <c r="H132" s="75">
        <f>(PBS!$D$17+(50*PBS!$D$17/230)*LOG10(D132))/G132/86400*J132</f>
        <v>1.0795847566870771</v>
      </c>
      <c r="I132" s="87">
        <f t="shared" si="23"/>
        <v>38</v>
      </c>
      <c r="J132" s="73">
        <f t="shared" ref="J132:J138" si="24">IF(I132&gt;35,POWER(I132-35,2)*0.00005+(I132-35)*0.008+1,1)</f>
        <v>1.0244500000000001</v>
      </c>
      <c r="K132" s="76">
        <f t="shared" ref="K132:K138" si="25">G132/J132</f>
        <v>3.5057203232809653E-3</v>
      </c>
      <c r="L132" s="76">
        <f t="shared" ref="L132:L138" si="26">K132*D132</f>
        <v>3.5057203232809653E-3</v>
      </c>
      <c r="M132" s="71" t="s">
        <v>168</v>
      </c>
      <c r="N132" s="39"/>
      <c r="O132" s="39"/>
      <c r="P132" s="39"/>
      <c r="Q132" s="39"/>
      <c r="R132" s="39"/>
      <c r="S132" s="39"/>
    </row>
    <row r="133" spans="1:19" x14ac:dyDescent="0.2">
      <c r="B133" s="72">
        <v>40033</v>
      </c>
      <c r="C133" s="71" t="s">
        <v>146</v>
      </c>
      <c r="D133" s="73">
        <v>13.1122</v>
      </c>
      <c r="E133" s="71">
        <v>90</v>
      </c>
      <c r="F133" s="71">
        <v>7.7</v>
      </c>
      <c r="G133" s="74">
        <f t="shared" si="22"/>
        <v>4.7733500381606725E-3</v>
      </c>
      <c r="H133" s="75">
        <f>(PBS!$D$17+(50*PBS!$D$17/230)*LOG10(D133))/G133/86400*J133</f>
        <v>1.0096321487532145</v>
      </c>
      <c r="I133" s="87">
        <f t="shared" si="23"/>
        <v>38</v>
      </c>
      <c r="J133" s="73">
        <f t="shared" si="24"/>
        <v>1.0244500000000001</v>
      </c>
      <c r="K133" s="76">
        <f t="shared" si="25"/>
        <v>4.659427046864827E-3</v>
      </c>
      <c r="L133" s="76">
        <f t="shared" si="26"/>
        <v>6.1095339323900981E-2</v>
      </c>
      <c r="N133" s="40"/>
      <c r="O133" s="40"/>
      <c r="P133" s="40"/>
      <c r="Q133" s="40"/>
      <c r="R133" s="40"/>
      <c r="S133" s="40"/>
    </row>
    <row r="134" spans="1:19" x14ac:dyDescent="0.2">
      <c r="B134" s="72">
        <v>40040</v>
      </c>
      <c r="C134" s="71" t="s">
        <v>154</v>
      </c>
      <c r="D134" s="73">
        <f>11/1.609</f>
        <v>6.8365444375388442</v>
      </c>
      <c r="E134" s="71">
        <v>45</v>
      </c>
      <c r="F134" s="71">
        <v>18</v>
      </c>
      <c r="G134" s="74">
        <f t="shared" si="22"/>
        <v>4.6014962121212121E-3</v>
      </c>
      <c r="H134" s="75">
        <f>(PBS!$D$17+(50*PBS!$D$17/230)*LOG10(D134))/G134/86400*J134</f>
        <v>0.99553004409266321</v>
      </c>
      <c r="I134" s="87">
        <f t="shared" si="23"/>
        <v>38</v>
      </c>
      <c r="J134" s="73">
        <f t="shared" si="24"/>
        <v>1.0244500000000001</v>
      </c>
      <c r="K134" s="76">
        <f t="shared" si="25"/>
        <v>4.4916747641380369E-3</v>
      </c>
      <c r="L134" s="76">
        <f t="shared" si="26"/>
        <v>3.0707534124001495E-2</v>
      </c>
      <c r="M134" s="71" t="s">
        <v>169</v>
      </c>
    </row>
    <row r="135" spans="1:19" x14ac:dyDescent="0.2">
      <c r="B135" s="72">
        <v>40041</v>
      </c>
      <c r="C135" s="71" t="s">
        <v>170</v>
      </c>
      <c r="D135" s="73">
        <f>10/1.609</f>
        <v>6.2150403977625857</v>
      </c>
      <c r="E135" s="71">
        <v>45</v>
      </c>
      <c r="F135" s="71">
        <v>52</v>
      </c>
      <c r="G135" s="74">
        <f t="shared" si="22"/>
        <v>5.1249629629629622E-3</v>
      </c>
      <c r="H135" s="75">
        <f>(PBS!$D$17+(50*PBS!$D$17/230)*LOG10(D135))/G135/86400*J135</f>
        <v>0.88703832539363592</v>
      </c>
      <c r="I135" s="87">
        <f t="shared" si="23"/>
        <v>38</v>
      </c>
      <c r="J135" s="73">
        <f t="shared" si="24"/>
        <v>1.0244500000000001</v>
      </c>
      <c r="K135" s="76">
        <f t="shared" si="25"/>
        <v>5.0026482141275431E-3</v>
      </c>
      <c r="L135" s="76">
        <f t="shared" si="26"/>
        <v>3.1091660746597534E-2</v>
      </c>
      <c r="M135" s="71" t="s">
        <v>171</v>
      </c>
      <c r="N135" s="37"/>
      <c r="O135" s="37"/>
      <c r="P135" s="37"/>
      <c r="Q135" s="37"/>
      <c r="R135" s="37"/>
      <c r="S135" s="37"/>
    </row>
    <row r="136" spans="1:19" x14ac:dyDescent="0.2">
      <c r="B136" s="72">
        <v>40068</v>
      </c>
      <c r="C136" s="71" t="s">
        <v>335</v>
      </c>
      <c r="D136" s="73">
        <v>12.1</v>
      </c>
      <c r="E136" s="71">
        <v>80</v>
      </c>
      <c r="F136" s="71">
        <v>56</v>
      </c>
      <c r="G136" s="74">
        <f t="shared" si="22"/>
        <v>4.6449341903887368E-3</v>
      </c>
      <c r="H136" s="75">
        <f>(PBS!$D$17+(50*PBS!$D$17/230)*LOG10(D136))/G136/86400</f>
        <v>1.0066021808399781</v>
      </c>
      <c r="I136" s="87">
        <f t="shared" si="23"/>
        <v>38</v>
      </c>
      <c r="J136" s="73">
        <f t="shared" si="24"/>
        <v>1.0244500000000001</v>
      </c>
      <c r="K136" s="76">
        <f t="shared" si="25"/>
        <v>4.5340760314205048E-3</v>
      </c>
      <c r="L136" s="76">
        <f t="shared" si="26"/>
        <v>5.4862319980188104E-2</v>
      </c>
    </row>
    <row r="137" spans="1:19" x14ac:dyDescent="0.2">
      <c r="B137" s="72">
        <v>40074</v>
      </c>
      <c r="C137" s="71" t="s">
        <v>82</v>
      </c>
      <c r="D137" s="73">
        <f>42.195/1.609</f>
        <v>26.224362958359229</v>
      </c>
      <c r="E137" s="71">
        <v>229</v>
      </c>
      <c r="F137" s="71">
        <v>11.2</v>
      </c>
      <c r="G137" s="74">
        <f t="shared" si="22"/>
        <v>6.0690666789552919E-3</v>
      </c>
      <c r="H137" s="75">
        <f>(PBS!$D$17+(50*PBS!$D$17/230)*LOG10(D137))/G137/86400*J137</f>
        <v>0.8358879987281691</v>
      </c>
      <c r="I137" s="87">
        <f t="shared" si="23"/>
        <v>38</v>
      </c>
      <c r="J137" s="73">
        <f t="shared" si="24"/>
        <v>1.0244500000000001</v>
      </c>
      <c r="K137" s="76">
        <f t="shared" si="25"/>
        <v>5.9242195118895911E-3</v>
      </c>
      <c r="L137" s="76">
        <f t="shared" si="26"/>
        <v>0.1553588827247864</v>
      </c>
      <c r="M137" s="71" t="s">
        <v>172</v>
      </c>
    </row>
    <row r="138" spans="1:19" x14ac:dyDescent="0.2">
      <c r="B138" s="72">
        <v>40110</v>
      </c>
      <c r="C138" s="71" t="s">
        <v>173</v>
      </c>
      <c r="D138" s="73">
        <v>6.8</v>
      </c>
      <c r="E138" s="71">
        <v>46</v>
      </c>
      <c r="F138" s="71">
        <v>3</v>
      </c>
      <c r="G138" s="74">
        <f t="shared" si="22"/>
        <v>4.7028186274509802E-3</v>
      </c>
      <c r="H138" s="75">
        <f>(PBS!$D$17+(50*PBS!$D$17/230)*LOG10(D138))/G138/86400*J138</f>
        <v>0.97366411265329633</v>
      </c>
      <c r="I138" s="87">
        <f t="shared" si="23"/>
        <v>38</v>
      </c>
      <c r="J138" s="73">
        <f t="shared" si="24"/>
        <v>1.0244500000000001</v>
      </c>
      <c r="K138" s="76">
        <f t="shared" si="25"/>
        <v>4.5905789715954704E-3</v>
      </c>
      <c r="L138" s="76">
        <f t="shared" si="26"/>
        <v>3.1215937006849197E-2</v>
      </c>
      <c r="M138" s="71" t="s">
        <v>174</v>
      </c>
    </row>
    <row r="139" spans="1:19" s="43" customFormat="1" x14ac:dyDescent="0.2">
      <c r="A139" s="71"/>
      <c r="B139" s="72">
        <v>40152</v>
      </c>
      <c r="C139" s="71" t="s">
        <v>175</v>
      </c>
      <c r="D139" s="73"/>
      <c r="E139" s="71">
        <v>47</v>
      </c>
      <c r="F139" s="71">
        <v>42</v>
      </c>
      <c r="G139" s="74"/>
      <c r="H139" s="75"/>
      <c r="I139" s="87">
        <f t="shared" si="23"/>
        <v>38</v>
      </c>
      <c r="J139" s="73"/>
      <c r="K139" s="76"/>
      <c r="L139" s="76"/>
      <c r="M139" s="71" t="s">
        <v>176</v>
      </c>
      <c r="N139"/>
      <c r="O139"/>
      <c r="P139"/>
      <c r="Q139"/>
      <c r="R139"/>
      <c r="S139"/>
    </row>
    <row r="140" spans="1:19" s="43" customFormat="1" x14ac:dyDescent="0.2">
      <c r="A140" s="71"/>
      <c r="B140" s="72">
        <v>40253</v>
      </c>
      <c r="C140" s="71" t="s">
        <v>444</v>
      </c>
      <c r="D140" s="73">
        <v>3</v>
      </c>
      <c r="E140" s="71">
        <v>20</v>
      </c>
      <c r="F140" s="71">
        <v>0</v>
      </c>
      <c r="G140" s="74">
        <f t="shared" si="22"/>
        <v>4.6296296296296302E-3</v>
      </c>
      <c r="H140" s="75"/>
      <c r="I140" s="87">
        <f t="shared" si="23"/>
        <v>38</v>
      </c>
      <c r="J140" s="73"/>
      <c r="K140" s="76"/>
      <c r="L140" s="76"/>
      <c r="M140" s="71"/>
      <c r="N140"/>
      <c r="O140"/>
      <c r="P140"/>
      <c r="Q140"/>
      <c r="R140"/>
      <c r="S140"/>
    </row>
    <row r="141" spans="1:19" s="43" customFormat="1" x14ac:dyDescent="0.2">
      <c r="A141" s="71"/>
      <c r="B141" s="72">
        <v>40255</v>
      </c>
      <c r="C141" s="71" t="s">
        <v>443</v>
      </c>
      <c r="D141" s="73">
        <v>3</v>
      </c>
      <c r="E141" s="71">
        <v>18</v>
      </c>
      <c r="F141" s="71">
        <v>30</v>
      </c>
      <c r="G141" s="74">
        <f t="shared" si="22"/>
        <v>4.2824074074074075E-3</v>
      </c>
      <c r="H141" s="75"/>
      <c r="I141" s="87">
        <f t="shared" si="23"/>
        <v>38</v>
      </c>
      <c r="J141" s="73"/>
      <c r="K141" s="76"/>
      <c r="L141" s="76"/>
      <c r="M141" s="71"/>
      <c r="N141"/>
      <c r="O141"/>
      <c r="P141"/>
      <c r="Q141"/>
      <c r="R141"/>
      <c r="S141"/>
    </row>
    <row r="142" spans="1:19" s="43" customFormat="1" x14ac:dyDescent="0.2">
      <c r="A142" s="71"/>
      <c r="B142" s="72">
        <v>40261</v>
      </c>
      <c r="C142" s="71" t="s">
        <v>441</v>
      </c>
      <c r="D142" s="73">
        <v>4.3099999999999996</v>
      </c>
      <c r="E142" s="71">
        <v>32</v>
      </c>
      <c r="F142" s="71">
        <v>3</v>
      </c>
      <c r="G142" s="74">
        <f t="shared" si="22"/>
        <v>5.1640242330497554E-3</v>
      </c>
      <c r="H142" s="75"/>
      <c r="I142" s="87">
        <f t="shared" si="23"/>
        <v>38</v>
      </c>
      <c r="J142" s="73"/>
      <c r="K142" s="76"/>
      <c r="L142" s="76"/>
      <c r="M142" s="71"/>
      <c r="N142"/>
      <c r="O142"/>
      <c r="P142"/>
      <c r="Q142"/>
      <c r="R142"/>
      <c r="S142"/>
    </row>
    <row r="143" spans="1:19" s="43" customFormat="1" x14ac:dyDescent="0.2">
      <c r="A143" s="71"/>
      <c r="B143" s="72">
        <v>40269</v>
      </c>
      <c r="C143" s="71" t="s">
        <v>442</v>
      </c>
      <c r="D143" s="73">
        <v>3</v>
      </c>
      <c r="E143" s="71">
        <v>19</v>
      </c>
      <c r="F143" s="71">
        <v>7</v>
      </c>
      <c r="G143" s="74">
        <f t="shared" si="22"/>
        <v>4.4251543209876546E-3</v>
      </c>
      <c r="H143" s="75"/>
      <c r="I143" s="87">
        <f t="shared" si="23"/>
        <v>38</v>
      </c>
      <c r="J143" s="73"/>
      <c r="K143" s="76"/>
      <c r="L143" s="76"/>
      <c r="M143" s="71"/>
      <c r="N143"/>
      <c r="O143"/>
      <c r="P143"/>
      <c r="Q143"/>
      <c r="R143"/>
      <c r="S143"/>
    </row>
    <row r="144" spans="1:19" x14ac:dyDescent="0.2">
      <c r="B144" s="72">
        <v>40271</v>
      </c>
      <c r="C144" s="71" t="s">
        <v>177</v>
      </c>
      <c r="D144" s="73">
        <f>10/1.609</f>
        <v>6.2150403977625857</v>
      </c>
      <c r="E144" s="71">
        <v>39</v>
      </c>
      <c r="F144" s="71">
        <v>26</v>
      </c>
      <c r="G144" s="74">
        <f t="shared" ref="G144:G171" si="27">(E144+F144/60)/D144/60/24</f>
        <v>4.4061273148148141E-3</v>
      </c>
      <c r="H144" s="75">
        <f>(PBS!$D$17+(50*PBS!$D$17/230)*LOG10(D144))/G144/86400*J144</f>
        <v>1.0317537918357083</v>
      </c>
      <c r="I144" s="87">
        <f t="shared" si="23"/>
        <v>38</v>
      </c>
      <c r="J144" s="73">
        <f t="shared" ref="J144:J207" si="28">IF(I144&gt;35,POWER(I144-35,2)*0.00005+(I144-35)*0.008+1,1)</f>
        <v>1.0244500000000001</v>
      </c>
      <c r="K144" s="76">
        <f t="shared" ref="K144:K171" si="29">G144/J144</f>
        <v>4.3009686317680845E-3</v>
      </c>
      <c r="L144" s="76">
        <f t="shared" ref="L144:L171" si="30">K144*D144</f>
        <v>2.6730693795948321E-2</v>
      </c>
      <c r="M144" s="71" t="s">
        <v>178</v>
      </c>
      <c r="N144" s="37"/>
      <c r="O144" s="37"/>
      <c r="P144" s="37"/>
      <c r="Q144" s="37"/>
      <c r="R144" s="37"/>
      <c r="S144" s="37"/>
    </row>
    <row r="145" spans="1:19" x14ac:dyDescent="0.2">
      <c r="B145" s="72">
        <v>40278</v>
      </c>
      <c r="C145" s="71" t="s">
        <v>136</v>
      </c>
      <c r="D145" s="73">
        <f>5/1.609</f>
        <v>3.1075201988812928</v>
      </c>
      <c r="E145" s="71">
        <v>18</v>
      </c>
      <c r="F145" s="71">
        <v>28.2</v>
      </c>
      <c r="G145" s="74">
        <f t="shared" si="27"/>
        <v>4.1275319444444439E-3</v>
      </c>
      <c r="H145" s="75">
        <f>(PBS!$D$17+(50*PBS!$D$17/230)*LOG10(D145))/G145/86400*J145</f>
        <v>1.0399206500275975</v>
      </c>
      <c r="I145" s="87">
        <f t="shared" si="23"/>
        <v>38</v>
      </c>
      <c r="J145" s="73">
        <f t="shared" si="28"/>
        <v>1.0244500000000001</v>
      </c>
      <c r="K145" s="76">
        <f t="shared" si="29"/>
        <v>4.0290223480349881E-3</v>
      </c>
      <c r="L145" s="76">
        <f t="shared" si="30"/>
        <v>1.2520268328262859E-2</v>
      </c>
      <c r="N145" s="38"/>
      <c r="O145" s="38"/>
      <c r="P145" s="38"/>
      <c r="Q145" s="38"/>
      <c r="R145" s="38"/>
      <c r="S145" s="38"/>
    </row>
    <row r="146" spans="1:19" s="40" customFormat="1" x14ac:dyDescent="0.2">
      <c r="A146" s="71"/>
      <c r="B146" s="72">
        <v>40307</v>
      </c>
      <c r="C146" s="71" t="s">
        <v>179</v>
      </c>
      <c r="D146" s="73">
        <v>11</v>
      </c>
      <c r="E146" s="71">
        <v>83</v>
      </c>
      <c r="F146" s="71">
        <v>53</v>
      </c>
      <c r="G146" s="74">
        <f t="shared" si="27"/>
        <v>5.2956649831649829E-3</v>
      </c>
      <c r="H146" s="75">
        <f>(PBS!$D$17+(50*PBS!$D$17/230)*LOG10(D146))/G146/86400*J146</f>
        <v>0.89790992823488058</v>
      </c>
      <c r="I146" s="87">
        <f t="shared" si="23"/>
        <v>38</v>
      </c>
      <c r="J146" s="73">
        <f t="shared" si="28"/>
        <v>1.0244500000000001</v>
      </c>
      <c r="K146" s="76">
        <f t="shared" si="29"/>
        <v>5.169276180550522E-3</v>
      </c>
      <c r="L146" s="76">
        <f t="shared" si="30"/>
        <v>5.6862037986055741E-2</v>
      </c>
      <c r="M146" s="71">
        <f>12.1*6.33</f>
        <v>76.593000000000004</v>
      </c>
      <c r="N146"/>
      <c r="O146"/>
      <c r="P146"/>
      <c r="Q146"/>
      <c r="R146"/>
      <c r="S146"/>
    </row>
    <row r="147" spans="1:19" s="40" customFormat="1" x14ac:dyDescent="0.2">
      <c r="A147" s="72"/>
      <c r="B147" s="72">
        <v>40348</v>
      </c>
      <c r="C147" s="71" t="s">
        <v>69</v>
      </c>
      <c r="D147" s="73">
        <f>10/1.609</f>
        <v>6.2150403977625857</v>
      </c>
      <c r="E147" s="71">
        <v>41</v>
      </c>
      <c r="F147" s="71">
        <v>15.9</v>
      </c>
      <c r="G147" s="74">
        <f t="shared" si="27"/>
        <v>4.6107906249999997E-3</v>
      </c>
      <c r="H147" s="75">
        <f>(PBS!$D$17+(50*PBS!$D$17/230)*LOG10(D147))/G147/86400*J147</f>
        <v>0.9859564083700012</v>
      </c>
      <c r="I147" s="87">
        <f t="shared" si="23"/>
        <v>38</v>
      </c>
      <c r="J147" s="73">
        <f t="shared" si="28"/>
        <v>1.0244500000000001</v>
      </c>
      <c r="K147" s="76">
        <f t="shared" si="29"/>
        <v>4.5007473522377852E-3</v>
      </c>
      <c r="L147" s="76">
        <f t="shared" si="30"/>
        <v>2.797232661428083E-2</v>
      </c>
      <c r="M147" s="71" t="s">
        <v>180</v>
      </c>
      <c r="N147" s="37"/>
      <c r="O147" s="37"/>
      <c r="P147" s="37"/>
      <c r="Q147" s="37"/>
      <c r="R147" s="37"/>
      <c r="S147" s="37"/>
    </row>
    <row r="148" spans="1:19" s="40" customFormat="1" x14ac:dyDescent="0.2">
      <c r="A148" s="71"/>
      <c r="B148" s="72">
        <v>40360</v>
      </c>
      <c r="C148" s="71" t="s">
        <v>142</v>
      </c>
      <c r="D148" s="73">
        <v>1</v>
      </c>
      <c r="E148" s="71">
        <v>5</v>
      </c>
      <c r="F148" s="71">
        <v>14</v>
      </c>
      <c r="G148" s="74">
        <f t="shared" si="27"/>
        <v>3.6342592592592594E-3</v>
      </c>
      <c r="H148" s="75">
        <f>(PBS!$D$17+(50*PBS!$D$17/230)*LOG10(D148))/G148/86400*J148</f>
        <v>1.0668635350318472</v>
      </c>
      <c r="I148" s="87">
        <f t="shared" si="23"/>
        <v>38</v>
      </c>
      <c r="J148" s="73">
        <f t="shared" si="28"/>
        <v>1.0244500000000001</v>
      </c>
      <c r="K148" s="76">
        <f t="shared" si="29"/>
        <v>3.5475223380928879E-3</v>
      </c>
      <c r="L148" s="76">
        <f t="shared" si="30"/>
        <v>3.5475223380928879E-3</v>
      </c>
      <c r="M148" s="71" t="s">
        <v>181</v>
      </c>
      <c r="N148" s="39"/>
      <c r="O148" s="39"/>
      <c r="P148" s="39"/>
      <c r="Q148" s="39"/>
      <c r="R148" s="39"/>
      <c r="S148" s="39"/>
    </row>
    <row r="149" spans="1:19" s="40" customFormat="1" x14ac:dyDescent="0.2">
      <c r="A149" s="71"/>
      <c r="B149" s="72">
        <v>40376</v>
      </c>
      <c r="C149" s="71" t="s">
        <v>182</v>
      </c>
      <c r="D149" s="73">
        <f>8/1.609</f>
        <v>4.9720323182100685</v>
      </c>
      <c r="E149" s="71">
        <v>29</v>
      </c>
      <c r="F149" s="71">
        <v>30.3</v>
      </c>
      <c r="G149" s="74">
        <f t="shared" si="27"/>
        <v>4.1209674479166661E-3</v>
      </c>
      <c r="H149" s="75">
        <f>(PBS!$D$17+(50*PBS!$D$17/230)*LOG10(D149))/G149/86400*J149</f>
        <v>1.0833268847712691</v>
      </c>
      <c r="I149" s="87">
        <f t="shared" si="23"/>
        <v>38</v>
      </c>
      <c r="J149" s="73">
        <f t="shared" si="28"/>
        <v>1.0244500000000001</v>
      </c>
      <c r="K149" s="76">
        <f t="shared" si="29"/>
        <v>4.0226145228333893E-3</v>
      </c>
      <c r="L149" s="76">
        <f t="shared" si="30"/>
        <v>2.0000569411228786E-2</v>
      </c>
      <c r="M149" s="71" t="s">
        <v>183</v>
      </c>
      <c r="N149"/>
      <c r="O149"/>
      <c r="P149"/>
      <c r="Q149"/>
      <c r="R149"/>
      <c r="S149"/>
    </row>
    <row r="150" spans="1:19" s="40" customFormat="1" x14ac:dyDescent="0.2">
      <c r="A150" s="71"/>
      <c r="B150" s="72">
        <v>40383</v>
      </c>
      <c r="C150" s="71" t="s">
        <v>167</v>
      </c>
      <c r="D150" s="73">
        <v>1</v>
      </c>
      <c r="E150" s="71">
        <v>5</v>
      </c>
      <c r="F150" s="71">
        <v>14.7</v>
      </c>
      <c r="G150" s="74">
        <f t="shared" si="27"/>
        <v>3.6423611111111114E-3</v>
      </c>
      <c r="H150" s="75">
        <f>(PBS!$D$17+(50*PBS!$D$17/230)*LOG10(D150))/G150/86400*J150</f>
        <v>1.073166825548141</v>
      </c>
      <c r="I150" s="87">
        <f t="shared" si="23"/>
        <v>39</v>
      </c>
      <c r="J150" s="73">
        <f t="shared" si="28"/>
        <v>1.0327999999999999</v>
      </c>
      <c r="K150" s="76">
        <f t="shared" si="29"/>
        <v>3.5266858163353135E-3</v>
      </c>
      <c r="L150" s="76">
        <f t="shared" si="30"/>
        <v>3.5266858163353135E-3</v>
      </c>
      <c r="M150" s="71" t="s">
        <v>184</v>
      </c>
      <c r="N150" s="39"/>
      <c r="O150" s="39"/>
      <c r="P150" s="39"/>
      <c r="Q150" s="39"/>
      <c r="R150" s="39"/>
      <c r="S150" s="39"/>
    </row>
    <row r="151" spans="1:19" s="40" customFormat="1" x14ac:dyDescent="0.2">
      <c r="A151" s="71"/>
      <c r="B151" s="72">
        <v>40384</v>
      </c>
      <c r="C151" s="71" t="s">
        <v>185</v>
      </c>
      <c r="D151" s="73">
        <f>26.07/1.609</f>
        <v>16.202610316967061</v>
      </c>
      <c r="E151" s="71">
        <v>117</v>
      </c>
      <c r="F151" s="71">
        <v>2.4</v>
      </c>
      <c r="G151" s="74">
        <f t="shared" si="27"/>
        <v>5.0163384903891238E-3</v>
      </c>
      <c r="H151" s="75">
        <f>(PBS!$D$17+(50*PBS!$D$17/230)*LOG10(D151))/G151/86400*J151</f>
        <v>0.98412594864449987</v>
      </c>
      <c r="I151" s="87">
        <f t="shared" si="23"/>
        <v>39</v>
      </c>
      <c r="J151" s="73">
        <f t="shared" si="28"/>
        <v>1.0327999999999999</v>
      </c>
      <c r="K151" s="76">
        <f t="shared" si="29"/>
        <v>4.8570279728787028E-3</v>
      </c>
      <c r="L151" s="76">
        <f t="shared" si="30"/>
        <v>7.8696531543162085E-2</v>
      </c>
      <c r="M151" s="71" t="s">
        <v>186</v>
      </c>
      <c r="N151"/>
      <c r="O151"/>
      <c r="P151"/>
      <c r="Q151"/>
      <c r="R151"/>
      <c r="S151"/>
    </row>
    <row r="152" spans="1:19" s="40" customFormat="1" x14ac:dyDescent="0.2">
      <c r="A152" s="71"/>
      <c r="B152" s="72">
        <v>40397</v>
      </c>
      <c r="C152" s="71" t="s">
        <v>146</v>
      </c>
      <c r="D152" s="73">
        <v>13.1122</v>
      </c>
      <c r="E152" s="71">
        <v>89</v>
      </c>
      <c r="F152" s="71">
        <v>1</v>
      </c>
      <c r="G152" s="74">
        <f t="shared" si="27"/>
        <v>4.7144742781249247E-3</v>
      </c>
      <c r="H152" s="75">
        <f>(PBS!$D$17+(50*PBS!$D$17/230)*LOG10(D152))/G152/86400*J152</f>
        <v>1.0305727288879236</v>
      </c>
      <c r="I152" s="87">
        <f t="shared" si="23"/>
        <v>39</v>
      </c>
      <c r="J152" s="73">
        <f t="shared" si="28"/>
        <v>1.0327999999999999</v>
      </c>
      <c r="K152" s="76">
        <f t="shared" si="29"/>
        <v>4.564750462940477E-3</v>
      </c>
      <c r="L152" s="76">
        <f t="shared" si="30"/>
        <v>5.9853921020168122E-2</v>
      </c>
      <c r="M152" s="71" t="s">
        <v>187</v>
      </c>
    </row>
    <row r="153" spans="1:19" s="40" customFormat="1" x14ac:dyDescent="0.2">
      <c r="A153" s="71"/>
      <c r="B153" s="72">
        <v>40418</v>
      </c>
      <c r="C153" s="71" t="s">
        <v>188</v>
      </c>
      <c r="D153" s="73">
        <f>5/1.609</f>
        <v>3.1075201988812928</v>
      </c>
      <c r="E153" s="71">
        <v>21</v>
      </c>
      <c r="F153" s="71">
        <v>7.4</v>
      </c>
      <c r="G153" s="74">
        <f t="shared" si="27"/>
        <v>4.7204782407407409E-3</v>
      </c>
      <c r="H153" s="75">
        <f>(PBS!$D$17+(50*PBS!$D$17/230)*LOG10(D153))/G153/86400*J153</f>
        <v>0.91670607140626315</v>
      </c>
      <c r="I153" s="87">
        <f t="shared" si="23"/>
        <v>39</v>
      </c>
      <c r="J153" s="73">
        <f t="shared" si="28"/>
        <v>1.0327999999999999</v>
      </c>
      <c r="K153" s="76">
        <f t="shared" si="29"/>
        <v>4.5705637497489744E-3</v>
      </c>
      <c r="L153" s="76">
        <f t="shared" si="30"/>
        <v>1.4203119172619561E-2</v>
      </c>
      <c r="M153" s="71" t="s">
        <v>189</v>
      </c>
      <c r="N153" s="38"/>
      <c r="O153" s="38"/>
      <c r="P153" s="38"/>
      <c r="Q153" s="38"/>
      <c r="R153" s="38"/>
      <c r="S153" s="38"/>
    </row>
    <row r="154" spans="1:19" s="40" customFormat="1" x14ac:dyDescent="0.2">
      <c r="A154" s="71"/>
      <c r="B154" s="72">
        <v>40439</v>
      </c>
      <c r="C154" s="71" t="s">
        <v>82</v>
      </c>
      <c r="D154" s="73">
        <f>42.195/1.609</f>
        <v>26.224362958359229</v>
      </c>
      <c r="E154" s="71">
        <v>239</v>
      </c>
      <c r="F154" s="71">
        <v>46.7</v>
      </c>
      <c r="G154" s="74">
        <f t="shared" si="27"/>
        <v>6.3495434282190705E-3</v>
      </c>
      <c r="H154" s="75">
        <f>(PBS!$D$17+(50*PBS!$D$17/230)*LOG10(D154))/G154/86400*J154</f>
        <v>0.80547666530189344</v>
      </c>
      <c r="I154" s="87">
        <f t="shared" si="23"/>
        <v>39</v>
      </c>
      <c r="J154" s="73">
        <f t="shared" si="28"/>
        <v>1.0327999999999999</v>
      </c>
      <c r="K154" s="76">
        <f t="shared" si="29"/>
        <v>6.1478925524971638E-3</v>
      </c>
      <c r="L154" s="76">
        <f t="shared" si="30"/>
        <v>0.1612245657256792</v>
      </c>
      <c r="M154" s="71"/>
      <c r="N154"/>
      <c r="O154"/>
      <c r="P154"/>
      <c r="Q154"/>
      <c r="R154"/>
      <c r="S154"/>
    </row>
    <row r="155" spans="1:19" s="40" customFormat="1" x14ac:dyDescent="0.2">
      <c r="A155" s="71"/>
      <c r="B155" s="72">
        <v>40678</v>
      </c>
      <c r="C155" s="71" t="s">
        <v>179</v>
      </c>
      <c r="D155" s="73">
        <v>11</v>
      </c>
      <c r="E155" s="71">
        <v>76</v>
      </c>
      <c r="F155" s="71">
        <v>48</v>
      </c>
      <c r="G155" s="74">
        <f t="shared" si="27"/>
        <v>4.8484848484848485E-3</v>
      </c>
      <c r="H155" s="75">
        <f>(PBS!$D$17+(50*PBS!$D$17/230)*LOG10(D155))/G155/86400*J155</f>
        <v>0.98871858128290113</v>
      </c>
      <c r="I155" s="87">
        <f t="shared" si="23"/>
        <v>39</v>
      </c>
      <c r="J155" s="73">
        <f t="shared" si="28"/>
        <v>1.0327999999999999</v>
      </c>
      <c r="K155" s="76">
        <f t="shared" si="29"/>
        <v>4.694505081801751E-3</v>
      </c>
      <c r="L155" s="76">
        <f t="shared" si="30"/>
        <v>5.1639555899819264E-2</v>
      </c>
      <c r="M155" s="71">
        <f>12.1*6.33</f>
        <v>76.593000000000004</v>
      </c>
      <c r="N155"/>
      <c r="O155"/>
      <c r="P155"/>
      <c r="Q155"/>
      <c r="R155"/>
      <c r="S155"/>
    </row>
    <row r="156" spans="1:19" s="40" customFormat="1" x14ac:dyDescent="0.2">
      <c r="A156" s="71"/>
      <c r="B156" s="72">
        <v>40691</v>
      </c>
      <c r="C156" s="71" t="s">
        <v>190</v>
      </c>
      <c r="D156" s="73">
        <v>6.7</v>
      </c>
      <c r="E156" s="71">
        <v>59</v>
      </c>
      <c r="F156" s="71">
        <v>54</v>
      </c>
      <c r="G156" s="74">
        <f t="shared" si="27"/>
        <v>6.2085406301824212E-3</v>
      </c>
      <c r="H156" s="75">
        <f>(PBS!$D$17+(50*PBS!$D$17/230)*LOG10(D156))/G156/86400*J156</f>
        <v>0.74265764608847007</v>
      </c>
      <c r="I156" s="87">
        <f t="shared" si="23"/>
        <v>39</v>
      </c>
      <c r="J156" s="73">
        <f t="shared" si="28"/>
        <v>1.0327999999999999</v>
      </c>
      <c r="K156" s="76">
        <f t="shared" si="29"/>
        <v>6.0113677674113299E-3</v>
      </c>
      <c r="L156" s="76">
        <f t="shared" si="30"/>
        <v>4.0276164041655911E-2</v>
      </c>
      <c r="M156" s="71" t="s">
        <v>191</v>
      </c>
      <c r="N156" s="43"/>
      <c r="O156" s="43"/>
      <c r="P156" s="43"/>
      <c r="Q156" s="43"/>
      <c r="R156" s="43"/>
      <c r="S156" s="43"/>
    </row>
    <row r="157" spans="1:19" s="40" customFormat="1" x14ac:dyDescent="0.2">
      <c r="A157" s="71"/>
      <c r="B157" s="72">
        <v>40747</v>
      </c>
      <c r="C157" s="71" t="s">
        <v>167</v>
      </c>
      <c r="D157" s="73">
        <v>1</v>
      </c>
      <c r="E157" s="71">
        <v>5</v>
      </c>
      <c r="F157" s="71">
        <v>34.4</v>
      </c>
      <c r="G157" s="74">
        <f t="shared" si="27"/>
        <v>3.8703703703703699E-3</v>
      </c>
      <c r="H157" s="75">
        <f>(PBS!$D$17+(50*PBS!$D$17/230)*LOG10(D157))/G157/86400*J157</f>
        <v>1.0182079844497609</v>
      </c>
      <c r="I157" s="87">
        <f t="shared" si="23"/>
        <v>40</v>
      </c>
      <c r="J157" s="73">
        <f t="shared" si="28"/>
        <v>1.04125</v>
      </c>
      <c r="K157" s="76">
        <f t="shared" si="29"/>
        <v>3.717042372504557E-3</v>
      </c>
      <c r="L157" s="76">
        <f t="shared" si="30"/>
        <v>3.717042372504557E-3</v>
      </c>
      <c r="M157" s="71" t="s">
        <v>192</v>
      </c>
      <c r="N157" s="39"/>
      <c r="O157" s="39"/>
      <c r="P157" s="39"/>
      <c r="Q157" s="39"/>
      <c r="R157" s="39"/>
      <c r="S157" s="39"/>
    </row>
    <row r="158" spans="1:19" s="40" customFormat="1" x14ac:dyDescent="0.2">
      <c r="A158" s="71"/>
      <c r="B158" s="72">
        <v>41038</v>
      </c>
      <c r="C158" s="71" t="s">
        <v>140</v>
      </c>
      <c r="D158" s="73">
        <f>5/1.609</f>
        <v>3.1075201988812928</v>
      </c>
      <c r="E158" s="71">
        <v>21</v>
      </c>
      <c r="F158" s="71">
        <v>56.9</v>
      </c>
      <c r="G158" s="74">
        <f t="shared" si="27"/>
        <v>4.9048428240740733E-3</v>
      </c>
      <c r="H158" s="75">
        <f>(PBS!$D$17+(50*PBS!$D$17/230)*LOG10(D158))/G158/86400*J158</f>
        <v>0.88946691394897925</v>
      </c>
      <c r="I158" s="87">
        <f t="shared" si="23"/>
        <v>40</v>
      </c>
      <c r="J158" s="73">
        <f t="shared" si="28"/>
        <v>1.04125</v>
      </c>
      <c r="K158" s="76">
        <f t="shared" si="29"/>
        <v>4.7105333244408867E-3</v>
      </c>
      <c r="L158" s="76">
        <f t="shared" si="30"/>
        <v>1.4638077453203502E-2</v>
      </c>
      <c r="M158" s="71" t="s">
        <v>193</v>
      </c>
      <c r="N158" s="38"/>
      <c r="O158" s="38"/>
      <c r="P158" s="38"/>
      <c r="Q158" s="38"/>
      <c r="R158" s="38"/>
      <c r="S158" s="38"/>
    </row>
    <row r="159" spans="1:19" x14ac:dyDescent="0.2">
      <c r="B159" s="72">
        <v>41083</v>
      </c>
      <c r="C159" s="71" t="s">
        <v>69</v>
      </c>
      <c r="D159" s="73">
        <f>10/1.609</f>
        <v>6.2150403977625857</v>
      </c>
      <c r="E159" s="71">
        <v>41</v>
      </c>
      <c r="F159" s="71">
        <v>17.5</v>
      </c>
      <c r="G159" s="74">
        <f t="shared" si="27"/>
        <v>4.6137702546296296E-3</v>
      </c>
      <c r="H159" s="75">
        <f>(PBS!$D$17+(50*PBS!$D$17/230)*LOG10(D159))/G159/86400*J159</f>
        <v>1.0014779655316399</v>
      </c>
      <c r="I159" s="87">
        <f t="shared" si="23"/>
        <v>40</v>
      </c>
      <c r="J159" s="73">
        <f t="shared" si="28"/>
        <v>1.04125</v>
      </c>
      <c r="K159" s="76">
        <f t="shared" si="29"/>
        <v>4.430991841180917E-3</v>
      </c>
      <c r="L159" s="76">
        <f t="shared" si="30"/>
        <v>2.7538793295095818E-2</v>
      </c>
      <c r="N159" s="37"/>
      <c r="O159" s="37"/>
      <c r="P159" s="37"/>
      <c r="Q159" s="37"/>
      <c r="R159" s="37"/>
      <c r="S159" s="37"/>
    </row>
    <row r="160" spans="1:19" x14ac:dyDescent="0.2">
      <c r="B160" s="72">
        <v>41088</v>
      </c>
      <c r="C160" s="71" t="s">
        <v>142</v>
      </c>
      <c r="D160" s="73">
        <v>1</v>
      </c>
      <c r="E160" s="71">
        <v>5</v>
      </c>
      <c r="F160" s="71">
        <v>37.299999999999997</v>
      </c>
      <c r="G160" s="74">
        <f t="shared" si="27"/>
        <v>3.9039351851851852E-3</v>
      </c>
      <c r="H160" s="75">
        <f>(PBS!$D$17+(50*PBS!$D$17/230)*LOG10(D160))/G160/86400*J160</f>
        <v>1.00945375037059</v>
      </c>
      <c r="I160" s="87">
        <f t="shared" si="23"/>
        <v>40</v>
      </c>
      <c r="J160" s="73">
        <f t="shared" si="28"/>
        <v>1.04125</v>
      </c>
      <c r="K160" s="76">
        <f t="shared" si="29"/>
        <v>3.7492774887732871E-3</v>
      </c>
      <c r="L160" s="76">
        <f t="shared" si="30"/>
        <v>3.7492774887732871E-3</v>
      </c>
      <c r="N160" s="39"/>
      <c r="O160" s="39"/>
      <c r="P160" s="39"/>
      <c r="Q160" s="39"/>
      <c r="R160" s="39"/>
      <c r="S160" s="39"/>
    </row>
    <row r="161" spans="1:19" x14ac:dyDescent="0.2">
      <c r="B161" s="72">
        <v>41104</v>
      </c>
      <c r="C161" s="71" t="s">
        <v>194</v>
      </c>
      <c r="D161" s="73">
        <v>5.37</v>
      </c>
      <c r="E161" s="71">
        <v>34</v>
      </c>
      <c r="F161" s="71">
        <v>18.100000000000001</v>
      </c>
      <c r="G161" s="74">
        <f t="shared" si="27"/>
        <v>4.435866266639079E-3</v>
      </c>
      <c r="H161" s="75">
        <f>(PBS!$D$17+(50*PBS!$D$17/230)*LOG10(D161))/G161/86400*J161</f>
        <v>1.0293850633357291</v>
      </c>
      <c r="I161" s="87">
        <f t="shared" si="23"/>
        <v>40</v>
      </c>
      <c r="J161" s="73">
        <f t="shared" si="28"/>
        <v>1.04125</v>
      </c>
      <c r="K161" s="76">
        <f t="shared" si="29"/>
        <v>4.2601356702416122E-3</v>
      </c>
      <c r="L161" s="76">
        <f t="shared" si="30"/>
        <v>2.2876928549197456E-2</v>
      </c>
      <c r="M161" s="71" t="s">
        <v>195</v>
      </c>
    </row>
    <row r="162" spans="1:19" x14ac:dyDescent="0.2">
      <c r="B162" s="72">
        <v>41111</v>
      </c>
      <c r="C162" s="71" t="s">
        <v>167</v>
      </c>
      <c r="D162" s="73">
        <v>1</v>
      </c>
      <c r="E162" s="71">
        <v>5</v>
      </c>
      <c r="F162" s="71">
        <v>30.3</v>
      </c>
      <c r="G162" s="74">
        <f t="shared" si="27"/>
        <v>3.8229166666666667E-3</v>
      </c>
      <c r="H162" s="75">
        <f>(PBS!$D$17+(50*PBS!$D$17/230)*LOG10(D162))/G162/86400*J162</f>
        <v>1.0393115349682107</v>
      </c>
      <c r="I162" s="87">
        <f t="shared" si="23"/>
        <v>41</v>
      </c>
      <c r="J162" s="73">
        <f t="shared" si="28"/>
        <v>1.0498000000000001</v>
      </c>
      <c r="K162" s="76">
        <f t="shared" si="29"/>
        <v>3.6415666476154185E-3</v>
      </c>
      <c r="L162" s="76">
        <f t="shared" si="30"/>
        <v>3.6415666476154185E-3</v>
      </c>
      <c r="M162" s="71" t="s">
        <v>196</v>
      </c>
      <c r="N162" s="39"/>
      <c r="O162" s="39"/>
      <c r="P162" s="39"/>
      <c r="Q162" s="39"/>
      <c r="R162" s="39"/>
      <c r="S162" s="39"/>
    </row>
    <row r="163" spans="1:19" x14ac:dyDescent="0.2">
      <c r="B163" s="72">
        <v>41112</v>
      </c>
      <c r="C163" s="71" t="s">
        <v>75</v>
      </c>
      <c r="D163" s="73">
        <f>26.2/1.609</f>
        <v>16.283405842137974</v>
      </c>
      <c r="E163" s="71">
        <v>143</v>
      </c>
      <c r="F163" s="71">
        <v>21.7</v>
      </c>
      <c r="G163" s="74">
        <f t="shared" si="27"/>
        <v>6.1139981357789105E-3</v>
      </c>
      <c r="H163" s="75">
        <f>(PBS!$D$17+(50*PBS!$D$17/230)*LOG10(D163))/G163/86400*J163</f>
        <v>0.82103942942360497</v>
      </c>
      <c r="I163" s="87">
        <f t="shared" si="23"/>
        <v>41</v>
      </c>
      <c r="J163" s="73">
        <f t="shared" si="28"/>
        <v>1.0498000000000001</v>
      </c>
      <c r="K163" s="76">
        <f t="shared" si="29"/>
        <v>5.8239646940168701E-3</v>
      </c>
      <c r="L163" s="76">
        <f t="shared" si="30"/>
        <v>9.4833980722959593E-2</v>
      </c>
      <c r="M163" s="71" t="s">
        <v>197</v>
      </c>
    </row>
    <row r="164" spans="1:19" x14ac:dyDescent="0.2">
      <c r="B164" s="72">
        <v>41125</v>
      </c>
      <c r="C164" s="71" t="s">
        <v>146</v>
      </c>
      <c r="D164" s="73">
        <v>13.1122</v>
      </c>
      <c r="E164" s="71">
        <v>107</v>
      </c>
      <c r="F164" s="71">
        <v>49</v>
      </c>
      <c r="G164" s="74">
        <f t="shared" si="27"/>
        <v>5.7101542979198913E-3</v>
      </c>
      <c r="H164" s="75">
        <f>(PBS!$D$17+(50*PBS!$D$17/230)*LOG10(D164))/G164/86400*J164</f>
        <v>0.86487712752000601</v>
      </c>
      <c r="I164" s="87">
        <f t="shared" si="23"/>
        <v>41</v>
      </c>
      <c r="J164" s="73">
        <f t="shared" si="28"/>
        <v>1.0498000000000001</v>
      </c>
      <c r="K164" s="76">
        <f t="shared" si="29"/>
        <v>5.4392782414935141E-3</v>
      </c>
      <c r="L164" s="76">
        <f t="shared" si="30"/>
        <v>7.1320904158111251E-2</v>
      </c>
      <c r="M164" s="71" t="s">
        <v>198</v>
      </c>
      <c r="N164" s="40"/>
      <c r="O164" s="40"/>
      <c r="P164" s="40"/>
      <c r="Q164" s="40"/>
      <c r="R164" s="40"/>
      <c r="S164" s="40"/>
    </row>
    <row r="165" spans="1:19" x14ac:dyDescent="0.2">
      <c r="B165" s="72">
        <v>41146</v>
      </c>
      <c r="C165" s="71" t="s">
        <v>188</v>
      </c>
      <c r="D165" s="73">
        <f>5/1.609</f>
        <v>3.1075201988812928</v>
      </c>
      <c r="E165" s="71">
        <v>20</v>
      </c>
      <c r="F165" s="71">
        <v>24.2</v>
      </c>
      <c r="G165" s="74">
        <f t="shared" si="27"/>
        <v>4.5595782407407406E-3</v>
      </c>
      <c r="H165" s="75">
        <f>(PBS!$D$17+(50*PBS!$D$17/230)*LOG10(D165))/G165/86400*J165</f>
        <v>0.96467666769965787</v>
      </c>
      <c r="I165" s="87">
        <f t="shared" si="23"/>
        <v>41</v>
      </c>
      <c r="J165" s="73">
        <f t="shared" si="28"/>
        <v>1.0498000000000001</v>
      </c>
      <c r="K165" s="76">
        <f t="shared" si="29"/>
        <v>4.3432827593262906E-3</v>
      </c>
      <c r="L165" s="76">
        <f t="shared" si="30"/>
        <v>1.3496838904059325E-2</v>
      </c>
      <c r="N165" s="38"/>
      <c r="O165" s="38"/>
      <c r="P165" s="38"/>
      <c r="Q165" s="38"/>
      <c r="R165" s="38"/>
      <c r="S165" s="38"/>
    </row>
    <row r="166" spans="1:19" x14ac:dyDescent="0.2">
      <c r="B166" s="72">
        <v>41167</v>
      </c>
      <c r="C166" s="71" t="s">
        <v>82</v>
      </c>
      <c r="D166" s="73">
        <f>42.195/1.609</f>
        <v>26.224362958359229</v>
      </c>
      <c r="E166" s="71">
        <v>261</v>
      </c>
      <c r="F166" s="71">
        <v>42</v>
      </c>
      <c r="G166" s="74">
        <f t="shared" si="27"/>
        <v>6.9300486497873614E-3</v>
      </c>
      <c r="H166" s="75">
        <f>(PBS!$D$17+(50*PBS!$D$17/230)*LOG10(D166))/G166/86400*J166</f>
        <v>0.75015242422171113</v>
      </c>
      <c r="I166" s="87">
        <f t="shared" si="23"/>
        <v>41</v>
      </c>
      <c r="J166" s="73">
        <f t="shared" si="28"/>
        <v>1.0498000000000001</v>
      </c>
      <c r="K166" s="76">
        <f t="shared" si="29"/>
        <v>6.6013037243164039E-3</v>
      </c>
      <c r="L166" s="76">
        <f t="shared" si="30"/>
        <v>0.17311498486484192</v>
      </c>
      <c r="M166" s="71" t="s">
        <v>199</v>
      </c>
    </row>
    <row r="167" spans="1:19" x14ac:dyDescent="0.2">
      <c r="B167" s="72">
        <v>41174</v>
      </c>
      <c r="C167" s="71" t="s">
        <v>200</v>
      </c>
      <c r="D167" s="73">
        <f>5/1.609</f>
        <v>3.1075201988812928</v>
      </c>
      <c r="E167" s="71">
        <v>19</v>
      </c>
      <c r="F167" s="71">
        <v>55</v>
      </c>
      <c r="G167" s="74">
        <f t="shared" si="27"/>
        <v>4.4508217592592594E-3</v>
      </c>
      <c r="H167" s="75">
        <f>(PBS!$D$17+(50*PBS!$D$17/230)*LOG10(D167))/G167/86400*J167</f>
        <v>0.98824868334554083</v>
      </c>
      <c r="I167" s="87">
        <f t="shared" si="23"/>
        <v>41</v>
      </c>
      <c r="J167" s="73">
        <f t="shared" si="28"/>
        <v>1.0498000000000001</v>
      </c>
      <c r="K167" s="76">
        <f t="shared" si="29"/>
        <v>4.239685425089788E-3</v>
      </c>
      <c r="L167" s="76">
        <f t="shared" si="30"/>
        <v>1.3174908095369137E-2</v>
      </c>
      <c r="M167" s="71" t="s">
        <v>201</v>
      </c>
      <c r="N167" s="38"/>
      <c r="O167" s="38"/>
      <c r="P167" s="38"/>
      <c r="Q167" s="38"/>
      <c r="R167" s="38"/>
      <c r="S167" s="38"/>
    </row>
    <row r="168" spans="1:19" x14ac:dyDescent="0.2">
      <c r="B168" s="72">
        <v>41209</v>
      </c>
      <c r="C168" s="71" t="s">
        <v>202</v>
      </c>
      <c r="D168" s="73">
        <v>10</v>
      </c>
      <c r="E168" s="71">
        <v>68</v>
      </c>
      <c r="F168" s="71">
        <v>51</v>
      </c>
      <c r="G168" s="74">
        <f t="shared" si="27"/>
        <v>4.7812499999999999E-3</v>
      </c>
      <c r="H168" s="75">
        <f>(PBS!$D$17+(50*PBS!$D$17/230)*LOG10(D168))/G168/86400*J168</f>
        <v>1.0116477534653154</v>
      </c>
      <c r="I168" s="87">
        <f t="shared" si="23"/>
        <v>41</v>
      </c>
      <c r="J168" s="73">
        <f t="shared" si="28"/>
        <v>1.0498000000000001</v>
      </c>
      <c r="K168" s="76">
        <f t="shared" si="29"/>
        <v>4.554438940750619E-3</v>
      </c>
      <c r="L168" s="76">
        <f t="shared" si="30"/>
        <v>4.5544389407506186E-2</v>
      </c>
      <c r="M168" s="71" t="s">
        <v>203</v>
      </c>
    </row>
    <row r="169" spans="1:19" x14ac:dyDescent="0.2">
      <c r="B169" s="72">
        <v>41377</v>
      </c>
      <c r="C169" s="71" t="s">
        <v>57</v>
      </c>
      <c r="D169" s="73">
        <f>5/1.609</f>
        <v>3.1075201988812928</v>
      </c>
      <c r="E169" s="71">
        <v>19</v>
      </c>
      <c r="F169" s="71">
        <v>51.4</v>
      </c>
      <c r="G169" s="74">
        <f t="shared" si="27"/>
        <v>4.437413425925925E-3</v>
      </c>
      <c r="H169" s="75">
        <f>(PBS!$D$17+(50*PBS!$D$17/230)*LOG10(D169))/G169/86400*J169</f>
        <v>0.99123483011408542</v>
      </c>
      <c r="I169" s="87">
        <f t="shared" si="23"/>
        <v>41</v>
      </c>
      <c r="J169" s="73">
        <f t="shared" si="28"/>
        <v>1.0498000000000001</v>
      </c>
      <c r="K169" s="76">
        <f t="shared" si="29"/>
        <v>4.2269131510058343E-3</v>
      </c>
      <c r="L169" s="76">
        <f t="shared" si="30"/>
        <v>1.3135217995667602E-2</v>
      </c>
      <c r="N169" s="38"/>
      <c r="O169" s="38"/>
      <c r="P169" s="38"/>
      <c r="Q169" s="38"/>
      <c r="R169" s="38"/>
      <c r="S169" s="38"/>
    </row>
    <row r="170" spans="1:19" x14ac:dyDescent="0.2">
      <c r="B170" s="72">
        <v>41447</v>
      </c>
      <c r="C170" s="71" t="s">
        <v>69</v>
      </c>
      <c r="D170" s="73">
        <f>10/1.609</f>
        <v>6.2150403977625857</v>
      </c>
      <c r="E170" s="71">
        <v>41</v>
      </c>
      <c r="F170" s="71">
        <v>10</v>
      </c>
      <c r="G170" s="74">
        <f t="shared" si="27"/>
        <v>4.5998032407407402E-3</v>
      </c>
      <c r="H170" s="75">
        <f>(PBS!$D$17+(50*PBS!$D$17/230)*LOG10(D170))/G170/86400*J170</f>
        <v>1.0127672809378128</v>
      </c>
      <c r="I170" s="87">
        <f t="shared" si="23"/>
        <v>41</v>
      </c>
      <c r="J170" s="73">
        <f t="shared" si="28"/>
        <v>1.0498000000000001</v>
      </c>
      <c r="K170" s="76">
        <f t="shared" si="29"/>
        <v>4.3815995815781484E-3</v>
      </c>
      <c r="L170" s="76">
        <f t="shared" si="30"/>
        <v>2.7231818406327834E-2</v>
      </c>
      <c r="N170" s="37"/>
      <c r="O170" s="37"/>
      <c r="P170" s="37"/>
      <c r="Q170" s="37"/>
      <c r="R170" s="37"/>
      <c r="S170" s="37"/>
    </row>
    <row r="171" spans="1:19" x14ac:dyDescent="0.2">
      <c r="B171" s="72">
        <v>41452</v>
      </c>
      <c r="C171" s="71" t="s">
        <v>142</v>
      </c>
      <c r="D171" s="73">
        <v>1</v>
      </c>
      <c r="E171" s="71">
        <v>5</v>
      </c>
      <c r="F171" s="71">
        <v>27.7</v>
      </c>
      <c r="G171" s="74">
        <f t="shared" si="27"/>
        <v>3.7928240740740739E-3</v>
      </c>
      <c r="H171" s="75">
        <f>(PBS!$D$17+(50*PBS!$D$17/230)*LOG10(D171))/G171/86400*J171</f>
        <v>1.047557522123894</v>
      </c>
      <c r="I171" s="87">
        <f t="shared" si="23"/>
        <v>41</v>
      </c>
      <c r="J171" s="73">
        <f t="shared" si="28"/>
        <v>1.0498000000000001</v>
      </c>
      <c r="K171" s="76">
        <f t="shared" si="29"/>
        <v>3.6129015756087577E-3</v>
      </c>
      <c r="L171" s="76">
        <f t="shared" si="30"/>
        <v>3.6129015756087577E-3</v>
      </c>
      <c r="N171" s="39"/>
      <c r="O171" s="39"/>
      <c r="P171" s="39"/>
      <c r="Q171" s="39"/>
      <c r="R171" s="39"/>
      <c r="S171" s="39"/>
    </row>
    <row r="172" spans="1:19" x14ac:dyDescent="0.2">
      <c r="B172" s="72">
        <v>41475</v>
      </c>
      <c r="C172" s="71" t="s">
        <v>167</v>
      </c>
      <c r="D172" s="73">
        <v>1</v>
      </c>
      <c r="E172" s="71">
        <v>5</v>
      </c>
      <c r="F172" s="71">
        <v>20.8</v>
      </c>
      <c r="G172" s="74">
        <f>(E172+F172/60)/D172/60/24</f>
        <v>3.712962962962963E-3</v>
      </c>
      <c r="H172" s="75">
        <f>(PBS!$D$17+(50*PBS!$D$17/230)*LOG10(D172))/G172/86400*J172</f>
        <v>1.0789063279301747</v>
      </c>
      <c r="I172" s="87">
        <f t="shared" si="23"/>
        <v>42</v>
      </c>
      <c r="J172" s="73">
        <f t="shared" si="28"/>
        <v>1.0584500000000001</v>
      </c>
      <c r="K172" s="76">
        <f t="shared" ref="K172:K183" si="31">G172/J172</f>
        <v>3.507924760700045E-3</v>
      </c>
      <c r="L172" s="76">
        <f t="shared" ref="L172:L183" si="32">K172*D172</f>
        <v>3.507924760700045E-3</v>
      </c>
      <c r="N172" s="39"/>
      <c r="O172" s="39"/>
      <c r="P172" s="39"/>
      <c r="Q172" s="39"/>
      <c r="R172" s="39"/>
      <c r="S172" s="39"/>
    </row>
    <row r="173" spans="1:19" s="48" customFormat="1" ht="20" x14ac:dyDescent="0.2">
      <c r="A173" s="71"/>
      <c r="B173" s="72">
        <v>41482</v>
      </c>
      <c r="C173" s="71" t="s">
        <v>336</v>
      </c>
      <c r="D173" s="73" t="s">
        <v>337</v>
      </c>
      <c r="E173" s="71">
        <v>66</v>
      </c>
      <c r="F173" s="71">
        <v>0</v>
      </c>
      <c r="G173" s="74" t="e">
        <f t="shared" ref="G173:G196" si="33">(E173+F173/60)/D173/60/24</f>
        <v>#VALUE!</v>
      </c>
      <c r="H173" s="75" t="e">
        <f>(PBS!$D$17+(50*PBS!$D$17/230)*LOG10(D173))/G173/86400*J173</f>
        <v>#VALUE!</v>
      </c>
      <c r="I173" s="87">
        <f t="shared" si="23"/>
        <v>42</v>
      </c>
      <c r="J173" s="73">
        <f t="shared" si="28"/>
        <v>1.0584500000000001</v>
      </c>
      <c r="K173" s="76" t="e">
        <f t="shared" si="31"/>
        <v>#VALUE!</v>
      </c>
      <c r="L173" s="76" t="e">
        <f t="shared" si="32"/>
        <v>#VALUE!</v>
      </c>
      <c r="M173" s="71"/>
      <c r="N173" s="47"/>
      <c r="O173" s="47"/>
      <c r="P173" s="47"/>
      <c r="Q173" s="47"/>
      <c r="R173" s="47"/>
      <c r="S173" s="47"/>
    </row>
    <row r="174" spans="1:19" s="48" customFormat="1" ht="20" x14ac:dyDescent="0.2">
      <c r="A174" s="71"/>
      <c r="B174" s="72">
        <v>41469</v>
      </c>
      <c r="C174" s="71" t="s">
        <v>338</v>
      </c>
      <c r="D174" s="73" t="s">
        <v>339</v>
      </c>
      <c r="E174" s="71">
        <v>387</v>
      </c>
      <c r="F174" s="71">
        <v>0</v>
      </c>
      <c r="G174" s="74" t="e">
        <f t="shared" si="33"/>
        <v>#VALUE!</v>
      </c>
      <c r="H174" s="75" t="e">
        <f>(PBS!$D$17+(50*PBS!$D$17/230)*LOG10(D174))/G174/86400*J174</f>
        <v>#VALUE!</v>
      </c>
      <c r="I174" s="87">
        <f t="shared" si="23"/>
        <v>41</v>
      </c>
      <c r="J174" s="73">
        <f t="shared" si="28"/>
        <v>1.0498000000000001</v>
      </c>
      <c r="K174" s="76" t="e">
        <f t="shared" si="31"/>
        <v>#VALUE!</v>
      </c>
      <c r="L174" s="76" t="e">
        <f t="shared" si="32"/>
        <v>#VALUE!</v>
      </c>
      <c r="M174" s="71"/>
      <c r="N174" s="47"/>
      <c r="O174" s="47"/>
      <c r="P174" s="47"/>
      <c r="Q174" s="47"/>
      <c r="R174" s="47"/>
      <c r="S174" s="47"/>
    </row>
    <row r="175" spans="1:19" x14ac:dyDescent="0.2">
      <c r="B175" s="72">
        <v>41735</v>
      </c>
      <c r="C175" s="71" t="s">
        <v>340</v>
      </c>
      <c r="D175" s="73">
        <f>5/1.609</f>
        <v>3.1075201988812928</v>
      </c>
      <c r="E175" s="71">
        <v>19</v>
      </c>
      <c r="F175" s="71">
        <v>50</v>
      </c>
      <c r="G175" s="74">
        <f t="shared" si="33"/>
        <v>4.4321990740740736E-3</v>
      </c>
      <c r="H175" s="75">
        <f>(PBS!$D$17+(50*PBS!$D$17/230)*LOG10(D175))/G175/86400*J175</f>
        <v>1.0005780401309492</v>
      </c>
      <c r="I175" s="87">
        <f t="shared" si="23"/>
        <v>42</v>
      </c>
      <c r="J175" s="73">
        <f t="shared" si="28"/>
        <v>1.0584500000000001</v>
      </c>
      <c r="K175" s="76">
        <f t="shared" si="31"/>
        <v>4.1874430290274201E-3</v>
      </c>
      <c r="L175" s="76">
        <f t="shared" si="32"/>
        <v>1.3012563794367372E-2</v>
      </c>
      <c r="N175" s="39"/>
      <c r="O175" s="39"/>
      <c r="P175" s="39"/>
      <c r="Q175" s="39"/>
      <c r="R175" s="39"/>
      <c r="S175" s="39"/>
    </row>
    <row r="176" spans="1:19" x14ac:dyDescent="0.2">
      <c r="B176" s="72">
        <v>41777</v>
      </c>
      <c r="C176" s="71" t="s">
        <v>179</v>
      </c>
      <c r="D176" s="73">
        <v>11</v>
      </c>
      <c r="E176" s="71">
        <v>88</v>
      </c>
      <c r="F176" s="71">
        <v>3</v>
      </c>
      <c r="G176" s="74">
        <f t="shared" si="33"/>
        <v>5.5587121212121206E-3</v>
      </c>
      <c r="H176" s="75">
        <f>(PBS!$D$17+(50*PBS!$D$17/230)*LOG10(D176))/G176/86400*J176</f>
        <v>0.88380951695420884</v>
      </c>
      <c r="I176" s="87">
        <f t="shared" si="23"/>
        <v>42</v>
      </c>
      <c r="J176" s="73">
        <f t="shared" si="28"/>
        <v>1.0584500000000001</v>
      </c>
      <c r="K176" s="76">
        <f t="shared" si="31"/>
        <v>5.2517474809505599E-3</v>
      </c>
      <c r="L176" s="76">
        <f t="shared" si="32"/>
        <v>5.7769222290456161E-2</v>
      </c>
      <c r="N176" s="39"/>
      <c r="O176" s="39"/>
      <c r="P176" s="39"/>
      <c r="Q176" s="39"/>
      <c r="R176" s="39"/>
      <c r="S176" s="39"/>
    </row>
    <row r="177" spans="1:19" x14ac:dyDescent="0.2">
      <c r="B177" s="72">
        <v>41785</v>
      </c>
      <c r="C177" s="71" t="s">
        <v>142</v>
      </c>
      <c r="D177" s="73">
        <v>1</v>
      </c>
      <c r="E177" s="71">
        <v>5</v>
      </c>
      <c r="F177" s="71">
        <v>26</v>
      </c>
      <c r="G177" s="74">
        <f t="shared" si="33"/>
        <v>3.7731481481481483E-3</v>
      </c>
      <c r="H177" s="75">
        <f>(PBS!$D$17+(50*PBS!$D$17/230)*LOG10(D177))/G177/86400*J177</f>
        <v>1.0616967791411045</v>
      </c>
      <c r="I177" s="87">
        <f t="shared" si="23"/>
        <v>42</v>
      </c>
      <c r="J177" s="73">
        <f t="shared" si="28"/>
        <v>1.0584500000000001</v>
      </c>
      <c r="K177" s="76">
        <f t="shared" si="31"/>
        <v>3.5647863840031629E-3</v>
      </c>
      <c r="L177" s="76">
        <f t="shared" si="32"/>
        <v>3.5647863840031629E-3</v>
      </c>
      <c r="N177" s="39"/>
      <c r="O177" s="39"/>
      <c r="P177" s="39"/>
      <c r="Q177" s="39"/>
      <c r="R177" s="39"/>
      <c r="S177" s="39"/>
    </row>
    <row r="178" spans="1:19" x14ac:dyDescent="0.2">
      <c r="B178" s="72">
        <v>41811</v>
      </c>
      <c r="C178" s="71" t="s">
        <v>69</v>
      </c>
      <c r="D178" s="73">
        <f>10/1.609</f>
        <v>6.2150403977625857</v>
      </c>
      <c r="E178" s="71">
        <v>40</v>
      </c>
      <c r="F178" s="71">
        <v>48.9</v>
      </c>
      <c r="G178" s="74">
        <f t="shared" si="33"/>
        <v>4.5605093749999997E-3</v>
      </c>
      <c r="H178" s="75">
        <f>(PBS!$D$17+(50*PBS!$D$17/230)*LOG10(D178))/G178/86400*J178</f>
        <v>1.0299101617306596</v>
      </c>
      <c r="I178" s="87">
        <f t="shared" si="23"/>
        <v>42</v>
      </c>
      <c r="J178" s="73">
        <f t="shared" si="28"/>
        <v>1.0584500000000001</v>
      </c>
      <c r="K178" s="76">
        <f t="shared" si="31"/>
        <v>4.3086677452879203E-3</v>
      </c>
      <c r="L178" s="76">
        <f t="shared" si="32"/>
        <v>2.6778544097501061E-2</v>
      </c>
      <c r="N178" s="39"/>
      <c r="O178" s="39"/>
      <c r="P178" s="39"/>
      <c r="Q178" s="39"/>
      <c r="R178" s="39"/>
      <c r="S178" s="39"/>
    </row>
    <row r="179" spans="1:19" s="48" customFormat="1" ht="20" x14ac:dyDescent="0.2">
      <c r="A179" s="71"/>
      <c r="B179" s="72">
        <v>41832</v>
      </c>
      <c r="C179" s="71" t="s">
        <v>382</v>
      </c>
      <c r="D179" s="73" t="s">
        <v>383</v>
      </c>
      <c r="E179" s="71"/>
      <c r="F179" s="71"/>
      <c r="G179" s="74" t="e">
        <f t="shared" si="33"/>
        <v>#VALUE!</v>
      </c>
      <c r="H179" s="75" t="e">
        <f>(PBS!$D$17+(50*PBS!$D$17/230)*LOG10(D179))/G179/86400*J179</f>
        <v>#VALUE!</v>
      </c>
      <c r="I179" s="87">
        <f t="shared" si="23"/>
        <v>42</v>
      </c>
      <c r="J179" s="73">
        <f t="shared" si="28"/>
        <v>1.0584500000000001</v>
      </c>
      <c r="K179" s="76" t="e">
        <f t="shared" si="31"/>
        <v>#VALUE!</v>
      </c>
      <c r="L179" s="76" t="e">
        <f t="shared" si="32"/>
        <v>#VALUE!</v>
      </c>
      <c r="M179" s="71"/>
      <c r="N179" s="47"/>
      <c r="O179" s="47"/>
      <c r="P179" s="47"/>
      <c r="Q179" s="47"/>
      <c r="R179" s="47"/>
      <c r="S179" s="47"/>
    </row>
    <row r="180" spans="1:19" x14ac:dyDescent="0.2">
      <c r="B180" s="72">
        <v>41888</v>
      </c>
      <c r="C180" s="71" t="s">
        <v>341</v>
      </c>
      <c r="D180" s="73">
        <v>4</v>
      </c>
      <c r="E180" s="71">
        <v>41</v>
      </c>
      <c r="F180" s="71">
        <v>0</v>
      </c>
      <c r="G180" s="74">
        <f t="shared" si="33"/>
        <v>7.1180555555555554E-3</v>
      </c>
      <c r="H180" s="75">
        <f>(PBS!$D$17+(50*PBS!$D$17/230)*LOG10(D180))/G180/86400*J180</f>
        <v>0.64170581980829999</v>
      </c>
      <c r="I180" s="87">
        <f t="shared" si="23"/>
        <v>43</v>
      </c>
      <c r="J180" s="73">
        <f t="shared" si="28"/>
        <v>1.0671999999999999</v>
      </c>
      <c r="K180" s="76">
        <f t="shared" si="31"/>
        <v>6.6698421622522078E-3</v>
      </c>
      <c r="L180" s="76">
        <f t="shared" si="32"/>
        <v>2.6679368649008831E-2</v>
      </c>
      <c r="N180" s="39"/>
      <c r="O180" s="39"/>
      <c r="P180" s="39"/>
      <c r="Q180" s="39"/>
      <c r="R180" s="39"/>
      <c r="S180" s="39"/>
    </row>
    <row r="181" spans="1:19" x14ac:dyDescent="0.2">
      <c r="B181" s="72">
        <v>41970</v>
      </c>
      <c r="C181" s="71" t="s">
        <v>342</v>
      </c>
      <c r="D181" s="73">
        <f>10/1.609</f>
        <v>6.2150403977625857</v>
      </c>
      <c r="G181" s="74">
        <f t="shared" si="33"/>
        <v>0</v>
      </c>
      <c r="H181" s="75" t="e">
        <f>(PBS!$D$17+(50*PBS!$D$17/230)*LOG10(D181))/G181/86400*J181</f>
        <v>#DIV/0!</v>
      </c>
      <c r="I181" s="87">
        <f t="shared" si="23"/>
        <v>43</v>
      </c>
      <c r="J181" s="73">
        <f t="shared" si="28"/>
        <v>1.0671999999999999</v>
      </c>
      <c r="K181" s="76">
        <f t="shared" si="31"/>
        <v>0</v>
      </c>
      <c r="L181" s="76">
        <f t="shared" si="32"/>
        <v>0</v>
      </c>
      <c r="N181" s="39"/>
      <c r="O181" s="39"/>
      <c r="P181" s="39"/>
      <c r="Q181" s="39"/>
      <c r="R181" s="39"/>
      <c r="S181" s="39"/>
    </row>
    <row r="182" spans="1:19" x14ac:dyDescent="0.2">
      <c r="B182" s="72">
        <v>41991</v>
      </c>
      <c r="C182" s="71" t="s">
        <v>343</v>
      </c>
      <c r="D182" s="73">
        <f>5/1.609</f>
        <v>3.1075201988812928</v>
      </c>
      <c r="E182" s="71">
        <v>18</v>
      </c>
      <c r="F182" s="71">
        <v>56</v>
      </c>
      <c r="G182" s="74">
        <f t="shared" si="33"/>
        <v>4.2310740740740737E-3</v>
      </c>
      <c r="H182" s="75">
        <f>(PBS!$D$17+(50*PBS!$D$17/230)*LOG10(D182))/G182/86400*J182</f>
        <v>1.0568055039200135</v>
      </c>
      <c r="I182" s="87">
        <f t="shared" si="23"/>
        <v>43</v>
      </c>
      <c r="J182" s="73">
        <f t="shared" si="28"/>
        <v>1.0671999999999999</v>
      </c>
      <c r="K182" s="76">
        <f t="shared" si="31"/>
        <v>3.9646496196346272E-3</v>
      </c>
      <c r="L182" s="76">
        <f t="shared" si="32"/>
        <v>1.2320228774501639E-2</v>
      </c>
      <c r="N182" s="39"/>
      <c r="O182" s="39"/>
      <c r="P182" s="39"/>
      <c r="Q182" s="39"/>
      <c r="R182" s="39"/>
      <c r="S182" s="39"/>
    </row>
    <row r="183" spans="1:19" x14ac:dyDescent="0.2">
      <c r="B183" s="72">
        <v>42337</v>
      </c>
      <c r="C183" s="71" t="s">
        <v>344</v>
      </c>
      <c r="D183" s="73">
        <f>42.195/1.609</f>
        <v>26.224362958359229</v>
      </c>
      <c r="E183" s="71">
        <v>267</v>
      </c>
      <c r="F183" s="71">
        <v>50</v>
      </c>
      <c r="G183" s="74">
        <f t="shared" si="33"/>
        <v>7.0924647689519114E-3</v>
      </c>
      <c r="H183" s="75">
        <f>(PBS!$D$17+(50*PBS!$D$17/230)*LOG10(D183))/G183/86400*J183</f>
        <v>0.75130191660932066</v>
      </c>
      <c r="I183" s="87">
        <f t="shared" si="23"/>
        <v>44</v>
      </c>
      <c r="J183" s="73">
        <f t="shared" si="28"/>
        <v>1.07605</v>
      </c>
      <c r="K183" s="76">
        <f t="shared" si="31"/>
        <v>6.5912037256186159E-3</v>
      </c>
      <c r="L183" s="76">
        <f t="shared" si="32"/>
        <v>0.17285011883311219</v>
      </c>
      <c r="M183" s="71" t="s">
        <v>345</v>
      </c>
    </row>
    <row r="184" spans="1:19" s="44" customFormat="1" ht="18" x14ac:dyDescent="0.2">
      <c r="A184" s="71"/>
      <c r="B184" s="72" t="s">
        <v>401</v>
      </c>
      <c r="C184" s="71"/>
      <c r="D184" s="73"/>
      <c r="E184" s="71"/>
      <c r="F184" s="71"/>
      <c r="G184" s="74"/>
      <c r="H184" s="75"/>
      <c r="I184" s="87"/>
      <c r="J184" s="73"/>
      <c r="K184" s="76"/>
      <c r="L184" s="76"/>
      <c r="M184" s="71"/>
    </row>
    <row r="185" spans="1:19" s="48" customFormat="1" ht="20" x14ac:dyDescent="0.2">
      <c r="A185" s="71"/>
      <c r="B185" s="72">
        <v>42476</v>
      </c>
      <c r="C185" s="71" t="s">
        <v>374</v>
      </c>
      <c r="D185" s="73" t="s">
        <v>337</v>
      </c>
      <c r="E185" s="71"/>
      <c r="F185" s="71"/>
      <c r="G185" s="74"/>
      <c r="H185" s="75"/>
      <c r="I185" s="87">
        <f t="shared" si="23"/>
        <v>44</v>
      </c>
      <c r="J185" s="73">
        <f t="shared" si="28"/>
        <v>1.07605</v>
      </c>
      <c r="K185" s="76"/>
      <c r="L185" s="76"/>
      <c r="M185" s="71"/>
    </row>
    <row r="186" spans="1:19" x14ac:dyDescent="0.2">
      <c r="B186" s="72">
        <v>42497</v>
      </c>
      <c r="C186" s="71" t="s">
        <v>140</v>
      </c>
      <c r="D186" s="73">
        <f>5/1.609</f>
        <v>3.1075201988812928</v>
      </c>
      <c r="E186" s="71">
        <v>19</v>
      </c>
      <c r="F186" s="71">
        <v>53</v>
      </c>
      <c r="G186" s="74">
        <f t="shared" si="33"/>
        <v>4.4433726851851848E-3</v>
      </c>
      <c r="H186" s="75"/>
      <c r="I186" s="87">
        <f t="shared" si="23"/>
        <v>44</v>
      </c>
      <c r="J186" s="73">
        <f t="shared" si="28"/>
        <v>1.07605</v>
      </c>
      <c r="K186" s="76"/>
      <c r="L186" s="76"/>
      <c r="M186" s="71" t="s">
        <v>346</v>
      </c>
    </row>
    <row r="187" spans="1:19" x14ac:dyDescent="0.2">
      <c r="B187" s="72">
        <v>42521</v>
      </c>
      <c r="C187" s="71" t="s">
        <v>158</v>
      </c>
      <c r="E187" s="71">
        <v>48</v>
      </c>
      <c r="F187" s="71">
        <v>31</v>
      </c>
      <c r="H187" s="75"/>
      <c r="I187" s="87">
        <f t="shared" si="23"/>
        <v>44</v>
      </c>
      <c r="J187" s="73">
        <f t="shared" si="28"/>
        <v>1.07605</v>
      </c>
      <c r="K187" s="76"/>
      <c r="L187" s="76"/>
      <c r="M187" s="71" t="s">
        <v>347</v>
      </c>
    </row>
    <row r="188" spans="1:19" x14ac:dyDescent="0.2">
      <c r="B188" s="72">
        <v>42539</v>
      </c>
      <c r="C188" s="71" t="s">
        <v>69</v>
      </c>
      <c r="D188" s="73">
        <f>10/1.609</f>
        <v>6.2150403977625857</v>
      </c>
      <c r="E188" s="71">
        <v>41</v>
      </c>
      <c r="F188" s="71">
        <v>8</v>
      </c>
      <c r="G188" s="74">
        <f t="shared" si="33"/>
        <v>4.5960787037037038E-3</v>
      </c>
      <c r="H188" s="75"/>
      <c r="I188" s="87">
        <f t="shared" si="23"/>
        <v>44</v>
      </c>
      <c r="J188" s="73">
        <f t="shared" si="28"/>
        <v>1.07605</v>
      </c>
      <c r="K188" s="76"/>
      <c r="L188" s="76"/>
      <c r="M188" s="71" t="s">
        <v>348</v>
      </c>
    </row>
    <row r="189" spans="1:19" x14ac:dyDescent="0.2">
      <c r="B189" s="72">
        <v>42503</v>
      </c>
      <c r="C189" s="71" t="s">
        <v>349</v>
      </c>
      <c r="D189" s="73">
        <f>5/1.609</f>
        <v>3.1075201988812928</v>
      </c>
      <c r="E189" s="71">
        <v>22</v>
      </c>
      <c r="F189" s="71">
        <v>0</v>
      </c>
      <c r="G189" s="74">
        <f t="shared" si="33"/>
        <v>4.9163888888888894E-3</v>
      </c>
      <c r="H189" s="75"/>
      <c r="I189" s="87">
        <f t="shared" si="23"/>
        <v>44</v>
      </c>
      <c r="J189" s="73">
        <f t="shared" si="28"/>
        <v>1.07605</v>
      </c>
      <c r="K189" s="76"/>
      <c r="L189" s="76"/>
      <c r="M189" s="71" t="s">
        <v>350</v>
      </c>
    </row>
    <row r="190" spans="1:19" x14ac:dyDescent="0.2">
      <c r="B190" s="72">
        <v>42547</v>
      </c>
      <c r="C190" s="71" t="s">
        <v>351</v>
      </c>
      <c r="D190" s="73">
        <f>10/1.609</f>
        <v>6.2150403977625857</v>
      </c>
      <c r="E190" s="71">
        <v>42</v>
      </c>
      <c r="F190" s="71">
        <v>48</v>
      </c>
      <c r="G190" s="74">
        <f t="shared" si="33"/>
        <v>4.7823055555555544E-3</v>
      </c>
      <c r="H190" s="75"/>
      <c r="I190" s="87">
        <f t="shared" si="23"/>
        <v>44</v>
      </c>
      <c r="J190" s="73">
        <f t="shared" si="28"/>
        <v>1.07605</v>
      </c>
      <c r="K190" s="76"/>
      <c r="L190" s="76"/>
      <c r="M190" s="71" t="s">
        <v>352</v>
      </c>
    </row>
    <row r="191" spans="1:19" x14ac:dyDescent="0.2">
      <c r="B191" s="72">
        <v>42591</v>
      </c>
      <c r="C191" s="71" t="s">
        <v>353</v>
      </c>
      <c r="D191" s="73">
        <v>5</v>
      </c>
      <c r="E191" s="71">
        <v>34</v>
      </c>
      <c r="F191" s="71">
        <v>9</v>
      </c>
      <c r="G191" s="74">
        <f t="shared" si="33"/>
        <v>4.743055555555555E-3</v>
      </c>
      <c r="I191" s="87">
        <f t="shared" si="23"/>
        <v>45</v>
      </c>
      <c r="J191" s="73">
        <f t="shared" si="28"/>
        <v>1.085</v>
      </c>
    </row>
    <row r="192" spans="1:19" x14ac:dyDescent="0.2">
      <c r="B192" s="72">
        <v>42605</v>
      </c>
      <c r="C192" s="71" t="s">
        <v>440</v>
      </c>
      <c r="D192" s="73">
        <v>3.1075202000000002</v>
      </c>
      <c r="E192" s="71">
        <v>23</v>
      </c>
      <c r="F192" s="71">
        <v>35</v>
      </c>
      <c r="G192" s="74">
        <f t="shared" si="33"/>
        <v>5.2702199055101274E-3</v>
      </c>
      <c r="I192" s="87">
        <f t="shared" si="23"/>
        <v>45</v>
      </c>
      <c r="J192" s="73">
        <f t="shared" si="28"/>
        <v>1.085</v>
      </c>
    </row>
    <row r="193" spans="1:13" x14ac:dyDescent="0.2">
      <c r="B193" s="72">
        <v>42609</v>
      </c>
      <c r="C193" s="71" t="s">
        <v>428</v>
      </c>
      <c r="D193" s="73">
        <v>3.1075202000000002</v>
      </c>
      <c r="E193" s="71">
        <v>29</v>
      </c>
      <c r="F193" s="71">
        <v>51</v>
      </c>
      <c r="G193" s="74">
        <f t="shared" si="33"/>
        <v>6.6706458309319016E-3</v>
      </c>
      <c r="I193" s="87">
        <f t="shared" si="23"/>
        <v>45</v>
      </c>
      <c r="J193" s="73">
        <f t="shared" si="28"/>
        <v>1.085</v>
      </c>
    </row>
    <row r="194" spans="1:13" x14ac:dyDescent="0.2">
      <c r="B194" s="72">
        <v>42635</v>
      </c>
      <c r="C194" s="71" t="s">
        <v>439</v>
      </c>
      <c r="D194" s="73">
        <v>3.47</v>
      </c>
      <c r="E194" s="71">
        <v>23</v>
      </c>
      <c r="F194" s="71">
        <v>39</v>
      </c>
      <c r="G194" s="74">
        <f t="shared" si="33"/>
        <v>4.7330291386487346E-3</v>
      </c>
      <c r="I194" s="87">
        <f t="shared" si="23"/>
        <v>45</v>
      </c>
      <c r="J194" s="73">
        <f t="shared" si="28"/>
        <v>1.085</v>
      </c>
    </row>
    <row r="195" spans="1:13" x14ac:dyDescent="0.2">
      <c r="B195" s="72">
        <v>42698</v>
      </c>
      <c r="C195" s="71" t="s">
        <v>354</v>
      </c>
      <c r="D195" s="73">
        <v>3.1075202000000002</v>
      </c>
      <c r="E195" s="71">
        <v>22</v>
      </c>
      <c r="F195" s="71">
        <v>12</v>
      </c>
      <c r="G195" s="74">
        <f t="shared" si="33"/>
        <v>4.9610833315473423E-3</v>
      </c>
      <c r="I195" s="87">
        <f t="shared" ref="I195:I219" si="34">DATEDIF(DATE(1971,7,18),B195,"Y")</f>
        <v>45</v>
      </c>
      <c r="J195" s="73">
        <f t="shared" si="28"/>
        <v>1.085</v>
      </c>
    </row>
    <row r="196" spans="1:13" x14ac:dyDescent="0.2">
      <c r="B196" s="72">
        <v>42698</v>
      </c>
      <c r="C196" s="71" t="s">
        <v>354</v>
      </c>
      <c r="D196" s="73">
        <v>1</v>
      </c>
      <c r="E196" s="71">
        <v>5</v>
      </c>
      <c r="F196" s="71">
        <v>34</v>
      </c>
      <c r="G196" s="74">
        <f t="shared" si="33"/>
        <v>3.8657407407407408E-3</v>
      </c>
      <c r="I196" s="87">
        <f t="shared" si="34"/>
        <v>45</v>
      </c>
      <c r="J196" s="73">
        <f t="shared" si="28"/>
        <v>1.085</v>
      </c>
    </row>
    <row r="197" spans="1:13" x14ac:dyDescent="0.2">
      <c r="B197" s="72">
        <v>42698</v>
      </c>
      <c r="C197" s="71" t="s">
        <v>354</v>
      </c>
      <c r="D197" s="73">
        <v>6.2150404000000004</v>
      </c>
      <c r="E197" s="71">
        <v>42</v>
      </c>
      <c r="F197" s="71">
        <v>52</v>
      </c>
      <c r="G197" s="74">
        <f>(E197+F197/60)/D197/60/24</f>
        <v>4.7897546279053174E-3</v>
      </c>
      <c r="I197" s="87">
        <f t="shared" si="34"/>
        <v>45</v>
      </c>
      <c r="J197" s="73">
        <f t="shared" si="28"/>
        <v>1.085</v>
      </c>
    </row>
    <row r="198" spans="1:13" x14ac:dyDescent="0.2">
      <c r="B198" s="72">
        <v>42715</v>
      </c>
      <c r="C198" s="71" t="s">
        <v>355</v>
      </c>
      <c r="I198" s="87">
        <f t="shared" si="34"/>
        <v>45</v>
      </c>
      <c r="J198" s="73">
        <f t="shared" si="28"/>
        <v>1.085</v>
      </c>
    </row>
    <row r="199" spans="1:13" x14ac:dyDescent="0.2">
      <c r="B199" s="72">
        <v>42730</v>
      </c>
      <c r="C199" s="71" t="s">
        <v>130</v>
      </c>
      <c r="D199" s="73">
        <v>6</v>
      </c>
      <c r="E199" s="71">
        <v>42</v>
      </c>
      <c r="F199" s="71">
        <v>9</v>
      </c>
      <c r="G199" s="74">
        <f>(E199+F199/60)/D199/60/24</f>
        <v>4.8784722222222224E-3</v>
      </c>
      <c r="I199" s="87">
        <f t="shared" si="34"/>
        <v>45</v>
      </c>
      <c r="J199" s="73">
        <f t="shared" si="28"/>
        <v>1.085</v>
      </c>
    </row>
    <row r="200" spans="1:13" x14ac:dyDescent="0.2">
      <c r="B200" s="72">
        <v>42792</v>
      </c>
      <c r="C200" s="71" t="s">
        <v>438</v>
      </c>
      <c r="D200" s="73">
        <v>3.2</v>
      </c>
      <c r="E200" s="71">
        <v>23</v>
      </c>
      <c r="F200" s="71">
        <v>5</v>
      </c>
      <c r="G200" s="74">
        <f>(E200+F200/60)/D200/60/24</f>
        <v>5.0094039351851844E-3</v>
      </c>
      <c r="I200" s="87">
        <f t="shared" si="34"/>
        <v>45</v>
      </c>
      <c r="J200" s="73">
        <f t="shared" si="28"/>
        <v>1.085</v>
      </c>
    </row>
    <row r="201" spans="1:13" s="49" customFormat="1" ht="18" x14ac:dyDescent="0.2">
      <c r="A201" s="71"/>
      <c r="B201" s="72">
        <v>42920</v>
      </c>
      <c r="C201" s="71" t="s">
        <v>402</v>
      </c>
      <c r="D201" s="73">
        <v>3.1075202000000002</v>
      </c>
      <c r="E201" s="71">
        <v>20</v>
      </c>
      <c r="F201" s="71">
        <v>12</v>
      </c>
      <c r="G201" s="74">
        <f>(E201+F201/60)/D201/60/24</f>
        <v>4.5141388872637989E-3</v>
      </c>
      <c r="H201" s="75"/>
      <c r="I201" s="87">
        <f t="shared" si="34"/>
        <v>45</v>
      </c>
      <c r="J201" s="73">
        <f t="shared" si="28"/>
        <v>1.085</v>
      </c>
      <c r="K201" s="76"/>
      <c r="L201" s="76"/>
      <c r="M201" s="71"/>
    </row>
    <row r="202" spans="1:13" s="49" customFormat="1" ht="18" x14ac:dyDescent="0.2">
      <c r="A202" s="71"/>
      <c r="B202" s="72">
        <v>43009</v>
      </c>
      <c r="C202" s="71" t="s">
        <v>396</v>
      </c>
      <c r="D202" s="73">
        <v>3.1075202000000002</v>
      </c>
      <c r="E202" s="71">
        <v>20</v>
      </c>
      <c r="F202" s="71">
        <v>32</v>
      </c>
      <c r="G202" s="74">
        <f>(E202+F202/60)/D202/60/24</f>
        <v>4.5886296279777231E-3</v>
      </c>
      <c r="H202" s="75"/>
      <c r="I202" s="87">
        <f t="shared" si="34"/>
        <v>46</v>
      </c>
      <c r="J202" s="73">
        <f t="shared" si="28"/>
        <v>1.09405</v>
      </c>
      <c r="K202" s="76"/>
      <c r="L202" s="76"/>
      <c r="M202" s="71" t="s">
        <v>398</v>
      </c>
    </row>
    <row r="203" spans="1:13" s="49" customFormat="1" ht="18" x14ac:dyDescent="0.2">
      <c r="A203" s="71"/>
      <c r="B203" s="72">
        <v>43015</v>
      </c>
      <c r="C203" s="71" t="s">
        <v>403</v>
      </c>
      <c r="D203" s="73"/>
      <c r="E203" s="71"/>
      <c r="F203" s="71"/>
      <c r="G203" s="74"/>
      <c r="H203" s="75"/>
      <c r="I203" s="87">
        <f t="shared" si="34"/>
        <v>46</v>
      </c>
      <c r="J203" s="73">
        <f t="shared" si="28"/>
        <v>1.09405</v>
      </c>
      <c r="K203" s="76"/>
      <c r="L203" s="76"/>
      <c r="M203" s="71"/>
    </row>
    <row r="204" spans="1:13" x14ac:dyDescent="0.2">
      <c r="B204" s="72">
        <v>43050</v>
      </c>
      <c r="C204" s="71" t="s">
        <v>432</v>
      </c>
      <c r="D204" s="73">
        <v>6.2150404000000004</v>
      </c>
      <c r="E204" s="71">
        <v>44</v>
      </c>
      <c r="F204" s="71">
        <v>21</v>
      </c>
      <c r="G204" s="74">
        <f t="shared" ref="G204:G212" si="35">(E204+F204/60)/D204/60/24</f>
        <v>4.9554965259937991E-3</v>
      </c>
      <c r="I204" s="87">
        <f t="shared" si="34"/>
        <v>46</v>
      </c>
      <c r="J204" s="73">
        <f t="shared" si="28"/>
        <v>1.09405</v>
      </c>
      <c r="M204" s="71" t="s">
        <v>397</v>
      </c>
    </row>
    <row r="205" spans="1:13" x14ac:dyDescent="0.2">
      <c r="B205" s="72">
        <v>43172</v>
      </c>
      <c r="C205" s="71" t="s">
        <v>358</v>
      </c>
      <c r="D205" s="73">
        <v>6</v>
      </c>
      <c r="E205" s="71">
        <v>41</v>
      </c>
      <c r="F205" s="71">
        <v>59</v>
      </c>
      <c r="G205" s="74">
        <f t="shared" si="35"/>
        <v>4.8591820987654325E-3</v>
      </c>
      <c r="I205" s="87">
        <f t="shared" si="34"/>
        <v>46</v>
      </c>
      <c r="J205" s="73">
        <f t="shared" si="28"/>
        <v>1.09405</v>
      </c>
    </row>
    <row r="206" spans="1:13" s="48" customFormat="1" ht="20" x14ac:dyDescent="0.2">
      <c r="A206" s="71"/>
      <c r="B206" s="72">
        <v>43260</v>
      </c>
      <c r="C206" s="71" t="s">
        <v>356</v>
      </c>
      <c r="D206" s="73">
        <v>6.2150404000000004</v>
      </c>
      <c r="E206" s="71">
        <v>60</v>
      </c>
      <c r="F206" s="71">
        <v>42</v>
      </c>
      <c r="G206" s="74">
        <f t="shared" si="35"/>
        <v>6.7823819420027879E-3</v>
      </c>
      <c r="H206" s="71"/>
      <c r="I206" s="87">
        <f t="shared" si="34"/>
        <v>46</v>
      </c>
      <c r="J206" s="73">
        <f t="shared" si="28"/>
        <v>1.09405</v>
      </c>
      <c r="K206" s="71"/>
      <c r="L206" s="71"/>
      <c r="M206" s="71"/>
    </row>
    <row r="207" spans="1:13" x14ac:dyDescent="0.2">
      <c r="B207" s="72">
        <v>43288</v>
      </c>
      <c r="C207" s="71" t="s">
        <v>413</v>
      </c>
      <c r="D207" s="73">
        <v>6.2150404000000004</v>
      </c>
      <c r="E207" s="71">
        <v>48</v>
      </c>
      <c r="F207" s="71">
        <v>19</v>
      </c>
      <c r="G207" s="74">
        <f t="shared" si="35"/>
        <v>5.3987164332416479E-3</v>
      </c>
      <c r="H207" s="74"/>
      <c r="I207" s="87">
        <f t="shared" si="34"/>
        <v>46</v>
      </c>
      <c r="J207" s="73">
        <f t="shared" si="28"/>
        <v>1.09405</v>
      </c>
    </row>
    <row r="208" spans="1:13" x14ac:dyDescent="0.2">
      <c r="B208" s="72">
        <v>43330</v>
      </c>
      <c r="C208" s="71" t="s">
        <v>423</v>
      </c>
      <c r="D208" s="73">
        <v>6.2150404000000004</v>
      </c>
      <c r="E208" s="71">
        <v>48</v>
      </c>
      <c r="F208" s="71">
        <v>26</v>
      </c>
      <c r="G208" s="74">
        <f t="shared" si="35"/>
        <v>5.411752312866583E-3</v>
      </c>
      <c r="H208" s="74"/>
      <c r="I208" s="87">
        <f t="shared" si="34"/>
        <v>47</v>
      </c>
      <c r="J208" s="73">
        <f t="shared" ref="J208:J219" si="36">IF(I208&gt;35,POWER(I208-35,2)*0.00005+(I208-35)*0.008+1,1)</f>
        <v>1.1032</v>
      </c>
    </row>
    <row r="209" spans="2:13" x14ac:dyDescent="0.2">
      <c r="B209" s="72">
        <v>43358</v>
      </c>
      <c r="C209" s="71" t="s">
        <v>424</v>
      </c>
      <c r="D209" s="73">
        <v>6.2150404000000004</v>
      </c>
      <c r="E209" s="71">
        <v>48</v>
      </c>
      <c r="F209" s="71">
        <v>18</v>
      </c>
      <c r="G209" s="74">
        <f t="shared" si="35"/>
        <v>5.3968541647237992E-3</v>
      </c>
      <c r="H209" s="74"/>
      <c r="I209" s="87">
        <f t="shared" si="34"/>
        <v>47</v>
      </c>
      <c r="J209" s="73">
        <f t="shared" si="36"/>
        <v>1.1032</v>
      </c>
    </row>
    <row r="210" spans="2:13" x14ac:dyDescent="0.2">
      <c r="B210" s="72">
        <v>43506</v>
      </c>
      <c r="C210" s="71" t="s">
        <v>429</v>
      </c>
      <c r="D210" s="73">
        <f>D197*1.5</f>
        <v>9.322560600000001</v>
      </c>
      <c r="E210" s="71">
        <v>79</v>
      </c>
      <c r="F210" s="71">
        <v>24</v>
      </c>
      <c r="G210" s="74">
        <f t="shared" si="35"/>
        <v>5.9145648126855722E-3</v>
      </c>
      <c r="I210" s="87">
        <f t="shared" si="34"/>
        <v>47</v>
      </c>
      <c r="J210" s="73">
        <f t="shared" si="36"/>
        <v>1.1032</v>
      </c>
    </row>
    <row r="211" spans="2:13" ht="17" x14ac:dyDescent="0.2">
      <c r="B211" s="72">
        <v>43622</v>
      </c>
      <c r="C211" s="71" t="s">
        <v>430</v>
      </c>
      <c r="D211" s="73">
        <v>1</v>
      </c>
      <c r="E211" s="71">
        <v>5</v>
      </c>
      <c r="F211" s="71">
        <v>43</v>
      </c>
      <c r="G211" s="74">
        <f t="shared" si="35"/>
        <v>3.9699074074074072E-3</v>
      </c>
      <c r="I211" s="87">
        <f t="shared" si="34"/>
        <v>47</v>
      </c>
      <c r="J211" s="73">
        <f t="shared" si="36"/>
        <v>1.1032</v>
      </c>
      <c r="M211" s="96" t="s">
        <v>458</v>
      </c>
    </row>
    <row r="212" spans="2:13" x14ac:dyDescent="0.2">
      <c r="B212" s="72">
        <v>43659</v>
      </c>
      <c r="C212" s="71" t="s">
        <v>413</v>
      </c>
      <c r="D212" s="73">
        <v>3.1075202000000002</v>
      </c>
      <c r="E212" s="71">
        <v>21</v>
      </c>
      <c r="F212" s="71">
        <v>39</v>
      </c>
      <c r="G212" s="74">
        <f t="shared" si="35"/>
        <v>4.8381736093693678E-3</v>
      </c>
      <c r="H212" s="74"/>
      <c r="I212" s="87">
        <f t="shared" si="34"/>
        <v>47</v>
      </c>
      <c r="J212" s="73">
        <f t="shared" si="36"/>
        <v>1.1032</v>
      </c>
    </row>
    <row r="213" spans="2:13" x14ac:dyDescent="0.2">
      <c r="B213" s="72">
        <v>43680</v>
      </c>
      <c r="C213" s="71" t="s">
        <v>423</v>
      </c>
      <c r="D213" s="73">
        <v>3.1075202000000002</v>
      </c>
      <c r="E213" s="71">
        <v>24</v>
      </c>
      <c r="F213" s="71">
        <v>2</v>
      </c>
      <c r="G213" s="74">
        <f>(E213+F213/60)/D214/60/24</f>
        <v>5.3707824054739263E-3</v>
      </c>
      <c r="H213" s="74"/>
      <c r="I213" s="87">
        <f t="shared" si="34"/>
        <v>48</v>
      </c>
      <c r="J213" s="73">
        <f t="shared" si="36"/>
        <v>1.1124499999999999</v>
      </c>
    </row>
    <row r="214" spans="2:13" x14ac:dyDescent="0.2">
      <c r="B214" s="72">
        <v>43722</v>
      </c>
      <c r="C214" s="71" t="s">
        <v>424</v>
      </c>
      <c r="D214" s="73">
        <v>3.1075202000000002</v>
      </c>
      <c r="E214" s="71">
        <v>22</v>
      </c>
      <c r="F214" s="71">
        <v>58</v>
      </c>
      <c r="G214" s="74">
        <f>(E214+F214/60)/D215/60/24</f>
        <v>5.1324120351893673E-3</v>
      </c>
      <c r="H214" s="74"/>
      <c r="I214" s="87">
        <f t="shared" si="34"/>
        <v>48</v>
      </c>
      <c r="J214" s="73">
        <f t="shared" si="36"/>
        <v>1.1124499999999999</v>
      </c>
    </row>
    <row r="215" spans="2:13" x14ac:dyDescent="0.2">
      <c r="B215" s="72">
        <v>44019</v>
      </c>
      <c r="C215" s="71" t="s">
        <v>431</v>
      </c>
      <c r="D215" s="73">
        <v>3.1075202000000002</v>
      </c>
      <c r="E215" s="71">
        <v>22</v>
      </c>
      <c r="F215" s="71">
        <v>11</v>
      </c>
      <c r="G215" s="74">
        <f>(E215+F215/60)/D215/60/24</f>
        <v>4.9573587945116468E-3</v>
      </c>
      <c r="I215" s="87">
        <f t="shared" si="34"/>
        <v>48</v>
      </c>
      <c r="J215" s="73">
        <f t="shared" si="36"/>
        <v>1.1124499999999999</v>
      </c>
    </row>
    <row r="216" spans="2:13" x14ac:dyDescent="0.2">
      <c r="B216" s="72">
        <v>44310</v>
      </c>
      <c r="C216" s="71" t="s">
        <v>433</v>
      </c>
      <c r="D216" s="73">
        <v>3.1075202000000002</v>
      </c>
      <c r="E216" s="71">
        <v>20</v>
      </c>
      <c r="F216" s="71">
        <v>45</v>
      </c>
      <c r="G216" s="74">
        <f>(E216+F216/60)/D216/60/24</f>
        <v>4.6370486094417735E-3</v>
      </c>
      <c r="I216" s="87">
        <f t="shared" si="34"/>
        <v>49</v>
      </c>
      <c r="J216" s="73">
        <f t="shared" si="36"/>
        <v>1.1217999999999999</v>
      </c>
    </row>
    <row r="217" spans="2:13" x14ac:dyDescent="0.2">
      <c r="B217" s="72">
        <v>44395</v>
      </c>
      <c r="C217" s="71" t="s">
        <v>434</v>
      </c>
      <c r="D217" s="73">
        <v>1</v>
      </c>
      <c r="E217" s="71">
        <v>5</v>
      </c>
      <c r="F217" s="71">
        <v>59</v>
      </c>
      <c r="G217" s="74">
        <f>(E217+F217/60)/D217/60/24</f>
        <v>4.155092592592593E-3</v>
      </c>
      <c r="I217" s="87">
        <f t="shared" si="34"/>
        <v>50</v>
      </c>
      <c r="J217" s="73">
        <f t="shared" si="36"/>
        <v>1.1312500000000001</v>
      </c>
      <c r="M217" s="71" t="s">
        <v>435</v>
      </c>
    </row>
    <row r="218" spans="2:13" x14ac:dyDescent="0.2">
      <c r="B218" s="72">
        <v>44492</v>
      </c>
      <c r="C218" s="71" t="s">
        <v>437</v>
      </c>
      <c r="D218" s="73">
        <v>6.2150404000000004</v>
      </c>
      <c r="E218" s="71">
        <v>43</v>
      </c>
      <c r="F218" s="71">
        <v>58</v>
      </c>
      <c r="G218" s="74">
        <f>(E218+F218/60)/D218/60/24</f>
        <v>4.912664350083292E-3</v>
      </c>
      <c r="I218" s="87">
        <f t="shared" si="34"/>
        <v>50</v>
      </c>
      <c r="J218" s="73">
        <f t="shared" si="36"/>
        <v>1.1312500000000001</v>
      </c>
    </row>
    <row r="219" spans="2:13" x14ac:dyDescent="0.2">
      <c r="B219" s="72">
        <v>44506</v>
      </c>
      <c r="C219" s="71" t="s">
        <v>432</v>
      </c>
      <c r="D219" s="73">
        <v>6.2150404000000004</v>
      </c>
      <c r="E219" s="71">
        <v>43</v>
      </c>
      <c r="F219" s="71">
        <v>0</v>
      </c>
      <c r="G219" s="74">
        <f>(E219+F219/60)/D219/60/24</f>
        <v>4.8046527760481021E-3</v>
      </c>
      <c r="I219" s="87">
        <f t="shared" si="34"/>
        <v>50</v>
      </c>
      <c r="J219" s="73">
        <f t="shared" si="36"/>
        <v>1.1312500000000001</v>
      </c>
      <c r="M219" s="71" t="s">
        <v>454</v>
      </c>
    </row>
    <row r="220" spans="2:13" x14ac:dyDescent="0.2">
      <c r="B220" s="72">
        <v>44513</v>
      </c>
      <c r="C220" s="71" t="s">
        <v>436</v>
      </c>
      <c r="D220" s="73">
        <v>6.2150404000000004</v>
      </c>
    </row>
    <row r="222" spans="2:13" x14ac:dyDescent="0.2">
      <c r="G222" s="71"/>
    </row>
    <row r="223" spans="2:13" x14ac:dyDescent="0.2">
      <c r="G223" s="71"/>
    </row>
    <row r="224" spans="2:13" x14ac:dyDescent="0.2">
      <c r="G224" s="7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3" x14ac:dyDescent="0.15"/>
  <sheetData/>
  <pageMargins left="0.75" right="0.75" top="1" bottom="1" header="0.3" footer="0.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3" x14ac:dyDescent="0.15"/>
  <sheetData/>
  <pageMargins left="0.75" right="0.75" top="1" bottom="1" header="0.3" footer="0.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8"/>
  <sheetViews>
    <sheetView topLeftCell="C4" zoomScale="150" zoomScaleNormal="150" workbookViewId="0">
      <selection activeCell="N28" sqref="N28"/>
    </sheetView>
  </sheetViews>
  <sheetFormatPr baseColWidth="10" defaultRowHeight="13" x14ac:dyDescent="0.15"/>
  <cols>
    <col min="1" max="1" width="10.83203125" style="51"/>
    <col min="2" max="4" width="24.6640625" customWidth="1"/>
    <col min="5" max="5" width="27.33203125" customWidth="1"/>
    <col min="6" max="6" width="10.83203125" style="2"/>
    <col min="7" max="7" width="10.83203125" style="56"/>
    <col min="8" max="9" width="10.83203125" style="2"/>
    <col min="10" max="10" width="10.83203125" style="56"/>
    <col min="11" max="12" width="10.83203125" style="2"/>
    <col min="13" max="13" width="10.83203125" style="56"/>
    <col min="14" max="14" width="10.83203125" style="2"/>
    <col min="15" max="15" width="10.83203125" style="58"/>
    <col min="16" max="16" width="32" customWidth="1"/>
  </cols>
  <sheetData>
    <row r="1" spans="1:16" s="5" customFormat="1" ht="42" x14ac:dyDescent="0.15">
      <c r="A1" s="50" t="s">
        <v>359</v>
      </c>
      <c r="B1" s="5" t="s">
        <v>360</v>
      </c>
      <c r="C1" s="5" t="s">
        <v>370</v>
      </c>
      <c r="D1" s="5" t="s">
        <v>369</v>
      </c>
      <c r="E1" s="5" t="s">
        <v>361</v>
      </c>
      <c r="F1" s="7" t="s">
        <v>362</v>
      </c>
      <c r="G1" s="55" t="s">
        <v>419</v>
      </c>
      <c r="H1" s="7" t="s">
        <v>363</v>
      </c>
      <c r="I1" s="7" t="s">
        <v>364</v>
      </c>
      <c r="J1" s="55" t="s">
        <v>418</v>
      </c>
      <c r="K1" s="7" t="s">
        <v>365</v>
      </c>
      <c r="L1" s="7" t="s">
        <v>366</v>
      </c>
      <c r="M1" s="55" t="s">
        <v>420</v>
      </c>
      <c r="N1" s="7" t="s">
        <v>367</v>
      </c>
      <c r="O1" s="57" t="s">
        <v>422</v>
      </c>
      <c r="P1" s="5" t="s">
        <v>421</v>
      </c>
    </row>
    <row r="2" spans="1:16" x14ac:dyDescent="0.15">
      <c r="A2" s="51">
        <v>36736</v>
      </c>
      <c r="B2" t="s">
        <v>108</v>
      </c>
      <c r="C2" t="s">
        <v>384</v>
      </c>
      <c r="D2" t="s">
        <v>385</v>
      </c>
      <c r="E2" t="s">
        <v>388</v>
      </c>
      <c r="F2" s="2">
        <v>1.3865740740740739E-2</v>
      </c>
      <c r="G2" s="56">
        <f>F2/8</f>
        <v>1.7332175925925924E-3</v>
      </c>
      <c r="I2" s="2">
        <v>8.1469907407407408E-2</v>
      </c>
      <c r="J2" s="56">
        <f>30/I2</f>
        <v>368.23412416536439</v>
      </c>
      <c r="L2" s="2">
        <v>3.2997685185185185E-2</v>
      </c>
      <c r="M2" s="56">
        <f>L2/6.21</f>
        <v>5.3136369058269222E-3</v>
      </c>
      <c r="N2" s="2">
        <v>0.12833333333333333</v>
      </c>
      <c r="P2" t="s">
        <v>357</v>
      </c>
    </row>
    <row r="3" spans="1:16" s="53" customFormat="1" x14ac:dyDescent="0.15">
      <c r="A3" s="52">
        <v>36736</v>
      </c>
      <c r="B3" s="53" t="s">
        <v>391</v>
      </c>
      <c r="F3" s="54">
        <v>1.6747685185185185E-2</v>
      </c>
      <c r="G3" s="56"/>
      <c r="H3" s="54"/>
      <c r="I3" s="54">
        <v>7.2835648148148149E-2</v>
      </c>
      <c r="J3" s="56"/>
      <c r="K3" s="54"/>
      <c r="L3" s="54">
        <v>4.0393518518518516E-2</v>
      </c>
      <c r="M3" s="56"/>
      <c r="N3" s="54">
        <v>0.12997685185185184</v>
      </c>
      <c r="O3" s="58"/>
    </row>
    <row r="4" spans="1:16" x14ac:dyDescent="0.15">
      <c r="A4" s="51">
        <v>41469</v>
      </c>
      <c r="B4" t="s">
        <v>338</v>
      </c>
      <c r="C4" t="s">
        <v>399</v>
      </c>
      <c r="D4" t="s">
        <v>400</v>
      </c>
      <c r="E4" t="s">
        <v>404</v>
      </c>
      <c r="F4" s="2">
        <v>2.3645833333333335E-2</v>
      </c>
      <c r="G4" s="56">
        <f>F4/16.5</f>
        <v>1.4330808080808082E-3</v>
      </c>
      <c r="I4" s="2">
        <v>0.14954861111111112</v>
      </c>
      <c r="J4" s="56">
        <f>I4/56</f>
        <v>2.670510912698413E-3</v>
      </c>
      <c r="L4" s="2">
        <v>9.6493055555555554E-2</v>
      </c>
      <c r="M4" s="56">
        <f>L4/13.1</f>
        <v>7.3658821034775232E-3</v>
      </c>
      <c r="N4" s="2">
        <v>0.26968750000000002</v>
      </c>
    </row>
    <row r="5" spans="1:16" s="53" customFormat="1" x14ac:dyDescent="0.15">
      <c r="A5" s="52"/>
      <c r="B5" s="53" t="s">
        <v>405</v>
      </c>
      <c r="F5" s="54">
        <v>2.074074074074074E-2</v>
      </c>
      <c r="G5" s="56"/>
      <c r="H5" s="54"/>
      <c r="I5" s="54">
        <v>0.11988425925925926</v>
      </c>
      <c r="J5" s="56"/>
      <c r="K5" s="54"/>
      <c r="L5" s="54">
        <v>9.9618055555555543E-2</v>
      </c>
      <c r="M5" s="56"/>
      <c r="N5" s="54">
        <v>0.24024305555555556</v>
      </c>
      <c r="O5" s="58"/>
    </row>
    <row r="6" spans="1:16" s="53" customFormat="1" x14ac:dyDescent="0.15">
      <c r="A6" s="52"/>
      <c r="B6" s="53" t="s">
        <v>406</v>
      </c>
      <c r="F6" s="54">
        <v>2.1562499999999998E-2</v>
      </c>
      <c r="G6" s="56"/>
      <c r="H6" s="54"/>
      <c r="I6" s="54">
        <v>9.746527777777779E-2</v>
      </c>
      <c r="J6" s="56"/>
      <c r="K6" s="54"/>
      <c r="L6" s="54">
        <v>7.379629629629629E-2</v>
      </c>
      <c r="M6" s="56"/>
      <c r="N6" s="54">
        <v>0.19282407407407409</v>
      </c>
      <c r="O6" s="58"/>
    </row>
    <row r="7" spans="1:16" s="53" customFormat="1" x14ac:dyDescent="0.15">
      <c r="A7" s="52"/>
      <c r="B7" s="53" t="s">
        <v>407</v>
      </c>
      <c r="F7" s="54">
        <v>2.1828703703703701E-2</v>
      </c>
      <c r="G7" s="56"/>
      <c r="H7" s="54"/>
      <c r="I7" s="54">
        <v>0.10582175925925925</v>
      </c>
      <c r="J7" s="56"/>
      <c r="K7" s="54"/>
      <c r="L7" s="54">
        <v>8.9571759259259254E-2</v>
      </c>
      <c r="M7" s="56"/>
      <c r="N7" s="54">
        <v>0.21722222222222221</v>
      </c>
      <c r="O7" s="58"/>
    </row>
    <row r="8" spans="1:16" s="53" customFormat="1" x14ac:dyDescent="0.15">
      <c r="A8" s="52"/>
      <c r="B8" s="53" t="s">
        <v>408</v>
      </c>
      <c r="F8" s="54">
        <v>2.5173611111111108E-2</v>
      </c>
      <c r="G8" s="56"/>
      <c r="H8" s="54"/>
      <c r="I8" s="54">
        <v>0.11542824074074075</v>
      </c>
      <c r="J8" s="56"/>
      <c r="K8" s="54"/>
      <c r="L8" s="54">
        <v>9.9641203703703704E-2</v>
      </c>
      <c r="M8" s="56"/>
      <c r="N8" s="54">
        <v>0.24024305555555556</v>
      </c>
      <c r="O8" s="58"/>
    </row>
    <row r="9" spans="1:16" s="53" customFormat="1" x14ac:dyDescent="0.15">
      <c r="A9" s="52"/>
      <c r="B9" s="53" t="s">
        <v>409</v>
      </c>
      <c r="F9" s="54">
        <v>3.3472222222222223E-2</v>
      </c>
      <c r="G9" s="56"/>
      <c r="H9" s="54"/>
      <c r="I9" s="54">
        <v>0.12202546296296296</v>
      </c>
      <c r="J9" s="56"/>
      <c r="K9" s="54"/>
      <c r="L9" s="54">
        <v>8.8078703703703701E-2</v>
      </c>
      <c r="M9" s="56"/>
      <c r="N9" s="54">
        <v>0.24380787037037036</v>
      </c>
      <c r="O9" s="58"/>
    </row>
    <row r="10" spans="1:16" s="53" customFormat="1" x14ac:dyDescent="0.15">
      <c r="A10" s="52"/>
      <c r="B10" s="53" t="s">
        <v>410</v>
      </c>
      <c r="F10" s="54">
        <v>2.417824074074074E-2</v>
      </c>
      <c r="G10" s="56"/>
      <c r="H10" s="54"/>
      <c r="I10" s="54">
        <v>0.13731481481481481</v>
      </c>
      <c r="J10" s="56"/>
      <c r="K10" s="54"/>
      <c r="L10" s="54">
        <v>9.7604166666666672E-2</v>
      </c>
      <c r="M10" s="56"/>
      <c r="N10" s="54">
        <v>0.25909722222222226</v>
      </c>
      <c r="O10" s="58"/>
    </row>
    <row r="11" spans="1:16" s="53" customFormat="1" x14ac:dyDescent="0.15">
      <c r="A11" s="52"/>
      <c r="B11" s="53" t="s">
        <v>411</v>
      </c>
      <c r="F11" s="54">
        <v>2.7685185185185188E-2</v>
      </c>
      <c r="G11" s="56"/>
      <c r="H11" s="54"/>
      <c r="I11" s="54">
        <v>0.1300347222222222</v>
      </c>
      <c r="J11" s="56"/>
      <c r="K11" s="54"/>
      <c r="L11" s="54">
        <v>0.11319444444444444</v>
      </c>
      <c r="M11" s="56"/>
      <c r="N11" s="54">
        <v>0.27091435185185186</v>
      </c>
      <c r="O11" s="58"/>
    </row>
    <row r="12" spans="1:16" s="53" customFormat="1" x14ac:dyDescent="0.15">
      <c r="A12" s="52"/>
      <c r="B12" s="53" t="s">
        <v>379</v>
      </c>
      <c r="F12" s="54">
        <v>3.0162037037037032E-2</v>
      </c>
      <c r="G12" s="56"/>
      <c r="H12" s="54"/>
      <c r="I12" s="54">
        <v>0.13040509259259259</v>
      </c>
      <c r="J12" s="56"/>
      <c r="K12" s="54"/>
      <c r="L12" s="54">
        <v>0.11230324074074073</v>
      </c>
      <c r="M12" s="56"/>
      <c r="N12" s="54">
        <v>0.27287037037037037</v>
      </c>
      <c r="O12" s="58"/>
    </row>
    <row r="13" spans="1:16" s="53" customFormat="1" x14ac:dyDescent="0.15">
      <c r="A13" s="52"/>
      <c r="B13" s="53" t="s">
        <v>412</v>
      </c>
      <c r="F13" s="54">
        <v>2.9629629629629627E-2</v>
      </c>
      <c r="G13" s="56"/>
      <c r="H13" s="54"/>
      <c r="I13" s="54">
        <v>0.1434375</v>
      </c>
      <c r="J13" s="56"/>
      <c r="K13" s="54"/>
      <c r="L13" s="54">
        <v>0.10688657407407408</v>
      </c>
      <c r="M13" s="56"/>
      <c r="N13" s="54">
        <v>0.2799537037037037</v>
      </c>
      <c r="O13" s="58"/>
    </row>
    <row r="14" spans="1:16" s="66" customFormat="1" x14ac:dyDescent="0.15">
      <c r="A14" s="65">
        <v>41482</v>
      </c>
      <c r="B14" s="66" t="s">
        <v>336</v>
      </c>
      <c r="C14" s="66" t="s">
        <v>378</v>
      </c>
      <c r="D14" s="66" t="s">
        <v>389</v>
      </c>
      <c r="E14" s="66" t="s">
        <v>390</v>
      </c>
      <c r="F14" s="67"/>
      <c r="G14" s="68"/>
      <c r="H14" s="67"/>
      <c r="I14" s="67"/>
      <c r="J14" s="68"/>
      <c r="K14" s="67"/>
      <c r="L14" s="67"/>
      <c r="M14" s="68"/>
      <c r="N14" s="67">
        <v>4.5833333333333337E-2</v>
      </c>
      <c r="O14" s="69"/>
    </row>
    <row r="15" spans="1:16" s="61" customFormat="1" x14ac:dyDescent="0.15">
      <c r="A15" s="60">
        <v>41832</v>
      </c>
      <c r="B15" s="61" t="s">
        <v>377</v>
      </c>
      <c r="C15" s="61" t="s">
        <v>378</v>
      </c>
      <c r="D15" s="61" t="s">
        <v>372</v>
      </c>
      <c r="F15" s="62">
        <v>2.1631944444444443E-2</v>
      </c>
      <c r="G15" s="63">
        <f>F15/16.5</f>
        <v>1.3110269360269359E-3</v>
      </c>
      <c r="H15" s="62"/>
      <c r="I15" s="62">
        <v>5.7418981481481481E-2</v>
      </c>
      <c r="J15" s="63">
        <f>I15/24.85</f>
        <v>2.3106229972427155E-3</v>
      </c>
      <c r="K15" s="62"/>
      <c r="L15" s="62">
        <v>3.123842592592593E-2</v>
      </c>
      <c r="M15" s="63">
        <f>L15/6.21</f>
        <v>5.0303423391185069E-3</v>
      </c>
      <c r="N15" s="62">
        <v>0.11028935185185185</v>
      </c>
      <c r="O15" s="64"/>
    </row>
    <row r="16" spans="1:16" s="53" customFormat="1" x14ac:dyDescent="0.15">
      <c r="A16" s="52">
        <v>41832</v>
      </c>
      <c r="B16" s="53" t="s">
        <v>379</v>
      </c>
      <c r="F16" s="54">
        <v>2.3287037037037037E-2</v>
      </c>
      <c r="G16" s="56"/>
      <c r="H16" s="54"/>
      <c r="I16" s="54">
        <v>5.8680555555555548E-2</v>
      </c>
      <c r="J16" s="56"/>
      <c r="K16" s="54"/>
      <c r="L16" s="54">
        <v>3.923611111111111E-2</v>
      </c>
      <c r="M16" s="56"/>
      <c r="N16" s="54">
        <v>0.1212037037037037</v>
      </c>
      <c r="O16" s="58"/>
    </row>
    <row r="17" spans="1:16" s="53" customFormat="1" x14ac:dyDescent="0.15">
      <c r="A17" s="52">
        <v>41832</v>
      </c>
      <c r="B17" s="53" t="s">
        <v>380</v>
      </c>
      <c r="F17" s="54">
        <v>2.6504629629629628E-2</v>
      </c>
      <c r="G17" s="56"/>
      <c r="H17" s="54"/>
      <c r="I17" s="54">
        <v>6.3067129629629626E-2</v>
      </c>
      <c r="J17" s="56"/>
      <c r="K17" s="54"/>
      <c r="L17" s="54">
        <v>4.0706018518518523E-2</v>
      </c>
      <c r="M17" s="56"/>
      <c r="N17" s="54">
        <v>0.13027777777777777</v>
      </c>
      <c r="O17" s="58"/>
    </row>
    <row r="18" spans="1:16" s="53" customFormat="1" x14ac:dyDescent="0.15">
      <c r="A18" s="52">
        <v>41832</v>
      </c>
      <c r="B18" s="53" t="s">
        <v>381</v>
      </c>
      <c r="F18" s="54">
        <v>1.7881944444444443E-2</v>
      </c>
      <c r="G18" s="56"/>
      <c r="H18" s="54"/>
      <c r="I18" s="54">
        <v>4.9687499999999996E-2</v>
      </c>
      <c r="J18" s="56"/>
      <c r="K18" s="54"/>
      <c r="L18" s="54">
        <v>3.1203703703703702E-2</v>
      </c>
      <c r="M18" s="56"/>
      <c r="N18" s="54">
        <v>9.8773148148148152E-2</v>
      </c>
      <c r="O18" s="58"/>
    </row>
    <row r="19" spans="1:16" s="66" customFormat="1" x14ac:dyDescent="0.15">
      <c r="A19" s="65">
        <v>42476</v>
      </c>
      <c r="B19" s="66" t="s">
        <v>374</v>
      </c>
      <c r="C19" s="66" t="s">
        <v>375</v>
      </c>
      <c r="D19" s="66" t="s">
        <v>386</v>
      </c>
      <c r="E19" s="66" t="s">
        <v>376</v>
      </c>
      <c r="F19" s="67">
        <v>1.1574074074074075E-2</v>
      </c>
      <c r="G19" s="68">
        <f>F19/8</f>
        <v>1.4467592592592594E-3</v>
      </c>
      <c r="H19" s="67">
        <v>2.4768518518518516E-3</v>
      </c>
      <c r="I19" s="67">
        <v>2.2766203703703702E-2</v>
      </c>
      <c r="J19" s="68">
        <f>I19/10</f>
        <v>2.2766203703703703E-3</v>
      </c>
      <c r="K19" s="67">
        <v>6.9444444444444447E-4</v>
      </c>
      <c r="L19" s="67">
        <v>1.832175925925926E-2</v>
      </c>
      <c r="M19" s="68">
        <f>L19/3.1</f>
        <v>5.9102449223416963E-3</v>
      </c>
      <c r="N19" s="67">
        <v>5.5856481481481479E-2</v>
      </c>
      <c r="O19" s="69">
        <f t="shared" ref="O19:O24" si="0">F19+I19+L19</f>
        <v>5.2662037037037035E-2</v>
      </c>
    </row>
    <row r="20" spans="1:16" s="66" customFormat="1" x14ac:dyDescent="0.15">
      <c r="A20" s="65">
        <v>43035</v>
      </c>
      <c r="B20" s="66" t="s">
        <v>392</v>
      </c>
      <c r="C20" s="66" t="s">
        <v>393</v>
      </c>
      <c r="D20" s="66" t="s">
        <v>394</v>
      </c>
      <c r="E20" s="66" t="s">
        <v>395</v>
      </c>
      <c r="F20" s="67"/>
      <c r="G20" s="68"/>
      <c r="H20" s="67"/>
      <c r="I20" s="67"/>
      <c r="J20" s="68"/>
      <c r="K20" s="67"/>
      <c r="L20" s="67"/>
      <c r="M20" s="68"/>
      <c r="N20" s="67"/>
      <c r="O20" s="69"/>
    </row>
    <row r="21" spans="1:16" s="61" customFormat="1" x14ac:dyDescent="0.15">
      <c r="A21" s="60">
        <v>43260</v>
      </c>
      <c r="B21" s="61" t="s">
        <v>368</v>
      </c>
      <c r="C21" s="61" t="s">
        <v>371</v>
      </c>
      <c r="D21" s="61" t="s">
        <v>372</v>
      </c>
      <c r="E21" s="61" t="s">
        <v>387</v>
      </c>
      <c r="F21" s="62">
        <v>2.2175925925925929E-2</v>
      </c>
      <c r="G21" s="63">
        <f>F21/16.5</f>
        <v>1.3439955106621774E-3</v>
      </c>
      <c r="H21" s="62">
        <v>3.8888888888888883E-3</v>
      </c>
      <c r="I21" s="62">
        <v>6.7569444444444446E-2</v>
      </c>
      <c r="J21" s="63">
        <f>I21/24.85</f>
        <v>2.7190923317683881E-3</v>
      </c>
      <c r="K21" s="62">
        <v>4.7453703703703704E-4</v>
      </c>
      <c r="L21" s="62">
        <v>4.2152777777777782E-2</v>
      </c>
      <c r="M21" s="63">
        <f>L21/6.21</f>
        <v>6.7878869207371626E-3</v>
      </c>
      <c r="N21" s="62">
        <v>0.13622685185185185</v>
      </c>
      <c r="O21" s="64">
        <f t="shared" si="0"/>
        <v>0.13189814814814815</v>
      </c>
    </row>
    <row r="22" spans="1:16" s="53" customFormat="1" x14ac:dyDescent="0.15">
      <c r="A22" s="52">
        <v>43260</v>
      </c>
      <c r="B22" s="53" t="s">
        <v>373</v>
      </c>
      <c r="F22" s="54">
        <v>2.119212962962963E-2</v>
      </c>
      <c r="G22" s="56"/>
      <c r="H22" s="54">
        <v>2.2222222222222222E-3</v>
      </c>
      <c r="I22" s="54">
        <v>6.6562500000000011E-2</v>
      </c>
      <c r="J22" s="56"/>
      <c r="K22" s="54">
        <v>9.0277777777777784E-4</v>
      </c>
      <c r="L22" s="54">
        <v>4.5393518518518521E-2</v>
      </c>
      <c r="M22" s="56"/>
      <c r="N22" s="54">
        <v>0.13625000000000001</v>
      </c>
      <c r="O22" s="58">
        <f t="shared" si="0"/>
        <v>0.13314814814814815</v>
      </c>
    </row>
    <row r="23" spans="1:16" x14ac:dyDescent="0.15">
      <c r="A23" s="51">
        <v>43288</v>
      </c>
      <c r="B23" t="s">
        <v>413</v>
      </c>
      <c r="C23" t="s">
        <v>375</v>
      </c>
      <c r="D23" t="s">
        <v>414</v>
      </c>
      <c r="E23" t="s">
        <v>415</v>
      </c>
      <c r="F23" s="2">
        <v>1.0833333333333334E-2</v>
      </c>
      <c r="G23" s="56">
        <f>F23/8</f>
        <v>1.3541666666666667E-3</v>
      </c>
      <c r="H23" s="2">
        <v>3.0671296296296297E-3</v>
      </c>
      <c r="I23" s="2">
        <v>4.0312499999999994E-2</v>
      </c>
      <c r="J23" s="56">
        <f>I23/20</f>
        <v>2.0156249999999996E-3</v>
      </c>
      <c r="K23" s="2">
        <v>1.6782407407407406E-3</v>
      </c>
      <c r="L23" s="2">
        <v>3.3553240740740745E-2</v>
      </c>
      <c r="M23" s="56">
        <f>L23/6.21</f>
        <v>5.4030983479453698E-3</v>
      </c>
      <c r="N23" s="2">
        <f>F23+H23+I23+K23+L23</f>
        <v>8.9444444444444438E-2</v>
      </c>
      <c r="O23" s="58">
        <f t="shared" si="0"/>
        <v>8.4699074074074066E-2</v>
      </c>
      <c r="P23" t="s">
        <v>416</v>
      </c>
    </row>
    <row r="24" spans="1:16" x14ac:dyDescent="0.15">
      <c r="A24" s="51">
        <v>43330</v>
      </c>
      <c r="B24" t="s">
        <v>423</v>
      </c>
      <c r="C24" t="s">
        <v>375</v>
      </c>
      <c r="D24" t="s">
        <v>414</v>
      </c>
      <c r="E24" t="s">
        <v>415</v>
      </c>
      <c r="F24" s="2">
        <v>1.136574074074074E-2</v>
      </c>
      <c r="G24" s="56">
        <f>F24/8</f>
        <v>1.4207175925925926E-3</v>
      </c>
      <c r="H24" s="59">
        <v>3.1249999999999997E-3</v>
      </c>
      <c r="I24" s="2">
        <v>3.7222222222222219E-2</v>
      </c>
      <c r="J24" s="56">
        <f>I24/20</f>
        <v>1.8611111111111109E-3</v>
      </c>
      <c r="K24" s="2">
        <v>1.4351851851851854E-3</v>
      </c>
      <c r="L24" s="2">
        <v>3.363425925925926E-2</v>
      </c>
      <c r="M24" s="56">
        <f>L24/6.21</f>
        <v>5.4161448082543093E-3</v>
      </c>
      <c r="N24" s="2">
        <f>F24+H24+I24+K24+L24</f>
        <v>8.6782407407407405E-2</v>
      </c>
      <c r="O24" s="58">
        <f t="shared" si="0"/>
        <v>8.2222222222222224E-2</v>
      </c>
      <c r="P24" t="s">
        <v>417</v>
      </c>
    </row>
    <row r="25" spans="1:16" x14ac:dyDescent="0.15">
      <c r="A25" s="51">
        <v>43358</v>
      </c>
      <c r="B25" t="s">
        <v>424</v>
      </c>
      <c r="C25" t="s">
        <v>375</v>
      </c>
      <c r="D25" t="s">
        <v>414</v>
      </c>
      <c r="E25" t="s">
        <v>415</v>
      </c>
      <c r="F25" s="2" t="s">
        <v>425</v>
      </c>
      <c r="I25" s="2">
        <v>3.8032407407407411E-2</v>
      </c>
      <c r="J25" s="56">
        <f>I25/20</f>
        <v>1.9016203703703706E-3</v>
      </c>
      <c r="K25" s="2">
        <v>1.0185185185185186E-3</v>
      </c>
      <c r="L25" s="2">
        <v>3.3541666666666664E-2</v>
      </c>
      <c r="M25" s="56">
        <f>L25/6.21</f>
        <v>5.4012345679012343E-3</v>
      </c>
    </row>
    <row r="26" spans="1:16" x14ac:dyDescent="0.15">
      <c r="A26" s="51">
        <v>43659</v>
      </c>
      <c r="B26" t="s">
        <v>413</v>
      </c>
      <c r="C26" t="s">
        <v>375</v>
      </c>
      <c r="D26" t="s">
        <v>394</v>
      </c>
      <c r="E26" t="s">
        <v>426</v>
      </c>
      <c r="F26" s="2">
        <v>6.9675925925925921E-3</v>
      </c>
      <c r="G26" s="56">
        <f>F26/4</f>
        <v>1.741898148148148E-3</v>
      </c>
      <c r="H26" s="59">
        <v>2.5578703703703705E-3</v>
      </c>
      <c r="I26" s="2">
        <v>1.9039351851851852E-2</v>
      </c>
      <c r="J26" s="56">
        <f>I26/10</f>
        <v>1.9039351851851852E-3</v>
      </c>
      <c r="K26" s="2">
        <v>6.2500000000000001E-4</v>
      </c>
      <c r="L26" s="2">
        <v>1.503472222222222E-2</v>
      </c>
      <c r="M26" s="56">
        <f>L26/3.105</f>
        <v>4.8421005546609407E-3</v>
      </c>
      <c r="N26" s="2">
        <f>F26+H26+I26+K26+L26</f>
        <v>4.4224537037037034E-2</v>
      </c>
      <c r="P26" t="s">
        <v>427</v>
      </c>
    </row>
    <row r="27" spans="1:16" x14ac:dyDescent="0.15">
      <c r="A27" s="51">
        <v>43680</v>
      </c>
      <c r="B27" t="s">
        <v>423</v>
      </c>
      <c r="C27" t="s">
        <v>375</v>
      </c>
      <c r="D27" t="s">
        <v>394</v>
      </c>
      <c r="E27" t="s">
        <v>426</v>
      </c>
      <c r="F27" s="2">
        <v>5.3125000000000004E-3</v>
      </c>
      <c r="G27" s="56">
        <f>F27/4</f>
        <v>1.3281250000000001E-3</v>
      </c>
      <c r="H27" s="2">
        <v>1.7824074074074072E-3</v>
      </c>
      <c r="I27" s="2">
        <v>1.9641203703703706E-2</v>
      </c>
      <c r="J27" s="56">
        <f>I27/10</f>
        <v>1.9641203703703704E-3</v>
      </c>
      <c r="K27" s="2">
        <v>5.3240740740740744E-4</v>
      </c>
      <c r="L27" s="2">
        <v>1.6689814814814817E-2</v>
      </c>
      <c r="M27" s="56">
        <f>L27/3.105</f>
        <v>5.3751416472833553E-3</v>
      </c>
      <c r="N27" s="2">
        <f>F27+H27+I27+K27+L27</f>
        <v>4.3958333333333335E-2</v>
      </c>
      <c r="P27" t="s">
        <v>427</v>
      </c>
    </row>
    <row r="28" spans="1:16" x14ac:dyDescent="0.15">
      <c r="A28" s="51">
        <v>43722</v>
      </c>
      <c r="B28" t="s">
        <v>424</v>
      </c>
      <c r="C28" t="s">
        <v>375</v>
      </c>
      <c r="D28" t="s">
        <v>394</v>
      </c>
      <c r="E28" t="s">
        <v>426</v>
      </c>
      <c r="F28" s="2">
        <v>4.9652777777777777E-3</v>
      </c>
      <c r="H28" s="2">
        <v>2.6041666666666665E-3</v>
      </c>
      <c r="I28" s="2">
        <v>1.8587962962962962E-2</v>
      </c>
      <c r="K28" s="2">
        <v>6.8287037037037025E-4</v>
      </c>
      <c r="L28" s="2">
        <v>1.5949074074074074E-2</v>
      </c>
      <c r="N28" s="2">
        <f>F28+H28+I28+K28+L28</f>
        <v>4.2789351851851856E-2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RUNSOLD</vt:lpstr>
      <vt:lpstr>minspermile</vt:lpstr>
      <vt:lpstr>PBS</vt:lpstr>
      <vt:lpstr>Flint Hills Series</vt:lpstr>
      <vt:lpstr>age correction</vt:lpstr>
      <vt:lpstr>RUN MASTER</vt:lpstr>
      <vt:lpstr>RIDES</vt:lpstr>
      <vt:lpstr>SWIMS</vt:lpstr>
      <vt:lpstr>TRIATHLONS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thompsong</cp:lastModifiedBy>
  <dcterms:created xsi:type="dcterms:W3CDTF">2021-11-05T16:33:00Z</dcterms:created>
  <dcterms:modified xsi:type="dcterms:W3CDTF">2021-11-08T20:24:25Z</dcterms:modified>
  <cp:category/>
</cp:coreProperties>
</file>