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tmen\Desktop\"/>
    </mc:Choice>
  </mc:AlternateContent>
  <xr:revisionPtr revIDLastSave="0" documentId="13_ncr:1_{3D67343C-3DC8-4907-A4A9-F5778D428CEA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Hydraulics_Output" sheetId="10" r:id="rId1"/>
    <sheet name="Sediment_Threshold_Output" sheetId="11" r:id="rId2"/>
    <sheet name="Data" sheetId="2" r:id="rId3"/>
    <sheet name="XS_Analyzer" sheetId="3" r:id="rId4"/>
    <sheet name="Permissible_Velocities" sheetId="4" r:id="rId5"/>
    <sheet name="Permissible_Shear" sheetId="5" r:id="rId6"/>
    <sheet name="Meander_Bends_(Max Shear)" sheetId="6" r:id="rId7"/>
    <sheet name="XS_AnalyzerSummary" sheetId="7" r:id="rId8"/>
    <sheet name="XS_Analyzer_Calculations" sheetId="8" r:id="rId9"/>
    <sheet name="XS_Analyzer_Graph" sheetId="9" r:id="rId10"/>
  </sheets>
  <definedNames>
    <definedName name="hydraulics_data">XS_Analyzer_Graph!$AB$4:$AG$206</definedName>
    <definedName name="limit_data">XS_Analyzer_Graph!$T$4:$W$6</definedName>
    <definedName name="n_label_data">XS_Analyzer_Graph!$E$3:$G$104</definedName>
    <definedName name="n_line_data">XS_Analyzer_Graph!$H$3:$I$104</definedName>
    <definedName name="_xlnm.Print_Area" localSheetId="0">Hydraulics_Output!$A$1:$F$21</definedName>
    <definedName name="_xlnm.Print_Area" localSheetId="1">Sediment_Threshold_Output!$A$1:$F$36</definedName>
    <definedName name="solver_adj" localSheetId="3" hidden="1">XS_Analyzer!$O$5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XS_Analyzer!$O$5</definedName>
    <definedName name="solver_lhs10" localSheetId="3" hidden="1">XS_Analyzer!$O$5</definedName>
    <definedName name="solver_lhs11" localSheetId="3" hidden="1">XS_Analyzer!$O$5</definedName>
    <definedName name="solver_lhs12" localSheetId="3" hidden="1">XS_Analyzer!$O$5</definedName>
    <definedName name="solver_lhs2" localSheetId="3" hidden="1">XS_Analyzer!$O$5</definedName>
    <definedName name="solver_lhs3" localSheetId="3" hidden="1">XS_Analyzer!$O$5</definedName>
    <definedName name="solver_lhs4" localSheetId="3" hidden="1">XS_Analyzer!$O$5</definedName>
    <definedName name="solver_lhs5" localSheetId="3" hidden="1">XS_Analyzer!$O$5</definedName>
    <definedName name="solver_lhs6" localSheetId="3" hidden="1">XS_Analyzer!$O$5</definedName>
    <definedName name="solver_lhs7" localSheetId="3" hidden="1">XS_Analyzer!$O$5</definedName>
    <definedName name="solver_lhs8" localSheetId="3" hidden="1">XS_Analyzer!$O$5</definedName>
    <definedName name="solver_lhs9" localSheetId="3" hidden="1">XS_Analyzer!$O$5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XS_Analyzer!$H$28</definedName>
    <definedName name="solver_pre" localSheetId="3" hidden="1">0.000001</definedName>
    <definedName name="solver_rbv" localSheetId="3" hidden="1">2</definedName>
    <definedName name="solver_rel1" localSheetId="3" hidden="1">1</definedName>
    <definedName name="solver_rel10" localSheetId="3" hidden="1">1</definedName>
    <definedName name="solver_rel11" localSheetId="3" hidden="1">1</definedName>
    <definedName name="solver_rel12" localSheetId="3" hidden="1">1</definedName>
    <definedName name="solver_rel2" localSheetId="3" hidden="1">1</definedName>
    <definedName name="solver_rel3" localSheetId="3" hidden="1">1</definedName>
    <definedName name="solver_rel4" localSheetId="3" hidden="1">1</definedName>
    <definedName name="solver_rel5" localSheetId="3" hidden="1">1</definedName>
    <definedName name="solver_rel6" localSheetId="3" hidden="1">1</definedName>
    <definedName name="solver_rel7" localSheetId="3" hidden="1">1</definedName>
    <definedName name="solver_rel8" localSheetId="3" hidden="1">1</definedName>
    <definedName name="solver_rel9" localSheetId="3" hidden="1">1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210</definedName>
    <definedName name="solver_ver" localSheetId="3" hidden="1">3</definedName>
    <definedName name="stage_label_data">XS_Analyzer_Graph!$J$3:$L$104</definedName>
    <definedName name="stage_line_data">XS_Analyzer_Graph!$M$3:$N$104</definedName>
    <definedName name="stage_points_data">XS_Analyzer_Graph!$P$3:$R$12</definedName>
    <definedName name="wse_data">XS_Analyzer_Graph!$X$4:$Z$104</definedName>
    <definedName name="xs_data">XS_Analyzer_Graph!$B$4:$D$104</definedName>
  </definedNames>
  <calcPr calcId="191029"/>
</workbook>
</file>

<file path=xl/calcChain.xml><?xml version="1.0" encoding="utf-8"?>
<calcChain xmlns="http://schemas.openxmlformats.org/spreadsheetml/2006/main">
  <c r="B5" i="2" l="1"/>
  <c r="A5" i="2"/>
  <c r="D6" i="9"/>
  <c r="D7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5" i="9"/>
  <c r="D3" i="2"/>
  <c r="D4" i="2"/>
  <c r="D5" i="2"/>
  <c r="D8" i="9" s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2" i="2"/>
  <c r="C4" i="2" l="1"/>
  <c r="P77" i="3" l="1"/>
  <c r="P78" i="3"/>
  <c r="P81" i="3"/>
  <c r="Q73" i="3" l="1"/>
  <c r="A36" i="11" l="1"/>
  <c r="A35" i="11"/>
  <c r="A34" i="11"/>
  <c r="A33" i="11"/>
  <c r="A32" i="11"/>
  <c r="A31" i="11"/>
  <c r="A26" i="11"/>
  <c r="A25" i="11"/>
  <c r="A24" i="11"/>
  <c r="A19" i="11"/>
  <c r="A18" i="11"/>
  <c r="A17" i="11"/>
  <c r="A12" i="11"/>
  <c r="A11" i="11"/>
  <c r="A10" i="11"/>
  <c r="A9" i="11"/>
  <c r="A8" i="11"/>
  <c r="A7" i="11"/>
  <c r="F2" i="11"/>
  <c r="E2" i="11"/>
  <c r="D2" i="11"/>
  <c r="C2" i="11"/>
  <c r="B2" i="11"/>
  <c r="A15" i="10" l="1"/>
  <c r="A16" i="10"/>
  <c r="A17" i="10"/>
  <c r="A19" i="10"/>
  <c r="A20" i="10"/>
  <c r="A21" i="10"/>
  <c r="A4" i="10"/>
  <c r="A5" i="10"/>
  <c r="A6" i="10"/>
  <c r="A8" i="10"/>
  <c r="A9" i="10"/>
  <c r="A10" i="10"/>
  <c r="A11" i="10"/>
  <c r="A12" i="10"/>
  <c r="A13" i="10"/>
  <c r="C2" i="10"/>
  <c r="D2" i="10"/>
  <c r="E2" i="10"/>
  <c r="F2" i="10"/>
  <c r="B2" i="10"/>
  <c r="A3" i="10"/>
  <c r="C3" i="2" l="1"/>
  <c r="E6" i="3" s="1"/>
  <c r="D6" i="8" s="1"/>
  <c r="C6" i="3"/>
  <c r="C6" i="8" s="1"/>
  <c r="C6" i="9" s="1"/>
  <c r="B6" i="3"/>
  <c r="C5" i="3"/>
  <c r="C5" i="8" s="1"/>
  <c r="R10" i="9"/>
  <c r="R9" i="9"/>
  <c r="AK105" i="8"/>
  <c r="AL105" i="8" s="1"/>
  <c r="AG105" i="8"/>
  <c r="AQ48" i="8" s="1"/>
  <c r="AB105" i="8"/>
  <c r="AA105" i="8"/>
  <c r="U105" i="8"/>
  <c r="S104" i="8"/>
  <c r="BL4" i="8"/>
  <c r="AG204" i="7"/>
  <c r="AG203" i="7"/>
  <c r="AG202" i="7"/>
  <c r="AG201" i="7"/>
  <c r="AG200" i="7"/>
  <c r="AG199" i="7"/>
  <c r="AG198" i="7"/>
  <c r="AG197" i="7"/>
  <c r="AG196" i="7"/>
  <c r="AG195" i="7"/>
  <c r="AG194" i="7"/>
  <c r="AG193" i="7"/>
  <c r="AG192" i="7"/>
  <c r="AG191" i="7"/>
  <c r="AG190" i="7"/>
  <c r="AG189" i="7"/>
  <c r="AG188" i="7"/>
  <c r="AG187" i="7"/>
  <c r="AG186" i="7"/>
  <c r="AG185" i="7"/>
  <c r="AG184" i="7"/>
  <c r="AG183" i="7"/>
  <c r="AG182" i="7"/>
  <c r="AG181" i="7"/>
  <c r="AG180" i="7"/>
  <c r="AG179" i="7"/>
  <c r="AG178" i="7"/>
  <c r="AG177" i="7"/>
  <c r="AG176" i="7"/>
  <c r="AG175" i="7"/>
  <c r="AG174" i="7"/>
  <c r="AG173" i="7"/>
  <c r="AG172" i="7"/>
  <c r="AG171" i="7"/>
  <c r="AG170" i="7"/>
  <c r="AG169" i="7"/>
  <c r="AG168" i="7"/>
  <c r="AG167" i="7"/>
  <c r="AG166" i="7"/>
  <c r="AG165" i="7"/>
  <c r="AG164" i="7"/>
  <c r="AG163" i="7"/>
  <c r="AG162" i="7"/>
  <c r="AG161" i="7"/>
  <c r="AG160" i="7"/>
  <c r="AG159" i="7"/>
  <c r="AG158" i="7"/>
  <c r="AG157" i="7"/>
  <c r="AG156" i="7"/>
  <c r="AG155" i="7"/>
  <c r="AG154" i="7"/>
  <c r="AG153" i="7"/>
  <c r="AG152" i="7"/>
  <c r="AG151" i="7"/>
  <c r="AG150" i="7"/>
  <c r="AG149" i="7"/>
  <c r="AG148" i="7"/>
  <c r="AG147" i="7"/>
  <c r="AG146" i="7"/>
  <c r="AG145" i="7"/>
  <c r="AG144" i="7"/>
  <c r="AG143" i="7"/>
  <c r="AG142" i="7"/>
  <c r="AG141" i="7"/>
  <c r="AG140" i="7"/>
  <c r="AG139" i="7"/>
  <c r="AG138" i="7"/>
  <c r="AG137" i="7"/>
  <c r="AG136" i="7"/>
  <c r="AG135" i="7"/>
  <c r="AG134" i="7"/>
  <c r="AG133" i="7"/>
  <c r="AG132" i="7"/>
  <c r="AG131" i="7"/>
  <c r="AG130" i="7"/>
  <c r="AG129" i="7"/>
  <c r="AG128" i="7"/>
  <c r="AG127" i="7"/>
  <c r="AG126" i="7"/>
  <c r="AG125" i="7"/>
  <c r="AG124" i="7"/>
  <c r="AG123" i="7"/>
  <c r="AG122" i="7"/>
  <c r="AG121" i="7"/>
  <c r="AG120" i="7"/>
  <c r="AG119" i="7"/>
  <c r="AG118" i="7"/>
  <c r="AG117" i="7"/>
  <c r="AG116" i="7"/>
  <c r="AG115" i="7"/>
  <c r="AG114" i="7"/>
  <c r="AG113" i="7"/>
  <c r="AG112" i="7"/>
  <c r="AG111" i="7"/>
  <c r="AG110" i="7"/>
  <c r="AG109" i="7"/>
  <c r="AG108" i="7"/>
  <c r="AG107" i="7"/>
  <c r="AG106" i="7"/>
  <c r="AG105" i="7"/>
  <c r="AG104" i="7"/>
  <c r="AG103" i="7"/>
  <c r="AG102" i="7"/>
  <c r="AG101" i="7"/>
  <c r="AG100" i="7"/>
  <c r="AG99" i="7"/>
  <c r="AG98" i="7"/>
  <c r="AG97" i="7"/>
  <c r="AG96" i="7"/>
  <c r="AG95" i="7"/>
  <c r="AG94" i="7"/>
  <c r="AG93" i="7"/>
  <c r="AG92" i="7"/>
  <c r="AG91" i="7"/>
  <c r="AG90" i="7"/>
  <c r="AG89" i="7"/>
  <c r="AG88" i="7"/>
  <c r="AG87" i="7"/>
  <c r="AG86" i="7"/>
  <c r="AG85" i="7"/>
  <c r="AG84" i="7"/>
  <c r="AG83" i="7"/>
  <c r="AG82" i="7"/>
  <c r="AG81" i="7"/>
  <c r="AG80" i="7"/>
  <c r="AG79" i="7"/>
  <c r="AG78" i="7"/>
  <c r="AG77" i="7"/>
  <c r="AG76" i="7"/>
  <c r="AG75" i="7"/>
  <c r="AG74" i="7"/>
  <c r="AG73" i="7"/>
  <c r="AG72" i="7"/>
  <c r="AG71" i="7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B32" i="7"/>
  <c r="AG31" i="7"/>
  <c r="B31" i="7"/>
  <c r="AG30" i="7"/>
  <c r="B30" i="7"/>
  <c r="AG29" i="7"/>
  <c r="B29" i="7"/>
  <c r="AG28" i="7"/>
  <c r="B28" i="7"/>
  <c r="AG27" i="7"/>
  <c r="AG26" i="7"/>
  <c r="AG25" i="7"/>
  <c r="B25" i="7"/>
  <c r="AG24" i="7"/>
  <c r="B24" i="7"/>
  <c r="AG23" i="7"/>
  <c r="B23" i="7"/>
  <c r="AG22" i="7"/>
  <c r="B22" i="7"/>
  <c r="AG21" i="7"/>
  <c r="B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M51" i="6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B202" i="5"/>
  <c r="B201" i="5"/>
  <c r="M199" i="5"/>
  <c r="L199" i="5"/>
  <c r="K199" i="5"/>
  <c r="J199" i="5"/>
  <c r="I199" i="5"/>
  <c r="H199" i="5"/>
  <c r="G199" i="5"/>
  <c r="F199" i="5"/>
  <c r="E199" i="5"/>
  <c r="D199" i="5"/>
  <c r="C199" i="5"/>
  <c r="V188" i="5"/>
  <c r="R188" i="5"/>
  <c r="V187" i="5"/>
  <c r="R187" i="5"/>
  <c r="V186" i="5"/>
  <c r="R186" i="5"/>
  <c r="V185" i="5"/>
  <c r="R185" i="5"/>
  <c r="V184" i="5"/>
  <c r="R184" i="5"/>
  <c r="V183" i="5"/>
  <c r="R183" i="5"/>
  <c r="V182" i="5"/>
  <c r="R182" i="5"/>
  <c r="V181" i="5"/>
  <c r="R181" i="5"/>
  <c r="V180" i="5"/>
  <c r="R180" i="5"/>
  <c r="V179" i="5"/>
  <c r="R179" i="5"/>
  <c r="V178" i="5"/>
  <c r="R178" i="5"/>
  <c r="B175" i="5"/>
  <c r="M173" i="5"/>
  <c r="L173" i="5"/>
  <c r="K173" i="5"/>
  <c r="J173" i="5"/>
  <c r="I173" i="5"/>
  <c r="H173" i="5"/>
  <c r="G173" i="5"/>
  <c r="F173" i="5"/>
  <c r="E173" i="5"/>
  <c r="D173" i="5"/>
  <c r="C173" i="5"/>
  <c r="B149" i="5"/>
  <c r="B150" i="5" s="1"/>
  <c r="M147" i="5"/>
  <c r="L147" i="5"/>
  <c r="K147" i="5"/>
  <c r="J147" i="5"/>
  <c r="I147" i="5"/>
  <c r="H147" i="5"/>
  <c r="G147" i="5"/>
  <c r="F147" i="5"/>
  <c r="E147" i="5"/>
  <c r="D147" i="5"/>
  <c r="C147" i="5"/>
  <c r="B124" i="5"/>
  <c r="B123" i="5"/>
  <c r="M121" i="5"/>
  <c r="L121" i="5"/>
  <c r="K121" i="5"/>
  <c r="J121" i="5"/>
  <c r="I121" i="5"/>
  <c r="H121" i="5"/>
  <c r="G121" i="5"/>
  <c r="F121" i="5"/>
  <c r="E121" i="5"/>
  <c r="D121" i="5"/>
  <c r="C121" i="5"/>
  <c r="P109" i="5"/>
  <c r="P112" i="5" s="1"/>
  <c r="BL107" i="5"/>
  <c r="BL112" i="5" s="1"/>
  <c r="BL104" i="5"/>
  <c r="BL105" i="5" s="1"/>
  <c r="BL108" i="5" s="1"/>
  <c r="BO102" i="5"/>
  <c r="BN102" i="5"/>
  <c r="T102" i="5"/>
  <c r="BN101" i="5"/>
  <c r="BO101" i="5" s="1"/>
  <c r="BO100" i="5"/>
  <c r="BO104" i="5" s="1"/>
  <c r="BO107" i="5" s="1"/>
  <c r="BO110" i="5" s="1"/>
  <c r="S100" i="5"/>
  <c r="BO98" i="5"/>
  <c r="R98" i="5"/>
  <c r="BO97" i="5"/>
  <c r="B97" i="5"/>
  <c r="B98" i="5" s="1"/>
  <c r="BO96" i="5"/>
  <c r="Q96" i="5"/>
  <c r="M95" i="5"/>
  <c r="L95" i="5"/>
  <c r="K95" i="5"/>
  <c r="J95" i="5"/>
  <c r="I95" i="5"/>
  <c r="H95" i="5"/>
  <c r="G95" i="5"/>
  <c r="F95" i="5"/>
  <c r="E95" i="5"/>
  <c r="D95" i="5"/>
  <c r="C95" i="5"/>
  <c r="O83" i="5"/>
  <c r="O84" i="5" s="1"/>
  <c r="O49" i="5"/>
  <c r="O81" i="5" s="1"/>
  <c r="B48" i="5"/>
  <c r="O47" i="5"/>
  <c r="O54" i="5" s="1"/>
  <c r="O55" i="5" s="1"/>
  <c r="O46" i="5"/>
  <c r="M46" i="5"/>
  <c r="L46" i="5"/>
  <c r="K46" i="5"/>
  <c r="J46" i="5"/>
  <c r="I46" i="5"/>
  <c r="H46" i="5"/>
  <c r="G46" i="5"/>
  <c r="F46" i="5"/>
  <c r="E46" i="5"/>
  <c r="D46" i="5"/>
  <c r="C46" i="5"/>
  <c r="O45" i="5"/>
  <c r="C18" i="5"/>
  <c r="C45" i="5" s="1"/>
  <c r="C9" i="5"/>
  <c r="C47" i="5" s="1"/>
  <c r="K4" i="5"/>
  <c r="L4" i="5" s="1"/>
  <c r="N35" i="4"/>
  <c r="K35" i="4"/>
  <c r="J35" i="4"/>
  <c r="N34" i="4"/>
  <c r="K34" i="4"/>
  <c r="J34" i="4" s="1"/>
  <c r="N33" i="4"/>
  <c r="K33" i="4"/>
  <c r="J33" i="4" s="1"/>
  <c r="N32" i="4"/>
  <c r="K32" i="4"/>
  <c r="J32" i="4"/>
  <c r="N31" i="4"/>
  <c r="K31" i="4"/>
  <c r="J31" i="4" s="1"/>
  <c r="N30" i="4"/>
  <c r="K30" i="4"/>
  <c r="J30" i="4" s="1"/>
  <c r="N29" i="4"/>
  <c r="K29" i="4"/>
  <c r="J29" i="4" s="1"/>
  <c r="N28" i="4"/>
  <c r="K28" i="4"/>
  <c r="J28" i="4"/>
  <c r="N27" i="4"/>
  <c r="K27" i="4"/>
  <c r="J27" i="4" s="1"/>
  <c r="N26" i="4"/>
  <c r="K26" i="4"/>
  <c r="J26" i="4" s="1"/>
  <c r="N25" i="4"/>
  <c r="K25" i="4"/>
  <c r="J25" i="4" s="1"/>
  <c r="N24" i="4"/>
  <c r="K24" i="4"/>
  <c r="J24" i="4"/>
  <c r="N23" i="4"/>
  <c r="K23" i="4"/>
  <c r="J23" i="4" s="1"/>
  <c r="N22" i="4"/>
  <c r="K22" i="4"/>
  <c r="J22" i="4" s="1"/>
  <c r="N21" i="4"/>
  <c r="K21" i="4"/>
  <c r="J21" i="4"/>
  <c r="N20" i="4"/>
  <c r="K20" i="4"/>
  <c r="J20" i="4" s="1"/>
  <c r="N19" i="4"/>
  <c r="K19" i="4"/>
  <c r="J19" i="4" s="1"/>
  <c r="N18" i="4"/>
  <c r="J18" i="4"/>
  <c r="C104" i="3"/>
  <c r="C104" i="8" s="1"/>
  <c r="C104" i="9" s="1"/>
  <c r="E103" i="3"/>
  <c r="D103" i="8" s="1"/>
  <c r="E99" i="3"/>
  <c r="D99" i="8" s="1"/>
  <c r="C96" i="3"/>
  <c r="C96" i="8" s="1"/>
  <c r="C96" i="9" s="1"/>
  <c r="C94" i="3"/>
  <c r="C94" i="8" s="1"/>
  <c r="C94" i="9" s="1"/>
  <c r="B91" i="3"/>
  <c r="E87" i="3"/>
  <c r="D87" i="8" s="1"/>
  <c r="E85" i="3"/>
  <c r="D85" i="8" s="1"/>
  <c r="P82" i="3"/>
  <c r="P79" i="3"/>
  <c r="E79" i="3"/>
  <c r="D79" i="8" s="1"/>
  <c r="E77" i="3"/>
  <c r="D77" i="8" s="1"/>
  <c r="E75" i="3"/>
  <c r="D75" i="8" s="1"/>
  <c r="E73" i="3"/>
  <c r="D73" i="8" s="1"/>
  <c r="E71" i="3"/>
  <c r="D71" i="8" s="1"/>
  <c r="E69" i="3"/>
  <c r="D69" i="8" s="1"/>
  <c r="B67" i="3"/>
  <c r="B67" i="8" s="1"/>
  <c r="B61" i="3"/>
  <c r="B61" i="8" s="1"/>
  <c r="C60" i="3"/>
  <c r="C60" i="8" s="1"/>
  <c r="C60" i="9" s="1"/>
  <c r="C58" i="3"/>
  <c r="C58" i="8" s="1"/>
  <c r="C58" i="9" s="1"/>
  <c r="C56" i="3"/>
  <c r="C56" i="8" s="1"/>
  <c r="C56" i="9" s="1"/>
  <c r="E55" i="3"/>
  <c r="D55" i="8" s="1"/>
  <c r="E53" i="3"/>
  <c r="D53" i="8" s="1"/>
  <c r="B51" i="3"/>
  <c r="B51" i="8" s="1"/>
  <c r="E47" i="3"/>
  <c r="D47" i="8" s="1"/>
  <c r="C46" i="3"/>
  <c r="C46" i="8" s="1"/>
  <c r="C46" i="9" s="1"/>
  <c r="B35" i="3"/>
  <c r="B35" i="8" s="1"/>
  <c r="E31" i="3"/>
  <c r="D31" i="8" s="1"/>
  <c r="B27" i="3"/>
  <c r="B25" i="3"/>
  <c r="B21" i="3"/>
  <c r="B21" i="8" s="1"/>
  <c r="B13" i="3"/>
  <c r="B13" i="8" s="1"/>
  <c r="AD11" i="3"/>
  <c r="R12" i="9" s="1"/>
  <c r="AB11" i="3"/>
  <c r="P12" i="9" s="1"/>
  <c r="AD10" i="3"/>
  <c r="R11" i="9" s="1"/>
  <c r="AB10" i="3"/>
  <c r="AB9" i="3"/>
  <c r="AB8" i="3"/>
  <c r="P9" i="9" s="1"/>
  <c r="C8" i="3"/>
  <c r="C8" i="8" s="1"/>
  <c r="C8" i="9" s="1"/>
  <c r="B8" i="3"/>
  <c r="B8" i="8" s="1"/>
  <c r="B8" i="9" s="1"/>
  <c r="AD7" i="3"/>
  <c r="R8" i="9" s="1"/>
  <c r="AB7" i="3"/>
  <c r="C7" i="3"/>
  <c r="C7" i="8" s="1"/>
  <c r="C7" i="9" s="1"/>
  <c r="AD6" i="3"/>
  <c r="R7" i="9" s="1"/>
  <c r="AB6" i="3"/>
  <c r="A6" i="7" s="1"/>
  <c r="AD5" i="3"/>
  <c r="R6" i="9" s="1"/>
  <c r="AB5" i="3"/>
  <c r="S5" i="3"/>
  <c r="Q5" i="3"/>
  <c r="O5" i="3"/>
  <c r="K4" i="8" s="1"/>
  <c r="N11" i="7" s="1"/>
  <c r="N5" i="3"/>
  <c r="J4" i="8" s="1"/>
  <c r="M5" i="3"/>
  <c r="E5" i="3"/>
  <c r="D5" i="8" s="1"/>
  <c r="B5" i="3"/>
  <c r="B5" i="8" s="1"/>
  <c r="AD4" i="3"/>
  <c r="R5" i="9" s="1"/>
  <c r="AB4" i="3"/>
  <c r="A4" i="7" s="1"/>
  <c r="B4" i="7" s="1"/>
  <c r="A22" i="7" s="1"/>
  <c r="AD3" i="3"/>
  <c r="R4" i="9" s="1"/>
  <c r="AB3" i="3"/>
  <c r="AC3" i="3" s="1"/>
  <c r="Q4" i="9" s="1"/>
  <c r="C101" i="2"/>
  <c r="E104" i="3" s="1"/>
  <c r="D104" i="8" s="1"/>
  <c r="B101" i="2"/>
  <c r="A101" i="2"/>
  <c r="B104" i="3" s="1"/>
  <c r="C100" i="2"/>
  <c r="B100" i="2"/>
  <c r="C103" i="3" s="1"/>
  <c r="C103" i="8" s="1"/>
  <c r="C103" i="9" s="1"/>
  <c r="A100" i="2"/>
  <c r="B103" i="3" s="1"/>
  <c r="B103" i="8" s="1"/>
  <c r="C99" i="2"/>
  <c r="E102" i="3" s="1"/>
  <c r="D102" i="8" s="1"/>
  <c r="B99" i="2"/>
  <c r="C102" i="3" s="1"/>
  <c r="C102" i="8" s="1"/>
  <c r="C102" i="9" s="1"/>
  <c r="A99" i="2"/>
  <c r="B102" i="3" s="1"/>
  <c r="C98" i="2"/>
  <c r="E101" i="3" s="1"/>
  <c r="D101" i="8" s="1"/>
  <c r="B98" i="2"/>
  <c r="C101" i="3" s="1"/>
  <c r="C101" i="8" s="1"/>
  <c r="C101" i="9" s="1"/>
  <c r="A98" i="2"/>
  <c r="B101" i="3" s="1"/>
  <c r="B101" i="8" s="1"/>
  <c r="C97" i="2"/>
  <c r="E100" i="3" s="1"/>
  <c r="D100" i="8" s="1"/>
  <c r="B97" i="2"/>
  <c r="C100" i="3" s="1"/>
  <c r="C100" i="8" s="1"/>
  <c r="C100" i="9" s="1"/>
  <c r="A97" i="2"/>
  <c r="B100" i="3" s="1"/>
  <c r="C96" i="2"/>
  <c r="B96" i="2"/>
  <c r="C99" i="3" s="1"/>
  <c r="C99" i="8" s="1"/>
  <c r="C99" i="9" s="1"/>
  <c r="A96" i="2"/>
  <c r="B99" i="3" s="1"/>
  <c r="B99" i="8" s="1"/>
  <c r="C95" i="2"/>
  <c r="E98" i="3" s="1"/>
  <c r="D98" i="8" s="1"/>
  <c r="B95" i="2"/>
  <c r="C98" i="3" s="1"/>
  <c r="C98" i="8" s="1"/>
  <c r="C98" i="9" s="1"/>
  <c r="A95" i="2"/>
  <c r="B98" i="3" s="1"/>
  <c r="C94" i="2"/>
  <c r="E97" i="3" s="1"/>
  <c r="D97" i="8" s="1"/>
  <c r="B94" i="2"/>
  <c r="C97" i="3" s="1"/>
  <c r="C97" i="8" s="1"/>
  <c r="C97" i="9" s="1"/>
  <c r="A94" i="2"/>
  <c r="B97" i="3" s="1"/>
  <c r="C93" i="2"/>
  <c r="E96" i="3" s="1"/>
  <c r="D96" i="8" s="1"/>
  <c r="B93" i="2"/>
  <c r="A93" i="2"/>
  <c r="B96" i="3" s="1"/>
  <c r="C92" i="2"/>
  <c r="E95" i="3" s="1"/>
  <c r="D95" i="8" s="1"/>
  <c r="B92" i="2"/>
  <c r="C95" i="3" s="1"/>
  <c r="C95" i="8" s="1"/>
  <c r="C95" i="9" s="1"/>
  <c r="A92" i="2"/>
  <c r="B95" i="3" s="1"/>
  <c r="C91" i="2"/>
  <c r="E94" i="3" s="1"/>
  <c r="D94" i="8" s="1"/>
  <c r="B91" i="2"/>
  <c r="A91" i="2"/>
  <c r="B94" i="3" s="1"/>
  <c r="B94" i="8" s="1"/>
  <c r="C90" i="2"/>
  <c r="E93" i="3" s="1"/>
  <c r="D93" i="8" s="1"/>
  <c r="B90" i="2"/>
  <c r="C93" i="3" s="1"/>
  <c r="C93" i="8" s="1"/>
  <c r="C93" i="9" s="1"/>
  <c r="A90" i="2"/>
  <c r="B93" i="3" s="1"/>
  <c r="C89" i="2"/>
  <c r="E92" i="3" s="1"/>
  <c r="D92" i="8" s="1"/>
  <c r="B89" i="2"/>
  <c r="C92" i="3" s="1"/>
  <c r="C92" i="8" s="1"/>
  <c r="C92" i="9" s="1"/>
  <c r="A89" i="2"/>
  <c r="B92" i="3" s="1"/>
  <c r="C88" i="2"/>
  <c r="E91" i="3" s="1"/>
  <c r="D91" i="8" s="1"/>
  <c r="B88" i="2"/>
  <c r="C91" i="3" s="1"/>
  <c r="C91" i="8" s="1"/>
  <c r="C91" i="9" s="1"/>
  <c r="A88" i="2"/>
  <c r="C87" i="2"/>
  <c r="E90" i="3" s="1"/>
  <c r="D90" i="8" s="1"/>
  <c r="B87" i="2"/>
  <c r="C90" i="3" s="1"/>
  <c r="C90" i="8" s="1"/>
  <c r="C90" i="9" s="1"/>
  <c r="A87" i="2"/>
  <c r="B90" i="3" s="1"/>
  <c r="B90" i="8" s="1"/>
  <c r="C86" i="2"/>
  <c r="E89" i="3" s="1"/>
  <c r="D89" i="8" s="1"/>
  <c r="B86" i="2"/>
  <c r="C89" i="3" s="1"/>
  <c r="C89" i="8" s="1"/>
  <c r="C89" i="9" s="1"/>
  <c r="A86" i="2"/>
  <c r="B89" i="3" s="1"/>
  <c r="C85" i="2"/>
  <c r="E88" i="3" s="1"/>
  <c r="D88" i="8" s="1"/>
  <c r="B85" i="2"/>
  <c r="C88" i="3" s="1"/>
  <c r="C88" i="8" s="1"/>
  <c r="C88" i="9" s="1"/>
  <c r="A85" i="2"/>
  <c r="B88" i="3" s="1"/>
  <c r="B88" i="8" s="1"/>
  <c r="C84" i="2"/>
  <c r="B84" i="2"/>
  <c r="C87" i="3" s="1"/>
  <c r="C87" i="8" s="1"/>
  <c r="C87" i="9" s="1"/>
  <c r="A84" i="2"/>
  <c r="B87" i="3" s="1"/>
  <c r="C83" i="2"/>
  <c r="E86" i="3" s="1"/>
  <c r="D86" i="8" s="1"/>
  <c r="B83" i="2"/>
  <c r="C86" i="3" s="1"/>
  <c r="C86" i="8" s="1"/>
  <c r="C86" i="9" s="1"/>
  <c r="A83" i="2"/>
  <c r="B86" i="3" s="1"/>
  <c r="B86" i="8" s="1"/>
  <c r="C82" i="2"/>
  <c r="B82" i="2"/>
  <c r="C85" i="3" s="1"/>
  <c r="C85" i="8" s="1"/>
  <c r="C85" i="9" s="1"/>
  <c r="A82" i="2"/>
  <c r="B85" i="3" s="1"/>
  <c r="B85" i="8" s="1"/>
  <c r="C81" i="2"/>
  <c r="E84" i="3" s="1"/>
  <c r="D84" i="8" s="1"/>
  <c r="B81" i="2"/>
  <c r="C84" i="3" s="1"/>
  <c r="C84" i="8" s="1"/>
  <c r="C84" i="9" s="1"/>
  <c r="A81" i="2"/>
  <c r="B84" i="3" s="1"/>
  <c r="B84" i="8" s="1"/>
  <c r="C80" i="2"/>
  <c r="E83" i="3" s="1"/>
  <c r="D83" i="8" s="1"/>
  <c r="B80" i="2"/>
  <c r="C83" i="3" s="1"/>
  <c r="C83" i="8" s="1"/>
  <c r="C83" i="9" s="1"/>
  <c r="A80" i="2"/>
  <c r="B83" i="3" s="1"/>
  <c r="B83" i="8" s="1"/>
  <c r="C79" i="2"/>
  <c r="E82" i="3" s="1"/>
  <c r="D82" i="8" s="1"/>
  <c r="B79" i="2"/>
  <c r="C82" i="3" s="1"/>
  <c r="C82" i="8" s="1"/>
  <c r="C82" i="9" s="1"/>
  <c r="A79" i="2"/>
  <c r="B82" i="3" s="1"/>
  <c r="B82" i="8" s="1"/>
  <c r="C78" i="2"/>
  <c r="E81" i="3" s="1"/>
  <c r="D81" i="8" s="1"/>
  <c r="B78" i="2"/>
  <c r="C81" i="3" s="1"/>
  <c r="C81" i="8" s="1"/>
  <c r="C81" i="9" s="1"/>
  <c r="A78" i="2"/>
  <c r="B81" i="3" s="1"/>
  <c r="B81" i="8" s="1"/>
  <c r="C77" i="2"/>
  <c r="E80" i="3" s="1"/>
  <c r="D80" i="8" s="1"/>
  <c r="B77" i="2"/>
  <c r="C80" i="3" s="1"/>
  <c r="C80" i="8" s="1"/>
  <c r="C80" i="9" s="1"/>
  <c r="A77" i="2"/>
  <c r="B80" i="3" s="1"/>
  <c r="B80" i="8" s="1"/>
  <c r="C76" i="2"/>
  <c r="B76" i="2"/>
  <c r="C79" i="3" s="1"/>
  <c r="C79" i="8" s="1"/>
  <c r="C79" i="9" s="1"/>
  <c r="A76" i="2"/>
  <c r="B79" i="3" s="1"/>
  <c r="C75" i="2"/>
  <c r="E78" i="3" s="1"/>
  <c r="D78" i="8" s="1"/>
  <c r="B75" i="2"/>
  <c r="C78" i="3" s="1"/>
  <c r="C78" i="8" s="1"/>
  <c r="C78" i="9" s="1"/>
  <c r="A75" i="2"/>
  <c r="B78" i="3" s="1"/>
  <c r="C74" i="2"/>
  <c r="B74" i="2"/>
  <c r="C77" i="3" s="1"/>
  <c r="C77" i="8" s="1"/>
  <c r="C77" i="9" s="1"/>
  <c r="A74" i="2"/>
  <c r="B77" i="3" s="1"/>
  <c r="C73" i="2"/>
  <c r="E76" i="3" s="1"/>
  <c r="D76" i="8" s="1"/>
  <c r="B73" i="2"/>
  <c r="C76" i="3" s="1"/>
  <c r="C76" i="8" s="1"/>
  <c r="C76" i="9" s="1"/>
  <c r="A73" i="2"/>
  <c r="B76" i="3" s="1"/>
  <c r="C72" i="2"/>
  <c r="B72" i="2"/>
  <c r="C75" i="3" s="1"/>
  <c r="C75" i="8" s="1"/>
  <c r="C75" i="9" s="1"/>
  <c r="A72" i="2"/>
  <c r="B75" i="3" s="1"/>
  <c r="C71" i="2"/>
  <c r="E74" i="3" s="1"/>
  <c r="D74" i="8" s="1"/>
  <c r="B71" i="2"/>
  <c r="C74" i="3" s="1"/>
  <c r="C74" i="8" s="1"/>
  <c r="C74" i="9" s="1"/>
  <c r="A71" i="2"/>
  <c r="B74" i="3" s="1"/>
  <c r="B74" i="8" s="1"/>
  <c r="C70" i="2"/>
  <c r="B70" i="2"/>
  <c r="C73" i="3" s="1"/>
  <c r="C73" i="8" s="1"/>
  <c r="C73" i="9" s="1"/>
  <c r="A70" i="2"/>
  <c r="B73" i="3" s="1"/>
  <c r="B73" i="8" s="1"/>
  <c r="C69" i="2"/>
  <c r="E72" i="3" s="1"/>
  <c r="D72" i="8" s="1"/>
  <c r="B69" i="2"/>
  <c r="C72" i="3" s="1"/>
  <c r="C72" i="8" s="1"/>
  <c r="C72" i="9" s="1"/>
  <c r="A69" i="2"/>
  <c r="B72" i="3" s="1"/>
  <c r="B72" i="8" s="1"/>
  <c r="C68" i="2"/>
  <c r="B68" i="2"/>
  <c r="C71" i="3" s="1"/>
  <c r="C71" i="8" s="1"/>
  <c r="C71" i="9" s="1"/>
  <c r="A68" i="2"/>
  <c r="B71" i="3" s="1"/>
  <c r="C67" i="2"/>
  <c r="E70" i="3" s="1"/>
  <c r="D70" i="8" s="1"/>
  <c r="B67" i="2"/>
  <c r="C70" i="3" s="1"/>
  <c r="C70" i="8" s="1"/>
  <c r="C70" i="9" s="1"/>
  <c r="A67" i="2"/>
  <c r="B70" i="3" s="1"/>
  <c r="C66" i="2"/>
  <c r="B66" i="2"/>
  <c r="C69" i="3" s="1"/>
  <c r="C69" i="8" s="1"/>
  <c r="C69" i="9" s="1"/>
  <c r="A66" i="2"/>
  <c r="B69" i="3" s="1"/>
  <c r="C65" i="2"/>
  <c r="E68" i="3" s="1"/>
  <c r="D68" i="8" s="1"/>
  <c r="B65" i="2"/>
  <c r="C68" i="3" s="1"/>
  <c r="C68" i="8" s="1"/>
  <c r="C68" i="9" s="1"/>
  <c r="A65" i="2"/>
  <c r="B68" i="3" s="1"/>
  <c r="C64" i="2"/>
  <c r="E67" i="3" s="1"/>
  <c r="D67" i="8" s="1"/>
  <c r="B64" i="2"/>
  <c r="C67" i="3" s="1"/>
  <c r="C67" i="8" s="1"/>
  <c r="C67" i="9" s="1"/>
  <c r="A64" i="2"/>
  <c r="C63" i="2"/>
  <c r="E66" i="3" s="1"/>
  <c r="D66" i="8" s="1"/>
  <c r="B63" i="2"/>
  <c r="C66" i="3" s="1"/>
  <c r="C66" i="8" s="1"/>
  <c r="C66" i="9" s="1"/>
  <c r="A63" i="2"/>
  <c r="B66" i="3" s="1"/>
  <c r="C62" i="2"/>
  <c r="E65" i="3" s="1"/>
  <c r="D65" i="8" s="1"/>
  <c r="B62" i="2"/>
  <c r="C65" i="3" s="1"/>
  <c r="C65" i="8" s="1"/>
  <c r="C65" i="9" s="1"/>
  <c r="A62" i="2"/>
  <c r="B65" i="3" s="1"/>
  <c r="C61" i="2"/>
  <c r="E64" i="3" s="1"/>
  <c r="D64" i="8" s="1"/>
  <c r="B61" i="2"/>
  <c r="C64" i="3" s="1"/>
  <c r="C64" i="8" s="1"/>
  <c r="C64" i="9" s="1"/>
  <c r="A61" i="2"/>
  <c r="B64" i="3" s="1"/>
  <c r="C60" i="2"/>
  <c r="E63" i="3" s="1"/>
  <c r="D63" i="8" s="1"/>
  <c r="B60" i="2"/>
  <c r="C63" i="3" s="1"/>
  <c r="C63" i="8" s="1"/>
  <c r="C63" i="9" s="1"/>
  <c r="A60" i="2"/>
  <c r="B63" i="3" s="1"/>
  <c r="C59" i="2"/>
  <c r="E62" i="3" s="1"/>
  <c r="D62" i="8" s="1"/>
  <c r="B59" i="2"/>
  <c r="C62" i="3" s="1"/>
  <c r="C62" i="8" s="1"/>
  <c r="C62" i="9" s="1"/>
  <c r="A59" i="2"/>
  <c r="B62" i="3" s="1"/>
  <c r="B62" i="8" s="1"/>
  <c r="C58" i="2"/>
  <c r="E61" i="3" s="1"/>
  <c r="D61" i="8" s="1"/>
  <c r="B58" i="2"/>
  <c r="C61" i="3" s="1"/>
  <c r="C61" i="8" s="1"/>
  <c r="C61" i="9" s="1"/>
  <c r="A58" i="2"/>
  <c r="C57" i="2"/>
  <c r="E60" i="3" s="1"/>
  <c r="D60" i="8" s="1"/>
  <c r="B57" i="2"/>
  <c r="A57" i="2"/>
  <c r="B60" i="3" s="1"/>
  <c r="B60" i="8" s="1"/>
  <c r="C56" i="2"/>
  <c r="E59" i="3" s="1"/>
  <c r="D59" i="8" s="1"/>
  <c r="B56" i="2"/>
  <c r="C59" i="3" s="1"/>
  <c r="C59" i="8" s="1"/>
  <c r="C59" i="9" s="1"/>
  <c r="A56" i="2"/>
  <c r="B59" i="3" s="1"/>
  <c r="C55" i="2"/>
  <c r="E58" i="3" s="1"/>
  <c r="D58" i="8" s="1"/>
  <c r="B55" i="2"/>
  <c r="A55" i="2"/>
  <c r="B58" i="3" s="1"/>
  <c r="C54" i="2"/>
  <c r="E57" i="3" s="1"/>
  <c r="D57" i="8" s="1"/>
  <c r="B54" i="2"/>
  <c r="C57" i="3" s="1"/>
  <c r="C57" i="8" s="1"/>
  <c r="C57" i="9" s="1"/>
  <c r="A54" i="2"/>
  <c r="B57" i="3" s="1"/>
  <c r="C53" i="2"/>
  <c r="E56" i="3" s="1"/>
  <c r="D56" i="8" s="1"/>
  <c r="B53" i="2"/>
  <c r="A53" i="2"/>
  <c r="B56" i="3" s="1"/>
  <c r="C52" i="2"/>
  <c r="B52" i="2"/>
  <c r="C55" i="3" s="1"/>
  <c r="C55" i="8" s="1"/>
  <c r="C55" i="9" s="1"/>
  <c r="A52" i="2"/>
  <c r="B55" i="3" s="1"/>
  <c r="C51" i="2"/>
  <c r="E54" i="3" s="1"/>
  <c r="D54" i="8" s="1"/>
  <c r="B51" i="2"/>
  <c r="C54" i="3" s="1"/>
  <c r="C54" i="8" s="1"/>
  <c r="C54" i="9" s="1"/>
  <c r="A51" i="2"/>
  <c r="B54" i="3" s="1"/>
  <c r="C50" i="2"/>
  <c r="B50" i="2"/>
  <c r="C53" i="3" s="1"/>
  <c r="C53" i="8" s="1"/>
  <c r="C53" i="9" s="1"/>
  <c r="A50" i="2"/>
  <c r="B53" i="3" s="1"/>
  <c r="C49" i="2"/>
  <c r="E52" i="3" s="1"/>
  <c r="D52" i="8" s="1"/>
  <c r="B49" i="2"/>
  <c r="C52" i="3" s="1"/>
  <c r="C52" i="8" s="1"/>
  <c r="C52" i="9" s="1"/>
  <c r="A49" i="2"/>
  <c r="B52" i="3" s="1"/>
  <c r="C48" i="2"/>
  <c r="E51" i="3" s="1"/>
  <c r="D51" i="8" s="1"/>
  <c r="B48" i="2"/>
  <c r="C51" i="3" s="1"/>
  <c r="C51" i="8" s="1"/>
  <c r="C51" i="9" s="1"/>
  <c r="A48" i="2"/>
  <c r="C47" i="2"/>
  <c r="E50" i="3" s="1"/>
  <c r="D50" i="8" s="1"/>
  <c r="B47" i="2"/>
  <c r="C50" i="3" s="1"/>
  <c r="C50" i="8" s="1"/>
  <c r="C50" i="9" s="1"/>
  <c r="A47" i="2"/>
  <c r="B50" i="3" s="1"/>
  <c r="C46" i="2"/>
  <c r="E49" i="3" s="1"/>
  <c r="D49" i="8" s="1"/>
  <c r="B46" i="2"/>
  <c r="C49" i="3" s="1"/>
  <c r="C49" i="8" s="1"/>
  <c r="C49" i="9" s="1"/>
  <c r="A46" i="2"/>
  <c r="B49" i="3" s="1"/>
  <c r="C45" i="2"/>
  <c r="E48" i="3" s="1"/>
  <c r="D48" i="8" s="1"/>
  <c r="B45" i="2"/>
  <c r="C48" i="3" s="1"/>
  <c r="C48" i="8" s="1"/>
  <c r="C48" i="9" s="1"/>
  <c r="A45" i="2"/>
  <c r="B48" i="3" s="1"/>
  <c r="C44" i="2"/>
  <c r="B44" i="2"/>
  <c r="C47" i="3" s="1"/>
  <c r="C47" i="8" s="1"/>
  <c r="C47" i="9" s="1"/>
  <c r="A44" i="2"/>
  <c r="B47" i="3" s="1"/>
  <c r="C43" i="2"/>
  <c r="E46" i="3" s="1"/>
  <c r="D46" i="8" s="1"/>
  <c r="B43" i="2"/>
  <c r="A43" i="2"/>
  <c r="B46" i="3" s="1"/>
  <c r="C42" i="2"/>
  <c r="E45" i="3" s="1"/>
  <c r="D45" i="8" s="1"/>
  <c r="B42" i="2"/>
  <c r="C45" i="3" s="1"/>
  <c r="C45" i="8" s="1"/>
  <c r="C45" i="9" s="1"/>
  <c r="A42" i="2"/>
  <c r="B45" i="3" s="1"/>
  <c r="C41" i="2"/>
  <c r="E44" i="3" s="1"/>
  <c r="D44" i="8" s="1"/>
  <c r="B41" i="2"/>
  <c r="C44" i="3" s="1"/>
  <c r="C44" i="8" s="1"/>
  <c r="C44" i="9" s="1"/>
  <c r="A41" i="2"/>
  <c r="B44" i="3" s="1"/>
  <c r="C40" i="2"/>
  <c r="E43" i="3" s="1"/>
  <c r="D43" i="8" s="1"/>
  <c r="B40" i="2"/>
  <c r="C43" i="3" s="1"/>
  <c r="C43" i="8" s="1"/>
  <c r="C43" i="9" s="1"/>
  <c r="A40" i="2"/>
  <c r="B43" i="3" s="1"/>
  <c r="C39" i="2"/>
  <c r="E42" i="3" s="1"/>
  <c r="D42" i="8" s="1"/>
  <c r="B39" i="2"/>
  <c r="C42" i="3" s="1"/>
  <c r="C42" i="8" s="1"/>
  <c r="C42" i="9" s="1"/>
  <c r="A39" i="2"/>
  <c r="B42" i="3" s="1"/>
  <c r="C38" i="2"/>
  <c r="E41" i="3" s="1"/>
  <c r="D41" i="8" s="1"/>
  <c r="B38" i="2"/>
  <c r="C41" i="3" s="1"/>
  <c r="C41" i="8" s="1"/>
  <c r="C41" i="9" s="1"/>
  <c r="A38" i="2"/>
  <c r="B41" i="3" s="1"/>
  <c r="B41" i="8" s="1"/>
  <c r="C37" i="2"/>
  <c r="E40" i="3" s="1"/>
  <c r="D40" i="8" s="1"/>
  <c r="B37" i="2"/>
  <c r="C40" i="3" s="1"/>
  <c r="C40" i="8" s="1"/>
  <c r="C40" i="9" s="1"/>
  <c r="A37" i="2"/>
  <c r="B40" i="3" s="1"/>
  <c r="B40" i="8" s="1"/>
  <c r="C36" i="2"/>
  <c r="E39" i="3" s="1"/>
  <c r="D39" i="8" s="1"/>
  <c r="B36" i="2"/>
  <c r="C39" i="3" s="1"/>
  <c r="C39" i="8" s="1"/>
  <c r="C39" i="9" s="1"/>
  <c r="A36" i="2"/>
  <c r="B39" i="3" s="1"/>
  <c r="C35" i="2"/>
  <c r="E38" i="3" s="1"/>
  <c r="D38" i="8" s="1"/>
  <c r="B35" i="2"/>
  <c r="C38" i="3" s="1"/>
  <c r="C38" i="8" s="1"/>
  <c r="C38" i="9" s="1"/>
  <c r="A35" i="2"/>
  <c r="B38" i="3" s="1"/>
  <c r="B38" i="8" s="1"/>
  <c r="C34" i="2"/>
  <c r="E37" i="3" s="1"/>
  <c r="D37" i="8" s="1"/>
  <c r="B34" i="2"/>
  <c r="C37" i="3" s="1"/>
  <c r="C37" i="8" s="1"/>
  <c r="C37" i="9" s="1"/>
  <c r="A34" i="2"/>
  <c r="B37" i="3" s="1"/>
  <c r="C33" i="2"/>
  <c r="E36" i="3" s="1"/>
  <c r="D36" i="8" s="1"/>
  <c r="B33" i="2"/>
  <c r="C36" i="3" s="1"/>
  <c r="C36" i="8" s="1"/>
  <c r="C36" i="9" s="1"/>
  <c r="A33" i="2"/>
  <c r="B36" i="3" s="1"/>
  <c r="C32" i="2"/>
  <c r="E35" i="3" s="1"/>
  <c r="D35" i="8" s="1"/>
  <c r="B32" i="2"/>
  <c r="C35" i="3" s="1"/>
  <c r="C35" i="8" s="1"/>
  <c r="C35" i="9" s="1"/>
  <c r="A32" i="2"/>
  <c r="C31" i="2"/>
  <c r="E34" i="3" s="1"/>
  <c r="D34" i="8" s="1"/>
  <c r="B31" i="2"/>
  <c r="C34" i="3" s="1"/>
  <c r="C34" i="8" s="1"/>
  <c r="C34" i="9" s="1"/>
  <c r="A31" i="2"/>
  <c r="B34" i="3" s="1"/>
  <c r="C30" i="2"/>
  <c r="E33" i="3" s="1"/>
  <c r="D33" i="8" s="1"/>
  <c r="B30" i="2"/>
  <c r="C33" i="3" s="1"/>
  <c r="C33" i="8" s="1"/>
  <c r="C33" i="9" s="1"/>
  <c r="A30" i="2"/>
  <c r="B33" i="3" s="1"/>
  <c r="B33" i="8" s="1"/>
  <c r="C29" i="2"/>
  <c r="E32" i="3" s="1"/>
  <c r="D32" i="8" s="1"/>
  <c r="B29" i="2"/>
  <c r="C32" i="3" s="1"/>
  <c r="C32" i="8" s="1"/>
  <c r="C32" i="9" s="1"/>
  <c r="A29" i="2"/>
  <c r="B32" i="3" s="1"/>
  <c r="B32" i="8" s="1"/>
  <c r="C28" i="2"/>
  <c r="B28" i="2"/>
  <c r="C31" i="3" s="1"/>
  <c r="C31" i="8" s="1"/>
  <c r="C31" i="9" s="1"/>
  <c r="A28" i="2"/>
  <c r="B31" i="3" s="1"/>
  <c r="C27" i="2"/>
  <c r="E30" i="3" s="1"/>
  <c r="D30" i="8" s="1"/>
  <c r="B27" i="2"/>
  <c r="C30" i="3" s="1"/>
  <c r="C30" i="8" s="1"/>
  <c r="C30" i="9" s="1"/>
  <c r="A27" i="2"/>
  <c r="B30" i="3" s="1"/>
  <c r="C26" i="2"/>
  <c r="E29" i="3" s="1"/>
  <c r="D29" i="8" s="1"/>
  <c r="B26" i="2"/>
  <c r="C29" i="3" s="1"/>
  <c r="C29" i="8" s="1"/>
  <c r="C29" i="9" s="1"/>
  <c r="A26" i="2"/>
  <c r="B29" i="3" s="1"/>
  <c r="C25" i="2"/>
  <c r="E28" i="3" s="1"/>
  <c r="D28" i="8" s="1"/>
  <c r="B25" i="2"/>
  <c r="C28" i="3" s="1"/>
  <c r="C28" i="8" s="1"/>
  <c r="C28" i="9" s="1"/>
  <c r="A25" i="2"/>
  <c r="B28" i="3" s="1"/>
  <c r="C24" i="2"/>
  <c r="E27" i="3" s="1"/>
  <c r="D27" i="8" s="1"/>
  <c r="B24" i="2"/>
  <c r="C27" i="3" s="1"/>
  <c r="C27" i="8" s="1"/>
  <c r="C27" i="9" s="1"/>
  <c r="A24" i="2"/>
  <c r="C23" i="2"/>
  <c r="E26" i="3" s="1"/>
  <c r="D26" i="8" s="1"/>
  <c r="B23" i="2"/>
  <c r="C26" i="3" s="1"/>
  <c r="C26" i="8" s="1"/>
  <c r="C26" i="9" s="1"/>
  <c r="A23" i="2"/>
  <c r="B26" i="3" s="1"/>
  <c r="C22" i="2"/>
  <c r="E25" i="3" s="1"/>
  <c r="D25" i="8" s="1"/>
  <c r="B22" i="2"/>
  <c r="C25" i="3" s="1"/>
  <c r="C25" i="8" s="1"/>
  <c r="C25" i="9" s="1"/>
  <c r="A22" i="2"/>
  <c r="C21" i="2"/>
  <c r="E24" i="3" s="1"/>
  <c r="D24" i="8" s="1"/>
  <c r="B21" i="2"/>
  <c r="C24" i="3" s="1"/>
  <c r="C24" i="8" s="1"/>
  <c r="C24" i="9" s="1"/>
  <c r="A21" i="2"/>
  <c r="B24" i="3" s="1"/>
  <c r="B24" i="8" s="1"/>
  <c r="C20" i="2"/>
  <c r="E23" i="3" s="1"/>
  <c r="D23" i="8" s="1"/>
  <c r="B20" i="2"/>
  <c r="C23" i="3" s="1"/>
  <c r="C23" i="8" s="1"/>
  <c r="C23" i="9" s="1"/>
  <c r="A20" i="2"/>
  <c r="B23" i="3" s="1"/>
  <c r="C19" i="2"/>
  <c r="E22" i="3" s="1"/>
  <c r="D22" i="8" s="1"/>
  <c r="B19" i="2"/>
  <c r="C22" i="3" s="1"/>
  <c r="C22" i="8" s="1"/>
  <c r="C22" i="9" s="1"/>
  <c r="A19" i="2"/>
  <c r="B22" i="3" s="1"/>
  <c r="C18" i="2"/>
  <c r="E21" i="3" s="1"/>
  <c r="D21" i="8" s="1"/>
  <c r="B18" i="2"/>
  <c r="C21" i="3" s="1"/>
  <c r="C21" i="8" s="1"/>
  <c r="C21" i="9" s="1"/>
  <c r="A18" i="2"/>
  <c r="C17" i="2"/>
  <c r="E20" i="3" s="1"/>
  <c r="D20" i="8" s="1"/>
  <c r="B17" i="2"/>
  <c r="C20" i="3" s="1"/>
  <c r="C20" i="8" s="1"/>
  <c r="C20" i="9" s="1"/>
  <c r="A17" i="2"/>
  <c r="B20" i="3" s="1"/>
  <c r="C16" i="2"/>
  <c r="E19" i="3" s="1"/>
  <c r="D19" i="8" s="1"/>
  <c r="B16" i="2"/>
  <c r="C19" i="3" s="1"/>
  <c r="C19" i="8" s="1"/>
  <c r="C19" i="9" s="1"/>
  <c r="A16" i="2"/>
  <c r="B19" i="3" s="1"/>
  <c r="C15" i="2"/>
  <c r="E18" i="3" s="1"/>
  <c r="D18" i="8" s="1"/>
  <c r="B15" i="2"/>
  <c r="C18" i="3" s="1"/>
  <c r="C18" i="8" s="1"/>
  <c r="C18" i="9" s="1"/>
  <c r="A15" i="2"/>
  <c r="B18" i="3" s="1"/>
  <c r="C14" i="2"/>
  <c r="E17" i="3" s="1"/>
  <c r="D17" i="8" s="1"/>
  <c r="B14" i="2"/>
  <c r="C17" i="3" s="1"/>
  <c r="C17" i="8" s="1"/>
  <c r="C17" i="9" s="1"/>
  <c r="A14" i="2"/>
  <c r="B17" i="3" s="1"/>
  <c r="C13" i="2"/>
  <c r="E16" i="3" s="1"/>
  <c r="D16" i="8" s="1"/>
  <c r="B13" i="2"/>
  <c r="C16" i="3" s="1"/>
  <c r="C16" i="8" s="1"/>
  <c r="C16" i="9" s="1"/>
  <c r="A13" i="2"/>
  <c r="B16" i="3" s="1"/>
  <c r="C12" i="2"/>
  <c r="E15" i="3" s="1"/>
  <c r="D15" i="8" s="1"/>
  <c r="B12" i="2"/>
  <c r="C15" i="3" s="1"/>
  <c r="C15" i="8" s="1"/>
  <c r="C15" i="9" s="1"/>
  <c r="A12" i="2"/>
  <c r="B15" i="3" s="1"/>
  <c r="C11" i="2"/>
  <c r="E14" i="3" s="1"/>
  <c r="D14" i="8" s="1"/>
  <c r="B11" i="2"/>
  <c r="C14" i="3" s="1"/>
  <c r="C14" i="8" s="1"/>
  <c r="C14" i="9" s="1"/>
  <c r="A11" i="2"/>
  <c r="B14" i="3" s="1"/>
  <c r="C10" i="2"/>
  <c r="E13" i="3" s="1"/>
  <c r="D13" i="8" s="1"/>
  <c r="B10" i="2"/>
  <c r="C13" i="3" s="1"/>
  <c r="C13" i="8" s="1"/>
  <c r="C13" i="9" s="1"/>
  <c r="A10" i="2"/>
  <c r="C9" i="2"/>
  <c r="E12" i="3" s="1"/>
  <c r="D12" i="8" s="1"/>
  <c r="B9" i="2"/>
  <c r="C12" i="3" s="1"/>
  <c r="C12" i="8" s="1"/>
  <c r="C12" i="9" s="1"/>
  <c r="A9" i="2"/>
  <c r="B12" i="3" s="1"/>
  <c r="C8" i="2"/>
  <c r="E11" i="3" s="1"/>
  <c r="D11" i="8" s="1"/>
  <c r="B8" i="2"/>
  <c r="C11" i="3" s="1"/>
  <c r="C11" i="8" s="1"/>
  <c r="C11" i="9" s="1"/>
  <c r="A8" i="2"/>
  <c r="B11" i="3" s="1"/>
  <c r="B11" i="8" s="1"/>
  <c r="C7" i="2"/>
  <c r="E10" i="3" s="1"/>
  <c r="D10" i="8" s="1"/>
  <c r="B7" i="2"/>
  <c r="C10" i="3" s="1"/>
  <c r="C10" i="8" s="1"/>
  <c r="C10" i="9" s="1"/>
  <c r="A7" i="2"/>
  <c r="B10" i="3" s="1"/>
  <c r="C6" i="2"/>
  <c r="E9" i="3" s="1"/>
  <c r="D9" i="8" s="1"/>
  <c r="B6" i="2"/>
  <c r="C9" i="3" s="1"/>
  <c r="C9" i="8" s="1"/>
  <c r="C9" i="9" s="1"/>
  <c r="A6" i="2"/>
  <c r="B9" i="3" s="1"/>
  <c r="B9" i="8" s="1"/>
  <c r="C5" i="2"/>
  <c r="E8" i="3" s="1"/>
  <c r="D8" i="8" s="1"/>
  <c r="E7" i="3"/>
  <c r="D7" i="8" s="1"/>
  <c r="B7" i="3"/>
  <c r="D33" i="3" l="1"/>
  <c r="F33" i="8" s="1"/>
  <c r="P86" i="3"/>
  <c r="D9" i="5"/>
  <c r="O86" i="5"/>
  <c r="C96" i="5"/>
  <c r="BL110" i="5"/>
  <c r="C174" i="5"/>
  <c r="C122" i="5"/>
  <c r="C150" i="5" s="1"/>
  <c r="C200" i="5"/>
  <c r="P87" i="3"/>
  <c r="Q72" i="3" s="1"/>
  <c r="D24" i="3"/>
  <c r="F24" i="8" s="1"/>
  <c r="D84" i="3"/>
  <c r="F84" i="8" s="1"/>
  <c r="D99" i="3"/>
  <c r="F99" i="8" s="1"/>
  <c r="D62" i="3"/>
  <c r="F62" i="8" s="1"/>
  <c r="D73" i="3"/>
  <c r="F73" i="8" s="1"/>
  <c r="D80" i="3"/>
  <c r="F80" i="8" s="1"/>
  <c r="N9" i="7"/>
  <c r="D88" i="3"/>
  <c r="F88" i="8" s="1"/>
  <c r="D94" i="3"/>
  <c r="F94" i="8" s="1"/>
  <c r="D103" i="3"/>
  <c r="F103" i="8" s="1"/>
  <c r="AC11" i="3"/>
  <c r="Q12" i="9" s="1"/>
  <c r="D60" i="3"/>
  <c r="F60" i="8" s="1"/>
  <c r="D81" i="3"/>
  <c r="F81" i="8" s="1"/>
  <c r="D85" i="3"/>
  <c r="F85" i="8" s="1"/>
  <c r="N3" i="7"/>
  <c r="D9" i="3"/>
  <c r="F9" i="8" s="1"/>
  <c r="D82" i="3"/>
  <c r="F82" i="8" s="1"/>
  <c r="N17" i="7"/>
  <c r="O17" i="8"/>
  <c r="AV3" i="8" s="1"/>
  <c r="D41" i="3"/>
  <c r="F41" i="8" s="1"/>
  <c r="A11" i="7"/>
  <c r="B11" i="7" s="1"/>
  <c r="A28" i="7" s="1"/>
  <c r="D13" i="3"/>
  <c r="F13" i="8" s="1"/>
  <c r="D86" i="3"/>
  <c r="F86" i="8" s="1"/>
  <c r="N5" i="7"/>
  <c r="N10" i="7"/>
  <c r="N7" i="7"/>
  <c r="B6" i="7"/>
  <c r="A24" i="7" s="1"/>
  <c r="I41" i="3"/>
  <c r="I95" i="3" s="1"/>
  <c r="I31" i="3"/>
  <c r="AC8" i="3"/>
  <c r="Q9" i="9" s="1"/>
  <c r="D5" i="3"/>
  <c r="F5" i="8" s="1"/>
  <c r="B12" i="8"/>
  <c r="V12" i="8" s="1"/>
  <c r="D12" i="3"/>
  <c r="F12" i="8" s="1"/>
  <c r="AC10" i="3"/>
  <c r="Q11" i="9" s="1"/>
  <c r="B23" i="8"/>
  <c r="V23" i="8" s="1"/>
  <c r="D23" i="3"/>
  <c r="F23" i="8" s="1"/>
  <c r="B10" i="8"/>
  <c r="V10" i="8" s="1"/>
  <c r="D10" i="3"/>
  <c r="F10" i="8" s="1"/>
  <c r="B65" i="8"/>
  <c r="D65" i="3"/>
  <c r="F65" i="8" s="1"/>
  <c r="B77" i="8"/>
  <c r="D77" i="3"/>
  <c r="F77" i="8" s="1"/>
  <c r="R67" i="8"/>
  <c r="Q67" i="8"/>
  <c r="BL67" i="8"/>
  <c r="B67" i="9"/>
  <c r="S66" i="8"/>
  <c r="C48" i="5"/>
  <c r="D96" i="5"/>
  <c r="D200" i="5"/>
  <c r="D122" i="5"/>
  <c r="D174" i="5"/>
  <c r="D148" i="5"/>
  <c r="B43" i="8"/>
  <c r="D43" i="3"/>
  <c r="F43" i="8" s="1"/>
  <c r="B75" i="8"/>
  <c r="D75" i="3"/>
  <c r="F75" i="8" s="1"/>
  <c r="AC5" i="3"/>
  <c r="Q6" i="9" s="1"/>
  <c r="R8" i="8"/>
  <c r="S7" i="8"/>
  <c r="Q8" i="8"/>
  <c r="BL8" i="8"/>
  <c r="P10" i="9"/>
  <c r="AC9" i="3"/>
  <c r="Q10" i="9" s="1"/>
  <c r="A9" i="7"/>
  <c r="B9" i="7" s="1"/>
  <c r="B18" i="8"/>
  <c r="D18" i="3"/>
  <c r="F18" i="8" s="1"/>
  <c r="B27" i="8"/>
  <c r="D27" i="3"/>
  <c r="F27" i="8" s="1"/>
  <c r="B22" i="8"/>
  <c r="D22" i="3"/>
  <c r="F22" i="8" s="1"/>
  <c r="B30" i="8"/>
  <c r="D30" i="3"/>
  <c r="F30" i="8" s="1"/>
  <c r="B102" i="8"/>
  <c r="V102" i="8" s="1"/>
  <c r="D102" i="3"/>
  <c r="F102" i="8" s="1"/>
  <c r="D49" i="3"/>
  <c r="F49" i="8" s="1"/>
  <c r="B49" i="8"/>
  <c r="B95" i="8"/>
  <c r="D95" i="3"/>
  <c r="F95" i="8" s="1"/>
  <c r="B49" i="5"/>
  <c r="B99" i="5"/>
  <c r="D98" i="5"/>
  <c r="B16" i="8"/>
  <c r="D16" i="3"/>
  <c r="F16" i="8" s="1"/>
  <c r="B19" i="8"/>
  <c r="D19" i="3"/>
  <c r="F19" i="8" s="1"/>
  <c r="B59" i="8"/>
  <c r="V59" i="8" s="1"/>
  <c r="D59" i="3"/>
  <c r="F59" i="8" s="1"/>
  <c r="B44" i="8"/>
  <c r="D44" i="3"/>
  <c r="F44" i="8" s="1"/>
  <c r="E9" i="5"/>
  <c r="BO112" i="5"/>
  <c r="D8" i="3"/>
  <c r="F8" i="8" s="1"/>
  <c r="B70" i="8"/>
  <c r="D70" i="3"/>
  <c r="F70" i="8" s="1"/>
  <c r="D18" i="5"/>
  <c r="D45" i="5" s="1"/>
  <c r="D48" i="5" s="1"/>
  <c r="O61" i="5"/>
  <c r="O73" i="5"/>
  <c r="B29" i="8"/>
  <c r="D29" i="3"/>
  <c r="F29" i="8" s="1"/>
  <c r="B53" i="8"/>
  <c r="D53" i="3"/>
  <c r="F53" i="8" s="1"/>
  <c r="B69" i="8"/>
  <c r="D69" i="3"/>
  <c r="F69" i="8" s="1"/>
  <c r="B24" i="9"/>
  <c r="S23" i="8"/>
  <c r="BL95" i="8"/>
  <c r="BL24" i="8"/>
  <c r="R24" i="8"/>
  <c r="Q24" i="8"/>
  <c r="B20" i="8"/>
  <c r="V20" i="8" s="1"/>
  <c r="D20" i="3"/>
  <c r="F20" i="8" s="1"/>
  <c r="B28" i="8"/>
  <c r="D28" i="3"/>
  <c r="F28" i="8" s="1"/>
  <c r="B52" i="8"/>
  <c r="D52" i="3"/>
  <c r="F52" i="8" s="1"/>
  <c r="B68" i="8"/>
  <c r="D68" i="3"/>
  <c r="F68" i="8" s="1"/>
  <c r="B76" i="8"/>
  <c r="D76" i="3"/>
  <c r="F76" i="8" s="1"/>
  <c r="R84" i="8"/>
  <c r="S83" i="8"/>
  <c r="BL84" i="8"/>
  <c r="V83" i="8"/>
  <c r="B84" i="9"/>
  <c r="Q84" i="8"/>
  <c r="B100" i="8"/>
  <c r="V100" i="8" s="1"/>
  <c r="D100" i="3"/>
  <c r="F100" i="8" s="1"/>
  <c r="B51" i="9"/>
  <c r="BL51" i="8"/>
  <c r="R51" i="8"/>
  <c r="S50" i="8"/>
  <c r="Q51" i="8"/>
  <c r="B58" i="8"/>
  <c r="D58" i="3"/>
  <c r="F58" i="8" s="1"/>
  <c r="D47" i="5"/>
  <c r="B92" i="8"/>
  <c r="D92" i="3"/>
  <c r="F92" i="8" s="1"/>
  <c r="C98" i="5"/>
  <c r="C5" i="9"/>
  <c r="O12" i="8" a="1"/>
  <c r="O12" i="8" s="1"/>
  <c r="W5" i="9" s="1"/>
  <c r="O13" i="8" a="1"/>
  <c r="O13" i="8" s="1"/>
  <c r="W6" i="9" s="1"/>
  <c r="O6" i="8" a="1"/>
  <c r="O6" i="8" s="1"/>
  <c r="U6" i="9" s="1"/>
  <c r="O22" i="8" a="1"/>
  <c r="O22" i="8" s="1"/>
  <c r="O5" i="8" a="1"/>
  <c r="O5" i="8" s="1"/>
  <c r="U5" i="9" s="1"/>
  <c r="C3" i="8" a="1"/>
  <c r="C3" i="8" s="1"/>
  <c r="B54" i="8"/>
  <c r="D54" i="3"/>
  <c r="F54" i="8" s="1"/>
  <c r="D67" i="3"/>
  <c r="F67" i="8" s="1"/>
  <c r="B36" i="8"/>
  <c r="D36" i="3"/>
  <c r="F36" i="8" s="1"/>
  <c r="B60" i="9"/>
  <c r="BL60" i="8"/>
  <c r="Q60" i="8"/>
  <c r="S59" i="8"/>
  <c r="R60" i="8"/>
  <c r="B7" i="8"/>
  <c r="V7" i="8" s="1"/>
  <c r="D7" i="3"/>
  <c r="F7" i="8" s="1"/>
  <c r="B15" i="8"/>
  <c r="D15" i="3"/>
  <c r="F15" i="8" s="1"/>
  <c r="B31" i="8"/>
  <c r="V31" i="8" s="1"/>
  <c r="D31" i="3"/>
  <c r="F31" i="8" s="1"/>
  <c r="B39" i="8"/>
  <c r="V39" i="8" s="1"/>
  <c r="D39" i="3"/>
  <c r="F39" i="8" s="1"/>
  <c r="D47" i="3"/>
  <c r="F47" i="8" s="1"/>
  <c r="B47" i="8"/>
  <c r="B55" i="8"/>
  <c r="D55" i="3"/>
  <c r="F55" i="8" s="1"/>
  <c r="B63" i="8"/>
  <c r="D63" i="3"/>
  <c r="F63" i="8" s="1"/>
  <c r="B71" i="8"/>
  <c r="D71" i="3"/>
  <c r="F71" i="8" s="1"/>
  <c r="B79" i="8"/>
  <c r="V79" i="8" s="1"/>
  <c r="D79" i="3"/>
  <c r="F79" i="8" s="1"/>
  <c r="B87" i="8"/>
  <c r="V87" i="8" s="1"/>
  <c r="D87" i="3"/>
  <c r="F87" i="8" s="1"/>
  <c r="R103" i="8"/>
  <c r="Q103" i="8"/>
  <c r="S102" i="8"/>
  <c r="B103" i="9"/>
  <c r="D51" i="3"/>
  <c r="F51" i="8" s="1"/>
  <c r="C43" i="5"/>
  <c r="B9" i="9"/>
  <c r="R9" i="8"/>
  <c r="BL9" i="8"/>
  <c r="V8" i="8"/>
  <c r="S8" i="8"/>
  <c r="Q9" i="8"/>
  <c r="B17" i="8"/>
  <c r="D17" i="3"/>
  <c r="F17" i="8" s="1"/>
  <c r="BL104" i="8"/>
  <c r="B33" i="9"/>
  <c r="S32" i="8"/>
  <c r="BL33" i="8"/>
  <c r="Q33" i="8"/>
  <c r="V32" i="8"/>
  <c r="R33" i="8"/>
  <c r="V40" i="8"/>
  <c r="R41" i="8"/>
  <c r="B41" i="9"/>
  <c r="Q41" i="8"/>
  <c r="S40" i="8"/>
  <c r="BL41" i="8"/>
  <c r="B57" i="8"/>
  <c r="D57" i="3"/>
  <c r="F57" i="8" s="1"/>
  <c r="R73" i="8"/>
  <c r="B73" i="9"/>
  <c r="V72" i="8"/>
  <c r="S72" i="8"/>
  <c r="BL73" i="8"/>
  <c r="Q73" i="8"/>
  <c r="B81" i="9"/>
  <c r="R81" i="8"/>
  <c r="V80" i="8"/>
  <c r="S80" i="8"/>
  <c r="Q81" i="8"/>
  <c r="BL81" i="8"/>
  <c r="B89" i="8"/>
  <c r="V89" i="8" s="1"/>
  <c r="D89" i="3"/>
  <c r="F89" i="8" s="1"/>
  <c r="P4" i="9"/>
  <c r="A3" i="7"/>
  <c r="B3" i="7" s="1"/>
  <c r="A21" i="7" s="1"/>
  <c r="AB34" i="7"/>
  <c r="I4" i="8"/>
  <c r="B6" i="8"/>
  <c r="D6" i="3"/>
  <c r="P11" i="9"/>
  <c r="A10" i="7"/>
  <c r="B10" i="7" s="1"/>
  <c r="A29" i="7" s="1"/>
  <c r="D40" i="3"/>
  <c r="F40" i="8" s="1"/>
  <c r="B46" i="8"/>
  <c r="D46" i="3"/>
  <c r="F46" i="8" s="1"/>
  <c r="B56" i="8"/>
  <c r="D56" i="3"/>
  <c r="F56" i="8" s="1"/>
  <c r="D74" i="3"/>
  <c r="F74" i="8" s="1"/>
  <c r="B104" i="8"/>
  <c r="D104" i="3"/>
  <c r="F104" i="8" s="1"/>
  <c r="BZ104" i="8" s="1"/>
  <c r="B26" i="8"/>
  <c r="D26" i="3"/>
  <c r="F26" i="8" s="1"/>
  <c r="B34" i="8"/>
  <c r="V34" i="8" s="1"/>
  <c r="D34" i="3"/>
  <c r="F34" i="8" s="1"/>
  <c r="D42" i="3"/>
  <c r="F42" i="8" s="1"/>
  <c r="B42" i="8"/>
  <c r="B50" i="8"/>
  <c r="D50" i="3"/>
  <c r="F50" i="8" s="1"/>
  <c r="B66" i="8"/>
  <c r="D66" i="3"/>
  <c r="F66" i="8" s="1"/>
  <c r="B74" i="9"/>
  <c r="R74" i="8"/>
  <c r="BL74" i="8"/>
  <c r="S73" i="8"/>
  <c r="V73" i="8"/>
  <c r="Q74" i="8"/>
  <c r="B82" i="9"/>
  <c r="R82" i="8"/>
  <c r="BL82" i="8"/>
  <c r="Q82" i="8"/>
  <c r="V81" i="8"/>
  <c r="S81" i="8"/>
  <c r="R90" i="8"/>
  <c r="BL90" i="8"/>
  <c r="Q90" i="8"/>
  <c r="B90" i="9"/>
  <c r="S89" i="8"/>
  <c r="B98" i="8"/>
  <c r="V98" i="8" s="1"/>
  <c r="D98" i="3"/>
  <c r="F98" i="8" s="1"/>
  <c r="B14" i="8"/>
  <c r="D14" i="3"/>
  <c r="F14" i="8" s="1"/>
  <c r="B25" i="8"/>
  <c r="D25" i="3"/>
  <c r="F25" i="8" s="1"/>
  <c r="B78" i="8"/>
  <c r="D78" i="3"/>
  <c r="F78" i="8" s="1"/>
  <c r="D90" i="3"/>
  <c r="F90" i="8" s="1"/>
  <c r="B93" i="8"/>
  <c r="V93" i="8" s="1"/>
  <c r="D93" i="3"/>
  <c r="F93" i="8" s="1"/>
  <c r="B97" i="8"/>
  <c r="D97" i="3"/>
  <c r="F97" i="8" s="1"/>
  <c r="B40" i="9"/>
  <c r="BL40" i="8"/>
  <c r="R40" i="8"/>
  <c r="S39" i="8"/>
  <c r="Q40" i="8"/>
  <c r="B48" i="8"/>
  <c r="D48" i="3"/>
  <c r="F48" i="8" s="1"/>
  <c r="B64" i="8"/>
  <c r="D64" i="3"/>
  <c r="F64" i="8" s="1"/>
  <c r="R88" i="8"/>
  <c r="B88" i="9"/>
  <c r="S87" i="8"/>
  <c r="BL88" i="8"/>
  <c r="Q88" i="8"/>
  <c r="B45" i="8"/>
  <c r="D45" i="3"/>
  <c r="F45" i="8" s="1"/>
  <c r="B91" i="8"/>
  <c r="D91" i="3"/>
  <c r="F91" i="8" s="1"/>
  <c r="B96" i="8"/>
  <c r="D96" i="3"/>
  <c r="F96" i="8" s="1"/>
  <c r="C123" i="5"/>
  <c r="B101" i="9"/>
  <c r="R101" i="8"/>
  <c r="Q101" i="8"/>
  <c r="S100" i="8"/>
  <c r="AC4" i="3"/>
  <c r="Q5" i="9" s="1"/>
  <c r="N19" i="7"/>
  <c r="N13" i="7"/>
  <c r="D38" i="3"/>
  <c r="F38" i="8" s="1"/>
  <c r="D61" i="3"/>
  <c r="F61" i="8" s="1"/>
  <c r="D83" i="3"/>
  <c r="F83" i="8" s="1"/>
  <c r="O50" i="5"/>
  <c r="O62" i="5"/>
  <c r="O74" i="5"/>
  <c r="C124" i="5"/>
  <c r="C148" i="5"/>
  <c r="C149" i="5" s="1"/>
  <c r="B203" i="5"/>
  <c r="P5" i="9"/>
  <c r="N12" i="8"/>
  <c r="V5" i="9" s="1"/>
  <c r="N13" i="8"/>
  <c r="V6" i="9" s="1"/>
  <c r="BL103" i="8"/>
  <c r="B32" i="9"/>
  <c r="BL32" i="8"/>
  <c r="S31" i="8"/>
  <c r="R32" i="8"/>
  <c r="Q32" i="8"/>
  <c r="B38" i="9"/>
  <c r="R38" i="8"/>
  <c r="S37" i="8"/>
  <c r="Q38" i="8"/>
  <c r="BL38" i="8"/>
  <c r="B61" i="9"/>
  <c r="BL61" i="8"/>
  <c r="Q61" i="8"/>
  <c r="V60" i="8"/>
  <c r="R61" i="8"/>
  <c r="S60" i="8"/>
  <c r="R83" i="8"/>
  <c r="BL83" i="8"/>
  <c r="V82" i="8"/>
  <c r="S82" i="8"/>
  <c r="B83" i="9"/>
  <c r="Q83" i="8"/>
  <c r="R72" i="8"/>
  <c r="BL72" i="8"/>
  <c r="S71" i="8"/>
  <c r="Q72" i="8"/>
  <c r="B72" i="9"/>
  <c r="R80" i="8"/>
  <c r="B80" i="9"/>
  <c r="BL80" i="8"/>
  <c r="S79" i="8"/>
  <c r="Q80" i="8"/>
  <c r="I7" i="8"/>
  <c r="P8" i="9"/>
  <c r="A7" i="7"/>
  <c r="B7" i="7" s="1"/>
  <c r="AA31" i="7" s="1"/>
  <c r="D11" i="3"/>
  <c r="F11" i="8" s="1"/>
  <c r="D21" i="3"/>
  <c r="F21" i="8" s="1"/>
  <c r="D32" i="3"/>
  <c r="F32" i="8" s="1"/>
  <c r="D35" i="3"/>
  <c r="F35" i="8" s="1"/>
  <c r="N15" i="7"/>
  <c r="B11" i="9"/>
  <c r="Q11" i="8"/>
  <c r="S10" i="8"/>
  <c r="R11" i="8"/>
  <c r="BL11" i="8"/>
  <c r="B35" i="9"/>
  <c r="R105" i="8"/>
  <c r="R35" i="8"/>
  <c r="BL35" i="8"/>
  <c r="Q35" i="8"/>
  <c r="S34" i="8"/>
  <c r="B99" i="9"/>
  <c r="R99" i="8"/>
  <c r="Q99" i="8"/>
  <c r="S98" i="8"/>
  <c r="P7" i="9"/>
  <c r="L9" i="8"/>
  <c r="L16" i="8" s="1"/>
  <c r="B13" i="9"/>
  <c r="S12" i="8"/>
  <c r="R13" i="8"/>
  <c r="Q13" i="8"/>
  <c r="BL13" i="8"/>
  <c r="B62" i="9"/>
  <c r="BL62" i="8"/>
  <c r="R62" i="8"/>
  <c r="Q62" i="8"/>
  <c r="V61" i="8"/>
  <c r="S61" i="8"/>
  <c r="B85" i="9"/>
  <c r="R85" i="8"/>
  <c r="BL85" i="8"/>
  <c r="Q85" i="8"/>
  <c r="V84" i="8"/>
  <c r="S84" i="8"/>
  <c r="R86" i="8"/>
  <c r="B86" i="9"/>
  <c r="BL86" i="8"/>
  <c r="S85" i="8"/>
  <c r="Q86" i="8"/>
  <c r="V85" i="8"/>
  <c r="D97" i="5"/>
  <c r="N6" i="7"/>
  <c r="N8" i="7"/>
  <c r="N16" i="7"/>
  <c r="AB36" i="7"/>
  <c r="BL21" i="8"/>
  <c r="R21" i="8"/>
  <c r="S20" i="8"/>
  <c r="Q21" i="8"/>
  <c r="B21" i="9"/>
  <c r="B37" i="8"/>
  <c r="D37" i="3"/>
  <c r="F37" i="8" s="1"/>
  <c r="AO3" i="7"/>
  <c r="B5" i="9"/>
  <c r="Q5" i="8"/>
  <c r="BL5" i="8"/>
  <c r="R5" i="8"/>
  <c r="AC7" i="3"/>
  <c r="Q8" i="9" s="1"/>
  <c r="R94" i="8"/>
  <c r="B94" i="9"/>
  <c r="BL94" i="8"/>
  <c r="Q94" i="8"/>
  <c r="S93" i="8"/>
  <c r="P6" i="9"/>
  <c r="A5" i="7"/>
  <c r="B5" i="7" s="1"/>
  <c r="AC6" i="3"/>
  <c r="Q7" i="9" s="1"/>
  <c r="D72" i="3"/>
  <c r="F72" i="8" s="1"/>
  <c r="D101" i="3"/>
  <c r="F101" i="8" s="1"/>
  <c r="C97" i="5"/>
  <c r="AN3" i="7"/>
  <c r="AV3" i="7" s="1"/>
  <c r="N4" i="7"/>
  <c r="A8" i="7"/>
  <c r="B8" i="7" s="1"/>
  <c r="A31" i="7" s="1"/>
  <c r="B125" i="5"/>
  <c r="D124" i="5"/>
  <c r="B151" i="5"/>
  <c r="B176" i="5"/>
  <c r="C175" i="5"/>
  <c r="D202" i="5"/>
  <c r="D201" i="5"/>
  <c r="I98" i="3"/>
  <c r="C202" i="5"/>
  <c r="D175" i="5"/>
  <c r="C201" i="5"/>
  <c r="I99" i="3"/>
  <c r="A23" i="7" l="1"/>
  <c r="AA27" i="7"/>
  <c r="A30" i="7"/>
  <c r="AB27" i="7"/>
  <c r="F6" i="8"/>
  <c r="C35" i="11"/>
  <c r="C36" i="11"/>
  <c r="I93" i="3"/>
  <c r="C29" i="11" s="1"/>
  <c r="C32" i="11"/>
  <c r="C16" i="10"/>
  <c r="O19" i="8"/>
  <c r="O18" i="8"/>
  <c r="I87" i="3"/>
  <c r="C6" i="10"/>
  <c r="I89" i="3"/>
  <c r="I86" i="3"/>
  <c r="I88" i="3"/>
  <c r="AC51" i="8"/>
  <c r="Z51" i="8"/>
  <c r="B52" i="9"/>
  <c r="BL52" i="8"/>
  <c r="V51" i="8"/>
  <c r="Q52" i="8"/>
  <c r="Y51" i="8" s="1"/>
  <c r="AA51" i="8" s="1"/>
  <c r="S51" i="8"/>
  <c r="R52" i="8"/>
  <c r="B19" i="9"/>
  <c r="BL19" i="8"/>
  <c r="R19" i="8"/>
  <c r="Q19" i="8"/>
  <c r="V18" i="8"/>
  <c r="S18" i="8"/>
  <c r="B177" i="5"/>
  <c r="AC21" i="8"/>
  <c r="Z21" i="8"/>
  <c r="Z103" i="8"/>
  <c r="AC103" i="8"/>
  <c r="B30" i="9"/>
  <c r="BL30" i="8"/>
  <c r="S29" i="8"/>
  <c r="Q30" i="8"/>
  <c r="BL101" i="8"/>
  <c r="R30" i="8"/>
  <c r="V29" i="8"/>
  <c r="Z67" i="8"/>
  <c r="AC67" i="8"/>
  <c r="O11" i="8" a="1"/>
  <c r="O11" i="8" s="1"/>
  <c r="AY35" i="8" s="1"/>
  <c r="R93" i="8"/>
  <c r="BL93" i="8"/>
  <c r="Q93" i="8"/>
  <c r="S92" i="8"/>
  <c r="B93" i="9"/>
  <c r="V92" i="8"/>
  <c r="B104" i="9"/>
  <c r="R104" i="8"/>
  <c r="V104" i="8"/>
  <c r="Q104" i="8"/>
  <c r="AB103" i="8" s="1"/>
  <c r="S103" i="8"/>
  <c r="V103" i="8"/>
  <c r="U73" i="8"/>
  <c r="AB73" i="8"/>
  <c r="Y73" i="8"/>
  <c r="AA73" i="8" s="1"/>
  <c r="BL58" i="8"/>
  <c r="R58" i="8"/>
  <c r="B58" i="9"/>
  <c r="S57" i="8"/>
  <c r="Q58" i="8"/>
  <c r="V57" i="8"/>
  <c r="Z84" i="8"/>
  <c r="AC84" i="8"/>
  <c r="B28" i="9"/>
  <c r="BL99" i="8"/>
  <c r="BL28" i="8"/>
  <c r="S27" i="8"/>
  <c r="R28" i="8"/>
  <c r="V27" i="8"/>
  <c r="Q28" i="8"/>
  <c r="BL100" i="8"/>
  <c r="BL29" i="8"/>
  <c r="S28" i="8"/>
  <c r="B29" i="9"/>
  <c r="Q29" i="8"/>
  <c r="R29" i="8"/>
  <c r="V28" i="8"/>
  <c r="O76" i="5"/>
  <c r="O77" i="5" s="1"/>
  <c r="E148" i="5"/>
  <c r="E200" i="5"/>
  <c r="E96" i="5"/>
  <c r="E18" i="5"/>
  <c r="E45" i="5" s="1"/>
  <c r="E48" i="5" s="1"/>
  <c r="E122" i="5"/>
  <c r="E125" i="5" s="1"/>
  <c r="E47" i="5"/>
  <c r="F9" i="5"/>
  <c r="E174" i="5"/>
  <c r="B75" i="9"/>
  <c r="R75" i="8"/>
  <c r="V74" i="8"/>
  <c r="Q75" i="8"/>
  <c r="U74" i="8" s="1"/>
  <c r="BL75" i="8"/>
  <c r="S74" i="8"/>
  <c r="B23" i="9"/>
  <c r="S22" i="8"/>
  <c r="V22" i="8"/>
  <c r="Q23" i="8"/>
  <c r="R23" i="8"/>
  <c r="BL23" i="8"/>
  <c r="Z94" i="8"/>
  <c r="AC94" i="8"/>
  <c r="B37" i="9"/>
  <c r="Q37" i="8"/>
  <c r="BL37" i="8"/>
  <c r="V36" i="8"/>
  <c r="R37" i="8"/>
  <c r="S36" i="8"/>
  <c r="AX200" i="7"/>
  <c r="AX199" i="7"/>
  <c r="AX194" i="7"/>
  <c r="AX183" i="7"/>
  <c r="AX178" i="7"/>
  <c r="AX162" i="7"/>
  <c r="AX161" i="7"/>
  <c r="AX146" i="7"/>
  <c r="AX145" i="7"/>
  <c r="AX142" i="7"/>
  <c r="AX140" i="7"/>
  <c r="AX138" i="7"/>
  <c r="AX136" i="7"/>
  <c r="AX134" i="7"/>
  <c r="AX132" i="7"/>
  <c r="AX130" i="7"/>
  <c r="AX128" i="7"/>
  <c r="AX126" i="7"/>
  <c r="AX124" i="7"/>
  <c r="AX122" i="7"/>
  <c r="AX120" i="7"/>
  <c r="AX118" i="7"/>
  <c r="AX116" i="7"/>
  <c r="AX114" i="7"/>
  <c r="AX112" i="7"/>
  <c r="AX110" i="7"/>
  <c r="AX108" i="7"/>
  <c r="AX106" i="7"/>
  <c r="AX104" i="7"/>
  <c r="AX102" i="7"/>
  <c r="AX100" i="7"/>
  <c r="AX98" i="7"/>
  <c r="AX96" i="7"/>
  <c r="AX94" i="7"/>
  <c r="AX92" i="7"/>
  <c r="AX90" i="7"/>
  <c r="AX88" i="7"/>
  <c r="AX86" i="7"/>
  <c r="AX84" i="7"/>
  <c r="AX82" i="7"/>
  <c r="AX80" i="7"/>
  <c r="AX78" i="7"/>
  <c r="AX76" i="7"/>
  <c r="AX74" i="7"/>
  <c r="AX72" i="7"/>
  <c r="AX70" i="7"/>
  <c r="AX68" i="7"/>
  <c r="AX32" i="7"/>
  <c r="AX27" i="7"/>
  <c r="AX198" i="7"/>
  <c r="AX187" i="7"/>
  <c r="AX182" i="7"/>
  <c r="AX171" i="7"/>
  <c r="AX166" i="7"/>
  <c r="AX165" i="7"/>
  <c r="AX150" i="7"/>
  <c r="AX149" i="7"/>
  <c r="AX66" i="7"/>
  <c r="AX64" i="7"/>
  <c r="AX62" i="7"/>
  <c r="AX60" i="7"/>
  <c r="AX58" i="7"/>
  <c r="AX56" i="7"/>
  <c r="AX54" i="7"/>
  <c r="AX52" i="7"/>
  <c r="AX50" i="7"/>
  <c r="AX48" i="7"/>
  <c r="AX46" i="7"/>
  <c r="AX41" i="7"/>
  <c r="AX39" i="7"/>
  <c r="AX37" i="7"/>
  <c r="AX28" i="7"/>
  <c r="AX202" i="7"/>
  <c r="AX197" i="7"/>
  <c r="AX188" i="7"/>
  <c r="AX179" i="7"/>
  <c r="AX176" i="7"/>
  <c r="AX170" i="7"/>
  <c r="AX155" i="7"/>
  <c r="AX153" i="7"/>
  <c r="AX152" i="7"/>
  <c r="AX151" i="7"/>
  <c r="AX204" i="7"/>
  <c r="AX185" i="7"/>
  <c r="AX180" i="7"/>
  <c r="AX173" i="7"/>
  <c r="AX148" i="7"/>
  <c r="AX147" i="7"/>
  <c r="AX141" i="7"/>
  <c r="AX139" i="7"/>
  <c r="AX137" i="7"/>
  <c r="AX135" i="7"/>
  <c r="AX133" i="7"/>
  <c r="AX201" i="7"/>
  <c r="AX196" i="7"/>
  <c r="AX189" i="7"/>
  <c r="AX163" i="7"/>
  <c r="AX195" i="7"/>
  <c r="AX192" i="7"/>
  <c r="AX175" i="7"/>
  <c r="AX174" i="7"/>
  <c r="AX158" i="7"/>
  <c r="AX186" i="7"/>
  <c r="AX167" i="7"/>
  <c r="AX45" i="7"/>
  <c r="AX43" i="7"/>
  <c r="AX35" i="7"/>
  <c r="AX33" i="7"/>
  <c r="AX23" i="7"/>
  <c r="AX20" i="7"/>
  <c r="AX172" i="7"/>
  <c r="AX169" i="7"/>
  <c r="AX159" i="7"/>
  <c r="AX67" i="7"/>
  <c r="AX29" i="7"/>
  <c r="AX190" i="7"/>
  <c r="AX144" i="7"/>
  <c r="AX143" i="7"/>
  <c r="AX131" i="7"/>
  <c r="AX127" i="7"/>
  <c r="AX123" i="7"/>
  <c r="AX119" i="7"/>
  <c r="AX115" i="7"/>
  <c r="AX111" i="7"/>
  <c r="AX107" i="7"/>
  <c r="AX103" i="7"/>
  <c r="AX99" i="7"/>
  <c r="AX95" i="7"/>
  <c r="AX91" i="7"/>
  <c r="AX87" i="7"/>
  <c r="AX83" i="7"/>
  <c r="AX79" i="7"/>
  <c r="AX75" i="7"/>
  <c r="AX71" i="7"/>
  <c r="AX168" i="7"/>
  <c r="AX61" i="7"/>
  <c r="AX191" i="7"/>
  <c r="AX181" i="7"/>
  <c r="AX177" i="7"/>
  <c r="AX160" i="7"/>
  <c r="AX156" i="7"/>
  <c r="AX203" i="7"/>
  <c r="AX154" i="7"/>
  <c r="AX65" i="7"/>
  <c r="AX49" i="7"/>
  <c r="AX125" i="7"/>
  <c r="AX109" i="7"/>
  <c r="AX81" i="7"/>
  <c r="AX59" i="7"/>
  <c r="AX36" i="7"/>
  <c r="AX26" i="7"/>
  <c r="AX16" i="7"/>
  <c r="AX13" i="7"/>
  <c r="AX9" i="7"/>
  <c r="AX93" i="7"/>
  <c r="AX63" i="7"/>
  <c r="AX55" i="7"/>
  <c r="AX53" i="7"/>
  <c r="AX42" i="7"/>
  <c r="AX30" i="7"/>
  <c r="AX19" i="7"/>
  <c r="AX15" i="7"/>
  <c r="AX14" i="7"/>
  <c r="AX101" i="7"/>
  <c r="AX21" i="7"/>
  <c r="AX157" i="7"/>
  <c r="AX121" i="7"/>
  <c r="AX105" i="7"/>
  <c r="AX73" i="7"/>
  <c r="AX18" i="7"/>
  <c r="AX10" i="7"/>
  <c r="AX117" i="7"/>
  <c r="AX85" i="7"/>
  <c r="AX31" i="7"/>
  <c r="AX7" i="7"/>
  <c r="AX5" i="7"/>
  <c r="AX3" i="7"/>
  <c r="AX184" i="7"/>
  <c r="AX47" i="7"/>
  <c r="AX193" i="7"/>
  <c r="AX51" i="7"/>
  <c r="AX25" i="7"/>
  <c r="AX12" i="7"/>
  <c r="AX6" i="7"/>
  <c r="AX164" i="7"/>
  <c r="AX38" i="7"/>
  <c r="AX8" i="7"/>
  <c r="AX97" i="7"/>
  <c r="AX69" i="7"/>
  <c r="AX44" i="7"/>
  <c r="AX17" i="7"/>
  <c r="AX11" i="7"/>
  <c r="AX129" i="7"/>
  <c r="AX34" i="7"/>
  <c r="AX22" i="7"/>
  <c r="AX89" i="7"/>
  <c r="AX57" i="7"/>
  <c r="AX4" i="7"/>
  <c r="AX77" i="7"/>
  <c r="AX40" i="7"/>
  <c r="AX113" i="7"/>
  <c r="AX24" i="7"/>
  <c r="A25" i="7"/>
  <c r="A32" i="7"/>
  <c r="AC32" i="8"/>
  <c r="Z32" i="8"/>
  <c r="Z88" i="8"/>
  <c r="AC88" i="8"/>
  <c r="S24" i="8"/>
  <c r="V24" i="8"/>
  <c r="R25" i="8"/>
  <c r="B25" i="9"/>
  <c r="BL25" i="8"/>
  <c r="BL96" i="8"/>
  <c r="Q25" i="8"/>
  <c r="U82" i="8"/>
  <c r="AB82" i="8"/>
  <c r="Y82" i="8"/>
  <c r="AA82" i="8" s="1"/>
  <c r="B17" i="9"/>
  <c r="Q17" i="8"/>
  <c r="R17" i="8"/>
  <c r="V16" i="8"/>
  <c r="S16" i="8"/>
  <c r="BL17" i="8"/>
  <c r="R87" i="8"/>
  <c r="B87" i="9"/>
  <c r="V86" i="8"/>
  <c r="S86" i="8"/>
  <c r="BL87" i="8"/>
  <c r="Q87" i="8"/>
  <c r="Y86" i="8" s="1"/>
  <c r="AA86" i="8" s="1"/>
  <c r="B55" i="9"/>
  <c r="BL55" i="8"/>
  <c r="R55" i="8"/>
  <c r="V54" i="8"/>
  <c r="Q55" i="8"/>
  <c r="S54" i="8"/>
  <c r="B15" i="9"/>
  <c r="S14" i="8"/>
  <c r="BL15" i="8"/>
  <c r="R15" i="8"/>
  <c r="V14" i="8"/>
  <c r="Q15" i="8"/>
  <c r="R92" i="8"/>
  <c r="B92" i="9"/>
  <c r="S91" i="8"/>
  <c r="V91" i="8"/>
  <c r="Q92" i="8"/>
  <c r="BL92" i="8"/>
  <c r="B100" i="9"/>
  <c r="R100" i="8"/>
  <c r="Q100" i="8"/>
  <c r="Y99" i="8" s="1"/>
  <c r="AA99" i="8" s="1"/>
  <c r="S99" i="8"/>
  <c r="V99" i="8"/>
  <c r="O64" i="5"/>
  <c r="O66" i="5" s="1"/>
  <c r="B50" i="5"/>
  <c r="E49" i="5"/>
  <c r="D49" i="5"/>
  <c r="C49" i="5"/>
  <c r="B22" i="9"/>
  <c r="V21" i="8"/>
  <c r="R22" i="8"/>
  <c r="S21" i="8"/>
  <c r="BL22" i="8"/>
  <c r="Q22" i="8"/>
  <c r="U21" i="8" s="1"/>
  <c r="B27" i="9"/>
  <c r="BL27" i="8"/>
  <c r="S26" i="8"/>
  <c r="R27" i="8"/>
  <c r="BL98" i="8"/>
  <c r="Q27" i="8"/>
  <c r="V26" i="8"/>
  <c r="AB8" i="8"/>
  <c r="U8" i="8"/>
  <c r="Y8" i="8"/>
  <c r="AA8" i="8" s="1"/>
  <c r="R77" i="8"/>
  <c r="BL77" i="8"/>
  <c r="B77" i="9"/>
  <c r="Q77" i="8"/>
  <c r="S76" i="8"/>
  <c r="V76" i="8"/>
  <c r="U61" i="8"/>
  <c r="Y61" i="8"/>
  <c r="AA61" i="8" s="1"/>
  <c r="AB61" i="8"/>
  <c r="B66" i="9"/>
  <c r="R66" i="8"/>
  <c r="V65" i="8"/>
  <c r="S65" i="8"/>
  <c r="Q66" i="8"/>
  <c r="BL66" i="8"/>
  <c r="B71" i="9"/>
  <c r="R71" i="8"/>
  <c r="BL71" i="8"/>
  <c r="S70" i="8"/>
  <c r="V70" i="8"/>
  <c r="Q71" i="8"/>
  <c r="B10" i="9"/>
  <c r="S9" i="8"/>
  <c r="Q10" i="8"/>
  <c r="AB9" i="8" s="1"/>
  <c r="R10" i="8"/>
  <c r="BL10" i="8"/>
  <c r="V9" i="8"/>
  <c r="AT3" i="7"/>
  <c r="AU3" i="7" s="1"/>
  <c r="AC62" i="8"/>
  <c r="Z62" i="8"/>
  <c r="Z81" i="8"/>
  <c r="AC81" i="8"/>
  <c r="J17" i="7"/>
  <c r="J16" i="7"/>
  <c r="J15" i="7"/>
  <c r="J5" i="7"/>
  <c r="J13" i="7"/>
  <c r="J11" i="7"/>
  <c r="J3" i="7"/>
  <c r="J9" i="7"/>
  <c r="J6" i="7"/>
  <c r="J19" i="7"/>
  <c r="J8" i="7"/>
  <c r="J4" i="7"/>
  <c r="J7" i="7"/>
  <c r="J10" i="7"/>
  <c r="U32" i="8"/>
  <c r="Y32" i="8"/>
  <c r="AA32" i="8" s="1"/>
  <c r="AB32" i="8"/>
  <c r="Y40" i="8"/>
  <c r="AA40" i="8" s="1"/>
  <c r="U40" i="8"/>
  <c r="AB40" i="8"/>
  <c r="B63" i="9"/>
  <c r="BL63" i="8"/>
  <c r="R63" i="8"/>
  <c r="S62" i="8"/>
  <c r="V62" i="8"/>
  <c r="Q63" i="8"/>
  <c r="U62" i="8" s="1"/>
  <c r="C125" i="5"/>
  <c r="D125" i="5"/>
  <c r="B126" i="5"/>
  <c r="U80" i="8"/>
  <c r="AB80" i="8"/>
  <c r="Y80" i="8"/>
  <c r="AA80" i="8" s="1"/>
  <c r="Z83" i="8"/>
  <c r="AC83" i="8"/>
  <c r="B204" i="5"/>
  <c r="B57" i="9"/>
  <c r="BL57" i="8"/>
  <c r="S56" i="8"/>
  <c r="V56" i="8"/>
  <c r="R57" i="8"/>
  <c r="Q57" i="8"/>
  <c r="U60" i="8"/>
  <c r="Y60" i="8"/>
  <c r="AA60" i="8" s="1"/>
  <c r="AB60" i="8"/>
  <c r="Z86" i="8"/>
  <c r="AC86" i="8"/>
  <c r="AC11" i="8"/>
  <c r="Z11" i="8"/>
  <c r="AB83" i="8"/>
  <c r="U83" i="8"/>
  <c r="Y83" i="8"/>
  <c r="AA83" i="8" s="1"/>
  <c r="AC61" i="8"/>
  <c r="Z61" i="8"/>
  <c r="V37" i="8"/>
  <c r="AC40" i="8"/>
  <c r="Z40" i="8"/>
  <c r="Z74" i="8"/>
  <c r="AC74" i="8"/>
  <c r="B6" i="9"/>
  <c r="BL6" i="8"/>
  <c r="BL7" i="8" s="1"/>
  <c r="R6" i="8"/>
  <c r="V5" i="8"/>
  <c r="S5" i="8"/>
  <c r="T5" i="8" s="1"/>
  <c r="Q6" i="8"/>
  <c r="AB5" i="8" s="1"/>
  <c r="U81" i="8"/>
  <c r="Y81" i="8"/>
  <c r="AA81" i="8" s="1"/>
  <c r="AB81" i="8"/>
  <c r="B47" i="9"/>
  <c r="Q47" i="8"/>
  <c r="R47" i="8"/>
  <c r="BL47" i="8"/>
  <c r="S46" i="8"/>
  <c r="V46" i="8"/>
  <c r="U84" i="8"/>
  <c r="Y84" i="8"/>
  <c r="AA84" i="8" s="1"/>
  <c r="AB84" i="8"/>
  <c r="R76" i="8"/>
  <c r="Q76" i="8"/>
  <c r="S75" i="8"/>
  <c r="V75" i="8"/>
  <c r="B76" i="9"/>
  <c r="BL76" i="8"/>
  <c r="B20" i="9"/>
  <c r="BL20" i="8"/>
  <c r="Q20" i="8"/>
  <c r="V19" i="8"/>
  <c r="S19" i="8"/>
  <c r="R20" i="8"/>
  <c r="B44" i="9"/>
  <c r="R44" i="8"/>
  <c r="S43" i="8"/>
  <c r="Q44" i="8"/>
  <c r="V43" i="8"/>
  <c r="BL44" i="8"/>
  <c r="C99" i="5"/>
  <c r="B100" i="5"/>
  <c r="D99" i="5"/>
  <c r="B49" i="9"/>
  <c r="BL49" i="8"/>
  <c r="V48" i="8"/>
  <c r="Q49" i="8"/>
  <c r="R49" i="8"/>
  <c r="S48" i="8"/>
  <c r="B43" i="9"/>
  <c r="V42" i="8"/>
  <c r="BL43" i="8"/>
  <c r="Q43" i="8"/>
  <c r="S42" i="8"/>
  <c r="R43" i="8"/>
  <c r="Z35" i="8"/>
  <c r="AC35" i="8"/>
  <c r="Z72" i="8"/>
  <c r="AC72" i="8"/>
  <c r="B48" i="9"/>
  <c r="BL48" i="8"/>
  <c r="Q48" i="8"/>
  <c r="R48" i="8"/>
  <c r="V47" i="8"/>
  <c r="S47" i="8"/>
  <c r="Z90" i="8"/>
  <c r="AC90" i="8"/>
  <c r="B26" i="9"/>
  <c r="S25" i="8"/>
  <c r="Q26" i="8"/>
  <c r="V25" i="8"/>
  <c r="R26" i="8"/>
  <c r="BL97" i="8"/>
  <c r="BL26" i="8"/>
  <c r="B46" i="9"/>
  <c r="R46" i="8"/>
  <c r="S45" i="8"/>
  <c r="BL46" i="8"/>
  <c r="Q46" i="8"/>
  <c r="V45" i="8"/>
  <c r="B3" i="8" a="1"/>
  <c r="B3" i="8" s="1"/>
  <c r="AB85" i="8"/>
  <c r="U85" i="8"/>
  <c r="Y85" i="8"/>
  <c r="AA85" i="8" s="1"/>
  <c r="Z80" i="8"/>
  <c r="AC80" i="8"/>
  <c r="B91" i="9"/>
  <c r="R91" i="8"/>
  <c r="Q91" i="8"/>
  <c r="Y90" i="8" s="1"/>
  <c r="AA90" i="8" s="1"/>
  <c r="S90" i="8"/>
  <c r="BL91" i="8"/>
  <c r="V90" i="8"/>
  <c r="B97" i="9"/>
  <c r="R97" i="8"/>
  <c r="V96" i="8"/>
  <c r="Q97" i="8"/>
  <c r="S96" i="8"/>
  <c r="B98" i="9"/>
  <c r="R98" i="8"/>
  <c r="Q98" i="8"/>
  <c r="S97" i="8"/>
  <c r="V97" i="8"/>
  <c r="Z73" i="8"/>
  <c r="AC73" i="8"/>
  <c r="B16" i="9"/>
  <c r="R16" i="8"/>
  <c r="S15" i="8"/>
  <c r="V15" i="8"/>
  <c r="Q16" i="8"/>
  <c r="BL16" i="8"/>
  <c r="V66" i="8"/>
  <c r="B50" i="9"/>
  <c r="BL50" i="8"/>
  <c r="R50" i="8"/>
  <c r="S49" i="8"/>
  <c r="Q50" i="8"/>
  <c r="V49" i="8"/>
  <c r="B31" i="9"/>
  <c r="BL102" i="8"/>
  <c r="BL31" i="8"/>
  <c r="S30" i="8"/>
  <c r="R31" i="8"/>
  <c r="V30" i="8"/>
  <c r="Q31" i="8"/>
  <c r="BL54" i="8"/>
  <c r="R54" i="8"/>
  <c r="Q54" i="8"/>
  <c r="S53" i="8"/>
  <c r="B54" i="9"/>
  <c r="V53" i="8"/>
  <c r="D151" i="5"/>
  <c r="E151" i="5"/>
  <c r="C151" i="5"/>
  <c r="B152" i="5"/>
  <c r="V71" i="8"/>
  <c r="B64" i="9"/>
  <c r="R64" i="8"/>
  <c r="BL64" i="8"/>
  <c r="S63" i="8"/>
  <c r="Q64" i="8"/>
  <c r="V63" i="8"/>
  <c r="B14" i="9"/>
  <c r="S13" i="8"/>
  <c r="V13" i="8"/>
  <c r="Q14" i="8"/>
  <c r="AB13" i="8" s="1"/>
  <c r="BL14" i="8"/>
  <c r="R14" i="8"/>
  <c r="Z82" i="8"/>
  <c r="AC82" i="8"/>
  <c r="B34" i="9"/>
  <c r="R34" i="8"/>
  <c r="S33" i="8"/>
  <c r="BL34" i="8"/>
  <c r="Q34" i="8"/>
  <c r="U33" i="8" s="1"/>
  <c r="V33" i="8"/>
  <c r="B56" i="9"/>
  <c r="BL56" i="8"/>
  <c r="S55" i="8"/>
  <c r="V55" i="8"/>
  <c r="R56" i="8"/>
  <c r="Q56" i="8"/>
  <c r="N6" i="8"/>
  <c r="T6" i="9" s="1"/>
  <c r="O4" i="8" a="1"/>
  <c r="O4" i="8" s="1"/>
  <c r="N18" i="8" s="1"/>
  <c r="N5" i="8"/>
  <c r="T5" i="9" s="1"/>
  <c r="B79" i="9"/>
  <c r="R79" i="8"/>
  <c r="BL79" i="8"/>
  <c r="Q79" i="8"/>
  <c r="S78" i="8"/>
  <c r="V78" i="8"/>
  <c r="B7" i="9"/>
  <c r="V6" i="8"/>
  <c r="Q7" i="8"/>
  <c r="S6" i="8"/>
  <c r="R7" i="8"/>
  <c r="B95" i="9"/>
  <c r="R95" i="8"/>
  <c r="Q95" i="8"/>
  <c r="V94" i="8"/>
  <c r="S94" i="8"/>
  <c r="B18" i="9"/>
  <c r="S17" i="8"/>
  <c r="V17" i="8"/>
  <c r="Q18" i="8"/>
  <c r="BL18" i="8"/>
  <c r="R18" i="8"/>
  <c r="AC8" i="8"/>
  <c r="Z8" i="8"/>
  <c r="B65" i="9"/>
  <c r="R65" i="8"/>
  <c r="V64" i="8"/>
  <c r="Q65" i="8"/>
  <c r="BL65" i="8"/>
  <c r="S64" i="8"/>
  <c r="B12" i="9"/>
  <c r="BL12" i="8"/>
  <c r="Q12" i="8"/>
  <c r="Y11" i="8" s="1"/>
  <c r="AA11" i="8" s="1"/>
  <c r="S11" i="8"/>
  <c r="R12" i="8"/>
  <c r="V11" i="8"/>
  <c r="Z38" i="8"/>
  <c r="AC38" i="8"/>
  <c r="Z101" i="8"/>
  <c r="AC101" i="8"/>
  <c r="B78" i="9"/>
  <c r="R78" i="8"/>
  <c r="Q78" i="8"/>
  <c r="S77" i="8"/>
  <c r="BL78" i="8"/>
  <c r="V77" i="8"/>
  <c r="B39" i="9"/>
  <c r="Q39" i="8"/>
  <c r="AB38" i="8" s="1"/>
  <c r="R39" i="8"/>
  <c r="S38" i="8"/>
  <c r="V38" i="8"/>
  <c r="BL39" i="8"/>
  <c r="B102" i="9"/>
  <c r="R102" i="8"/>
  <c r="Q102" i="8"/>
  <c r="AB101" i="8" s="1"/>
  <c r="V101" i="8"/>
  <c r="S101" i="8"/>
  <c r="D123" i="5"/>
  <c r="D150" i="5"/>
  <c r="Z105" i="8"/>
  <c r="AC105" i="8"/>
  <c r="AC41" i="8"/>
  <c r="Z41" i="8"/>
  <c r="B53" i="9"/>
  <c r="BL53" i="8"/>
  <c r="V52" i="8"/>
  <c r="Q53" i="8"/>
  <c r="S52" i="8"/>
  <c r="R53" i="8"/>
  <c r="AC9" i="8"/>
  <c r="Z9" i="8"/>
  <c r="Z85" i="8"/>
  <c r="AC85" i="8"/>
  <c r="Z99" i="8"/>
  <c r="AC99" i="8"/>
  <c r="AB72" i="8"/>
  <c r="Y72" i="8"/>
  <c r="AA72" i="8" s="1"/>
  <c r="U72" i="8"/>
  <c r="B45" i="9"/>
  <c r="Q45" i="8"/>
  <c r="V44" i="8"/>
  <c r="BL45" i="8"/>
  <c r="R45" i="8"/>
  <c r="S44" i="8"/>
  <c r="B42" i="9"/>
  <c r="BL42" i="8"/>
  <c r="Q42" i="8"/>
  <c r="U41" i="8" s="1"/>
  <c r="V41" i="8"/>
  <c r="R42" i="8"/>
  <c r="S41" i="8"/>
  <c r="R89" i="8"/>
  <c r="B89" i="9"/>
  <c r="BL89" i="8"/>
  <c r="Q89" i="8"/>
  <c r="AB88" i="8" s="1"/>
  <c r="V88" i="8"/>
  <c r="S88" i="8"/>
  <c r="AC33" i="8"/>
  <c r="Z33" i="8"/>
  <c r="D149" i="5"/>
  <c r="AC5" i="8"/>
  <c r="AE4" i="8"/>
  <c r="Z5" i="8"/>
  <c r="AI4" i="8"/>
  <c r="AC13" i="8"/>
  <c r="Z13" i="8"/>
  <c r="B96" i="9"/>
  <c r="R96" i="8"/>
  <c r="S95" i="8"/>
  <c r="V95" i="8"/>
  <c r="Q96" i="8"/>
  <c r="AB41" i="8"/>
  <c r="AC60" i="8"/>
  <c r="Z60" i="8"/>
  <c r="R36" i="8"/>
  <c r="Q36" i="8"/>
  <c r="AB35" i="8" s="1"/>
  <c r="V35" i="8"/>
  <c r="B36" i="9"/>
  <c r="BL36" i="8"/>
  <c r="S35" i="8"/>
  <c r="V50" i="8"/>
  <c r="B68" i="9"/>
  <c r="R68" i="8"/>
  <c r="Q68" i="8"/>
  <c r="Y67" i="8" s="1"/>
  <c r="AA67" i="8" s="1"/>
  <c r="S67" i="8"/>
  <c r="BL68" i="8"/>
  <c r="V67" i="8"/>
  <c r="AC24" i="8"/>
  <c r="Z24" i="8"/>
  <c r="B69" i="9"/>
  <c r="R69" i="8"/>
  <c r="BL69" i="8"/>
  <c r="Q69" i="8"/>
  <c r="S68" i="8"/>
  <c r="V68" i="8"/>
  <c r="B70" i="9"/>
  <c r="R70" i="8"/>
  <c r="Q70" i="8"/>
  <c r="S69" i="8"/>
  <c r="V69" i="8"/>
  <c r="BL70" i="8"/>
  <c r="B59" i="9"/>
  <c r="BL59" i="8"/>
  <c r="R59" i="8"/>
  <c r="V58" i="8"/>
  <c r="S58" i="8"/>
  <c r="Q59" i="8"/>
  <c r="E175" i="5"/>
  <c r="C203" i="5"/>
  <c r="C176" i="5"/>
  <c r="D203" i="5"/>
  <c r="D176" i="5"/>
  <c r="C25" i="11" l="1"/>
  <c r="C22" i="11"/>
  <c r="C26" i="11"/>
  <c r="C24" i="11"/>
  <c r="Y13" i="8"/>
  <c r="AA13" i="8" s="1"/>
  <c r="AB86" i="8"/>
  <c r="Y74" i="8"/>
  <c r="AA74" i="8" s="1"/>
  <c r="U86" i="8"/>
  <c r="U103" i="8"/>
  <c r="Y103" i="8"/>
  <c r="AA103" i="8" s="1"/>
  <c r="AB74" i="8"/>
  <c r="U101" i="8"/>
  <c r="U51" i="8"/>
  <c r="AB62" i="8"/>
  <c r="U90" i="8"/>
  <c r="Y62" i="8"/>
  <c r="AA62" i="8" s="1"/>
  <c r="AB51" i="8"/>
  <c r="U99" i="8"/>
  <c r="AB67" i="8"/>
  <c r="Y35" i="8"/>
  <c r="AA35" i="8" s="1"/>
  <c r="U35" i="8"/>
  <c r="Y9" i="8"/>
  <c r="AA9" i="8" s="1"/>
  <c r="AB33" i="8"/>
  <c r="AB11" i="8"/>
  <c r="U38" i="8"/>
  <c r="U13" i="8"/>
  <c r="AY49" i="8"/>
  <c r="BA49" i="8" s="1"/>
  <c r="AY58" i="8"/>
  <c r="BA58" i="8" s="1"/>
  <c r="AY43" i="8"/>
  <c r="BA43" i="8" s="1"/>
  <c r="AY11" i="8"/>
  <c r="BA11" i="8" s="1"/>
  <c r="AY92" i="8"/>
  <c r="BA92" i="8" s="1"/>
  <c r="AY27" i="8"/>
  <c r="BA27" i="8" s="1"/>
  <c r="AY44" i="8"/>
  <c r="BA44" i="8" s="1"/>
  <c r="AY96" i="8"/>
  <c r="E97" i="5"/>
  <c r="E98" i="5"/>
  <c r="U58" i="8"/>
  <c r="AB58" i="8"/>
  <c r="Y58" i="8"/>
  <c r="AA58" i="8" s="1"/>
  <c r="N19" i="8"/>
  <c r="AY87" i="8"/>
  <c r="AY60" i="8"/>
  <c r="AY10" i="8"/>
  <c r="AY98" i="8"/>
  <c r="AY85" i="8"/>
  <c r="AY93" i="8"/>
  <c r="AY39" i="8"/>
  <c r="AY81" i="8"/>
  <c r="AY82" i="8"/>
  <c r="AY80" i="8"/>
  <c r="AY50" i="8"/>
  <c r="AY102" i="8"/>
  <c r="AY8" i="8"/>
  <c r="AY31" i="8"/>
  <c r="AY37" i="8"/>
  <c r="AY61" i="8"/>
  <c r="AY84" i="8"/>
  <c r="AY4" i="8"/>
  <c r="AY83" i="8"/>
  <c r="AY79" i="8"/>
  <c r="AY12" i="8"/>
  <c r="AY20" i="8"/>
  <c r="AY73" i="8"/>
  <c r="AY32" i="8"/>
  <c r="AY72" i="8"/>
  <c r="AY66" i="8"/>
  <c r="AY23" i="8"/>
  <c r="AY40" i="8"/>
  <c r="AY89" i="8"/>
  <c r="AY100" i="8"/>
  <c r="AY71" i="8"/>
  <c r="AY34" i="8"/>
  <c r="AY7" i="8"/>
  <c r="AY59" i="8"/>
  <c r="B178" i="5"/>
  <c r="AC19" i="8"/>
  <c r="Z19" i="8"/>
  <c r="AY69" i="8"/>
  <c r="AB69" i="8"/>
  <c r="Y69" i="8"/>
  <c r="AA69" i="8" s="1"/>
  <c r="U69" i="8"/>
  <c r="Z96" i="8"/>
  <c r="AC96" i="8"/>
  <c r="AY88" i="8"/>
  <c r="AC42" i="8"/>
  <c r="Z42" i="8"/>
  <c r="AY38" i="8"/>
  <c r="Z12" i="8"/>
  <c r="AC12" i="8"/>
  <c r="Y95" i="8"/>
  <c r="AA95" i="8" s="1"/>
  <c r="U95" i="8"/>
  <c r="AB95" i="8"/>
  <c r="Y79" i="8"/>
  <c r="AA79" i="8" s="1"/>
  <c r="AB79" i="8"/>
  <c r="U79" i="8"/>
  <c r="U56" i="8"/>
  <c r="Y56" i="8"/>
  <c r="AA56" i="8" s="1"/>
  <c r="AB56" i="8"/>
  <c r="AY33" i="8"/>
  <c r="Z64" i="8"/>
  <c r="AC64" i="8"/>
  <c r="B153" i="5"/>
  <c r="E152" i="5"/>
  <c r="D152" i="5"/>
  <c r="C152" i="5"/>
  <c r="AY53" i="8"/>
  <c r="Y16" i="8"/>
  <c r="AA16" i="8" s="1"/>
  <c r="U16" i="8"/>
  <c r="AB16" i="8"/>
  <c r="U91" i="8"/>
  <c r="AB91" i="8"/>
  <c r="Y91" i="8"/>
  <c r="AA91" i="8" s="1"/>
  <c r="Z46" i="8"/>
  <c r="AC46" i="8"/>
  <c r="AY25" i="8"/>
  <c r="AC48" i="8"/>
  <c r="Z48" i="8"/>
  <c r="AY19" i="8"/>
  <c r="B127" i="5"/>
  <c r="D126" i="5"/>
  <c r="E126" i="5"/>
  <c r="C126" i="5"/>
  <c r="Z71" i="8"/>
  <c r="AC71" i="8"/>
  <c r="U11" i="8"/>
  <c r="AB77" i="8"/>
  <c r="Y77" i="8"/>
  <c r="AA77" i="8" s="1"/>
  <c r="U77" i="8"/>
  <c r="U27" i="8"/>
  <c r="AB27" i="8"/>
  <c r="Y27" i="8"/>
  <c r="AA27" i="8" s="1"/>
  <c r="AY14" i="8"/>
  <c r="Y38" i="8"/>
  <c r="AA38" i="8" s="1"/>
  <c r="Z75" i="8"/>
  <c r="AC75" i="8"/>
  <c r="AY28" i="8"/>
  <c r="AY57" i="8"/>
  <c r="AY103" i="8"/>
  <c r="AY104" i="8" s="1"/>
  <c r="AY29" i="8"/>
  <c r="AY67" i="8"/>
  <c r="Y41" i="8"/>
  <c r="AA41" i="8" s="1"/>
  <c r="Y45" i="8"/>
  <c r="AA45" i="8" s="1"/>
  <c r="AB45" i="8"/>
  <c r="U45" i="8"/>
  <c r="AY64" i="8"/>
  <c r="U18" i="8"/>
  <c r="Y18" i="8"/>
  <c r="AA18" i="8" s="1"/>
  <c r="AB18" i="8"/>
  <c r="AY94" i="8"/>
  <c r="AY6" i="8"/>
  <c r="AY78" i="8"/>
  <c r="AY55" i="8"/>
  <c r="AB34" i="8"/>
  <c r="U34" i="8"/>
  <c r="Y34" i="8"/>
  <c r="AA34" i="8" s="1"/>
  <c r="AB90" i="8"/>
  <c r="AY13" i="8"/>
  <c r="AC31" i="8"/>
  <c r="Z31" i="8"/>
  <c r="U50" i="8"/>
  <c r="AB50" i="8"/>
  <c r="Y50" i="8"/>
  <c r="AA50" i="8" s="1"/>
  <c r="AY97" i="8"/>
  <c r="Y97" i="8"/>
  <c r="AA97" i="8" s="1"/>
  <c r="U97" i="8"/>
  <c r="AB97" i="8"/>
  <c r="AY90" i="8"/>
  <c r="Y48" i="8"/>
  <c r="AA48" i="8" s="1"/>
  <c r="AB48" i="8"/>
  <c r="U48" i="8"/>
  <c r="AY42" i="8"/>
  <c r="E100" i="5"/>
  <c r="D100" i="5"/>
  <c r="C100" i="5"/>
  <c r="B101" i="5"/>
  <c r="AY46" i="8"/>
  <c r="Y33" i="8"/>
  <c r="AA33" i="8" s="1"/>
  <c r="AY5" i="8"/>
  <c r="U63" i="8"/>
  <c r="AB63" i="8"/>
  <c r="Y63" i="8"/>
  <c r="AA63" i="8" s="1"/>
  <c r="AY9" i="8"/>
  <c r="U88" i="8"/>
  <c r="AB87" i="8"/>
  <c r="Y87" i="8"/>
  <c r="AA87" i="8" s="1"/>
  <c r="U87" i="8"/>
  <c r="AY24" i="8"/>
  <c r="AY22" i="8"/>
  <c r="U65" i="8"/>
  <c r="AB65" i="8"/>
  <c r="Y65" i="8"/>
  <c r="AA65" i="8" s="1"/>
  <c r="U49" i="8"/>
  <c r="Y49" i="8"/>
  <c r="AA49" i="8" s="1"/>
  <c r="AB49" i="8"/>
  <c r="AB10" i="8"/>
  <c r="Y10" i="8"/>
  <c r="AA10" i="8" s="1"/>
  <c r="U10" i="8"/>
  <c r="Z100" i="8"/>
  <c r="AC100" i="8"/>
  <c r="Z87" i="8"/>
  <c r="AC87" i="8"/>
  <c r="U70" i="8"/>
  <c r="Y70" i="8"/>
  <c r="AA70" i="8" s="1"/>
  <c r="AB70" i="8"/>
  <c r="Z69" i="8"/>
  <c r="AC69" i="8"/>
  <c r="BA35" i="8"/>
  <c r="AB12" i="8"/>
  <c r="U12" i="8"/>
  <c r="Y12" i="8"/>
  <c r="AA12" i="8" s="1"/>
  <c r="Z65" i="8"/>
  <c r="AC65" i="8"/>
  <c r="Z95" i="8"/>
  <c r="AC95" i="8"/>
  <c r="AC56" i="8"/>
  <c r="Z56" i="8"/>
  <c r="Z91" i="8"/>
  <c r="AC91" i="8"/>
  <c r="AB44" i="8"/>
  <c r="U44" i="8"/>
  <c r="Y44" i="8"/>
  <c r="AA44" i="8" s="1"/>
  <c r="AY54" i="8"/>
  <c r="AC37" i="8"/>
  <c r="Z37" i="8"/>
  <c r="AY101" i="8"/>
  <c r="AY77" i="8"/>
  <c r="AY30" i="8"/>
  <c r="Z47" i="8"/>
  <c r="AC47" i="8"/>
  <c r="AC6" i="8"/>
  <c r="T6" i="8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Z6" i="8"/>
  <c r="Y71" i="8"/>
  <c r="AA71" i="8" s="1"/>
  <c r="AB71" i="8"/>
  <c r="U71" i="8"/>
  <c r="Y21" i="8"/>
  <c r="AA21" i="8" s="1"/>
  <c r="AY16" i="8"/>
  <c r="Y104" i="8"/>
  <c r="AA104" i="8" s="1"/>
  <c r="AB104" i="8"/>
  <c r="AD104" i="8" s="1"/>
  <c r="U104" i="8"/>
  <c r="AB96" i="8"/>
  <c r="U96" i="8"/>
  <c r="Y96" i="8"/>
  <c r="AA96" i="8" s="1"/>
  <c r="AY52" i="8"/>
  <c r="AB94" i="8"/>
  <c r="AY26" i="8"/>
  <c r="AY21" i="8"/>
  <c r="E50" i="5"/>
  <c r="C50" i="5"/>
  <c r="B51" i="5"/>
  <c r="D50" i="5"/>
  <c r="AY99" i="8"/>
  <c r="AY91" i="8"/>
  <c r="U55" i="8"/>
  <c r="AB55" i="8"/>
  <c r="Y55" i="8"/>
  <c r="AA55" i="8" s="1"/>
  <c r="AC17" i="8"/>
  <c r="Z17" i="8"/>
  <c r="AC29" i="8"/>
  <c r="Z29" i="8"/>
  <c r="AC30" i="8"/>
  <c r="Z30" i="8"/>
  <c r="U5" i="8"/>
  <c r="AY51" i="8"/>
  <c r="H4" i="9"/>
  <c r="AC18" i="8"/>
  <c r="Z18" i="8"/>
  <c r="AC7" i="8"/>
  <c r="Z7" i="8"/>
  <c r="U31" i="8"/>
  <c r="Y31" i="8"/>
  <c r="AA31" i="8" s="1"/>
  <c r="AB31" i="8"/>
  <c r="U43" i="8"/>
  <c r="AB43" i="8"/>
  <c r="Y43" i="8"/>
  <c r="AA43" i="8" s="1"/>
  <c r="Z66" i="8"/>
  <c r="AC66" i="8"/>
  <c r="Y22" i="8"/>
  <c r="AA22" i="8" s="1"/>
  <c r="U22" i="8"/>
  <c r="AB22" i="8"/>
  <c r="E99" i="5"/>
  <c r="U20" i="8"/>
  <c r="AB20" i="8"/>
  <c r="Y20" i="8"/>
  <c r="AA20" i="8" s="1"/>
  <c r="Y76" i="8"/>
  <c r="AA76" i="8" s="1"/>
  <c r="AB76" i="8"/>
  <c r="U76" i="8"/>
  <c r="U25" i="8"/>
  <c r="AB25" i="8"/>
  <c r="Y25" i="8"/>
  <c r="AA25" i="8" s="1"/>
  <c r="AC52" i="8"/>
  <c r="Z52" i="8"/>
  <c r="AC59" i="8"/>
  <c r="Z59" i="8"/>
  <c r="Z70" i="8"/>
  <c r="AC70" i="8"/>
  <c r="U68" i="8"/>
  <c r="Y68" i="8"/>
  <c r="AA68" i="8" s="1"/>
  <c r="AB68" i="8"/>
  <c r="Z39" i="8"/>
  <c r="AC39" i="8"/>
  <c r="Z79" i="8"/>
  <c r="AC79" i="8"/>
  <c r="AC50" i="8"/>
  <c r="Z50" i="8"/>
  <c r="AY15" i="8"/>
  <c r="Z97" i="8"/>
  <c r="AC97" i="8"/>
  <c r="AY45" i="8"/>
  <c r="Z76" i="8"/>
  <c r="AC76" i="8"/>
  <c r="Y66" i="8"/>
  <c r="AA66" i="8" s="1"/>
  <c r="U66" i="8"/>
  <c r="AB66" i="8"/>
  <c r="Z77" i="8"/>
  <c r="AC77" i="8"/>
  <c r="AB15" i="8"/>
  <c r="Y15" i="8"/>
  <c r="AA15" i="8" s="1"/>
  <c r="U15" i="8"/>
  <c r="AY74" i="8"/>
  <c r="F200" i="5"/>
  <c r="F122" i="5"/>
  <c r="F126" i="5" s="1"/>
  <c r="F148" i="5"/>
  <c r="F174" i="5"/>
  <c r="G9" i="5"/>
  <c r="F96" i="5"/>
  <c r="F18" i="5"/>
  <c r="F45" i="5" s="1"/>
  <c r="F47" i="5"/>
  <c r="U28" i="8"/>
  <c r="Y28" i="8"/>
  <c r="AA28" i="8" s="1"/>
  <c r="AB28" i="8"/>
  <c r="AC58" i="8"/>
  <c r="Z58" i="8"/>
  <c r="Y93" i="8"/>
  <c r="AA93" i="8" s="1"/>
  <c r="U93" i="8"/>
  <c r="AB93" i="8"/>
  <c r="U67" i="8"/>
  <c r="Z68" i="8"/>
  <c r="AC68" i="8"/>
  <c r="AB36" i="8"/>
  <c r="Y36" i="8"/>
  <c r="AA36" i="8" s="1"/>
  <c r="U36" i="8"/>
  <c r="AB102" i="8"/>
  <c r="U102" i="8"/>
  <c r="Y102" i="8"/>
  <c r="AA102" i="8" s="1"/>
  <c r="Y39" i="8"/>
  <c r="AA39" i="8" s="1"/>
  <c r="AB39" i="8"/>
  <c r="U39" i="8"/>
  <c r="AY17" i="8"/>
  <c r="Y24" i="8"/>
  <c r="AA24" i="8" s="1"/>
  <c r="Z34" i="8"/>
  <c r="AC34" i="8"/>
  <c r="AC14" i="8"/>
  <c r="Z14" i="8"/>
  <c r="AB64" i="8"/>
  <c r="Y64" i="8"/>
  <c r="AA64" i="8" s="1"/>
  <c r="U64" i="8"/>
  <c r="Y101" i="8"/>
  <c r="AA101" i="8" s="1"/>
  <c r="U54" i="8"/>
  <c r="AB54" i="8"/>
  <c r="Y54" i="8"/>
  <c r="AA54" i="8" s="1"/>
  <c r="Z16" i="8"/>
  <c r="AC16" i="8"/>
  <c r="AB98" i="8"/>
  <c r="U98" i="8"/>
  <c r="Y98" i="8"/>
  <c r="AA98" i="8" s="1"/>
  <c r="AC26" i="8"/>
  <c r="Z26" i="8"/>
  <c r="Z44" i="8"/>
  <c r="AC44" i="8"/>
  <c r="Y47" i="8"/>
  <c r="AA47" i="8" s="1"/>
  <c r="AB47" i="8"/>
  <c r="U47" i="8"/>
  <c r="U57" i="8"/>
  <c r="Y57" i="8"/>
  <c r="AA57" i="8" s="1"/>
  <c r="AB57" i="8"/>
  <c r="B205" i="5"/>
  <c r="AY62" i="8"/>
  <c r="AY68" i="8"/>
  <c r="Z36" i="8"/>
  <c r="AC36" i="8"/>
  <c r="M4" i="9"/>
  <c r="Z89" i="8"/>
  <c r="AC89" i="8"/>
  <c r="AC5" i="9"/>
  <c r="U53" i="8"/>
  <c r="Y53" i="8"/>
  <c r="AA53" i="8" s="1"/>
  <c r="AB53" i="8"/>
  <c r="Y94" i="8"/>
  <c r="AA94" i="8" s="1"/>
  <c r="Z102" i="8"/>
  <c r="AC102" i="8"/>
  <c r="U78" i="8"/>
  <c r="AB78" i="8"/>
  <c r="Y78" i="8"/>
  <c r="AA78" i="8" s="1"/>
  <c r="U24" i="8"/>
  <c r="AY63" i="8"/>
  <c r="AC54" i="8"/>
  <c r="Z54" i="8"/>
  <c r="Z98" i="8"/>
  <c r="AC98" i="8"/>
  <c r="U46" i="8"/>
  <c r="AB46" i="8"/>
  <c r="Y46" i="8"/>
  <c r="AA46" i="8" s="1"/>
  <c r="AC43" i="8"/>
  <c r="Z43" i="8"/>
  <c r="AC49" i="8"/>
  <c r="Z49" i="8"/>
  <c r="AY56" i="8"/>
  <c r="AC63" i="8"/>
  <c r="Z63" i="8"/>
  <c r="AY76" i="8"/>
  <c r="AC15" i="8"/>
  <c r="Z15" i="8"/>
  <c r="AY86" i="8"/>
  <c r="Y17" i="8"/>
  <c r="AA17" i="8" s="1"/>
  <c r="AB17" i="8"/>
  <c r="U17" i="8"/>
  <c r="Y37" i="8"/>
  <c r="AA37" i="8" s="1"/>
  <c r="U37" i="8"/>
  <c r="AB37" i="8"/>
  <c r="AC23" i="8"/>
  <c r="Z23" i="8"/>
  <c r="E150" i="5"/>
  <c r="E149" i="5"/>
  <c r="E124" i="5"/>
  <c r="E123" i="5"/>
  <c r="U29" i="8"/>
  <c r="AB29" i="8"/>
  <c r="Y29" i="8"/>
  <c r="AA29" i="8" s="1"/>
  <c r="AC28" i="8"/>
  <c r="Z28" i="8"/>
  <c r="Z104" i="8"/>
  <c r="AC104" i="8"/>
  <c r="Z93" i="8"/>
  <c r="AC93" i="8"/>
  <c r="AY18" i="8"/>
  <c r="U52" i="8"/>
  <c r="AB52" i="8"/>
  <c r="Y52" i="8"/>
  <c r="AA52" i="8" s="1"/>
  <c r="U59" i="8"/>
  <c r="AB59" i="8"/>
  <c r="Y59" i="8"/>
  <c r="AA59" i="8" s="1"/>
  <c r="U6" i="8"/>
  <c r="AB6" i="8"/>
  <c r="Y89" i="8"/>
  <c r="AA89" i="8" s="1"/>
  <c r="U89" i="8"/>
  <c r="AB89" i="8"/>
  <c r="AB42" i="8"/>
  <c r="Y42" i="8"/>
  <c r="AA42" i="8" s="1"/>
  <c r="U42" i="8"/>
  <c r="AC53" i="8"/>
  <c r="Z53" i="8"/>
  <c r="AB7" i="8"/>
  <c r="U7" i="8"/>
  <c r="Y7" i="8"/>
  <c r="AA7" i="8" s="1"/>
  <c r="AS204" i="7"/>
  <c r="AS202" i="7"/>
  <c r="AS200" i="7"/>
  <c r="AS198" i="7"/>
  <c r="AS196" i="7"/>
  <c r="AS194" i="7"/>
  <c r="AS192" i="7"/>
  <c r="AS190" i="7"/>
  <c r="AS188" i="7"/>
  <c r="AS186" i="7"/>
  <c r="AS184" i="7"/>
  <c r="AS182" i="7"/>
  <c r="AS180" i="7"/>
  <c r="AS178" i="7"/>
  <c r="AS176" i="7"/>
  <c r="AS174" i="7"/>
  <c r="AS172" i="7"/>
  <c r="AS170" i="7"/>
  <c r="AS203" i="7"/>
  <c r="AS193" i="7"/>
  <c r="AS177" i="7"/>
  <c r="AS168" i="7"/>
  <c r="AS153" i="7"/>
  <c r="AS152" i="7"/>
  <c r="AS35" i="7"/>
  <c r="AS29" i="7"/>
  <c r="AS25" i="7"/>
  <c r="AS21" i="7"/>
  <c r="AS8" i="7"/>
  <c r="AS4" i="7"/>
  <c r="AS197" i="7"/>
  <c r="AS181" i="7"/>
  <c r="AS157" i="7"/>
  <c r="AS156" i="7"/>
  <c r="AS67" i="7"/>
  <c r="AS30" i="7"/>
  <c r="AS22" i="7"/>
  <c r="AS19" i="7"/>
  <c r="AS18" i="7"/>
  <c r="AS13" i="7"/>
  <c r="AS12" i="7"/>
  <c r="AS9" i="7"/>
  <c r="AS5" i="7"/>
  <c r="AS187" i="7"/>
  <c r="AS175" i="7"/>
  <c r="AS160" i="7"/>
  <c r="AS159" i="7"/>
  <c r="AS169" i="7"/>
  <c r="AS158" i="7"/>
  <c r="AS142" i="7"/>
  <c r="AS140" i="7"/>
  <c r="AS138" i="7"/>
  <c r="AS136" i="7"/>
  <c r="AS134" i="7"/>
  <c r="AS132" i="7"/>
  <c r="AS201" i="7"/>
  <c r="AS195" i="7"/>
  <c r="AS189" i="7"/>
  <c r="AS167" i="7"/>
  <c r="AS163" i="7"/>
  <c r="AS179" i="7"/>
  <c r="AS149" i="7"/>
  <c r="AS141" i="7"/>
  <c r="AS42" i="7"/>
  <c r="AS40" i="7"/>
  <c r="AS38" i="7"/>
  <c r="AS36" i="7"/>
  <c r="AS34" i="7"/>
  <c r="AS32" i="7"/>
  <c r="AS28" i="7"/>
  <c r="AS16" i="7"/>
  <c r="AS171" i="7"/>
  <c r="AS164" i="7"/>
  <c r="AS155" i="7"/>
  <c r="AS150" i="7"/>
  <c r="AS143" i="7"/>
  <c r="AS137" i="7"/>
  <c r="AS66" i="7"/>
  <c r="AS64" i="7"/>
  <c r="AS62" i="7"/>
  <c r="AS60" i="7"/>
  <c r="AS58" i="7"/>
  <c r="AS56" i="7"/>
  <c r="AS54" i="7"/>
  <c r="AS52" i="7"/>
  <c r="AS50" i="7"/>
  <c r="AS48" i="7"/>
  <c r="AS46" i="7"/>
  <c r="AS31" i="7"/>
  <c r="AS27" i="7"/>
  <c r="AS24" i="7"/>
  <c r="AS14" i="7"/>
  <c r="AS10" i="7"/>
  <c r="AS148" i="7"/>
  <c r="AS130" i="7"/>
  <c r="AS126" i="7"/>
  <c r="AS122" i="7"/>
  <c r="AS118" i="7"/>
  <c r="AS114" i="7"/>
  <c r="AS110" i="7"/>
  <c r="AS106" i="7"/>
  <c r="AS102" i="7"/>
  <c r="AS98" i="7"/>
  <c r="AS94" i="7"/>
  <c r="AS90" i="7"/>
  <c r="AS86" i="7"/>
  <c r="AS82" i="7"/>
  <c r="AS78" i="7"/>
  <c r="AS74" i="7"/>
  <c r="AS70" i="7"/>
  <c r="AS63" i="7"/>
  <c r="AS199" i="7"/>
  <c r="AS166" i="7"/>
  <c r="AS57" i="7"/>
  <c r="AS37" i="7"/>
  <c r="AS131" i="7"/>
  <c r="AS127" i="7"/>
  <c r="AS123" i="7"/>
  <c r="AS119" i="7"/>
  <c r="AS115" i="7"/>
  <c r="AS111" i="7"/>
  <c r="AS107" i="7"/>
  <c r="AS103" i="7"/>
  <c r="AS99" i="7"/>
  <c r="AS191" i="7"/>
  <c r="AS183" i="7"/>
  <c r="AS145" i="7"/>
  <c r="AS144" i="7"/>
  <c r="AS139" i="7"/>
  <c r="AS61" i="7"/>
  <c r="AS41" i="7"/>
  <c r="AS146" i="7"/>
  <c r="AS129" i="7"/>
  <c r="AS116" i="7"/>
  <c r="AS113" i="7"/>
  <c r="AS100" i="7"/>
  <c r="AS97" i="7"/>
  <c r="AS92" i="7"/>
  <c r="AS91" i="7"/>
  <c r="AS89" i="7"/>
  <c r="AS51" i="7"/>
  <c r="AS23" i="7"/>
  <c r="AS11" i="7"/>
  <c r="AS108" i="7"/>
  <c r="AS75" i="7"/>
  <c r="AS73" i="7"/>
  <c r="AS15" i="7"/>
  <c r="AS173" i="7"/>
  <c r="AS161" i="7"/>
  <c r="AS135" i="7"/>
  <c r="AS133" i="7"/>
  <c r="AS72" i="7"/>
  <c r="AS71" i="7"/>
  <c r="AS69" i="7"/>
  <c r="AS44" i="7"/>
  <c r="AS6" i="7"/>
  <c r="AS151" i="7"/>
  <c r="AS76" i="7"/>
  <c r="AS154" i="7"/>
  <c r="AS128" i="7"/>
  <c r="AS125" i="7"/>
  <c r="AS112" i="7"/>
  <c r="AS109" i="7"/>
  <c r="AS84" i="7"/>
  <c r="AS83" i="7"/>
  <c r="AS81" i="7"/>
  <c r="AS59" i="7"/>
  <c r="AS55" i="7"/>
  <c r="AS49" i="7"/>
  <c r="AS17" i="7"/>
  <c r="AS124" i="7"/>
  <c r="AS121" i="7"/>
  <c r="AS105" i="7"/>
  <c r="AS185" i="7"/>
  <c r="AS96" i="7"/>
  <c r="AS95" i="7"/>
  <c r="AS93" i="7"/>
  <c r="AS53" i="7"/>
  <c r="AS43" i="7"/>
  <c r="AS33" i="7"/>
  <c r="AS26" i="7"/>
  <c r="AS65" i="7"/>
  <c r="AS79" i="7"/>
  <c r="AS45" i="7"/>
  <c r="AS7" i="7"/>
  <c r="AS77" i="7"/>
  <c r="AS39" i="7"/>
  <c r="AS68" i="7"/>
  <c r="AS165" i="7"/>
  <c r="AS120" i="7"/>
  <c r="AS117" i="7"/>
  <c r="AS3" i="7"/>
  <c r="AS162" i="7"/>
  <c r="AS104" i="7"/>
  <c r="AS101" i="7"/>
  <c r="AS87" i="7"/>
  <c r="AS88" i="7"/>
  <c r="AS47" i="7"/>
  <c r="AS85" i="7"/>
  <c r="AS80" i="7"/>
  <c r="AS20" i="7"/>
  <c r="AS147" i="7"/>
  <c r="Y88" i="8"/>
  <c r="AA88" i="8" s="1"/>
  <c r="AB21" i="8"/>
  <c r="AC27" i="8"/>
  <c r="Z27" i="8"/>
  <c r="AC22" i="8"/>
  <c r="Z22" i="8"/>
  <c r="Z92" i="8"/>
  <c r="AC92" i="8"/>
  <c r="AY95" i="8"/>
  <c r="AY41" i="8"/>
  <c r="AC45" i="8"/>
  <c r="Z45" i="8"/>
  <c r="U94" i="8"/>
  <c r="Z78" i="8"/>
  <c r="AC78" i="8"/>
  <c r="AB24" i="8"/>
  <c r="U14" i="8"/>
  <c r="Y14" i="8"/>
  <c r="AA14" i="8" s="1"/>
  <c r="AB14" i="8"/>
  <c r="U26" i="8"/>
  <c r="Y26" i="8"/>
  <c r="AA26" i="8" s="1"/>
  <c r="AB26" i="8"/>
  <c r="AY47" i="8"/>
  <c r="AY48" i="8"/>
  <c r="AC20" i="8"/>
  <c r="Z20" i="8"/>
  <c r="AY75" i="8"/>
  <c r="U9" i="8"/>
  <c r="AC57" i="8"/>
  <c r="Z57" i="8"/>
  <c r="Z10" i="8"/>
  <c r="AC10" i="8"/>
  <c r="AY70" i="8"/>
  <c r="AY65" i="8"/>
  <c r="U100" i="8"/>
  <c r="AB100" i="8"/>
  <c r="Y100" i="8"/>
  <c r="AA100" i="8" s="1"/>
  <c r="AB92" i="8"/>
  <c r="U92" i="8"/>
  <c r="Y92" i="8"/>
  <c r="AA92" i="8" s="1"/>
  <c r="AC55" i="8"/>
  <c r="Z55" i="8"/>
  <c r="Z25" i="8"/>
  <c r="AC25" i="8"/>
  <c r="AY36" i="8"/>
  <c r="U23" i="8"/>
  <c r="AB23" i="8"/>
  <c r="Y23" i="8"/>
  <c r="AA23" i="8" s="1"/>
  <c r="U75" i="8"/>
  <c r="AB75" i="8"/>
  <c r="Y75" i="8"/>
  <c r="AA75" i="8" s="1"/>
  <c r="U30" i="8"/>
  <c r="Y30" i="8"/>
  <c r="AA30" i="8" s="1"/>
  <c r="AB30" i="8"/>
  <c r="AB99" i="8"/>
  <c r="Y5" i="8"/>
  <c r="U19" i="8"/>
  <c r="Y19" i="8"/>
  <c r="AA19" i="8" s="1"/>
  <c r="AB19" i="8"/>
  <c r="BB35" i="8"/>
  <c r="BB43" i="8"/>
  <c r="AZ35" i="8"/>
  <c r="AZ49" i="8"/>
  <c r="AZ58" i="8"/>
  <c r="AZ44" i="8"/>
  <c r="AZ96" i="8"/>
  <c r="AZ104" i="8"/>
  <c r="F204" i="5"/>
  <c r="E201" i="5"/>
  <c r="E202" i="5"/>
  <c r="E177" i="5"/>
  <c r="C204" i="5"/>
  <c r="D177" i="5"/>
  <c r="E176" i="5"/>
  <c r="E203" i="5"/>
  <c r="D204" i="5"/>
  <c r="C177" i="5"/>
  <c r="E204" i="5"/>
  <c r="BA104" i="8" l="1"/>
  <c r="BD104" i="8"/>
  <c r="Y6" i="8"/>
  <c r="AA6" i="8" s="1"/>
  <c r="AD75" i="8"/>
  <c r="BD49" i="8"/>
  <c r="BD58" i="8"/>
  <c r="BD35" i="8"/>
  <c r="BD96" i="8"/>
  <c r="BD44" i="8"/>
  <c r="BA96" i="8"/>
  <c r="AD84" i="8"/>
  <c r="AD101" i="8"/>
  <c r="AD38" i="8"/>
  <c r="AD100" i="8"/>
  <c r="AD40" i="8"/>
  <c r="AD51" i="8"/>
  <c r="AD13" i="8"/>
  <c r="AD6" i="8"/>
  <c r="BA54" i="8"/>
  <c r="BA13" i="8"/>
  <c r="AD5" i="8"/>
  <c r="AI5" i="8" s="1"/>
  <c r="AJ4" i="8" s="1"/>
  <c r="K4" i="9" s="1"/>
  <c r="AD64" i="8"/>
  <c r="BA17" i="8"/>
  <c r="F48" i="5"/>
  <c r="F49" i="5"/>
  <c r="AD90" i="8"/>
  <c r="BA67" i="8"/>
  <c r="AD8" i="8"/>
  <c r="AD36" i="8"/>
  <c r="BA26" i="8"/>
  <c r="AD49" i="8"/>
  <c r="BA9" i="8"/>
  <c r="AD35" i="8"/>
  <c r="AD30" i="8"/>
  <c r="AD42" i="8"/>
  <c r="AD15" i="8"/>
  <c r="BA103" i="8"/>
  <c r="AD74" i="8"/>
  <c r="AD9" i="8"/>
  <c r="BA70" i="8"/>
  <c r="BA47" i="8"/>
  <c r="BA41" i="8"/>
  <c r="AD89" i="8"/>
  <c r="BA76" i="8"/>
  <c r="AD78" i="8"/>
  <c r="AD47" i="8"/>
  <c r="AD54" i="8"/>
  <c r="AD22" i="8"/>
  <c r="AD43" i="8"/>
  <c r="BA99" i="8"/>
  <c r="AD94" i="8"/>
  <c r="BA16" i="8"/>
  <c r="BA101" i="8"/>
  <c r="AD12" i="8"/>
  <c r="AD10" i="8"/>
  <c r="BA22" i="8"/>
  <c r="AD85" i="8"/>
  <c r="AD34" i="8"/>
  <c r="BA64" i="8"/>
  <c r="BA57" i="8"/>
  <c r="AD82" i="8"/>
  <c r="BA38" i="8"/>
  <c r="BA89" i="8"/>
  <c r="BA12" i="8"/>
  <c r="BA8" i="8"/>
  <c r="BA85" i="8"/>
  <c r="AD21" i="8"/>
  <c r="AD60" i="8"/>
  <c r="D153" i="5"/>
  <c r="F153" i="5"/>
  <c r="E153" i="5"/>
  <c r="C153" i="5"/>
  <c r="B154" i="5"/>
  <c r="BA88" i="8"/>
  <c r="AD7" i="8"/>
  <c r="BA56" i="8"/>
  <c r="AD20" i="8"/>
  <c r="AD99" i="8"/>
  <c r="AD25" i="8"/>
  <c r="AD80" i="8"/>
  <c r="BA30" i="8"/>
  <c r="AD65" i="8"/>
  <c r="BA29" i="8"/>
  <c r="AD24" i="8"/>
  <c r="AD32" i="8"/>
  <c r="BA91" i="8"/>
  <c r="BA77" i="8"/>
  <c r="AD50" i="8"/>
  <c r="BA25" i="8"/>
  <c r="AD79" i="8"/>
  <c r="BA100" i="8"/>
  <c r="BA20" i="8"/>
  <c r="BA31" i="8"/>
  <c r="BA93" i="8"/>
  <c r="BA36" i="8"/>
  <c r="AD26" i="8"/>
  <c r="BA95" i="8"/>
  <c r="AD33" i="8"/>
  <c r="BA18" i="8"/>
  <c r="AD28" i="8"/>
  <c r="AD68" i="8"/>
  <c r="BA51" i="8"/>
  <c r="BA52" i="8"/>
  <c r="AD44" i="8"/>
  <c r="AD86" i="8"/>
  <c r="AD70" i="8"/>
  <c r="BA24" i="8"/>
  <c r="BA90" i="8"/>
  <c r="BA55" i="8"/>
  <c r="BA28" i="8"/>
  <c r="BA14" i="8"/>
  <c r="BA53" i="8"/>
  <c r="AD95" i="8"/>
  <c r="BA40" i="8"/>
  <c r="BA79" i="8"/>
  <c r="BA102" i="8"/>
  <c r="BA98" i="8"/>
  <c r="AD72" i="8"/>
  <c r="BA86" i="8"/>
  <c r="BA68" i="8"/>
  <c r="AD96" i="8"/>
  <c r="BA94" i="8"/>
  <c r="AD29" i="8"/>
  <c r="AD62" i="8"/>
  <c r="AD18" i="8"/>
  <c r="BA32" i="8"/>
  <c r="AD53" i="8"/>
  <c r="AD81" i="8"/>
  <c r="F97" i="5"/>
  <c r="F98" i="5"/>
  <c r="F99" i="5"/>
  <c r="AD48" i="8"/>
  <c r="AD23" i="8"/>
  <c r="BA65" i="8"/>
  <c r="BA15" i="8"/>
  <c r="AD61" i="8"/>
  <c r="BA46" i="8"/>
  <c r="AD77" i="8"/>
  <c r="AD19" i="8"/>
  <c r="AD73" i="8"/>
  <c r="AD92" i="8"/>
  <c r="AD67" i="8"/>
  <c r="AD17" i="8"/>
  <c r="B206" i="5"/>
  <c r="F149" i="5"/>
  <c r="F123" i="5"/>
  <c r="F124" i="5"/>
  <c r="F150" i="5"/>
  <c r="F151" i="5"/>
  <c r="F125" i="5"/>
  <c r="AD76" i="8"/>
  <c r="AD63" i="8"/>
  <c r="F100" i="5"/>
  <c r="AD97" i="8"/>
  <c r="BA78" i="8"/>
  <c r="AD45" i="8"/>
  <c r="F127" i="5"/>
  <c r="C127" i="5"/>
  <c r="E127" i="5"/>
  <c r="D127" i="5"/>
  <c r="B128" i="5"/>
  <c r="BA33" i="8"/>
  <c r="AD69" i="8"/>
  <c r="B179" i="5"/>
  <c r="BA23" i="8"/>
  <c r="BA83" i="8"/>
  <c r="BA50" i="8"/>
  <c r="BA10" i="8"/>
  <c r="AD14" i="8"/>
  <c r="AD59" i="8"/>
  <c r="BA74" i="8"/>
  <c r="AD87" i="8"/>
  <c r="BA42" i="8"/>
  <c r="AD91" i="8"/>
  <c r="BA7" i="8"/>
  <c r="BA72" i="8"/>
  <c r="BA84" i="8"/>
  <c r="BA82" i="8"/>
  <c r="BA87" i="8"/>
  <c r="AD46" i="8"/>
  <c r="BA63" i="8"/>
  <c r="AD55" i="8"/>
  <c r="BA21" i="8"/>
  <c r="BA5" i="8"/>
  <c r="BA97" i="8"/>
  <c r="BA34" i="8"/>
  <c r="BA61" i="8"/>
  <c r="BA81" i="8"/>
  <c r="AD37" i="8"/>
  <c r="BA62" i="8"/>
  <c r="AD31" i="8"/>
  <c r="B52" i="5"/>
  <c r="F51" i="5"/>
  <c r="D51" i="5"/>
  <c r="C51" i="5"/>
  <c r="E51" i="5"/>
  <c r="AD83" i="8"/>
  <c r="AD16" i="8"/>
  <c r="BA71" i="8"/>
  <c r="BA73" i="8"/>
  <c r="BA37" i="8"/>
  <c r="BA39" i="8"/>
  <c r="BA48" i="8"/>
  <c r="AD52" i="8"/>
  <c r="AD39" i="8"/>
  <c r="G18" i="5"/>
  <c r="G45" i="5" s="1"/>
  <c r="G51" i="5" s="1"/>
  <c r="G122" i="5"/>
  <c r="G153" i="5" s="1"/>
  <c r="G96" i="5"/>
  <c r="G148" i="5"/>
  <c r="G47" i="5"/>
  <c r="H9" i="5"/>
  <c r="G174" i="5"/>
  <c r="G200" i="5"/>
  <c r="F50" i="5"/>
  <c r="BA75" i="8"/>
  <c r="AD41" i="8"/>
  <c r="AD57" i="8"/>
  <c r="AD98" i="8"/>
  <c r="AD102" i="8"/>
  <c r="AD93" i="8"/>
  <c r="AD66" i="8"/>
  <c r="BA45" i="8"/>
  <c r="AD71" i="8"/>
  <c r="B102" i="5"/>
  <c r="F101" i="5"/>
  <c r="E101" i="5"/>
  <c r="D101" i="5"/>
  <c r="C101" i="5"/>
  <c r="BA6" i="8"/>
  <c r="AD27" i="8"/>
  <c r="BA19" i="8"/>
  <c r="F152" i="5"/>
  <c r="AD56" i="8"/>
  <c r="BA69" i="8"/>
  <c r="BA59" i="8"/>
  <c r="BA66" i="8"/>
  <c r="BA4" i="8"/>
  <c r="BA80" i="8"/>
  <c r="BA60" i="8"/>
  <c r="AD58" i="8"/>
  <c r="AD11" i="8"/>
  <c r="AD88" i="8"/>
  <c r="AD103" i="8"/>
  <c r="AZ4" i="8"/>
  <c r="BB4" i="8"/>
  <c r="BB5" i="8"/>
  <c r="AZ5" i="8"/>
  <c r="BB6" i="8"/>
  <c r="AZ6" i="8"/>
  <c r="AZ27" i="8"/>
  <c r="AZ80" i="8"/>
  <c r="AZ85" i="8"/>
  <c r="AZ55" i="8"/>
  <c r="AZ11" i="8"/>
  <c r="BB29" i="8"/>
  <c r="AZ73" i="8"/>
  <c r="AZ21" i="8"/>
  <c r="AZ91" i="8"/>
  <c r="AZ89" i="8"/>
  <c r="AZ69" i="8"/>
  <c r="BB90" i="8"/>
  <c r="BB103" i="8"/>
  <c r="BB22" i="8"/>
  <c r="BB21" i="8"/>
  <c r="BB26" i="8"/>
  <c r="AZ62" i="8"/>
  <c r="AZ64" i="8"/>
  <c r="BB18" i="8"/>
  <c r="AZ32" i="8"/>
  <c r="BB102" i="8"/>
  <c r="AZ28" i="8"/>
  <c r="BB50" i="8"/>
  <c r="BB28" i="8"/>
  <c r="AZ103" i="8"/>
  <c r="BB57" i="8"/>
  <c r="AZ81" i="8"/>
  <c r="BB66" i="8"/>
  <c r="AZ68" i="8"/>
  <c r="AZ70" i="8"/>
  <c r="BB48" i="8"/>
  <c r="BB99" i="8"/>
  <c r="BB51" i="8"/>
  <c r="AZ71" i="8"/>
  <c r="BB84" i="8"/>
  <c r="BB94" i="8"/>
  <c r="AZ23" i="8"/>
  <c r="BB98" i="8"/>
  <c r="AZ47" i="8"/>
  <c r="AZ12" i="8"/>
  <c r="BB20" i="8"/>
  <c r="AZ41" i="8"/>
  <c r="AZ10" i="8"/>
  <c r="AZ61" i="8"/>
  <c r="AZ75" i="8"/>
  <c r="AZ39" i="8"/>
  <c r="AZ31" i="8"/>
  <c r="BB15" i="8"/>
  <c r="AZ46" i="8"/>
  <c r="AZ79" i="8"/>
  <c r="BB74" i="8"/>
  <c r="BB83" i="8"/>
  <c r="BB73" i="8"/>
  <c r="AZ38" i="8"/>
  <c r="BB60" i="8"/>
  <c r="AZ7" i="8"/>
  <c r="AZ59" i="8"/>
  <c r="AZ29" i="8"/>
  <c r="BB93" i="8"/>
  <c r="AZ60" i="8"/>
  <c r="BB54" i="8"/>
  <c r="BB89" i="8"/>
  <c r="AZ18" i="8"/>
  <c r="BB78" i="8"/>
  <c r="BB64" i="8"/>
  <c r="AZ86" i="8"/>
  <c r="AZ50" i="8"/>
  <c r="BB33" i="8"/>
  <c r="BB63" i="8"/>
  <c r="BB76" i="8"/>
  <c r="AZ45" i="8"/>
  <c r="BB100" i="8"/>
  <c r="BB53" i="8"/>
  <c r="BB41" i="8"/>
  <c r="BB52" i="8"/>
  <c r="AZ76" i="8"/>
  <c r="AZ95" i="8"/>
  <c r="BB34" i="8"/>
  <c r="AZ98" i="8"/>
  <c r="BB11" i="8"/>
  <c r="AZ90" i="8"/>
  <c r="AZ56" i="8"/>
  <c r="BB75" i="8"/>
  <c r="BB27" i="8"/>
  <c r="AZ13" i="8"/>
  <c r="AZ99" i="8"/>
  <c r="AZ9" i="8"/>
  <c r="BB69" i="8"/>
  <c r="BB104" i="8"/>
  <c r="AZ48" i="8"/>
  <c r="BB40" i="8"/>
  <c r="BB30" i="8"/>
  <c r="BB44" i="8"/>
  <c r="BB10" i="8"/>
  <c r="BB13" i="8"/>
  <c r="BB46" i="8"/>
  <c r="AZ36" i="8"/>
  <c r="AZ78" i="8"/>
  <c r="BB24" i="8"/>
  <c r="AZ15" i="8"/>
  <c r="BB9" i="8"/>
  <c r="AZ33" i="8"/>
  <c r="BB58" i="8"/>
  <c r="BB68" i="8"/>
  <c r="BB14" i="8"/>
  <c r="AZ66" i="8"/>
  <c r="BB71" i="8"/>
  <c r="AZ17" i="8"/>
  <c r="AZ63" i="8"/>
  <c r="AZ67" i="8"/>
  <c r="BB65" i="8"/>
  <c r="BB92" i="8"/>
  <c r="BB55" i="8"/>
  <c r="BB80" i="8"/>
  <c r="AZ72" i="8"/>
  <c r="AZ94" i="8"/>
  <c r="BB77" i="8"/>
  <c r="AZ30" i="8"/>
  <c r="AZ84" i="8"/>
  <c r="AZ92" i="8"/>
  <c r="AZ25" i="8"/>
  <c r="BB72" i="8"/>
  <c r="AZ57" i="8"/>
  <c r="BB45" i="8"/>
  <c r="BB59" i="8"/>
  <c r="BB56" i="8"/>
  <c r="BB32" i="8"/>
  <c r="AZ52" i="8"/>
  <c r="AZ97" i="8"/>
  <c r="AZ43" i="8"/>
  <c r="AZ83" i="8"/>
  <c r="AZ53" i="8"/>
  <c r="BB16" i="8"/>
  <c r="AZ51" i="8"/>
  <c r="AZ74" i="8"/>
  <c r="BB17" i="8"/>
  <c r="AZ101" i="8"/>
  <c r="AZ100" i="8"/>
  <c r="BB62" i="8"/>
  <c r="BB61" i="8"/>
  <c r="AZ77" i="8"/>
  <c r="AZ16" i="8"/>
  <c r="BB49" i="8"/>
  <c r="BB70" i="8"/>
  <c r="BB88" i="8"/>
  <c r="AZ34" i="8"/>
  <c r="BB47" i="8"/>
  <c r="BB8" i="8"/>
  <c r="AZ87" i="8"/>
  <c r="BB36" i="8"/>
  <c r="AZ93" i="8"/>
  <c r="BB25" i="8"/>
  <c r="BB42" i="8"/>
  <c r="BB95" i="8"/>
  <c r="AZ8" i="8"/>
  <c r="AZ26" i="8"/>
  <c r="BB19" i="8"/>
  <c r="AZ40" i="8"/>
  <c r="BB67" i="8"/>
  <c r="AZ22" i="8"/>
  <c r="BB79" i="8"/>
  <c r="BB85" i="8"/>
  <c r="BB23" i="8"/>
  <c r="BB38" i="8"/>
  <c r="AZ54" i="8"/>
  <c r="BB96" i="8"/>
  <c r="AZ42" i="8"/>
  <c r="BB97" i="8"/>
  <c r="BB91" i="8"/>
  <c r="BB31" i="8"/>
  <c r="BB87" i="8"/>
  <c r="BB86" i="8"/>
  <c r="BB82" i="8"/>
  <c r="AZ20" i="8"/>
  <c r="AZ65" i="8"/>
  <c r="BB37" i="8"/>
  <c r="BB39" i="8"/>
  <c r="AZ37" i="8"/>
  <c r="AZ19" i="8"/>
  <c r="AZ24" i="8"/>
  <c r="BB12" i="8"/>
  <c r="BB7" i="8"/>
  <c r="BB101" i="8"/>
  <c r="AZ82" i="8"/>
  <c r="AZ14" i="8"/>
  <c r="AZ102" i="8"/>
  <c r="BB81" i="8"/>
  <c r="AZ88" i="8"/>
  <c r="E205" i="5"/>
  <c r="F203" i="5"/>
  <c r="F202" i="5"/>
  <c r="D178" i="5"/>
  <c r="C205" i="5"/>
  <c r="C178" i="5"/>
  <c r="G178" i="5"/>
  <c r="F177" i="5"/>
  <c r="F178" i="5"/>
  <c r="F176" i="5"/>
  <c r="G205" i="5"/>
  <c r="F201" i="5"/>
  <c r="F205" i="5"/>
  <c r="D205" i="5"/>
  <c r="E178" i="5"/>
  <c r="F175" i="5"/>
  <c r="BD27" i="8" l="1"/>
  <c r="G127" i="5"/>
  <c r="AA5" i="8"/>
  <c r="AE5" i="8" s="1"/>
  <c r="BD92" i="8"/>
  <c r="BD11" i="8"/>
  <c r="BD43" i="8"/>
  <c r="M5" i="9"/>
  <c r="AK4" i="8"/>
  <c r="AL4" i="8" s="1"/>
  <c r="J4" i="9" s="1"/>
  <c r="AI6" i="8"/>
  <c r="AJ5" i="8" s="1"/>
  <c r="BD78" i="8"/>
  <c r="BD25" i="8"/>
  <c r="BD39" i="8"/>
  <c r="BD20" i="8"/>
  <c r="BD29" i="8"/>
  <c r="BD74" i="8"/>
  <c r="BD98" i="8"/>
  <c r="BD66" i="8"/>
  <c r="BD83" i="8"/>
  <c r="BD93" i="8"/>
  <c r="BD12" i="8"/>
  <c r="BD70" i="8"/>
  <c r="BD26" i="8"/>
  <c r="BD80" i="8"/>
  <c r="BD69" i="8"/>
  <c r="BD5" i="8"/>
  <c r="BD82" i="8"/>
  <c r="BD68" i="8"/>
  <c r="BD51" i="8"/>
  <c r="BD38" i="8"/>
  <c r="BD22" i="8"/>
  <c r="BD16" i="8"/>
  <c r="BD76" i="8"/>
  <c r="BD41" i="8"/>
  <c r="BD67" i="8"/>
  <c r="BD17" i="8"/>
  <c r="BD13" i="8"/>
  <c r="BD7" i="8"/>
  <c r="BD56" i="8"/>
  <c r="BD34" i="8"/>
  <c r="BD50" i="8"/>
  <c r="BD23" i="8"/>
  <c r="BD65" i="8"/>
  <c r="BD32" i="8"/>
  <c r="BD79" i="8"/>
  <c r="BD53" i="8"/>
  <c r="BD31" i="8"/>
  <c r="BD91" i="8"/>
  <c r="BD54" i="8"/>
  <c r="BD63" i="8"/>
  <c r="BD85" i="8"/>
  <c r="BD6" i="8"/>
  <c r="BD37" i="8"/>
  <c r="BD21" i="8"/>
  <c r="BD42" i="8"/>
  <c r="BD94" i="8"/>
  <c r="BD28" i="8"/>
  <c r="BD90" i="8"/>
  <c r="BD30" i="8"/>
  <c r="BD47" i="8"/>
  <c r="BD62" i="8"/>
  <c r="BD60" i="8"/>
  <c r="BD75" i="8"/>
  <c r="BD48" i="8"/>
  <c r="BD61" i="8"/>
  <c r="BD72" i="8"/>
  <c r="BD46" i="8"/>
  <c r="BD40" i="8"/>
  <c r="BD36" i="8"/>
  <c r="BE36" i="8" s="1"/>
  <c r="BJ36" i="8" s="1"/>
  <c r="BD89" i="8"/>
  <c r="BD101" i="8"/>
  <c r="BD9" i="8"/>
  <c r="BD103" i="8"/>
  <c r="BE104" i="8" s="1"/>
  <c r="BD81" i="8"/>
  <c r="BD15" i="8"/>
  <c r="BD95" i="8"/>
  <c r="BD64" i="8"/>
  <c r="BD59" i="8"/>
  <c r="BD4" i="8"/>
  <c r="BD45" i="8"/>
  <c r="BD87" i="8"/>
  <c r="BD55" i="8"/>
  <c r="BD52" i="8"/>
  <c r="BD100" i="8"/>
  <c r="BD57" i="8"/>
  <c r="BD99" i="8"/>
  <c r="BD73" i="8"/>
  <c r="BD19" i="8"/>
  <c r="BD71" i="8"/>
  <c r="BD97" i="8"/>
  <c r="BD84" i="8"/>
  <c r="BE84" i="8" s="1"/>
  <c r="BJ84" i="8" s="1"/>
  <c r="BD10" i="8"/>
  <c r="BD33" i="8"/>
  <c r="BD86" i="8"/>
  <c r="BD102" i="8"/>
  <c r="BD14" i="8"/>
  <c r="BD24" i="8"/>
  <c r="BD18" i="8"/>
  <c r="BD77" i="8"/>
  <c r="BD88" i="8"/>
  <c r="BD8" i="8"/>
  <c r="B180" i="5"/>
  <c r="D52" i="5"/>
  <c r="B53" i="5"/>
  <c r="C52" i="5"/>
  <c r="E52" i="5"/>
  <c r="G52" i="5"/>
  <c r="F52" i="5"/>
  <c r="C102" i="5"/>
  <c r="B103" i="5"/>
  <c r="G102" i="5"/>
  <c r="F102" i="5"/>
  <c r="E102" i="5"/>
  <c r="D102" i="5"/>
  <c r="G149" i="5"/>
  <c r="G124" i="5"/>
  <c r="G123" i="5"/>
  <c r="G150" i="5"/>
  <c r="G125" i="5"/>
  <c r="G151" i="5"/>
  <c r="G152" i="5"/>
  <c r="G126" i="5"/>
  <c r="G48" i="5"/>
  <c r="G49" i="5"/>
  <c r="G50" i="5"/>
  <c r="B155" i="5"/>
  <c r="F154" i="5"/>
  <c r="G154" i="5"/>
  <c r="E154" i="5"/>
  <c r="D154" i="5"/>
  <c r="C154" i="5"/>
  <c r="H148" i="5"/>
  <c r="H174" i="5"/>
  <c r="H122" i="5"/>
  <c r="H128" i="5" s="1"/>
  <c r="H18" i="5"/>
  <c r="H45" i="5" s="1"/>
  <c r="H52" i="5" s="1"/>
  <c r="I9" i="5"/>
  <c r="H47" i="5"/>
  <c r="H96" i="5"/>
  <c r="H102" i="5" s="1"/>
  <c r="H200" i="5"/>
  <c r="G97" i="5"/>
  <c r="G98" i="5"/>
  <c r="G99" i="5"/>
  <c r="G100" i="5"/>
  <c r="B129" i="5"/>
  <c r="F128" i="5"/>
  <c r="D128" i="5"/>
  <c r="G128" i="5"/>
  <c r="E128" i="5"/>
  <c r="C128" i="5"/>
  <c r="G101" i="5"/>
  <c r="B207" i="5"/>
  <c r="F179" i="5"/>
  <c r="G204" i="5"/>
  <c r="G202" i="5"/>
  <c r="G177" i="5"/>
  <c r="G203" i="5"/>
  <c r="G176" i="5"/>
  <c r="G206" i="5"/>
  <c r="D206" i="5"/>
  <c r="C206" i="5"/>
  <c r="C179" i="5"/>
  <c r="G175" i="5"/>
  <c r="G201" i="5"/>
  <c r="F206" i="5"/>
  <c r="D179" i="5"/>
  <c r="E179" i="5"/>
  <c r="E206" i="5"/>
  <c r="G179" i="5"/>
  <c r="H154" i="5" l="1"/>
  <c r="BE44" i="8"/>
  <c r="BE59" i="8"/>
  <c r="BJ59" i="8" s="1"/>
  <c r="BE74" i="8"/>
  <c r="BJ74" i="8" s="1"/>
  <c r="BE63" i="8"/>
  <c r="BJ63" i="8" s="1"/>
  <c r="BE11" i="8"/>
  <c r="BJ11" i="8" s="1"/>
  <c r="BE83" i="8"/>
  <c r="BE78" i="8"/>
  <c r="BE82" i="8"/>
  <c r="K5" i="9"/>
  <c r="W5" i="8"/>
  <c r="I5" i="9" s="1"/>
  <c r="BE86" i="8"/>
  <c r="AE6" i="8"/>
  <c r="G5" i="8"/>
  <c r="AF4" i="8"/>
  <c r="H5" i="9"/>
  <c r="E5" i="8"/>
  <c r="AK5" i="8"/>
  <c r="AL5" i="8" s="1"/>
  <c r="AI7" i="8"/>
  <c r="AJ6" i="8" s="1"/>
  <c r="M6" i="9"/>
  <c r="BE54" i="8"/>
  <c r="BJ54" i="8" s="1"/>
  <c r="BE50" i="8"/>
  <c r="BE77" i="8"/>
  <c r="BJ77" i="8" s="1"/>
  <c r="BE68" i="8"/>
  <c r="BJ68" i="8" s="1"/>
  <c r="BE97" i="8"/>
  <c r="BE13" i="8"/>
  <c r="BE19" i="8"/>
  <c r="BE9" i="8"/>
  <c r="BE48" i="8"/>
  <c r="BE93" i="8"/>
  <c r="BE91" i="8"/>
  <c r="BJ91" i="8" s="1"/>
  <c r="BE34" i="8"/>
  <c r="BE16" i="8"/>
  <c r="BE81" i="8"/>
  <c r="BJ81" i="8" s="1"/>
  <c r="BE5" i="8"/>
  <c r="BJ5" i="8" s="1"/>
  <c r="BE41" i="8"/>
  <c r="BJ41" i="8" s="1"/>
  <c r="BE31" i="8"/>
  <c r="BE26" i="8"/>
  <c r="BE85" i="8"/>
  <c r="BE51" i="8"/>
  <c r="BE76" i="8"/>
  <c r="BE56" i="8"/>
  <c r="BE23" i="8"/>
  <c r="BE28" i="8"/>
  <c r="BE99" i="8"/>
  <c r="BE60" i="8"/>
  <c r="BJ60" i="8" s="1"/>
  <c r="BE53" i="8"/>
  <c r="BJ53" i="8" s="1"/>
  <c r="BE70" i="8"/>
  <c r="BE72" i="8"/>
  <c r="BE103" i="8"/>
  <c r="BJ103" i="8" s="1"/>
  <c r="BE64" i="8"/>
  <c r="BJ64" i="8" s="1"/>
  <c r="BE66" i="8"/>
  <c r="BJ66" i="8" s="1"/>
  <c r="BE61" i="8"/>
  <c r="BJ61" i="8" s="1"/>
  <c r="BE4" i="8"/>
  <c r="BJ4" i="8" s="1"/>
  <c r="BE88" i="8"/>
  <c r="BE40" i="8"/>
  <c r="BJ40" i="8" s="1"/>
  <c r="BE57" i="8"/>
  <c r="BJ57" i="8" s="1"/>
  <c r="BE37" i="8"/>
  <c r="BJ37" i="8" s="1"/>
  <c r="BE29" i="8"/>
  <c r="BE71" i="8"/>
  <c r="BE69" i="8"/>
  <c r="BJ69" i="8" s="1"/>
  <c r="BE12" i="8"/>
  <c r="BJ12" i="8" s="1"/>
  <c r="BE65" i="8"/>
  <c r="BJ65" i="8" s="1"/>
  <c r="BE43" i="8"/>
  <c r="BE98" i="8"/>
  <c r="BJ98" i="8" s="1"/>
  <c r="BE58" i="8"/>
  <c r="BJ58" i="8" s="1"/>
  <c r="BE89" i="8"/>
  <c r="BE21" i="8"/>
  <c r="BJ21" i="8" s="1"/>
  <c r="BE7" i="8"/>
  <c r="BE39" i="8"/>
  <c r="BJ39" i="8" s="1"/>
  <c r="BE20" i="8"/>
  <c r="BJ20" i="8" s="1"/>
  <c r="BE22" i="8"/>
  <c r="BJ22" i="8" s="1"/>
  <c r="BE32" i="8"/>
  <c r="BJ32" i="8" s="1"/>
  <c r="BE14" i="8"/>
  <c r="BE62" i="8"/>
  <c r="BE42" i="8"/>
  <c r="BJ42" i="8" s="1"/>
  <c r="BE101" i="8"/>
  <c r="BJ101" i="8" s="1"/>
  <c r="BE100" i="8"/>
  <c r="BE35" i="8"/>
  <c r="BJ35" i="8" s="1"/>
  <c r="BE87" i="8"/>
  <c r="BE18" i="8"/>
  <c r="BE96" i="8"/>
  <c r="BE55" i="8"/>
  <c r="BE24" i="8"/>
  <c r="BJ24" i="8" s="1"/>
  <c r="BE94" i="8"/>
  <c r="BE102" i="8"/>
  <c r="BE45" i="8"/>
  <c r="BJ45" i="8" s="1"/>
  <c r="BE80" i="8"/>
  <c r="BJ80" i="8" s="1"/>
  <c r="BE8" i="8"/>
  <c r="BE90" i="8"/>
  <c r="BJ90" i="8" s="1"/>
  <c r="BE79" i="8"/>
  <c r="BE73" i="8"/>
  <c r="BE46" i="8"/>
  <c r="BE47" i="8"/>
  <c r="BE67" i="8"/>
  <c r="BE75" i="8"/>
  <c r="BE27" i="8"/>
  <c r="BE33" i="8"/>
  <c r="BJ33" i="8" s="1"/>
  <c r="BE10" i="8"/>
  <c r="BJ10" i="8" s="1"/>
  <c r="BE25" i="8"/>
  <c r="BJ25" i="8" s="1"/>
  <c r="BE95" i="8"/>
  <c r="BJ95" i="8" s="1"/>
  <c r="BE49" i="8"/>
  <c r="BJ49" i="8" s="1"/>
  <c r="BE17" i="8"/>
  <c r="BE38" i="8"/>
  <c r="BE92" i="8"/>
  <c r="BE30" i="8"/>
  <c r="BE52" i="8"/>
  <c r="BJ52" i="8" s="1"/>
  <c r="BE6" i="8"/>
  <c r="BJ6" i="8" s="1"/>
  <c r="BE15" i="8"/>
  <c r="BJ104" i="8"/>
  <c r="J9" i="5"/>
  <c r="I47" i="5"/>
  <c r="I200" i="5"/>
  <c r="I148" i="5"/>
  <c r="I122" i="5"/>
  <c r="I155" i="5" s="1"/>
  <c r="I18" i="5"/>
  <c r="I45" i="5" s="1"/>
  <c r="I53" i="5" s="1"/>
  <c r="I174" i="5"/>
  <c r="I96" i="5"/>
  <c r="B208" i="5"/>
  <c r="D155" i="5"/>
  <c r="F155" i="5"/>
  <c r="G155" i="5"/>
  <c r="E155" i="5"/>
  <c r="C155" i="5"/>
  <c r="B156" i="5"/>
  <c r="H155" i="5"/>
  <c r="H53" i="5"/>
  <c r="B54" i="5"/>
  <c r="F53" i="5"/>
  <c r="G53" i="5"/>
  <c r="C53" i="5"/>
  <c r="E53" i="5"/>
  <c r="D53" i="5"/>
  <c r="B181" i="5"/>
  <c r="H48" i="5"/>
  <c r="H49" i="5"/>
  <c r="H50" i="5"/>
  <c r="H51" i="5"/>
  <c r="H129" i="5"/>
  <c r="F129" i="5"/>
  <c r="I129" i="5"/>
  <c r="G129" i="5"/>
  <c r="C129" i="5"/>
  <c r="E129" i="5"/>
  <c r="D129" i="5"/>
  <c r="B130" i="5"/>
  <c r="H123" i="5"/>
  <c r="H124" i="5"/>
  <c r="H149" i="5"/>
  <c r="H150" i="5"/>
  <c r="H151" i="5"/>
  <c r="H125" i="5"/>
  <c r="H126" i="5"/>
  <c r="H152" i="5"/>
  <c r="H127" i="5"/>
  <c r="H153" i="5"/>
  <c r="D103" i="5"/>
  <c r="B104" i="5"/>
  <c r="C103" i="5"/>
  <c r="H103" i="5"/>
  <c r="I103" i="5"/>
  <c r="G103" i="5"/>
  <c r="E103" i="5"/>
  <c r="F103" i="5"/>
  <c r="H97" i="5"/>
  <c r="H98" i="5"/>
  <c r="H99" i="5"/>
  <c r="H100" i="5"/>
  <c r="H101" i="5"/>
  <c r="E207" i="5"/>
  <c r="BG62" i="8"/>
  <c r="C180" i="5"/>
  <c r="H207" i="5"/>
  <c r="BG67" i="8"/>
  <c r="BG92" i="8"/>
  <c r="H177" i="5"/>
  <c r="BG48" i="8"/>
  <c r="BG76" i="8"/>
  <c r="H205" i="5"/>
  <c r="BG55" i="8"/>
  <c r="BG7" i="8"/>
  <c r="H178" i="5"/>
  <c r="BG8" i="8"/>
  <c r="I207" i="5"/>
  <c r="BG89" i="8"/>
  <c r="BG18" i="8"/>
  <c r="D207" i="5"/>
  <c r="BG104" i="8"/>
  <c r="BG72" i="8"/>
  <c r="G180" i="5"/>
  <c r="BG16" i="8"/>
  <c r="H203" i="5"/>
  <c r="BG94" i="8"/>
  <c r="BG85" i="8"/>
  <c r="BG27" i="8"/>
  <c r="H179" i="5"/>
  <c r="I180" i="5"/>
  <c r="BG36" i="8"/>
  <c r="H180" i="5"/>
  <c r="BG84" i="8"/>
  <c r="BG23" i="8"/>
  <c r="F207" i="5"/>
  <c r="BG31" i="8"/>
  <c r="BG97" i="8"/>
  <c r="G207" i="5"/>
  <c r="BG99" i="8"/>
  <c r="BG82" i="8"/>
  <c r="H176" i="5"/>
  <c r="BG29" i="8"/>
  <c r="H175" i="5"/>
  <c r="C207" i="5"/>
  <c r="BG79" i="8"/>
  <c r="D180" i="5"/>
  <c r="H206" i="5"/>
  <c r="BG15" i="8"/>
  <c r="H204" i="5"/>
  <c r="F180" i="5"/>
  <c r="BG17" i="8"/>
  <c r="BG46" i="8"/>
  <c r="BG43" i="8"/>
  <c r="H202" i="5"/>
  <c r="BG56" i="8"/>
  <c r="H201" i="5"/>
  <c r="E180" i="5"/>
  <c r="BG19" i="8"/>
  <c r="BG88" i="8"/>
  <c r="BG44" i="8"/>
  <c r="BG34" i="8"/>
  <c r="BG71" i="8"/>
  <c r="BG30" i="8"/>
  <c r="BG86" i="8"/>
  <c r="BG93" i="8"/>
  <c r="BG51" i="8"/>
  <c r="BG87" i="8"/>
  <c r="BG73" i="8"/>
  <c r="BG38" i="8"/>
  <c r="BG78" i="8"/>
  <c r="BG50" i="8"/>
  <c r="BG13" i="8"/>
  <c r="BG9" i="8"/>
  <c r="BG26" i="8"/>
  <c r="BG28" i="8"/>
  <c r="BG70" i="8"/>
  <c r="BG14" i="8"/>
  <c r="BG100" i="8"/>
  <c r="BG96" i="8"/>
  <c r="BG102" i="8"/>
  <c r="BG47" i="8"/>
  <c r="BG75" i="8"/>
  <c r="J5" i="9" l="1"/>
  <c r="BN44" i="8"/>
  <c r="X45" i="9" s="1"/>
  <c r="C46" i="7"/>
  <c r="BF44" i="8"/>
  <c r="BJ44" i="8"/>
  <c r="BF84" i="8"/>
  <c r="BN84" i="8"/>
  <c r="X85" i="9" s="1"/>
  <c r="BN36" i="8"/>
  <c r="X37" i="9" s="1"/>
  <c r="BF36" i="8"/>
  <c r="BJ83" i="8"/>
  <c r="BF86" i="8"/>
  <c r="BN86" i="8"/>
  <c r="X87" i="9" s="1"/>
  <c r="Z87" i="9" s="1"/>
  <c r="BF82" i="8"/>
  <c r="BN82" i="8"/>
  <c r="X83" i="9" s="1"/>
  <c r="BN78" i="8"/>
  <c r="X79" i="9" s="1"/>
  <c r="Z79" i="9" s="1"/>
  <c r="BF78" i="8"/>
  <c r="K6" i="9"/>
  <c r="W6" i="8"/>
  <c r="X6" i="8" s="1"/>
  <c r="N6" i="9" s="1"/>
  <c r="BJ86" i="8"/>
  <c r="BJ82" i="8"/>
  <c r="BJ78" i="8"/>
  <c r="F4" i="9"/>
  <c r="AG4" i="8"/>
  <c r="AH4" i="8" s="1"/>
  <c r="AF5" i="8"/>
  <c r="H6" i="9"/>
  <c r="G6" i="8"/>
  <c r="AE7" i="8"/>
  <c r="E6" i="8"/>
  <c r="AI8" i="8"/>
  <c r="AJ7" i="8" s="1"/>
  <c r="W7" i="8" s="1"/>
  <c r="M7" i="9"/>
  <c r="AK6" i="8"/>
  <c r="AL6" i="8" s="1"/>
  <c r="X5" i="8"/>
  <c r="W4" i="8"/>
  <c r="BF9" i="8"/>
  <c r="BN9" i="8"/>
  <c r="X10" i="9" s="1"/>
  <c r="BF19" i="8"/>
  <c r="BN19" i="8"/>
  <c r="X20" i="9" s="1"/>
  <c r="Z20" i="9" s="1"/>
  <c r="BF13" i="8"/>
  <c r="BN13" i="8"/>
  <c r="BN16" i="8"/>
  <c r="X17" i="9" s="1"/>
  <c r="Z17" i="9" s="1"/>
  <c r="BF16" i="8"/>
  <c r="BN34" i="8"/>
  <c r="X35" i="9" s="1"/>
  <c r="BF34" i="8"/>
  <c r="BF85" i="8"/>
  <c r="BN85" i="8"/>
  <c r="BN97" i="8"/>
  <c r="X98" i="9" s="1"/>
  <c r="BF97" i="8"/>
  <c r="BN26" i="8"/>
  <c r="X27" i="9" s="1"/>
  <c r="BF26" i="8"/>
  <c r="BN93" i="8"/>
  <c r="X94" i="9" s="1"/>
  <c r="Z94" i="9" s="1"/>
  <c r="BF93" i="8"/>
  <c r="BF50" i="8"/>
  <c r="BN50" i="8"/>
  <c r="X51" i="9" s="1"/>
  <c r="BF31" i="8"/>
  <c r="BN31" i="8"/>
  <c r="X32" i="9" s="1"/>
  <c r="BN48" i="8"/>
  <c r="X49" i="9" s="1"/>
  <c r="BF48" i="8"/>
  <c r="BJ9" i="8"/>
  <c r="BJ19" i="8"/>
  <c r="BJ13" i="8"/>
  <c r="BJ16" i="8"/>
  <c r="BJ34" i="8"/>
  <c r="BJ85" i="8"/>
  <c r="BJ97" i="8"/>
  <c r="BJ26" i="8"/>
  <c r="BJ93" i="8"/>
  <c r="BJ50" i="8"/>
  <c r="BJ31" i="8"/>
  <c r="BJ48" i="8"/>
  <c r="BF51" i="8"/>
  <c r="BN51" i="8"/>
  <c r="X52" i="9" s="1"/>
  <c r="BJ51" i="8"/>
  <c r="BF99" i="8"/>
  <c r="BN99" i="8"/>
  <c r="X100" i="9" s="1"/>
  <c r="BF28" i="8"/>
  <c r="BN28" i="8"/>
  <c r="X29" i="9" s="1"/>
  <c r="BN23" i="8"/>
  <c r="BF23" i="8"/>
  <c r="BN70" i="8"/>
  <c r="X71" i="9" s="1"/>
  <c r="BF70" i="8"/>
  <c r="BF56" i="8"/>
  <c r="BN56" i="8"/>
  <c r="X57" i="9" s="1"/>
  <c r="BF72" i="8"/>
  <c r="BN72" i="8"/>
  <c r="X73" i="9" s="1"/>
  <c r="BF76" i="8"/>
  <c r="BN76" i="8"/>
  <c r="X77" i="9" s="1"/>
  <c r="BJ99" i="8"/>
  <c r="BJ28" i="8"/>
  <c r="BJ23" i="8"/>
  <c r="BJ70" i="8"/>
  <c r="BJ56" i="8"/>
  <c r="BJ72" i="8"/>
  <c r="BJ76" i="8"/>
  <c r="BF29" i="8"/>
  <c r="BN29" i="8"/>
  <c r="BF88" i="8"/>
  <c r="BN88" i="8"/>
  <c r="X89" i="9" s="1"/>
  <c r="BF71" i="8"/>
  <c r="BN71" i="8"/>
  <c r="X72" i="9" s="1"/>
  <c r="BJ29" i="8"/>
  <c r="BJ88" i="8"/>
  <c r="BJ71" i="8"/>
  <c r="BF102" i="8"/>
  <c r="BN102" i="8"/>
  <c r="X103" i="9" s="1"/>
  <c r="BF100" i="8"/>
  <c r="BN100" i="8"/>
  <c r="X101" i="9" s="1"/>
  <c r="BF94" i="8"/>
  <c r="BN94" i="8"/>
  <c r="X95" i="9" s="1"/>
  <c r="BF7" i="8"/>
  <c r="BN7" i="8"/>
  <c r="X8" i="9" s="1"/>
  <c r="BF89" i="8"/>
  <c r="BN89" i="8"/>
  <c r="X90" i="9" s="1"/>
  <c r="BF96" i="8"/>
  <c r="BN96" i="8"/>
  <c r="X97" i="9" s="1"/>
  <c r="BF14" i="8"/>
  <c r="BN14" i="8"/>
  <c r="X15" i="9" s="1"/>
  <c r="BF18" i="8"/>
  <c r="BN18" i="8"/>
  <c r="X19" i="9" s="1"/>
  <c r="BN55" i="8"/>
  <c r="X56" i="9" s="1"/>
  <c r="BF55" i="8"/>
  <c r="BN62" i="8"/>
  <c r="X63" i="9" s="1"/>
  <c r="Z63" i="9" s="1"/>
  <c r="BF62" i="8"/>
  <c r="BF87" i="8"/>
  <c r="BN87" i="8"/>
  <c r="BN43" i="8"/>
  <c r="X44" i="9" s="1"/>
  <c r="C45" i="7"/>
  <c r="BF43" i="8"/>
  <c r="BJ102" i="8"/>
  <c r="BJ100" i="8"/>
  <c r="BJ94" i="8"/>
  <c r="BJ7" i="8"/>
  <c r="BJ89" i="8"/>
  <c r="BJ96" i="8"/>
  <c r="BJ14" i="8"/>
  <c r="BJ18" i="8"/>
  <c r="BJ55" i="8"/>
  <c r="BJ62" i="8"/>
  <c r="BJ87" i="8"/>
  <c r="BJ43" i="8"/>
  <c r="BF79" i="8"/>
  <c r="BN79" i="8"/>
  <c r="X80" i="9" s="1"/>
  <c r="BF30" i="8"/>
  <c r="BN30" i="8"/>
  <c r="X31" i="9" s="1"/>
  <c r="Z31" i="9" s="1"/>
  <c r="BN73" i="8"/>
  <c r="X74" i="9" s="1"/>
  <c r="Z74" i="9" s="1"/>
  <c r="BF73" i="8"/>
  <c r="BN92" i="8"/>
  <c r="X93" i="9" s="1"/>
  <c r="BF92" i="8"/>
  <c r="BN8" i="8"/>
  <c r="X9" i="9" s="1"/>
  <c r="BF8" i="8"/>
  <c r="BF38" i="8"/>
  <c r="BN38" i="8"/>
  <c r="X39" i="9" s="1"/>
  <c r="BF17" i="8"/>
  <c r="BN17" i="8"/>
  <c r="X18" i="9" s="1"/>
  <c r="BN67" i="8"/>
  <c r="X68" i="9" s="1"/>
  <c r="BF67" i="8"/>
  <c r="BF27" i="8"/>
  <c r="BN27" i="8"/>
  <c r="X28" i="9" s="1"/>
  <c r="BN75" i="8"/>
  <c r="X76" i="9" s="1"/>
  <c r="BF75" i="8"/>
  <c r="BF47" i="8"/>
  <c r="BN47" i="8"/>
  <c r="X48" i="9" s="1"/>
  <c r="Z48" i="9" s="1"/>
  <c r="BF15" i="8"/>
  <c r="BN15" i="8"/>
  <c r="X16" i="9" s="1"/>
  <c r="Z16" i="9" s="1"/>
  <c r="BF46" i="8"/>
  <c r="BN46" i="8"/>
  <c r="X47" i="9" s="1"/>
  <c r="BJ79" i="8"/>
  <c r="BJ30" i="8"/>
  <c r="BJ73" i="8"/>
  <c r="BJ92" i="8"/>
  <c r="BJ8" i="8"/>
  <c r="BJ38" i="8"/>
  <c r="BJ17" i="8"/>
  <c r="BJ67" i="8"/>
  <c r="BJ27" i="8"/>
  <c r="BJ75" i="8"/>
  <c r="BJ47" i="8"/>
  <c r="BJ15" i="8"/>
  <c r="BJ46" i="8"/>
  <c r="BN104" i="8"/>
  <c r="BF104" i="8"/>
  <c r="B105" i="5"/>
  <c r="H104" i="5"/>
  <c r="F104" i="5"/>
  <c r="G104" i="5"/>
  <c r="I104" i="5"/>
  <c r="D104" i="5"/>
  <c r="C104" i="5"/>
  <c r="E104" i="5"/>
  <c r="B182" i="5"/>
  <c r="B209" i="5"/>
  <c r="I48" i="5"/>
  <c r="I49" i="5"/>
  <c r="I50" i="5"/>
  <c r="I51" i="5"/>
  <c r="I52" i="5"/>
  <c r="H156" i="5"/>
  <c r="B157" i="5"/>
  <c r="F156" i="5"/>
  <c r="D156" i="5"/>
  <c r="G156" i="5"/>
  <c r="E156" i="5"/>
  <c r="C156" i="5"/>
  <c r="I156" i="5"/>
  <c r="J174" i="5"/>
  <c r="J96" i="5"/>
  <c r="J104" i="5" s="1"/>
  <c r="J122" i="5"/>
  <c r="J156" i="5" s="1"/>
  <c r="J18" i="5"/>
  <c r="J45" i="5" s="1"/>
  <c r="K9" i="5"/>
  <c r="J47" i="5"/>
  <c r="J200" i="5"/>
  <c r="J148" i="5"/>
  <c r="I123" i="5"/>
  <c r="I150" i="5"/>
  <c r="I149" i="5"/>
  <c r="I124" i="5"/>
  <c r="I125" i="5"/>
  <c r="I151" i="5"/>
  <c r="I152" i="5"/>
  <c r="I126" i="5"/>
  <c r="I153" i="5"/>
  <c r="I127" i="5"/>
  <c r="I154" i="5"/>
  <c r="I128" i="5"/>
  <c r="B131" i="5"/>
  <c r="F130" i="5"/>
  <c r="D130" i="5"/>
  <c r="E130" i="5"/>
  <c r="I130" i="5"/>
  <c r="H130" i="5"/>
  <c r="G130" i="5"/>
  <c r="C130" i="5"/>
  <c r="J130" i="5"/>
  <c r="I97" i="5"/>
  <c r="I98" i="5"/>
  <c r="I99" i="5"/>
  <c r="I100" i="5"/>
  <c r="I101" i="5"/>
  <c r="I102" i="5"/>
  <c r="D54" i="5"/>
  <c r="J54" i="5"/>
  <c r="F54" i="5"/>
  <c r="I54" i="5"/>
  <c r="H54" i="5"/>
  <c r="G54" i="5"/>
  <c r="E54" i="5"/>
  <c r="C54" i="5"/>
  <c r="B55" i="5"/>
  <c r="BG42" i="8"/>
  <c r="I205" i="5"/>
  <c r="F181" i="5"/>
  <c r="BG45" i="8"/>
  <c r="BG64" i="8"/>
  <c r="H208" i="5"/>
  <c r="D208" i="5"/>
  <c r="BG83" i="8"/>
  <c r="BG58" i="8"/>
  <c r="BG52" i="8"/>
  <c r="E181" i="5"/>
  <c r="BG5" i="8"/>
  <c r="BG61" i="8"/>
  <c r="I208" i="5"/>
  <c r="BG6" i="8"/>
  <c r="BG63" i="8"/>
  <c r="BG66" i="8"/>
  <c r="BG12" i="8"/>
  <c r="BG57" i="8"/>
  <c r="I204" i="5"/>
  <c r="BG22" i="8"/>
  <c r="BG20" i="8"/>
  <c r="I177" i="5"/>
  <c r="I176" i="5"/>
  <c r="BG54" i="8"/>
  <c r="I175" i="5"/>
  <c r="BG53" i="8"/>
  <c r="C181" i="5"/>
  <c r="BG41" i="8"/>
  <c r="BG35" i="8"/>
  <c r="BG81" i="8"/>
  <c r="BG60" i="8"/>
  <c r="G181" i="5"/>
  <c r="BG69" i="8"/>
  <c r="BG59" i="8"/>
  <c r="I203" i="5"/>
  <c r="I201" i="5"/>
  <c r="F208" i="5"/>
  <c r="BG25" i="8"/>
  <c r="BG101" i="8"/>
  <c r="BG90" i="8"/>
  <c r="G208" i="5"/>
  <c r="I178" i="5"/>
  <c r="BG49" i="8"/>
  <c r="BG21" i="8"/>
  <c r="I202" i="5"/>
  <c r="I206" i="5"/>
  <c r="BG37" i="8"/>
  <c r="BG24" i="8"/>
  <c r="I181" i="5"/>
  <c r="BG32" i="8"/>
  <c r="J181" i="5"/>
  <c r="E208" i="5"/>
  <c r="BG11" i="8"/>
  <c r="I179" i="5"/>
  <c r="BG103" i="8"/>
  <c r="BG74" i="8"/>
  <c r="BG39" i="8"/>
  <c r="D181" i="5"/>
  <c r="BG68" i="8"/>
  <c r="BG33" i="8"/>
  <c r="BG91" i="8"/>
  <c r="BG98" i="8"/>
  <c r="BG65" i="8"/>
  <c r="BG40" i="8"/>
  <c r="H181" i="5"/>
  <c r="BG4" i="8"/>
  <c r="BG80" i="8"/>
  <c r="BG10" i="8"/>
  <c r="C208" i="5"/>
  <c r="BG95" i="8"/>
  <c r="BG77" i="8"/>
  <c r="C44" i="7" l="1"/>
  <c r="BN42" i="8"/>
  <c r="X43" i="9" s="1"/>
  <c r="BF42" i="8"/>
  <c r="J6" i="9"/>
  <c r="X24" i="9"/>
  <c r="Z24" i="9" s="1"/>
  <c r="X88" i="9"/>
  <c r="Z88" i="9" s="1"/>
  <c r="X14" i="9"/>
  <c r="Z14" i="9" s="1"/>
  <c r="X30" i="9"/>
  <c r="Z30" i="9" s="1"/>
  <c r="X86" i="9"/>
  <c r="Z86" i="9" s="1"/>
  <c r="Z100" i="9"/>
  <c r="Z77" i="9"/>
  <c r="Z97" i="9"/>
  <c r="Z49" i="9"/>
  <c r="Z35" i="9"/>
  <c r="Z76" i="9"/>
  <c r="Z47" i="9"/>
  <c r="Z37" i="9"/>
  <c r="Z71" i="9"/>
  <c r="Z52" i="9"/>
  <c r="Z32" i="9"/>
  <c r="Z45" i="9"/>
  <c r="Z28" i="9"/>
  <c r="Z80" i="9"/>
  <c r="Z44" i="9"/>
  <c r="Z27" i="9"/>
  <c r="Z15" i="9"/>
  <c r="Z8" i="9"/>
  <c r="Z98" i="9"/>
  <c r="Z83" i="9"/>
  <c r="Z10" i="9"/>
  <c r="Z19" i="9"/>
  <c r="Z68" i="9"/>
  <c r="Z93" i="9"/>
  <c r="Z51" i="9"/>
  <c r="Z18" i="9"/>
  <c r="Z95" i="9"/>
  <c r="Z29" i="9"/>
  <c r="Z72" i="9"/>
  <c r="Z57" i="9"/>
  <c r="Z90" i="9"/>
  <c r="Z73" i="9"/>
  <c r="Z43" i="9"/>
  <c r="Z89" i="9"/>
  <c r="Z101" i="9"/>
  <c r="Z9" i="9"/>
  <c r="Z39" i="9"/>
  <c r="Z56" i="9"/>
  <c r="Z85" i="9"/>
  <c r="Z103" i="9"/>
  <c r="BN77" i="8"/>
  <c r="X78" i="9" s="1"/>
  <c r="BF77" i="8"/>
  <c r="BN21" i="8"/>
  <c r="X22" i="9" s="1"/>
  <c r="Z22" i="9" s="1"/>
  <c r="BF21" i="8"/>
  <c r="BF24" i="8"/>
  <c r="BN24" i="8"/>
  <c r="X25" i="9" s="1"/>
  <c r="Z25" i="9" s="1"/>
  <c r="BN95" i="8"/>
  <c r="X96" i="9" s="1"/>
  <c r="BF95" i="8"/>
  <c r="BF54" i="8"/>
  <c r="BN54" i="8"/>
  <c r="X55" i="9" s="1"/>
  <c r="Z55" i="9" s="1"/>
  <c r="BF80" i="8"/>
  <c r="BN80" i="8"/>
  <c r="X81" i="9" s="1"/>
  <c r="BF74" i="8"/>
  <c r="BN74" i="8"/>
  <c r="X75" i="9" s="1"/>
  <c r="Z75" i="9" s="1"/>
  <c r="BN101" i="8"/>
  <c r="X102" i="9" s="1"/>
  <c r="BF101" i="8"/>
  <c r="BN45" i="8"/>
  <c r="X46" i="9" s="1"/>
  <c r="BF45" i="8"/>
  <c r="M8" i="9"/>
  <c r="BN10" i="8"/>
  <c r="X11" i="9" s="1"/>
  <c r="BF10" i="8"/>
  <c r="BN59" i="8"/>
  <c r="X60" i="9" s="1"/>
  <c r="BF59" i="8"/>
  <c r="BN52" i="8"/>
  <c r="X53" i="9" s="1"/>
  <c r="BF52" i="8"/>
  <c r="BF49" i="8"/>
  <c r="BN49" i="8"/>
  <c r="X50" i="9" s="1"/>
  <c r="BN20" i="8"/>
  <c r="X21" i="9" s="1"/>
  <c r="BF20" i="8"/>
  <c r="BF11" i="8"/>
  <c r="BN11" i="8"/>
  <c r="X12" i="9" s="1"/>
  <c r="BF4" i="8"/>
  <c r="AQ3" i="8" s="1"/>
  <c r="BF91" i="8"/>
  <c r="BN91" i="8"/>
  <c r="X92" i="9" s="1"/>
  <c r="BN39" i="8"/>
  <c r="X40" i="9" s="1"/>
  <c r="BF39" i="8"/>
  <c r="BF60" i="8"/>
  <c r="BN60" i="8"/>
  <c r="X61" i="9" s="1"/>
  <c r="Z61" i="9" s="1"/>
  <c r="AI9" i="8"/>
  <c r="AJ8" i="8" s="1"/>
  <c r="W8" i="8" s="1"/>
  <c r="BN35" i="8"/>
  <c r="X36" i="9" s="1"/>
  <c r="Z36" i="9" s="1"/>
  <c r="BF35" i="8"/>
  <c r="L6" i="9"/>
  <c r="BF66" i="8"/>
  <c r="BN66" i="8"/>
  <c r="X67" i="9" s="1"/>
  <c r="C68" i="7"/>
  <c r="BN53" i="8"/>
  <c r="X54" i="9" s="1"/>
  <c r="Z54" i="9" s="1"/>
  <c r="BF53" i="8"/>
  <c r="BF25" i="8"/>
  <c r="BN25" i="8"/>
  <c r="X26" i="9" s="1"/>
  <c r="BN63" i="8"/>
  <c r="X64" i="9" s="1"/>
  <c r="BF63" i="8"/>
  <c r="C67" i="7"/>
  <c r="BF65" i="8"/>
  <c r="BN65" i="8"/>
  <c r="X66" i="9" s="1"/>
  <c r="BF6" i="8"/>
  <c r="AR3" i="8" s="1"/>
  <c r="BF5" i="8"/>
  <c r="BN5" i="8"/>
  <c r="X6" i="9" s="1"/>
  <c r="BF98" i="8"/>
  <c r="BN98" i="8"/>
  <c r="X99" i="9" s="1"/>
  <c r="BF64" i="8"/>
  <c r="BN64" i="8"/>
  <c r="X65" i="9" s="1"/>
  <c r="C43" i="7"/>
  <c r="BF41" i="8"/>
  <c r="BN41" i="8"/>
  <c r="X42" i="9" s="1"/>
  <c r="BF103" i="8"/>
  <c r="BN103" i="8"/>
  <c r="X104" i="9" s="1"/>
  <c r="BF37" i="8"/>
  <c r="BN37" i="8"/>
  <c r="X38" i="9" s="1"/>
  <c r="BN33" i="8"/>
  <c r="X34" i="9" s="1"/>
  <c r="BF33" i="8"/>
  <c r="BN90" i="8"/>
  <c r="X91" i="9" s="1"/>
  <c r="BF90" i="8"/>
  <c r="BF22" i="8"/>
  <c r="BN22" i="8"/>
  <c r="X23" i="9" s="1"/>
  <c r="BF58" i="8"/>
  <c r="BN58" i="8"/>
  <c r="X59" i="9" s="1"/>
  <c r="BF83" i="8"/>
  <c r="BN83" i="8"/>
  <c r="X84" i="9" s="1"/>
  <c r="Z84" i="9" s="1"/>
  <c r="BN12" i="8"/>
  <c r="X13" i="9" s="1"/>
  <c r="BF12" i="8"/>
  <c r="BF69" i="8"/>
  <c r="BN69" i="8"/>
  <c r="X70" i="9" s="1"/>
  <c r="BF57" i="8"/>
  <c r="BN57" i="8"/>
  <c r="X58" i="9" s="1"/>
  <c r="BF40" i="8"/>
  <c r="BN40" i="8"/>
  <c r="X41" i="9" s="1"/>
  <c r="Z41" i="9" s="1"/>
  <c r="BN68" i="8"/>
  <c r="X69" i="9" s="1"/>
  <c r="Z69" i="9" s="1"/>
  <c r="BF68" i="8"/>
  <c r="BF32" i="8"/>
  <c r="BN32" i="8"/>
  <c r="X33" i="9" s="1"/>
  <c r="BF61" i="8"/>
  <c r="BN61" i="8"/>
  <c r="X62" i="9" s="1"/>
  <c r="BF81" i="8"/>
  <c r="BN81" i="8"/>
  <c r="X82" i="9" s="1"/>
  <c r="E4" i="9"/>
  <c r="E7" i="8"/>
  <c r="H7" i="9"/>
  <c r="AE8" i="8"/>
  <c r="AF6" i="8"/>
  <c r="G7" i="8"/>
  <c r="G4" i="9"/>
  <c r="AG5" i="8"/>
  <c r="AH5" i="8" s="1"/>
  <c r="F5" i="9"/>
  <c r="N5" i="9"/>
  <c r="L5" i="9"/>
  <c r="I6" i="9"/>
  <c r="I4" i="9"/>
  <c r="X4" i="8"/>
  <c r="N4" i="9" s="1"/>
  <c r="J131" i="5"/>
  <c r="H131" i="5"/>
  <c r="B132" i="5"/>
  <c r="D131" i="5"/>
  <c r="I131" i="5"/>
  <c r="G131" i="5"/>
  <c r="C131" i="5"/>
  <c r="F131" i="5"/>
  <c r="E131" i="5"/>
  <c r="B210" i="5"/>
  <c r="J105" i="5"/>
  <c r="H105" i="5"/>
  <c r="G105" i="5"/>
  <c r="F105" i="5"/>
  <c r="B106" i="5"/>
  <c r="E105" i="5"/>
  <c r="D105" i="5"/>
  <c r="C105" i="5"/>
  <c r="I105" i="5"/>
  <c r="K7" i="9"/>
  <c r="AK7" i="8"/>
  <c r="AL7" i="8" s="1"/>
  <c r="K47" i="5"/>
  <c r="K200" i="5"/>
  <c r="L9" i="5"/>
  <c r="K174" i="5"/>
  <c r="K148" i="5"/>
  <c r="K96" i="5"/>
  <c r="K105" i="5" s="1"/>
  <c r="K18" i="5"/>
  <c r="K45" i="5" s="1"/>
  <c r="K122" i="5"/>
  <c r="K157" i="5" s="1"/>
  <c r="B56" i="5"/>
  <c r="G55" i="5"/>
  <c r="E55" i="5"/>
  <c r="I55" i="5"/>
  <c r="H55" i="5"/>
  <c r="C55" i="5"/>
  <c r="F55" i="5"/>
  <c r="D55" i="5"/>
  <c r="K55" i="5"/>
  <c r="J55" i="5"/>
  <c r="J48" i="5"/>
  <c r="J49" i="5"/>
  <c r="J50" i="5"/>
  <c r="J51" i="5"/>
  <c r="J52" i="5"/>
  <c r="J53" i="5"/>
  <c r="D157" i="5"/>
  <c r="J157" i="5"/>
  <c r="B158" i="5"/>
  <c r="C157" i="5"/>
  <c r="F157" i="5"/>
  <c r="H157" i="5"/>
  <c r="G157" i="5"/>
  <c r="E157" i="5"/>
  <c r="I157" i="5"/>
  <c r="B183" i="5"/>
  <c r="J150" i="5"/>
  <c r="J124" i="5"/>
  <c r="J123" i="5"/>
  <c r="J149" i="5"/>
  <c r="J151" i="5"/>
  <c r="J125" i="5"/>
  <c r="J152" i="5"/>
  <c r="J126" i="5"/>
  <c r="J127" i="5"/>
  <c r="J153" i="5"/>
  <c r="J128" i="5"/>
  <c r="J154" i="5"/>
  <c r="J155" i="5"/>
  <c r="J129" i="5"/>
  <c r="J98" i="5"/>
  <c r="J97" i="5"/>
  <c r="J99" i="5"/>
  <c r="J100" i="5"/>
  <c r="J101" i="5"/>
  <c r="J102" i="5"/>
  <c r="J103" i="5"/>
  <c r="G182" i="5"/>
  <c r="D182" i="5"/>
  <c r="H209" i="5"/>
  <c r="J180" i="5"/>
  <c r="J205" i="5"/>
  <c r="J208" i="5"/>
  <c r="J177" i="5"/>
  <c r="D209" i="5"/>
  <c r="J203" i="5"/>
  <c r="F209" i="5"/>
  <c r="J175" i="5"/>
  <c r="J202" i="5"/>
  <c r="J201" i="5"/>
  <c r="C182" i="5"/>
  <c r="C209" i="5"/>
  <c r="H182" i="5"/>
  <c r="G209" i="5"/>
  <c r="J182" i="5"/>
  <c r="K209" i="5"/>
  <c r="J207" i="5"/>
  <c r="I182" i="5"/>
  <c r="J179" i="5"/>
  <c r="J204" i="5"/>
  <c r="K182" i="5"/>
  <c r="E209" i="5"/>
  <c r="J176" i="5"/>
  <c r="J209" i="5"/>
  <c r="J178" i="5"/>
  <c r="J206" i="5"/>
  <c r="I209" i="5"/>
  <c r="E182" i="5"/>
  <c r="F182" i="5"/>
  <c r="K131" i="5" l="1"/>
  <c r="Z23" i="9"/>
  <c r="Z26" i="9"/>
  <c r="Z65" i="9"/>
  <c r="Z70" i="9"/>
  <c r="Z104" i="9"/>
  <c r="Z64" i="9"/>
  <c r="Z92" i="9"/>
  <c r="Z6" i="9"/>
  <c r="Z78" i="9"/>
  <c r="Z96" i="9"/>
  <c r="Z60" i="9"/>
  <c r="Z12" i="9"/>
  <c r="Z38" i="9"/>
  <c r="Z91" i="9"/>
  <c r="Z82" i="9"/>
  <c r="Z62" i="9"/>
  <c r="Z67" i="9"/>
  <c r="Z21" i="9"/>
  <c r="Z11" i="9"/>
  <c r="Z99" i="9"/>
  <c r="Z53" i="9"/>
  <c r="Z50" i="9"/>
  <c r="Z46" i="9"/>
  <c r="Z102" i="9"/>
  <c r="Z40" i="9"/>
  <c r="Z81" i="9"/>
  <c r="Z34" i="9"/>
  <c r="Z66" i="9"/>
  <c r="Z33" i="9"/>
  <c r="Z42" i="9"/>
  <c r="Z58" i="9"/>
  <c r="Z59" i="9"/>
  <c r="Z13" i="9"/>
  <c r="AI10" i="8"/>
  <c r="AJ9" i="8" s="1"/>
  <c r="W9" i="8" s="1"/>
  <c r="M9" i="9"/>
  <c r="BN6" i="8"/>
  <c r="X7" i="9" s="1"/>
  <c r="BN4" i="8"/>
  <c r="X5" i="9" s="1"/>
  <c r="Z5" i="9" s="1"/>
  <c r="AB29" i="7"/>
  <c r="AS4" i="8"/>
  <c r="AS5" i="8" s="1"/>
  <c r="AG6" i="8"/>
  <c r="AH6" i="8" s="1"/>
  <c r="F6" i="9"/>
  <c r="H8" i="9"/>
  <c r="G8" i="8"/>
  <c r="AF7" i="8"/>
  <c r="AE9" i="8"/>
  <c r="E8" i="8"/>
  <c r="E5" i="9"/>
  <c r="G5" i="9"/>
  <c r="L4" i="9"/>
  <c r="E106" i="5"/>
  <c r="K106" i="5"/>
  <c r="C106" i="5"/>
  <c r="F106" i="5"/>
  <c r="D106" i="5"/>
  <c r="B107" i="5"/>
  <c r="J106" i="5"/>
  <c r="I106" i="5"/>
  <c r="G106" i="5"/>
  <c r="H106" i="5"/>
  <c r="L96" i="5"/>
  <c r="L106" i="5" s="1"/>
  <c r="L200" i="5"/>
  <c r="L122" i="5"/>
  <c r="L158" i="5" s="1"/>
  <c r="L47" i="5"/>
  <c r="L174" i="5"/>
  <c r="L148" i="5"/>
  <c r="M9" i="5"/>
  <c r="L18" i="5"/>
  <c r="L45" i="5" s="1"/>
  <c r="I7" i="9"/>
  <c r="X7" i="8"/>
  <c r="N7" i="9" s="1"/>
  <c r="H158" i="5"/>
  <c r="B159" i="5"/>
  <c r="F158" i="5"/>
  <c r="D158" i="5"/>
  <c r="J158" i="5"/>
  <c r="I158" i="5"/>
  <c r="G158" i="5"/>
  <c r="E158" i="5"/>
  <c r="C158" i="5"/>
  <c r="K158" i="5"/>
  <c r="K8" i="9"/>
  <c r="AK8" i="8"/>
  <c r="AL8" i="8" s="1"/>
  <c r="B184" i="5"/>
  <c r="B211" i="5"/>
  <c r="J56" i="5"/>
  <c r="H56" i="5"/>
  <c r="F56" i="5"/>
  <c r="E56" i="5"/>
  <c r="B57" i="5"/>
  <c r="D56" i="5"/>
  <c r="L56" i="5"/>
  <c r="C56" i="5"/>
  <c r="I56" i="5"/>
  <c r="G56" i="5"/>
  <c r="K56" i="5"/>
  <c r="J7" i="9"/>
  <c r="L7" i="9"/>
  <c r="B133" i="5"/>
  <c r="F132" i="5"/>
  <c r="L132" i="5"/>
  <c r="D132" i="5"/>
  <c r="I132" i="5"/>
  <c r="H132" i="5"/>
  <c r="G132" i="5"/>
  <c r="E132" i="5"/>
  <c r="C132" i="5"/>
  <c r="K132" i="5"/>
  <c r="J132" i="5"/>
  <c r="K150" i="5"/>
  <c r="K123" i="5"/>
  <c r="K124" i="5"/>
  <c r="K149" i="5"/>
  <c r="K151" i="5"/>
  <c r="K125" i="5"/>
  <c r="K126" i="5"/>
  <c r="K152" i="5"/>
  <c r="K153" i="5"/>
  <c r="K127" i="5"/>
  <c r="K154" i="5"/>
  <c r="K128" i="5"/>
  <c r="K155" i="5"/>
  <c r="K129" i="5"/>
  <c r="K130" i="5"/>
  <c r="K156" i="5"/>
  <c r="K97" i="5"/>
  <c r="K98" i="5"/>
  <c r="K99" i="5"/>
  <c r="K100" i="5"/>
  <c r="K101" i="5"/>
  <c r="K102" i="5"/>
  <c r="K103" i="5"/>
  <c r="K104" i="5"/>
  <c r="K48" i="5"/>
  <c r="K49" i="5"/>
  <c r="K50" i="5"/>
  <c r="K51" i="5"/>
  <c r="K52" i="5"/>
  <c r="K53" i="5"/>
  <c r="K54" i="5"/>
  <c r="C210" i="5"/>
  <c r="K175" i="5"/>
  <c r="D183" i="5"/>
  <c r="I183" i="5"/>
  <c r="K203" i="5"/>
  <c r="G183" i="5"/>
  <c r="K208" i="5"/>
  <c r="D210" i="5"/>
  <c r="H183" i="5"/>
  <c r="K207" i="5"/>
  <c r="K201" i="5"/>
  <c r="K180" i="5"/>
  <c r="I210" i="5"/>
  <c r="K210" i="5"/>
  <c r="F210" i="5"/>
  <c r="H210" i="5"/>
  <c r="K178" i="5"/>
  <c r="K181" i="5"/>
  <c r="J210" i="5"/>
  <c r="J183" i="5"/>
  <c r="C183" i="5"/>
  <c r="K179" i="5"/>
  <c r="K183" i="5"/>
  <c r="E183" i="5"/>
  <c r="L183" i="5"/>
  <c r="G210" i="5"/>
  <c r="L210" i="5"/>
  <c r="K202" i="5"/>
  <c r="E210" i="5"/>
  <c r="K206" i="5"/>
  <c r="K204" i="5"/>
  <c r="F183" i="5"/>
  <c r="K177" i="5"/>
  <c r="K205" i="5"/>
  <c r="K176" i="5"/>
  <c r="Z7" i="9" l="1"/>
  <c r="M10" i="9"/>
  <c r="AI11" i="8"/>
  <c r="AI12" i="8" s="1"/>
  <c r="AU4" i="8"/>
  <c r="AU3" i="8" s="1"/>
  <c r="F7" i="9"/>
  <c r="AG7" i="8"/>
  <c r="AH7" i="8" s="1"/>
  <c r="E6" i="9"/>
  <c r="G6" i="9"/>
  <c r="AF8" i="8"/>
  <c r="H9" i="9"/>
  <c r="E9" i="8"/>
  <c r="G9" i="8"/>
  <c r="AE10" i="8"/>
  <c r="AU5" i="8"/>
  <c r="BP5" i="8" s="1"/>
  <c r="BT5" i="8" s="1"/>
  <c r="AS6" i="8"/>
  <c r="AU6" i="8" s="1"/>
  <c r="BP6" i="8" s="1"/>
  <c r="L159" i="5"/>
  <c r="D159" i="5"/>
  <c r="J159" i="5"/>
  <c r="K159" i="5"/>
  <c r="B160" i="5"/>
  <c r="C159" i="5"/>
  <c r="I159" i="5"/>
  <c r="F159" i="5"/>
  <c r="H159" i="5"/>
  <c r="G159" i="5"/>
  <c r="E159" i="5"/>
  <c r="L98" i="5"/>
  <c r="L97" i="5"/>
  <c r="L99" i="5"/>
  <c r="L100" i="5"/>
  <c r="L101" i="5"/>
  <c r="L102" i="5"/>
  <c r="L103" i="5"/>
  <c r="L104" i="5"/>
  <c r="L105" i="5"/>
  <c r="J133" i="5"/>
  <c r="H133" i="5"/>
  <c r="L133" i="5"/>
  <c r="I133" i="5"/>
  <c r="G133" i="5"/>
  <c r="D133" i="5"/>
  <c r="F133" i="5"/>
  <c r="E133" i="5"/>
  <c r="K133" i="5"/>
  <c r="C133" i="5"/>
  <c r="B134" i="5"/>
  <c r="L48" i="5"/>
  <c r="L49" i="5"/>
  <c r="L50" i="5"/>
  <c r="L51" i="5"/>
  <c r="L52" i="5"/>
  <c r="L53" i="5"/>
  <c r="L54" i="5"/>
  <c r="L55" i="5"/>
  <c r="B58" i="5"/>
  <c r="F57" i="5"/>
  <c r="L57" i="5"/>
  <c r="D57" i="5"/>
  <c r="E57" i="5"/>
  <c r="J57" i="5"/>
  <c r="C57" i="5"/>
  <c r="K57" i="5"/>
  <c r="H57" i="5"/>
  <c r="G57" i="5"/>
  <c r="I57" i="5"/>
  <c r="M11" i="9"/>
  <c r="B212" i="5"/>
  <c r="B185" i="5"/>
  <c r="K9" i="9"/>
  <c r="AJ10" i="8"/>
  <c r="W10" i="8" s="1"/>
  <c r="AK9" i="8"/>
  <c r="AL9" i="8" s="1"/>
  <c r="J8" i="9"/>
  <c r="L8" i="9"/>
  <c r="I8" i="9"/>
  <c r="X8" i="8"/>
  <c r="N8" i="9" s="1"/>
  <c r="M18" i="5"/>
  <c r="M45" i="5" s="1"/>
  <c r="M57" i="5" s="1"/>
  <c r="M47" i="5"/>
  <c r="M200" i="5"/>
  <c r="M96" i="5"/>
  <c r="M174" i="5"/>
  <c r="M148" i="5"/>
  <c r="M122" i="5"/>
  <c r="M133" i="5" s="1"/>
  <c r="L123" i="5"/>
  <c r="L150" i="5"/>
  <c r="L149" i="5"/>
  <c r="L124" i="5"/>
  <c r="L125" i="5"/>
  <c r="L151" i="5"/>
  <c r="L152" i="5"/>
  <c r="L126" i="5"/>
  <c r="L153" i="5"/>
  <c r="L127" i="5"/>
  <c r="L154" i="5"/>
  <c r="L128" i="5"/>
  <c r="L155" i="5"/>
  <c r="L129" i="5"/>
  <c r="L156" i="5"/>
  <c r="L130" i="5"/>
  <c r="L157" i="5"/>
  <c r="L131" i="5"/>
  <c r="I107" i="5"/>
  <c r="G107" i="5"/>
  <c r="D107" i="5"/>
  <c r="M107" i="5"/>
  <c r="C107" i="5"/>
  <c r="L107" i="5"/>
  <c r="K107" i="5"/>
  <c r="J107" i="5"/>
  <c r="B108" i="5"/>
  <c r="H107" i="5"/>
  <c r="F107" i="5"/>
  <c r="E107" i="5"/>
  <c r="AT4" i="8"/>
  <c r="L206" i="5"/>
  <c r="D184" i="5"/>
  <c r="M211" i="5"/>
  <c r="L211" i="5"/>
  <c r="L179" i="5"/>
  <c r="E184" i="5"/>
  <c r="L175" i="5"/>
  <c r="H184" i="5"/>
  <c r="L176" i="5"/>
  <c r="L209" i="5"/>
  <c r="E211" i="5"/>
  <c r="C211" i="5"/>
  <c r="H211" i="5"/>
  <c r="L204" i="5"/>
  <c r="L181" i="5"/>
  <c r="K184" i="5"/>
  <c r="K211" i="5"/>
  <c r="L177" i="5"/>
  <c r="L203" i="5"/>
  <c r="L180" i="5"/>
  <c r="L201" i="5"/>
  <c r="L205" i="5"/>
  <c r="L178" i="5"/>
  <c r="J184" i="5"/>
  <c r="L182" i="5"/>
  <c r="I211" i="5"/>
  <c r="D211" i="5"/>
  <c r="L207" i="5"/>
  <c r="C184" i="5"/>
  <c r="F211" i="5"/>
  <c r="F184" i="5"/>
  <c r="L202" i="5"/>
  <c r="L208" i="5"/>
  <c r="G211" i="5"/>
  <c r="J211" i="5"/>
  <c r="G184" i="5"/>
  <c r="AV4" i="8"/>
  <c r="I184" i="5"/>
  <c r="L184" i="5"/>
  <c r="BH4" i="8" l="1"/>
  <c r="BP4" i="8"/>
  <c r="BT4" i="8" s="1"/>
  <c r="AR5" i="8"/>
  <c r="Y5" i="9"/>
  <c r="F8" i="9"/>
  <c r="AG8" i="8"/>
  <c r="AH8" i="8" s="1"/>
  <c r="H10" i="9"/>
  <c r="AF9" i="8"/>
  <c r="E10" i="8"/>
  <c r="G10" i="8"/>
  <c r="AE11" i="8"/>
  <c r="G7" i="9"/>
  <c r="E7" i="9"/>
  <c r="AS7" i="8"/>
  <c r="AS8" i="8" s="1"/>
  <c r="BO5" i="8"/>
  <c r="J9" i="9"/>
  <c r="L9" i="9"/>
  <c r="BT6" i="8"/>
  <c r="BO6" i="8"/>
  <c r="BY6" i="8" s="1"/>
  <c r="J58" i="5"/>
  <c r="H58" i="5"/>
  <c r="B59" i="5"/>
  <c r="D58" i="5"/>
  <c r="M58" i="5"/>
  <c r="C58" i="5"/>
  <c r="I58" i="5"/>
  <c r="L58" i="5"/>
  <c r="K58" i="5"/>
  <c r="G58" i="5"/>
  <c r="F58" i="5"/>
  <c r="E58" i="5"/>
  <c r="K108" i="5"/>
  <c r="C108" i="5"/>
  <c r="I108" i="5"/>
  <c r="L108" i="5"/>
  <c r="J108" i="5"/>
  <c r="F108" i="5"/>
  <c r="H108" i="5"/>
  <c r="G108" i="5"/>
  <c r="M108" i="5"/>
  <c r="D108" i="5"/>
  <c r="B109" i="5"/>
  <c r="E108" i="5"/>
  <c r="M12" i="9"/>
  <c r="AI13" i="8"/>
  <c r="AJ11" i="8"/>
  <c r="W11" i="8" s="1"/>
  <c r="AK10" i="8"/>
  <c r="AL10" i="8" s="1"/>
  <c r="K10" i="9"/>
  <c r="M98" i="5"/>
  <c r="M97" i="5"/>
  <c r="M99" i="5"/>
  <c r="M100" i="5"/>
  <c r="M101" i="5"/>
  <c r="M102" i="5"/>
  <c r="M103" i="5"/>
  <c r="M104" i="5"/>
  <c r="M105" i="5"/>
  <c r="M106" i="5"/>
  <c r="M48" i="5"/>
  <c r="M49" i="5"/>
  <c r="M50" i="5"/>
  <c r="M51" i="5"/>
  <c r="M52" i="5"/>
  <c r="M53" i="5"/>
  <c r="M54" i="5"/>
  <c r="M55" i="5"/>
  <c r="M56" i="5"/>
  <c r="B135" i="5"/>
  <c r="F134" i="5"/>
  <c r="L134" i="5"/>
  <c r="D134" i="5"/>
  <c r="J134" i="5"/>
  <c r="I134" i="5"/>
  <c r="H134" i="5"/>
  <c r="G134" i="5"/>
  <c r="C134" i="5"/>
  <c r="E134" i="5"/>
  <c r="M134" i="5"/>
  <c r="K134" i="5"/>
  <c r="B213" i="5"/>
  <c r="I9" i="9"/>
  <c r="X9" i="8"/>
  <c r="N9" i="9" s="1"/>
  <c r="B186" i="5"/>
  <c r="H160" i="5"/>
  <c r="B161" i="5"/>
  <c r="F160" i="5"/>
  <c r="J160" i="5"/>
  <c r="L160" i="5"/>
  <c r="M160" i="5"/>
  <c r="K160" i="5"/>
  <c r="I160" i="5"/>
  <c r="G160" i="5"/>
  <c r="E160" i="5"/>
  <c r="C160" i="5"/>
  <c r="D160" i="5"/>
  <c r="M150" i="5"/>
  <c r="M149" i="5"/>
  <c r="M123" i="5"/>
  <c r="M124" i="5"/>
  <c r="M125" i="5"/>
  <c r="M151" i="5"/>
  <c r="M152" i="5"/>
  <c r="M126" i="5"/>
  <c r="M153" i="5"/>
  <c r="M127" i="5"/>
  <c r="M128" i="5"/>
  <c r="M154" i="5"/>
  <c r="M129" i="5"/>
  <c r="M155" i="5"/>
  <c r="M156" i="5"/>
  <c r="M130" i="5"/>
  <c r="M131" i="5"/>
  <c r="M157" i="5"/>
  <c r="M132" i="5"/>
  <c r="M158" i="5"/>
  <c r="M159" i="5"/>
  <c r="C185" i="5"/>
  <c r="M175" i="5"/>
  <c r="K185" i="5"/>
  <c r="L212" i="5"/>
  <c r="M183" i="5"/>
  <c r="M177" i="5"/>
  <c r="M207" i="5"/>
  <c r="M210" i="5"/>
  <c r="G185" i="5"/>
  <c r="J212" i="5"/>
  <c r="M205" i="5"/>
  <c r="M202" i="5"/>
  <c r="I185" i="5"/>
  <c r="H212" i="5"/>
  <c r="M179" i="5"/>
  <c r="E212" i="5"/>
  <c r="AV5" i="8"/>
  <c r="M176" i="5"/>
  <c r="M181" i="5"/>
  <c r="M208" i="5"/>
  <c r="E185" i="5"/>
  <c r="F212" i="5"/>
  <c r="M178" i="5"/>
  <c r="M203" i="5"/>
  <c r="AT5" i="8"/>
  <c r="G212" i="5"/>
  <c r="M184" i="5"/>
  <c r="L185" i="5"/>
  <c r="I212" i="5"/>
  <c r="M185" i="5"/>
  <c r="M201" i="5"/>
  <c r="F185" i="5"/>
  <c r="M180" i="5"/>
  <c r="M204" i="5"/>
  <c r="J185" i="5"/>
  <c r="D185" i="5"/>
  <c r="M209" i="5"/>
  <c r="K212" i="5"/>
  <c r="H185" i="5"/>
  <c r="C212" i="5"/>
  <c r="D212" i="5"/>
  <c r="M182" i="5"/>
  <c r="M212" i="5"/>
  <c r="M206" i="5"/>
  <c r="BH5" i="8" l="1"/>
  <c r="BO4" i="8"/>
  <c r="BU4" i="8" s="1"/>
  <c r="Y6" i="9"/>
  <c r="BZ5" i="8"/>
  <c r="BZ6" i="8" s="1"/>
  <c r="BY5" i="8"/>
  <c r="AU7" i="8"/>
  <c r="BP7" i="8" s="1"/>
  <c r="BO7" i="8" s="1"/>
  <c r="BY7" i="8" s="1"/>
  <c r="F9" i="9"/>
  <c r="AG9" i="8"/>
  <c r="AH9" i="8" s="1"/>
  <c r="H11" i="9"/>
  <c r="G11" i="8"/>
  <c r="E11" i="8"/>
  <c r="AF10" i="8"/>
  <c r="AE12" i="8"/>
  <c r="G8" i="9"/>
  <c r="CA5" i="8"/>
  <c r="BR5" i="8"/>
  <c r="BU5" i="8"/>
  <c r="BX5" i="8"/>
  <c r="BX6" i="8" s="1"/>
  <c r="B60" i="5"/>
  <c r="F59" i="5"/>
  <c r="L59" i="5"/>
  <c r="D59" i="5"/>
  <c r="M59" i="5"/>
  <c r="K59" i="5"/>
  <c r="J59" i="5"/>
  <c r="I59" i="5"/>
  <c r="H59" i="5"/>
  <c r="C59" i="5"/>
  <c r="G59" i="5"/>
  <c r="E59" i="5"/>
  <c r="J135" i="5"/>
  <c r="H135" i="5"/>
  <c r="I135" i="5"/>
  <c r="K135" i="5"/>
  <c r="G135" i="5"/>
  <c r="F135" i="5"/>
  <c r="E135" i="5"/>
  <c r="D135" i="5"/>
  <c r="B136" i="5"/>
  <c r="M135" i="5"/>
  <c r="C135" i="5"/>
  <c r="L135" i="5"/>
  <c r="AI14" i="8"/>
  <c r="M13" i="9"/>
  <c r="BU6" i="8"/>
  <c r="BR6" i="8"/>
  <c r="CA6" i="8"/>
  <c r="B214" i="5"/>
  <c r="I10" i="9"/>
  <c r="X10" i="8"/>
  <c r="N10" i="9" s="1"/>
  <c r="AS9" i="8"/>
  <c r="AU8" i="8"/>
  <c r="BP8" i="8" s="1"/>
  <c r="F109" i="5"/>
  <c r="L109" i="5"/>
  <c r="D109" i="5"/>
  <c r="I109" i="5"/>
  <c r="H109" i="5"/>
  <c r="G109" i="5"/>
  <c r="B110" i="5"/>
  <c r="E109" i="5"/>
  <c r="C109" i="5"/>
  <c r="M109" i="5"/>
  <c r="K109" i="5"/>
  <c r="J109" i="5"/>
  <c r="L161" i="5"/>
  <c r="D161" i="5"/>
  <c r="J161" i="5"/>
  <c r="H161" i="5"/>
  <c r="K161" i="5"/>
  <c r="C161" i="5"/>
  <c r="B162" i="5"/>
  <c r="M161" i="5"/>
  <c r="I161" i="5"/>
  <c r="G161" i="5"/>
  <c r="E161" i="5"/>
  <c r="F161" i="5"/>
  <c r="K11" i="9"/>
  <c r="AK11" i="8"/>
  <c r="AL11" i="8" s="1"/>
  <c r="AJ12" i="8"/>
  <c r="W12" i="8" s="1"/>
  <c r="B187" i="5"/>
  <c r="J10" i="9"/>
  <c r="L10" i="9"/>
  <c r="AT6" i="8"/>
  <c r="M213" i="5"/>
  <c r="C213" i="5"/>
  <c r="F186" i="5"/>
  <c r="D186" i="5"/>
  <c r="F213" i="5"/>
  <c r="M186" i="5"/>
  <c r="G186" i="5"/>
  <c r="I186" i="5"/>
  <c r="G213" i="5"/>
  <c r="E186" i="5"/>
  <c r="L186" i="5"/>
  <c r="K186" i="5"/>
  <c r="E213" i="5"/>
  <c r="C186" i="5"/>
  <c r="H213" i="5"/>
  <c r="D213" i="5"/>
  <c r="J186" i="5"/>
  <c r="AV6" i="8"/>
  <c r="L213" i="5"/>
  <c r="J213" i="5"/>
  <c r="I213" i="5"/>
  <c r="H186" i="5"/>
  <c r="K213" i="5"/>
  <c r="BH6" i="8" l="1"/>
  <c r="BR4" i="8"/>
  <c r="BQ5" i="8"/>
  <c r="BS5" i="8" s="1"/>
  <c r="BY4" i="8"/>
  <c r="CA4" i="8"/>
  <c r="BQ4" i="8"/>
  <c r="BZ4" i="8"/>
  <c r="BX4" i="8"/>
  <c r="Y7" i="9"/>
  <c r="BT7" i="8"/>
  <c r="E12" i="8"/>
  <c r="G12" i="8"/>
  <c r="H12" i="9"/>
  <c r="AF11" i="8"/>
  <c r="AE13" i="8"/>
  <c r="F10" i="9"/>
  <c r="AG10" i="8"/>
  <c r="AH10" i="8" s="1"/>
  <c r="G9" i="9"/>
  <c r="E9" i="9"/>
  <c r="BV4" i="8"/>
  <c r="M14" i="9"/>
  <c r="AI15" i="8"/>
  <c r="H162" i="5"/>
  <c r="B163" i="5"/>
  <c r="F162" i="5"/>
  <c r="G162" i="5"/>
  <c r="J162" i="5"/>
  <c r="D162" i="5"/>
  <c r="C162" i="5"/>
  <c r="L162" i="5"/>
  <c r="M162" i="5"/>
  <c r="I162" i="5"/>
  <c r="E162" i="5"/>
  <c r="K162" i="5"/>
  <c r="B215" i="5"/>
  <c r="I11" i="9"/>
  <c r="X11" i="8"/>
  <c r="N11" i="9" s="1"/>
  <c r="BR7" i="8"/>
  <c r="BU7" i="8"/>
  <c r="BX7" i="8"/>
  <c r="CA7" i="8"/>
  <c r="BZ7" i="8"/>
  <c r="J60" i="5"/>
  <c r="H60" i="5"/>
  <c r="L60" i="5"/>
  <c r="K60" i="5"/>
  <c r="I60" i="5"/>
  <c r="F60" i="5"/>
  <c r="G60" i="5"/>
  <c r="B61" i="5"/>
  <c r="M60" i="5"/>
  <c r="C60" i="5"/>
  <c r="E60" i="5"/>
  <c r="D60" i="5"/>
  <c r="AU9" i="8"/>
  <c r="BP9" i="8" s="1"/>
  <c r="AS10" i="8"/>
  <c r="BV5" i="8"/>
  <c r="I110" i="5"/>
  <c r="G110" i="5"/>
  <c r="B111" i="5"/>
  <c r="E110" i="5"/>
  <c r="D110" i="5"/>
  <c r="M110" i="5"/>
  <c r="C110" i="5"/>
  <c r="L110" i="5"/>
  <c r="K110" i="5"/>
  <c r="H110" i="5"/>
  <c r="J110" i="5"/>
  <c r="F110" i="5"/>
  <c r="BT8" i="8"/>
  <c r="BO8" i="8"/>
  <c r="BY8" i="8" s="1"/>
  <c r="AK12" i="8"/>
  <c r="AL12" i="8" s="1"/>
  <c r="K12" i="9"/>
  <c r="AJ13" i="8"/>
  <c r="W13" i="8" s="1"/>
  <c r="J11" i="9"/>
  <c r="L11" i="9"/>
  <c r="B137" i="5"/>
  <c r="F136" i="5"/>
  <c r="L136" i="5"/>
  <c r="D136" i="5"/>
  <c r="H136" i="5"/>
  <c r="J136" i="5"/>
  <c r="I136" i="5"/>
  <c r="C136" i="5"/>
  <c r="G136" i="5"/>
  <c r="E136" i="5"/>
  <c r="K136" i="5"/>
  <c r="M136" i="5"/>
  <c r="B188" i="5"/>
  <c r="AV7" i="8"/>
  <c r="BH7" i="8" s="1"/>
  <c r="AT7" i="8"/>
  <c r="J187" i="5"/>
  <c r="M214" i="5"/>
  <c r="L214" i="5"/>
  <c r="F187" i="5"/>
  <c r="D187" i="5"/>
  <c r="K187" i="5"/>
  <c r="D214" i="5"/>
  <c r="C187" i="5"/>
  <c r="I187" i="5"/>
  <c r="G187" i="5"/>
  <c r="I214" i="5"/>
  <c r="H214" i="5"/>
  <c r="C214" i="5"/>
  <c r="L187" i="5"/>
  <c r="G214" i="5"/>
  <c r="E214" i="5"/>
  <c r="E187" i="5"/>
  <c r="F214" i="5"/>
  <c r="K214" i="5"/>
  <c r="M187" i="5"/>
  <c r="J214" i="5"/>
  <c r="H187" i="5"/>
  <c r="BQ6" i="8" l="1"/>
  <c r="BS6" i="8" s="1"/>
  <c r="BS4" i="8"/>
  <c r="AV8" i="8"/>
  <c r="Y8" i="9"/>
  <c r="E10" i="9"/>
  <c r="G10" i="9"/>
  <c r="F11" i="9"/>
  <c r="AG11" i="8"/>
  <c r="AH11" i="8" s="1"/>
  <c r="E13" i="8"/>
  <c r="G13" i="8"/>
  <c r="AE14" i="8"/>
  <c r="H13" i="9"/>
  <c r="AF12" i="8"/>
  <c r="BV6" i="8"/>
  <c r="B189" i="5"/>
  <c r="M15" i="9"/>
  <c r="AI16" i="8"/>
  <c r="K13" i="9"/>
  <c r="AK13" i="8"/>
  <c r="AL13" i="8" s="1"/>
  <c r="AJ14" i="8"/>
  <c r="W14" i="8" s="1"/>
  <c r="AS11" i="8"/>
  <c r="AU10" i="8"/>
  <c r="BP10" i="8" s="1"/>
  <c r="K111" i="5"/>
  <c r="C111" i="5"/>
  <c r="I111" i="5"/>
  <c r="H111" i="5"/>
  <c r="B112" i="5"/>
  <c r="M111" i="5"/>
  <c r="G111" i="5"/>
  <c r="L111" i="5"/>
  <c r="J111" i="5"/>
  <c r="F111" i="5"/>
  <c r="E111" i="5"/>
  <c r="D111" i="5"/>
  <c r="BR8" i="8"/>
  <c r="BU8" i="8"/>
  <c r="BX8" i="8"/>
  <c r="BZ8" i="8"/>
  <c r="CA8" i="8"/>
  <c r="I12" i="9"/>
  <c r="X12" i="8"/>
  <c r="N12" i="9" s="1"/>
  <c r="L12" i="9"/>
  <c r="J12" i="9"/>
  <c r="B216" i="5"/>
  <c r="L163" i="5"/>
  <c r="D163" i="5"/>
  <c r="J163" i="5"/>
  <c r="F163" i="5"/>
  <c r="H163" i="5"/>
  <c r="G163" i="5"/>
  <c r="E163" i="5"/>
  <c r="C163" i="5"/>
  <c r="B164" i="5"/>
  <c r="K163" i="5"/>
  <c r="M163" i="5"/>
  <c r="I163" i="5"/>
  <c r="J137" i="5"/>
  <c r="H137" i="5"/>
  <c r="F137" i="5"/>
  <c r="K137" i="5"/>
  <c r="I137" i="5"/>
  <c r="G137" i="5"/>
  <c r="E137" i="5"/>
  <c r="D137" i="5"/>
  <c r="L137" i="5"/>
  <c r="B138" i="5"/>
  <c r="M137" i="5"/>
  <c r="C137" i="5"/>
  <c r="BO9" i="8"/>
  <c r="BY9" i="8" s="1"/>
  <c r="BT9" i="8"/>
  <c r="F61" i="5"/>
  <c r="L61" i="5"/>
  <c r="D61" i="5"/>
  <c r="J61" i="5"/>
  <c r="E61" i="5"/>
  <c r="I61" i="5"/>
  <c r="H61" i="5"/>
  <c r="G61" i="5"/>
  <c r="C61" i="5"/>
  <c r="B62" i="5"/>
  <c r="M61" i="5"/>
  <c r="K61" i="5"/>
  <c r="AT8" i="8"/>
  <c r="E188" i="5"/>
  <c r="D215" i="5"/>
  <c r="G215" i="5"/>
  <c r="E215" i="5"/>
  <c r="K215" i="5"/>
  <c r="M188" i="5"/>
  <c r="L215" i="5"/>
  <c r="H215" i="5"/>
  <c r="D188" i="5"/>
  <c r="J215" i="5"/>
  <c r="K188" i="5"/>
  <c r="F188" i="5"/>
  <c r="G188" i="5"/>
  <c r="F215" i="5"/>
  <c r="I215" i="5"/>
  <c r="C188" i="5"/>
  <c r="L188" i="5"/>
  <c r="C215" i="5"/>
  <c r="I188" i="5"/>
  <c r="H188" i="5"/>
  <c r="M215" i="5"/>
  <c r="J188" i="5"/>
  <c r="BQ7" i="8" l="1"/>
  <c r="BS7" i="8" s="1"/>
  <c r="BH8" i="8"/>
  <c r="AV9" i="8"/>
  <c r="Y9" i="9"/>
  <c r="G11" i="9"/>
  <c r="E11" i="9"/>
  <c r="H14" i="9"/>
  <c r="AE15" i="8"/>
  <c r="E14" i="8"/>
  <c r="AF13" i="8"/>
  <c r="G14" i="8"/>
  <c r="AG12" i="8"/>
  <c r="AH12" i="8" s="1"/>
  <c r="F12" i="9"/>
  <c r="J13" i="9"/>
  <c r="L13" i="9"/>
  <c r="BV7" i="8"/>
  <c r="B217" i="5"/>
  <c r="G112" i="5"/>
  <c r="M112" i="5"/>
  <c r="E112" i="5"/>
  <c r="H112" i="5"/>
  <c r="L112" i="5"/>
  <c r="K112" i="5"/>
  <c r="I112" i="5"/>
  <c r="J112" i="5"/>
  <c r="B113" i="5"/>
  <c r="F112" i="5"/>
  <c r="D112" i="5"/>
  <c r="C112" i="5"/>
  <c r="I13" i="9"/>
  <c r="X13" i="8"/>
  <c r="N13" i="9" s="1"/>
  <c r="BO10" i="8"/>
  <c r="BY10" i="8" s="1"/>
  <c r="BT10" i="8"/>
  <c r="B139" i="5"/>
  <c r="F138" i="5"/>
  <c r="L138" i="5"/>
  <c r="D138" i="5"/>
  <c r="E138" i="5"/>
  <c r="J138" i="5"/>
  <c r="I138" i="5"/>
  <c r="C138" i="5"/>
  <c r="H138" i="5"/>
  <c r="G138" i="5"/>
  <c r="M138" i="5"/>
  <c r="K138" i="5"/>
  <c r="H164" i="5"/>
  <c r="B165" i="5"/>
  <c r="F164" i="5"/>
  <c r="D164" i="5"/>
  <c r="G164" i="5"/>
  <c r="J164" i="5"/>
  <c r="I164" i="5"/>
  <c r="E164" i="5"/>
  <c r="C164" i="5"/>
  <c r="M164" i="5"/>
  <c r="L164" i="5"/>
  <c r="K164" i="5"/>
  <c r="M16" i="9"/>
  <c r="AI17" i="8"/>
  <c r="BU9" i="8"/>
  <c r="BR9" i="8"/>
  <c r="CA9" i="8"/>
  <c r="BZ9" i="8"/>
  <c r="BX9" i="8"/>
  <c r="K14" i="9"/>
  <c r="AJ15" i="8"/>
  <c r="W15" i="8" s="1"/>
  <c r="AK14" i="8"/>
  <c r="AL14" i="8" s="1"/>
  <c r="B190" i="5"/>
  <c r="AU11" i="8"/>
  <c r="BP11" i="8" s="1"/>
  <c r="AS12" i="8"/>
  <c r="I62" i="5"/>
  <c r="B63" i="5"/>
  <c r="G62" i="5"/>
  <c r="H62" i="5"/>
  <c r="F62" i="5"/>
  <c r="M62" i="5"/>
  <c r="E62" i="5"/>
  <c r="D62" i="5"/>
  <c r="C62" i="5"/>
  <c r="L62" i="5"/>
  <c r="J62" i="5"/>
  <c r="K62" i="5"/>
  <c r="AT9" i="8"/>
  <c r="I189" i="5"/>
  <c r="D189" i="5"/>
  <c r="K189" i="5"/>
  <c r="E216" i="5"/>
  <c r="F189" i="5"/>
  <c r="M216" i="5"/>
  <c r="C216" i="5"/>
  <c r="C189" i="5"/>
  <c r="M189" i="5"/>
  <c r="I216" i="5"/>
  <c r="L189" i="5"/>
  <c r="F216" i="5"/>
  <c r="K216" i="5"/>
  <c r="E189" i="5"/>
  <c r="H189" i="5"/>
  <c r="L216" i="5"/>
  <c r="J189" i="5"/>
  <c r="H216" i="5"/>
  <c r="J216" i="5"/>
  <c r="D216" i="5"/>
  <c r="G189" i="5"/>
  <c r="G216" i="5"/>
  <c r="BQ8" i="8" l="1"/>
  <c r="BS8" i="8" s="1"/>
  <c r="BH9" i="8"/>
  <c r="AV10" i="8"/>
  <c r="Y10" i="9"/>
  <c r="E12" i="9"/>
  <c r="G12" i="9"/>
  <c r="F13" i="9"/>
  <c r="AG13" i="8"/>
  <c r="AH13" i="8" s="1"/>
  <c r="H15" i="9"/>
  <c r="AF14" i="8"/>
  <c r="AE16" i="8"/>
  <c r="E15" i="8"/>
  <c r="G15" i="8"/>
  <c r="BV8" i="8"/>
  <c r="BT11" i="8"/>
  <c r="BO11" i="8"/>
  <c r="BY11" i="8" s="1"/>
  <c r="K15" i="9"/>
  <c r="AJ16" i="8"/>
  <c r="W16" i="8" s="1"/>
  <c r="AK15" i="8"/>
  <c r="AL15" i="8" s="1"/>
  <c r="BU10" i="8"/>
  <c r="BR10" i="8"/>
  <c r="BX10" i="8"/>
  <c r="CA10" i="8"/>
  <c r="BZ10" i="8"/>
  <c r="B218" i="5"/>
  <c r="AU12" i="8"/>
  <c r="BP12" i="8" s="1"/>
  <c r="AS13" i="8"/>
  <c r="J139" i="5"/>
  <c r="H139" i="5"/>
  <c r="B140" i="5"/>
  <c r="D139" i="5"/>
  <c r="K139" i="5"/>
  <c r="I139" i="5"/>
  <c r="G139" i="5"/>
  <c r="F139" i="5"/>
  <c r="E139" i="5"/>
  <c r="C139" i="5"/>
  <c r="L139" i="5"/>
  <c r="M139" i="5"/>
  <c r="X14" i="8"/>
  <c r="N14" i="9" s="1"/>
  <c r="I14" i="9"/>
  <c r="H113" i="5"/>
  <c r="B114" i="5"/>
  <c r="F113" i="5"/>
  <c r="M113" i="5"/>
  <c r="C113" i="5"/>
  <c r="K113" i="5"/>
  <c r="J113" i="5"/>
  <c r="I113" i="5"/>
  <c r="G113" i="5"/>
  <c r="E113" i="5"/>
  <c r="L113" i="5"/>
  <c r="D113" i="5"/>
  <c r="L63" i="5"/>
  <c r="D63" i="5"/>
  <c r="J63" i="5"/>
  <c r="F63" i="5"/>
  <c r="E63" i="5"/>
  <c r="B64" i="5"/>
  <c r="C63" i="5"/>
  <c r="K63" i="5"/>
  <c r="M63" i="5"/>
  <c r="H63" i="5"/>
  <c r="G63" i="5"/>
  <c r="I63" i="5"/>
  <c r="L165" i="5"/>
  <c r="D165" i="5"/>
  <c r="J165" i="5"/>
  <c r="B166" i="5"/>
  <c r="C165" i="5"/>
  <c r="F165" i="5"/>
  <c r="K165" i="5"/>
  <c r="I165" i="5"/>
  <c r="E165" i="5"/>
  <c r="H165" i="5"/>
  <c r="G165" i="5"/>
  <c r="M165" i="5"/>
  <c r="L14" i="9"/>
  <c r="J14" i="9"/>
  <c r="B191" i="5"/>
  <c r="M17" i="9"/>
  <c r="AI18" i="8"/>
  <c r="AT10" i="8"/>
  <c r="C190" i="5"/>
  <c r="H217" i="5"/>
  <c r="D190" i="5"/>
  <c r="D217" i="5"/>
  <c r="F190" i="5"/>
  <c r="M190" i="5"/>
  <c r="J190" i="5"/>
  <c r="K217" i="5"/>
  <c r="K190" i="5"/>
  <c r="I190" i="5"/>
  <c r="H190" i="5"/>
  <c r="I217" i="5"/>
  <c r="F217" i="5"/>
  <c r="E217" i="5"/>
  <c r="C217" i="5"/>
  <c r="L190" i="5"/>
  <c r="G217" i="5"/>
  <c r="L217" i="5"/>
  <c r="M217" i="5"/>
  <c r="G190" i="5"/>
  <c r="E190" i="5"/>
  <c r="J217" i="5"/>
  <c r="BQ9" i="8" l="1"/>
  <c r="BS9" i="8" s="1"/>
  <c r="BH10" i="8"/>
  <c r="AV11" i="8"/>
  <c r="Y11" i="9"/>
  <c r="H16" i="9"/>
  <c r="AF15" i="8"/>
  <c r="E16" i="8"/>
  <c r="AE17" i="8"/>
  <c r="G16" i="8"/>
  <c r="AG14" i="8"/>
  <c r="AH14" i="8" s="1"/>
  <c r="F14" i="9"/>
  <c r="G13" i="9"/>
  <c r="E13" i="9"/>
  <c r="BV9" i="8"/>
  <c r="H166" i="5"/>
  <c r="B167" i="5"/>
  <c r="F166" i="5"/>
  <c r="L166" i="5"/>
  <c r="D166" i="5"/>
  <c r="M166" i="5"/>
  <c r="K166" i="5"/>
  <c r="J166" i="5"/>
  <c r="I166" i="5"/>
  <c r="G166" i="5"/>
  <c r="E166" i="5"/>
  <c r="C166" i="5"/>
  <c r="L15" i="9"/>
  <c r="J15" i="9"/>
  <c r="L114" i="5"/>
  <c r="D114" i="5"/>
  <c r="J114" i="5"/>
  <c r="M114" i="5"/>
  <c r="K114" i="5"/>
  <c r="I114" i="5"/>
  <c r="F114" i="5"/>
  <c r="H114" i="5"/>
  <c r="G114" i="5"/>
  <c r="B115" i="5"/>
  <c r="E114" i="5"/>
  <c r="C114" i="5"/>
  <c r="B219" i="5"/>
  <c r="BR11" i="8"/>
  <c r="BU11" i="8"/>
  <c r="BV10" i="8" s="1"/>
  <c r="BX11" i="8"/>
  <c r="BZ11" i="8"/>
  <c r="CA11" i="8"/>
  <c r="AS14" i="8"/>
  <c r="AU13" i="8"/>
  <c r="BP13" i="8" s="1"/>
  <c r="B141" i="5"/>
  <c r="F140" i="5"/>
  <c r="L140" i="5"/>
  <c r="D140" i="5"/>
  <c r="M140" i="5"/>
  <c r="J140" i="5"/>
  <c r="I140" i="5"/>
  <c r="E140" i="5"/>
  <c r="H140" i="5"/>
  <c r="G140" i="5"/>
  <c r="C140" i="5"/>
  <c r="K140" i="5"/>
  <c r="B192" i="5"/>
  <c r="H64" i="5"/>
  <c r="F64" i="5"/>
  <c r="B65" i="5"/>
  <c r="D64" i="5"/>
  <c r="M64" i="5"/>
  <c r="C64" i="5"/>
  <c r="L64" i="5"/>
  <c r="K64" i="5"/>
  <c r="J64" i="5"/>
  <c r="G64" i="5"/>
  <c r="I64" i="5"/>
  <c r="E64" i="5"/>
  <c r="BT12" i="8"/>
  <c r="BO12" i="8"/>
  <c r="BY12" i="8" s="1"/>
  <c r="M18" i="9"/>
  <c r="AI19" i="8"/>
  <c r="K16" i="9"/>
  <c r="AJ17" i="8"/>
  <c r="W17" i="8" s="1"/>
  <c r="AK16" i="8"/>
  <c r="AL16" i="8" s="1"/>
  <c r="BQ10" i="8"/>
  <c r="BS10" i="8" s="1"/>
  <c r="X15" i="8"/>
  <c r="N15" i="9" s="1"/>
  <c r="I15" i="9"/>
  <c r="AT11" i="8"/>
  <c r="G191" i="5"/>
  <c r="H191" i="5"/>
  <c r="G218" i="5"/>
  <c r="H218" i="5"/>
  <c r="M218" i="5"/>
  <c r="F218" i="5"/>
  <c r="F191" i="5"/>
  <c r="E191" i="5"/>
  <c r="K191" i="5"/>
  <c r="I191" i="5"/>
  <c r="K218" i="5"/>
  <c r="C191" i="5"/>
  <c r="J191" i="5"/>
  <c r="D191" i="5"/>
  <c r="D218" i="5"/>
  <c r="J218" i="5"/>
  <c r="L191" i="5"/>
  <c r="L218" i="5"/>
  <c r="I218" i="5"/>
  <c r="M191" i="5"/>
  <c r="E218" i="5"/>
  <c r="C218" i="5"/>
  <c r="AV12" i="8" l="1"/>
  <c r="BH11" i="8"/>
  <c r="Y12" i="9"/>
  <c r="F15" i="9"/>
  <c r="AG15" i="8"/>
  <c r="AH15" i="8" s="1"/>
  <c r="E14" i="9"/>
  <c r="G14" i="9"/>
  <c r="AF16" i="8"/>
  <c r="E17" i="8"/>
  <c r="AE18" i="8"/>
  <c r="H17" i="9"/>
  <c r="G17" i="8"/>
  <c r="M19" i="9"/>
  <c r="AI20" i="8"/>
  <c r="AU14" i="8"/>
  <c r="BP14" i="8" s="1"/>
  <c r="AS15" i="8"/>
  <c r="H115" i="5"/>
  <c r="B116" i="5"/>
  <c r="F115" i="5"/>
  <c r="K115" i="5"/>
  <c r="L115" i="5"/>
  <c r="J115" i="5"/>
  <c r="I115" i="5"/>
  <c r="G115" i="5"/>
  <c r="E115" i="5"/>
  <c r="M115" i="5"/>
  <c r="D115" i="5"/>
  <c r="C115" i="5"/>
  <c r="K65" i="5"/>
  <c r="C65" i="5"/>
  <c r="I65" i="5"/>
  <c r="M65" i="5"/>
  <c r="G65" i="5"/>
  <c r="L65" i="5"/>
  <c r="J65" i="5"/>
  <c r="H65" i="5"/>
  <c r="B66" i="5"/>
  <c r="F65" i="5"/>
  <c r="E65" i="5"/>
  <c r="D65" i="5"/>
  <c r="B220" i="5"/>
  <c r="L167" i="5"/>
  <c r="D167" i="5"/>
  <c r="J167" i="5"/>
  <c r="K167" i="5"/>
  <c r="B168" i="5"/>
  <c r="C167" i="5"/>
  <c r="M167" i="5"/>
  <c r="I167" i="5"/>
  <c r="H167" i="5"/>
  <c r="E167" i="5"/>
  <c r="F167" i="5"/>
  <c r="G167" i="5"/>
  <c r="BU12" i="8"/>
  <c r="BR12" i="8"/>
  <c r="CA12" i="8"/>
  <c r="BZ12" i="8"/>
  <c r="BX12" i="8"/>
  <c r="I16" i="9"/>
  <c r="X16" i="8"/>
  <c r="N16" i="9" s="1"/>
  <c r="J141" i="5"/>
  <c r="H141" i="5"/>
  <c r="L141" i="5"/>
  <c r="K141" i="5"/>
  <c r="I141" i="5"/>
  <c r="G141" i="5"/>
  <c r="F141" i="5"/>
  <c r="E141" i="5"/>
  <c r="B142" i="5"/>
  <c r="M141" i="5"/>
  <c r="D141" i="5"/>
  <c r="C141" i="5"/>
  <c r="AV13" i="8"/>
  <c r="J16" i="9"/>
  <c r="L16" i="9"/>
  <c r="B193" i="5"/>
  <c r="K17" i="9"/>
  <c r="AK17" i="8"/>
  <c r="AL17" i="8" s="1"/>
  <c r="AJ18" i="8"/>
  <c r="W18" i="8" s="1"/>
  <c r="BO13" i="8"/>
  <c r="BY13" i="8" s="1"/>
  <c r="BT13" i="8"/>
  <c r="AT12" i="8"/>
  <c r="J192" i="5"/>
  <c r="H219" i="5"/>
  <c r="I219" i="5"/>
  <c r="D192" i="5"/>
  <c r="M192" i="5"/>
  <c r="M219" i="5"/>
  <c r="L192" i="5"/>
  <c r="D219" i="5"/>
  <c r="H192" i="5"/>
  <c r="G192" i="5"/>
  <c r="E219" i="5"/>
  <c r="F192" i="5"/>
  <c r="I192" i="5"/>
  <c r="E192" i="5"/>
  <c r="K192" i="5"/>
  <c r="K219" i="5"/>
  <c r="G219" i="5"/>
  <c r="L219" i="5"/>
  <c r="J219" i="5"/>
  <c r="C219" i="5"/>
  <c r="F219" i="5"/>
  <c r="C192" i="5"/>
  <c r="BQ12" i="8" l="1"/>
  <c r="BS12" i="8" s="1"/>
  <c r="BH13" i="8"/>
  <c r="BQ11" i="8"/>
  <c r="BS11" i="8" s="1"/>
  <c r="BH12" i="8"/>
  <c r="Y13" i="9"/>
  <c r="G15" i="9"/>
  <c r="E15" i="9"/>
  <c r="AF17" i="8"/>
  <c r="H18" i="9"/>
  <c r="G18" i="8"/>
  <c r="E18" i="8"/>
  <c r="AE19" i="8"/>
  <c r="AG16" i="8"/>
  <c r="AH16" i="8" s="1"/>
  <c r="F16" i="9"/>
  <c r="BV11" i="8"/>
  <c r="L116" i="5"/>
  <c r="D116" i="5"/>
  <c r="J116" i="5"/>
  <c r="I116" i="5"/>
  <c r="M116" i="5"/>
  <c r="K116" i="5"/>
  <c r="F116" i="5"/>
  <c r="H116" i="5"/>
  <c r="G116" i="5"/>
  <c r="E116" i="5"/>
  <c r="C116" i="5"/>
  <c r="I17" i="9"/>
  <c r="X17" i="8"/>
  <c r="N17" i="9" s="1"/>
  <c r="B194" i="5"/>
  <c r="AV14" i="8"/>
  <c r="BH14" i="8" s="1"/>
  <c r="M20" i="9"/>
  <c r="AI21" i="8"/>
  <c r="B67" i="5"/>
  <c r="G66" i="5"/>
  <c r="M66" i="5"/>
  <c r="E66" i="5"/>
  <c r="K66" i="5"/>
  <c r="J66" i="5"/>
  <c r="F66" i="5"/>
  <c r="I66" i="5"/>
  <c r="H66" i="5"/>
  <c r="L66" i="5"/>
  <c r="C66" i="5"/>
  <c r="D66" i="5"/>
  <c r="BT14" i="8"/>
  <c r="BO14" i="8"/>
  <c r="BY14" i="8" s="1"/>
  <c r="H168" i="5"/>
  <c r="F168" i="5"/>
  <c r="J168" i="5"/>
  <c r="L168" i="5"/>
  <c r="D168" i="5"/>
  <c r="C168" i="5"/>
  <c r="K168" i="5"/>
  <c r="M168" i="5"/>
  <c r="I168" i="5"/>
  <c r="G168" i="5"/>
  <c r="E168" i="5"/>
  <c r="K18" i="9"/>
  <c r="AJ19" i="8"/>
  <c r="W19" i="8" s="1"/>
  <c r="AK18" i="8"/>
  <c r="AL18" i="8" s="1"/>
  <c r="J17" i="9"/>
  <c r="L17" i="9"/>
  <c r="AS16" i="8"/>
  <c r="AU15" i="8"/>
  <c r="BP15" i="8" s="1"/>
  <c r="BU13" i="8"/>
  <c r="BR13" i="8"/>
  <c r="BQ13" i="8"/>
  <c r="BX13" i="8"/>
  <c r="CA13" i="8"/>
  <c r="BZ13" i="8"/>
  <c r="F142" i="5"/>
  <c r="L142" i="5"/>
  <c r="D142" i="5"/>
  <c r="J142" i="5"/>
  <c r="K142" i="5"/>
  <c r="I142" i="5"/>
  <c r="H142" i="5"/>
  <c r="G142" i="5"/>
  <c r="E142" i="5"/>
  <c r="M142" i="5"/>
  <c r="C142" i="5"/>
  <c r="AT13" i="8"/>
  <c r="G193" i="5"/>
  <c r="L220" i="5"/>
  <c r="F220" i="5"/>
  <c r="M193" i="5"/>
  <c r="J220" i="5"/>
  <c r="K220" i="5"/>
  <c r="M220" i="5"/>
  <c r="J193" i="5"/>
  <c r="D220" i="5"/>
  <c r="C193" i="5"/>
  <c r="D193" i="5"/>
  <c r="L193" i="5"/>
  <c r="F193" i="5"/>
  <c r="I220" i="5"/>
  <c r="G220" i="5"/>
  <c r="H193" i="5"/>
  <c r="H220" i="5"/>
  <c r="E220" i="5"/>
  <c r="E193" i="5"/>
  <c r="K193" i="5"/>
  <c r="I193" i="5"/>
  <c r="C220" i="5"/>
  <c r="Y14" i="9" l="1"/>
  <c r="G16" i="9"/>
  <c r="E16" i="9"/>
  <c r="AF18" i="8"/>
  <c r="AE20" i="8"/>
  <c r="G19" i="8"/>
  <c r="H19" i="9"/>
  <c r="E19" i="8"/>
  <c r="F17" i="9"/>
  <c r="AG17" i="8"/>
  <c r="AH17" i="8" s="1"/>
  <c r="BV12" i="8"/>
  <c r="BS13" i="8"/>
  <c r="BU14" i="8"/>
  <c r="BR14" i="8"/>
  <c r="CA14" i="8"/>
  <c r="BZ14" i="8"/>
  <c r="BX14" i="8"/>
  <c r="K19" i="9"/>
  <c r="AK19" i="8"/>
  <c r="AL19" i="8" s="1"/>
  <c r="AJ20" i="8"/>
  <c r="W20" i="8" s="1"/>
  <c r="AS17" i="8"/>
  <c r="AU16" i="8"/>
  <c r="BP16" i="8" s="1"/>
  <c r="X18" i="8"/>
  <c r="N18" i="9" s="1"/>
  <c r="I18" i="9"/>
  <c r="AI22" i="8"/>
  <c r="M21" i="9"/>
  <c r="AV15" i="8"/>
  <c r="J67" i="5"/>
  <c r="H67" i="5"/>
  <c r="I67" i="5"/>
  <c r="G67" i="5"/>
  <c r="F67" i="5"/>
  <c r="E67" i="5"/>
  <c r="D67" i="5"/>
  <c r="M67" i="5"/>
  <c r="L67" i="5"/>
  <c r="K67" i="5"/>
  <c r="C67" i="5"/>
  <c r="BT15" i="8"/>
  <c r="BO15" i="8"/>
  <c r="BY15" i="8" s="1"/>
  <c r="L18" i="9"/>
  <c r="J18" i="9"/>
  <c r="AT14" i="8"/>
  <c r="M194" i="5"/>
  <c r="L194" i="5"/>
  <c r="E194" i="5"/>
  <c r="H194" i="5"/>
  <c r="K194" i="5"/>
  <c r="J194" i="5"/>
  <c r="C194" i="5"/>
  <c r="G194" i="5"/>
  <c r="F194" i="5"/>
  <c r="I194" i="5"/>
  <c r="D194" i="5"/>
  <c r="BQ14" i="8" l="1"/>
  <c r="BH15" i="8"/>
  <c r="Y15" i="9"/>
  <c r="H20" i="9"/>
  <c r="G20" i="8"/>
  <c r="E20" i="8"/>
  <c r="AF19" i="8"/>
  <c r="AE21" i="8"/>
  <c r="AG18" i="8"/>
  <c r="AH18" i="8" s="1"/>
  <c r="F18" i="9"/>
  <c r="E17" i="9"/>
  <c r="G17" i="9"/>
  <c r="BV13" i="8"/>
  <c r="BS14" i="8"/>
  <c r="AS18" i="8"/>
  <c r="AU17" i="8"/>
  <c r="BP17" i="8" s="1"/>
  <c r="K20" i="9"/>
  <c r="AK20" i="8"/>
  <c r="AL20" i="8" s="1"/>
  <c r="AJ21" i="8"/>
  <c r="W21" i="8" s="1"/>
  <c r="I19" i="9"/>
  <c r="X19" i="8"/>
  <c r="N19" i="9" s="1"/>
  <c r="M22" i="9"/>
  <c r="AI23" i="8"/>
  <c r="L19" i="9"/>
  <c r="J19" i="9"/>
  <c r="BT16" i="8"/>
  <c r="BO16" i="8"/>
  <c r="BY16" i="8" s="1"/>
  <c r="AV16" i="8"/>
  <c r="BH16" i="8" s="1"/>
  <c r="BR15" i="8"/>
  <c r="BU15" i="8"/>
  <c r="BV14" i="8" s="1"/>
  <c r="BZ15" i="8"/>
  <c r="CA15" i="8"/>
  <c r="BX15" i="8"/>
  <c r="AT15" i="8"/>
  <c r="Y16" i="9" l="1"/>
  <c r="AV17" i="8"/>
  <c r="E18" i="9"/>
  <c r="G18" i="9"/>
  <c r="AG19" i="8"/>
  <c r="AH19" i="8" s="1"/>
  <c r="F19" i="9"/>
  <c r="E21" i="8"/>
  <c r="AE22" i="8"/>
  <c r="G21" i="8"/>
  <c r="H21" i="9"/>
  <c r="AF20" i="8"/>
  <c r="BQ15" i="8"/>
  <c r="BS15" i="8" s="1"/>
  <c r="M23" i="9"/>
  <c r="AI24" i="8"/>
  <c r="BO17" i="8"/>
  <c r="BY17" i="8" s="1"/>
  <c r="BT17" i="8"/>
  <c r="BR16" i="8"/>
  <c r="BU16" i="8"/>
  <c r="CA16" i="8"/>
  <c r="BZ16" i="8"/>
  <c r="BX16" i="8"/>
  <c r="AS19" i="8"/>
  <c r="AU18" i="8"/>
  <c r="BP18" i="8" s="1"/>
  <c r="I20" i="9"/>
  <c r="X20" i="8"/>
  <c r="N20" i="9" s="1"/>
  <c r="AK21" i="8"/>
  <c r="AL21" i="8" s="1"/>
  <c r="K21" i="9"/>
  <c r="AJ22" i="8"/>
  <c r="W22" i="8" s="1"/>
  <c r="L20" i="9"/>
  <c r="J20" i="9"/>
  <c r="AT16" i="8"/>
  <c r="BQ16" i="8" l="1"/>
  <c r="BH17" i="8"/>
  <c r="Y17" i="9"/>
  <c r="AV18" i="8"/>
  <c r="BH18" i="8" s="1"/>
  <c r="AE23" i="8"/>
  <c r="AF21" i="8"/>
  <c r="G22" i="8"/>
  <c r="H22" i="9"/>
  <c r="E22" i="8"/>
  <c r="E19" i="9"/>
  <c r="G19" i="9"/>
  <c r="F20" i="9"/>
  <c r="AG20" i="8"/>
  <c r="AH20" i="8" s="1"/>
  <c r="BV15" i="8"/>
  <c r="BS16" i="8"/>
  <c r="J21" i="9"/>
  <c r="L21" i="9"/>
  <c r="BQ17" i="8"/>
  <c r="BU17" i="8"/>
  <c r="BR17" i="8"/>
  <c r="CA17" i="8"/>
  <c r="BZ17" i="8"/>
  <c r="BX17" i="8"/>
  <c r="BO18" i="8"/>
  <c r="BY18" i="8" s="1"/>
  <c r="BT18" i="8"/>
  <c r="M24" i="9"/>
  <c r="AI25" i="8"/>
  <c r="I21" i="9"/>
  <c r="X21" i="8"/>
  <c r="N21" i="9" s="1"/>
  <c r="K22" i="9"/>
  <c r="AK22" i="8"/>
  <c r="AL22" i="8" s="1"/>
  <c r="AJ23" i="8"/>
  <c r="W23" i="8" s="1"/>
  <c r="AU19" i="8"/>
  <c r="BP19" i="8" s="1"/>
  <c r="AS20" i="8"/>
  <c r="AT17" i="8"/>
  <c r="Y18" i="9" l="1"/>
  <c r="E20" i="9"/>
  <c r="G20" i="9"/>
  <c r="F21" i="9"/>
  <c r="AG21" i="8"/>
  <c r="AH21" i="8" s="1"/>
  <c r="H23" i="9"/>
  <c r="AE24" i="8"/>
  <c r="E23" i="8"/>
  <c r="AF22" i="8"/>
  <c r="G23" i="8"/>
  <c r="BS17" i="8"/>
  <c r="BV16" i="8"/>
  <c r="AU20" i="8"/>
  <c r="BP20" i="8" s="1"/>
  <c r="AS21" i="8"/>
  <c r="BO19" i="8"/>
  <c r="BY19" i="8" s="1"/>
  <c r="BT19" i="8"/>
  <c r="I22" i="9"/>
  <c r="X22" i="8"/>
  <c r="N22" i="9" s="1"/>
  <c r="M25" i="9"/>
  <c r="AI26" i="8"/>
  <c r="BR18" i="8"/>
  <c r="BU18" i="8"/>
  <c r="BZ18" i="8"/>
  <c r="CA18" i="8"/>
  <c r="BX18" i="8"/>
  <c r="AV19" i="8"/>
  <c r="BH19" i="8" s="1"/>
  <c r="K23" i="9"/>
  <c r="AJ24" i="8"/>
  <c r="W24" i="8" s="1"/>
  <c r="AK23" i="8"/>
  <c r="AL23" i="8" s="1"/>
  <c r="L22" i="9"/>
  <c r="J22" i="9"/>
  <c r="AT18" i="8"/>
  <c r="Y19" i="9" l="1"/>
  <c r="AV20" i="8"/>
  <c r="G21" i="9"/>
  <c r="E21" i="9"/>
  <c r="F22" i="9"/>
  <c r="AG22" i="8"/>
  <c r="AH22" i="8" s="1"/>
  <c r="AF23" i="8"/>
  <c r="G24" i="8"/>
  <c r="AE25" i="8"/>
  <c r="H24" i="9"/>
  <c r="E24" i="8"/>
  <c r="BV17" i="8"/>
  <c r="L23" i="9"/>
  <c r="J23" i="9"/>
  <c r="BQ18" i="8"/>
  <c r="BS18" i="8" s="1"/>
  <c r="M26" i="9"/>
  <c r="AI27" i="8"/>
  <c r="K24" i="9"/>
  <c r="AJ25" i="8"/>
  <c r="W25" i="8" s="1"/>
  <c r="AK24" i="8"/>
  <c r="AL24" i="8" s="1"/>
  <c r="BU19" i="8"/>
  <c r="BR19" i="8"/>
  <c r="BX19" i="8"/>
  <c r="CA19" i="8"/>
  <c r="BZ19" i="8"/>
  <c r="AU21" i="8"/>
  <c r="BP21" i="8" s="1"/>
  <c r="AS22" i="8"/>
  <c r="I23" i="9"/>
  <c r="X23" i="8"/>
  <c r="N23" i="9" s="1"/>
  <c r="BO20" i="8"/>
  <c r="BY20" i="8" s="1"/>
  <c r="BT20" i="8"/>
  <c r="AT19" i="8"/>
  <c r="BQ19" i="8" l="1"/>
  <c r="BS19" i="8" s="1"/>
  <c r="BH20" i="8"/>
  <c r="Y20" i="9"/>
  <c r="F23" i="9"/>
  <c r="AG23" i="8"/>
  <c r="AH23" i="8" s="1"/>
  <c r="G25" i="8"/>
  <c r="E25" i="8"/>
  <c r="H25" i="9"/>
  <c r="AF24" i="8"/>
  <c r="AE26" i="8"/>
  <c r="G22" i="9"/>
  <c r="E22" i="9"/>
  <c r="BV18" i="8"/>
  <c r="AS23" i="8"/>
  <c r="AU22" i="8"/>
  <c r="BP22" i="8" s="1"/>
  <c r="I24" i="9"/>
  <c r="X24" i="8"/>
  <c r="N24" i="9" s="1"/>
  <c r="AI28" i="8"/>
  <c r="M27" i="9"/>
  <c r="BO21" i="8"/>
  <c r="BY21" i="8" s="1"/>
  <c r="BT21" i="8"/>
  <c r="L24" i="9"/>
  <c r="J24" i="9"/>
  <c r="BU20" i="8"/>
  <c r="BV19" i="8" s="1"/>
  <c r="BR20" i="8"/>
  <c r="BX20" i="8"/>
  <c r="BZ20" i="8"/>
  <c r="CA20" i="8"/>
  <c r="AV21" i="8"/>
  <c r="BH21" i="8" s="1"/>
  <c r="K25" i="9"/>
  <c r="AJ26" i="8"/>
  <c r="W26" i="8" s="1"/>
  <c r="AK25" i="8"/>
  <c r="AL25" i="8" s="1"/>
  <c r="AT20" i="8"/>
  <c r="Y21" i="9" l="1"/>
  <c r="AV22" i="8"/>
  <c r="E26" i="8"/>
  <c r="AE27" i="8"/>
  <c r="H26" i="9"/>
  <c r="G26" i="8"/>
  <c r="AF25" i="8"/>
  <c r="F24" i="9"/>
  <c r="AG24" i="8"/>
  <c r="AH24" i="8" s="1"/>
  <c r="G23" i="9"/>
  <c r="E23" i="9"/>
  <c r="BQ20" i="8"/>
  <c r="BS20" i="8" s="1"/>
  <c r="J25" i="9"/>
  <c r="L25" i="9"/>
  <c r="BU21" i="8"/>
  <c r="BR21" i="8"/>
  <c r="BZ21" i="8"/>
  <c r="CA21" i="8"/>
  <c r="BX21" i="8"/>
  <c r="BO22" i="8"/>
  <c r="BY22" i="8" s="1"/>
  <c r="BT22" i="8"/>
  <c r="AI29" i="8"/>
  <c r="M28" i="9"/>
  <c r="I25" i="9"/>
  <c r="X25" i="8"/>
  <c r="N25" i="9" s="1"/>
  <c r="K26" i="9"/>
  <c r="AJ27" i="8"/>
  <c r="W27" i="8" s="1"/>
  <c r="AK26" i="8"/>
  <c r="AL26" i="8" s="1"/>
  <c r="AU23" i="8"/>
  <c r="BP23" i="8" s="1"/>
  <c r="AS24" i="8"/>
  <c r="AT21" i="8"/>
  <c r="BQ21" i="8" l="1"/>
  <c r="BS21" i="8" s="1"/>
  <c r="BH22" i="8"/>
  <c r="AV23" i="8"/>
  <c r="BH23" i="8" s="1"/>
  <c r="Y22" i="9"/>
  <c r="E24" i="9"/>
  <c r="G24" i="9"/>
  <c r="F25" i="9"/>
  <c r="AG25" i="8"/>
  <c r="AH25" i="8" s="1"/>
  <c r="H27" i="9"/>
  <c r="E27" i="8"/>
  <c r="AE28" i="8"/>
  <c r="AF26" i="8"/>
  <c r="G27" i="8"/>
  <c r="BV20" i="8"/>
  <c r="BU22" i="8"/>
  <c r="BR22" i="8"/>
  <c r="BQ22" i="8"/>
  <c r="CA22" i="8"/>
  <c r="BX22" i="8"/>
  <c r="BZ22" i="8"/>
  <c r="I26" i="9"/>
  <c r="X26" i="8"/>
  <c r="N26" i="9" s="1"/>
  <c r="AS25" i="8"/>
  <c r="AU24" i="8"/>
  <c r="BP24" i="8" s="1"/>
  <c r="J26" i="9"/>
  <c r="L26" i="9"/>
  <c r="BT23" i="8"/>
  <c r="BO23" i="8"/>
  <c r="BY23" i="8" s="1"/>
  <c r="K27" i="9"/>
  <c r="AK27" i="8"/>
  <c r="AL27" i="8" s="1"/>
  <c r="AJ28" i="8"/>
  <c r="W28" i="8" s="1"/>
  <c r="M29" i="9"/>
  <c r="AI30" i="8"/>
  <c r="AT22" i="8"/>
  <c r="AV24" i="8" l="1"/>
  <c r="BH24" i="8" s="1"/>
  <c r="Y23" i="9"/>
  <c r="F26" i="9"/>
  <c r="AG26" i="8"/>
  <c r="AH26" i="8" s="1"/>
  <c r="H28" i="9"/>
  <c r="G28" i="8"/>
  <c r="AF27" i="8"/>
  <c r="AE29" i="8"/>
  <c r="E28" i="8"/>
  <c r="E25" i="9"/>
  <c r="G25" i="9"/>
  <c r="BS22" i="8"/>
  <c r="BV21" i="8"/>
  <c r="I27" i="9"/>
  <c r="X27" i="8"/>
  <c r="N27" i="9" s="1"/>
  <c r="L27" i="9"/>
  <c r="J27" i="9"/>
  <c r="K28" i="9"/>
  <c r="AK28" i="8"/>
  <c r="AL28" i="8" s="1"/>
  <c r="AJ29" i="8"/>
  <c r="W29" i="8" s="1"/>
  <c r="BQ23" i="8"/>
  <c r="BU23" i="8"/>
  <c r="BV22" i="8" s="1"/>
  <c r="BR23" i="8"/>
  <c r="CA23" i="8"/>
  <c r="BZ23" i="8"/>
  <c r="BX23" i="8"/>
  <c r="M30" i="9"/>
  <c r="AI31" i="8"/>
  <c r="BT24" i="8"/>
  <c r="BO24" i="8"/>
  <c r="BY24" i="8" s="1"/>
  <c r="AS26" i="8"/>
  <c r="AU25" i="8"/>
  <c r="BP25" i="8" s="1"/>
  <c r="AT23" i="8"/>
  <c r="AV25" i="8" l="1"/>
  <c r="BH25" i="8" s="1"/>
  <c r="Y24" i="9"/>
  <c r="AE30" i="8"/>
  <c r="E29" i="8"/>
  <c r="AF28" i="8"/>
  <c r="H29" i="9"/>
  <c r="G29" i="8"/>
  <c r="AG27" i="8"/>
  <c r="AH27" i="8" s="1"/>
  <c r="F27" i="9"/>
  <c r="E26" i="9"/>
  <c r="G26" i="9"/>
  <c r="BS23" i="8"/>
  <c r="BO25" i="8"/>
  <c r="BY25" i="8" s="1"/>
  <c r="BT25" i="8"/>
  <c r="BR24" i="8"/>
  <c r="BU24" i="8"/>
  <c r="BV23" i="8" s="1"/>
  <c r="BQ24" i="8"/>
  <c r="BZ24" i="8"/>
  <c r="BX24" i="8"/>
  <c r="CA24" i="8"/>
  <c r="I28" i="9"/>
  <c r="X28" i="8"/>
  <c r="N28" i="9" s="1"/>
  <c r="AS27" i="8"/>
  <c r="AV26" i="8" s="1"/>
  <c r="BH26" i="8" s="1"/>
  <c r="AU26" i="8"/>
  <c r="BP26" i="8" s="1"/>
  <c r="M31" i="9"/>
  <c r="AI32" i="8"/>
  <c r="J28" i="9"/>
  <c r="L28" i="9"/>
  <c r="AK29" i="8"/>
  <c r="AL29" i="8" s="1"/>
  <c r="K29" i="9"/>
  <c r="AJ30" i="8"/>
  <c r="W30" i="8" s="1"/>
  <c r="AT24" i="8"/>
  <c r="Y25" i="9" l="1"/>
  <c r="G27" i="9"/>
  <c r="E27" i="9"/>
  <c r="AG28" i="8"/>
  <c r="AH28" i="8" s="1"/>
  <c r="F28" i="9"/>
  <c r="E30" i="8"/>
  <c r="AF29" i="8"/>
  <c r="G30" i="8"/>
  <c r="AE31" i="8"/>
  <c r="H30" i="9"/>
  <c r="BS24" i="8"/>
  <c r="BQ25" i="8"/>
  <c r="BR25" i="8"/>
  <c r="BU25" i="8"/>
  <c r="CA25" i="8"/>
  <c r="BX25" i="8"/>
  <c r="BZ25" i="8"/>
  <c r="BT26" i="8"/>
  <c r="BO26" i="8"/>
  <c r="BY26" i="8" s="1"/>
  <c r="K30" i="9"/>
  <c r="AK30" i="8"/>
  <c r="AL30" i="8" s="1"/>
  <c r="AJ31" i="8"/>
  <c r="W31" i="8" s="1"/>
  <c r="X29" i="8"/>
  <c r="N29" i="9" s="1"/>
  <c r="I29" i="9"/>
  <c r="AU27" i="8"/>
  <c r="BP27" i="8" s="1"/>
  <c r="AS28" i="8"/>
  <c r="AV27" i="8" s="1"/>
  <c r="BH27" i="8" s="1"/>
  <c r="J29" i="9"/>
  <c r="L29" i="9"/>
  <c r="M32" i="9"/>
  <c r="AI33" i="8"/>
  <c r="AT25" i="8"/>
  <c r="Y26" i="9" l="1"/>
  <c r="E31" i="8"/>
  <c r="AF30" i="8"/>
  <c r="H31" i="9"/>
  <c r="AE32" i="8"/>
  <c r="G31" i="8"/>
  <c r="F29" i="9"/>
  <c r="AG29" i="8"/>
  <c r="AH29" i="8" s="1"/>
  <c r="G28" i="9"/>
  <c r="E28" i="9"/>
  <c r="BS25" i="8"/>
  <c r="BV24" i="8"/>
  <c r="AS29" i="8"/>
  <c r="AU28" i="8"/>
  <c r="BP28" i="8" s="1"/>
  <c r="L30" i="9"/>
  <c r="J30" i="9"/>
  <c r="I30" i="9"/>
  <c r="X30" i="8"/>
  <c r="N30" i="9" s="1"/>
  <c r="BO27" i="8"/>
  <c r="BY27" i="8" s="1"/>
  <c r="BT27" i="8"/>
  <c r="BU26" i="8"/>
  <c r="BQ26" i="8"/>
  <c r="BR26" i="8"/>
  <c r="CA26" i="8"/>
  <c r="BX26" i="8"/>
  <c r="BZ26" i="8"/>
  <c r="K31" i="9"/>
  <c r="AK31" i="8"/>
  <c r="AL31" i="8" s="1"/>
  <c r="AJ32" i="8"/>
  <c r="W32" i="8" s="1"/>
  <c r="M33" i="9"/>
  <c r="AI34" i="8"/>
  <c r="AT26" i="8"/>
  <c r="Y27" i="9" l="1"/>
  <c r="E29" i="9"/>
  <c r="G29" i="9"/>
  <c r="AF31" i="8"/>
  <c r="G32" i="8"/>
  <c r="H32" i="9"/>
  <c r="AE33" i="8"/>
  <c r="E32" i="8"/>
  <c r="F30" i="9"/>
  <c r="AG30" i="8"/>
  <c r="AH30" i="8" s="1"/>
  <c r="BS26" i="8"/>
  <c r="BV25" i="8"/>
  <c r="BO28" i="8"/>
  <c r="BY28" i="8" s="1"/>
  <c r="BT28" i="8"/>
  <c r="L31" i="9"/>
  <c r="J31" i="9"/>
  <c r="AS30" i="8"/>
  <c r="AU29" i="8"/>
  <c r="BP29" i="8" s="1"/>
  <c r="M34" i="9"/>
  <c r="AI35" i="8"/>
  <c r="I31" i="9"/>
  <c r="X31" i="8"/>
  <c r="N31" i="9" s="1"/>
  <c r="K32" i="9"/>
  <c r="AK32" i="8"/>
  <c r="AL32" i="8" s="1"/>
  <c r="AJ33" i="8"/>
  <c r="W33" i="8" s="1"/>
  <c r="BU27" i="8"/>
  <c r="BR27" i="8"/>
  <c r="BZ27" i="8"/>
  <c r="BX27" i="8"/>
  <c r="CA27" i="8"/>
  <c r="AV28" i="8"/>
  <c r="BH28" i="8" s="1"/>
  <c r="AT27" i="8"/>
  <c r="Y28" i="9" l="1"/>
  <c r="G30" i="9"/>
  <c r="E30" i="9"/>
  <c r="G33" i="8"/>
  <c r="AE34" i="8"/>
  <c r="AF32" i="8"/>
  <c r="E33" i="8"/>
  <c r="H33" i="9"/>
  <c r="F31" i="9"/>
  <c r="AG31" i="8"/>
  <c r="AH31" i="8" s="1"/>
  <c r="AV29" i="8"/>
  <c r="BV26" i="8"/>
  <c r="BQ27" i="8"/>
  <c r="BS27" i="8" s="1"/>
  <c r="M35" i="9"/>
  <c r="AI36" i="8"/>
  <c r="AS31" i="8"/>
  <c r="AU30" i="8"/>
  <c r="BP30" i="8" s="1"/>
  <c r="I32" i="9"/>
  <c r="X32" i="8"/>
  <c r="N32" i="9" s="1"/>
  <c r="K33" i="9"/>
  <c r="AJ34" i="8"/>
  <c r="W34" i="8" s="1"/>
  <c r="AK33" i="8"/>
  <c r="AL33" i="8" s="1"/>
  <c r="J32" i="9"/>
  <c r="L32" i="9"/>
  <c r="BU28" i="8"/>
  <c r="BR28" i="8"/>
  <c r="BZ28" i="8"/>
  <c r="CA28" i="8"/>
  <c r="BX28" i="8"/>
  <c r="BT29" i="8"/>
  <c r="BO29" i="8"/>
  <c r="BY29" i="8" s="1"/>
  <c r="AT28" i="8"/>
  <c r="BQ28" i="8" l="1"/>
  <c r="BH29" i="8"/>
  <c r="Y29" i="9"/>
  <c r="E31" i="9"/>
  <c r="G31" i="9"/>
  <c r="AG32" i="8"/>
  <c r="AH32" i="8" s="1"/>
  <c r="F32" i="9"/>
  <c r="H34" i="9"/>
  <c r="G34" i="8"/>
  <c r="AE35" i="8"/>
  <c r="E34" i="8"/>
  <c r="AF33" i="8"/>
  <c r="BS28" i="8"/>
  <c r="AV30" i="8"/>
  <c r="BV27" i="8"/>
  <c r="L33" i="9"/>
  <c r="J33" i="9"/>
  <c r="I33" i="9"/>
  <c r="X33" i="8"/>
  <c r="N33" i="9" s="1"/>
  <c r="AU31" i="8"/>
  <c r="BP31" i="8" s="1"/>
  <c r="AS32" i="8"/>
  <c r="BU29" i="8"/>
  <c r="BR29" i="8"/>
  <c r="BX29" i="8"/>
  <c r="CA29" i="8"/>
  <c r="BZ29" i="8"/>
  <c r="BT30" i="8"/>
  <c r="BO30" i="8"/>
  <c r="BY30" i="8" s="1"/>
  <c r="M36" i="9"/>
  <c r="AI37" i="8"/>
  <c r="K34" i="9"/>
  <c r="AJ35" i="8"/>
  <c r="W35" i="8" s="1"/>
  <c r="AK34" i="8"/>
  <c r="AL34" i="8" s="1"/>
  <c r="AT29" i="8"/>
  <c r="BQ29" i="8" l="1"/>
  <c r="BS29" i="8" s="1"/>
  <c r="BH30" i="8"/>
  <c r="Y30" i="9"/>
  <c r="AV31" i="8"/>
  <c r="BH31" i="8" s="1"/>
  <c r="H35" i="9"/>
  <c r="AE36" i="8"/>
  <c r="E35" i="8"/>
  <c r="G35" i="8"/>
  <c r="AF34" i="8"/>
  <c r="E32" i="9"/>
  <c r="G32" i="9"/>
  <c r="F33" i="9"/>
  <c r="AG33" i="8"/>
  <c r="AH33" i="8" s="1"/>
  <c r="AU32" i="8"/>
  <c r="BP32" i="8" s="1"/>
  <c r="AS33" i="8"/>
  <c r="L34" i="9"/>
  <c r="J34" i="9"/>
  <c r="M37" i="9"/>
  <c r="AI38" i="8"/>
  <c r="BV28" i="8"/>
  <c r="I34" i="9"/>
  <c r="X34" i="8"/>
  <c r="N34" i="9" s="1"/>
  <c r="BU30" i="8"/>
  <c r="BR30" i="8"/>
  <c r="BQ30" i="8"/>
  <c r="BZ30" i="8"/>
  <c r="CA30" i="8"/>
  <c r="BX30" i="8"/>
  <c r="BT31" i="8"/>
  <c r="BO31" i="8"/>
  <c r="BY31" i="8" s="1"/>
  <c r="K35" i="9"/>
  <c r="AJ36" i="8"/>
  <c r="W36" i="8" s="1"/>
  <c r="AK35" i="8"/>
  <c r="AL35" i="8" s="1"/>
  <c r="AT30" i="8"/>
  <c r="Y31" i="9" l="1"/>
  <c r="AV32" i="8"/>
  <c r="BH32" i="8" s="1"/>
  <c r="G33" i="9"/>
  <c r="E33" i="9"/>
  <c r="F34" i="9"/>
  <c r="AG34" i="8"/>
  <c r="AH34" i="8" s="1"/>
  <c r="H36" i="9"/>
  <c r="E36" i="8"/>
  <c r="AE37" i="8"/>
  <c r="AF35" i="8"/>
  <c r="G36" i="8"/>
  <c r="BV29" i="8"/>
  <c r="BS30" i="8"/>
  <c r="BO32" i="8"/>
  <c r="BY32" i="8" s="1"/>
  <c r="BT32" i="8"/>
  <c r="BU31" i="8"/>
  <c r="BR31" i="8"/>
  <c r="BQ31" i="8"/>
  <c r="BZ31" i="8"/>
  <c r="BX31" i="8"/>
  <c r="CA31" i="8"/>
  <c r="M38" i="9"/>
  <c r="AI39" i="8"/>
  <c r="K36" i="9"/>
  <c r="AJ37" i="8"/>
  <c r="W37" i="8" s="1"/>
  <c r="AK36" i="8"/>
  <c r="AL36" i="8" s="1"/>
  <c r="AS34" i="8"/>
  <c r="AU33" i="8"/>
  <c r="BP33" i="8" s="1"/>
  <c r="I35" i="9"/>
  <c r="X35" i="8"/>
  <c r="N35" i="9" s="1"/>
  <c r="L35" i="9"/>
  <c r="J35" i="9"/>
  <c r="AT31" i="8"/>
  <c r="Y32" i="9" l="1"/>
  <c r="F35" i="9"/>
  <c r="AG35" i="8"/>
  <c r="AH35" i="8" s="1"/>
  <c r="AE38" i="8"/>
  <c r="E37" i="8"/>
  <c r="AF36" i="8"/>
  <c r="H37" i="9"/>
  <c r="G37" i="8"/>
  <c r="E34" i="9"/>
  <c r="G34" i="9"/>
  <c r="BS31" i="8"/>
  <c r="BV30" i="8"/>
  <c r="AS35" i="8"/>
  <c r="AU34" i="8"/>
  <c r="BP34" i="8" s="1"/>
  <c r="L36" i="9"/>
  <c r="J36" i="9"/>
  <c r="M39" i="9"/>
  <c r="AI40" i="8"/>
  <c r="BT33" i="8"/>
  <c r="BO33" i="8"/>
  <c r="BY33" i="8" s="1"/>
  <c r="BU32" i="8"/>
  <c r="BR32" i="8"/>
  <c r="CA32" i="8"/>
  <c r="BX32" i="8"/>
  <c r="BZ32" i="8"/>
  <c r="K37" i="9"/>
  <c r="AJ38" i="8"/>
  <c r="W38" i="8" s="1"/>
  <c r="AK37" i="8"/>
  <c r="AL37" i="8" s="1"/>
  <c r="I36" i="9"/>
  <c r="X36" i="8"/>
  <c r="N36" i="9" s="1"/>
  <c r="AV33" i="8"/>
  <c r="BH33" i="8" s="1"/>
  <c r="AT32" i="8"/>
  <c r="Y33" i="9" l="1"/>
  <c r="E38" i="8"/>
  <c r="H38" i="9"/>
  <c r="AE39" i="8"/>
  <c r="G38" i="8"/>
  <c r="AF37" i="8"/>
  <c r="AG36" i="8"/>
  <c r="AH36" i="8" s="1"/>
  <c r="F36" i="9"/>
  <c r="G35" i="9"/>
  <c r="E35" i="9"/>
  <c r="AV34" i="8"/>
  <c r="BV31" i="8"/>
  <c r="BQ32" i="8"/>
  <c r="BS32" i="8" s="1"/>
  <c r="BT34" i="8"/>
  <c r="BO34" i="8"/>
  <c r="BY34" i="8" s="1"/>
  <c r="AU35" i="8"/>
  <c r="BP35" i="8" s="1"/>
  <c r="AS36" i="8"/>
  <c r="L37" i="9"/>
  <c r="J37" i="9"/>
  <c r="M40" i="9"/>
  <c r="AI41" i="8"/>
  <c r="K38" i="9"/>
  <c r="AJ39" i="8"/>
  <c r="W39" i="8" s="1"/>
  <c r="AK38" i="8"/>
  <c r="AL38" i="8" s="1"/>
  <c r="X37" i="8"/>
  <c r="N37" i="9" s="1"/>
  <c r="I37" i="9"/>
  <c r="BR33" i="8"/>
  <c r="BU33" i="8"/>
  <c r="BZ33" i="8"/>
  <c r="BX33" i="8"/>
  <c r="CA33" i="8"/>
  <c r="AT33" i="8"/>
  <c r="BQ33" i="8" l="1"/>
  <c r="BS33" i="8" s="1"/>
  <c r="BH34" i="8"/>
  <c r="Y34" i="9"/>
  <c r="G36" i="9"/>
  <c r="E36" i="9"/>
  <c r="H39" i="9"/>
  <c r="AF38" i="8"/>
  <c r="E39" i="8"/>
  <c r="AE40" i="8"/>
  <c r="G39" i="8"/>
  <c r="F37" i="9"/>
  <c r="AG37" i="8"/>
  <c r="AH37" i="8" s="1"/>
  <c r="AV35" i="8"/>
  <c r="BV32" i="8"/>
  <c r="M41" i="9"/>
  <c r="AI42" i="8"/>
  <c r="AU36" i="8"/>
  <c r="BP36" i="8" s="1"/>
  <c r="AS37" i="8"/>
  <c r="I38" i="9"/>
  <c r="X38" i="8"/>
  <c r="N38" i="9" s="1"/>
  <c r="BT35" i="8"/>
  <c r="BO35" i="8"/>
  <c r="BY35" i="8" s="1"/>
  <c r="K39" i="9"/>
  <c r="AJ40" i="8"/>
  <c r="W40" i="8" s="1"/>
  <c r="AK39" i="8"/>
  <c r="AL39" i="8" s="1"/>
  <c r="BR34" i="8"/>
  <c r="BU34" i="8"/>
  <c r="CA34" i="8"/>
  <c r="BZ34" i="8"/>
  <c r="BX34" i="8"/>
  <c r="J38" i="9"/>
  <c r="L38" i="9"/>
  <c r="AT34" i="8"/>
  <c r="BQ34" i="8" l="1"/>
  <c r="BH35" i="8"/>
  <c r="Y35" i="9"/>
  <c r="E37" i="9"/>
  <c r="G37" i="9"/>
  <c r="AE41" i="8"/>
  <c r="G40" i="8"/>
  <c r="E40" i="8"/>
  <c r="AF39" i="8"/>
  <c r="H40" i="9"/>
  <c r="F38" i="9"/>
  <c r="AG38" i="8"/>
  <c r="AH38" i="8" s="1"/>
  <c r="BV33" i="8"/>
  <c r="BS34" i="8"/>
  <c r="I39" i="9"/>
  <c r="X39" i="8"/>
  <c r="N39" i="9" s="1"/>
  <c r="L39" i="9"/>
  <c r="J39" i="9"/>
  <c r="AS38" i="8"/>
  <c r="AU37" i="8"/>
  <c r="BP37" i="8" s="1"/>
  <c r="M42" i="9"/>
  <c r="AI43" i="8"/>
  <c r="BR35" i="8"/>
  <c r="BU35" i="8"/>
  <c r="BV34" i="8" s="1"/>
  <c r="BX35" i="8"/>
  <c r="CA35" i="8"/>
  <c r="BZ35" i="8"/>
  <c r="K40" i="9"/>
  <c r="AJ41" i="8"/>
  <c r="W41" i="8" s="1"/>
  <c r="AK40" i="8"/>
  <c r="AL40" i="8" s="1"/>
  <c r="BT36" i="8"/>
  <c r="BO36" i="8"/>
  <c r="BY36" i="8" s="1"/>
  <c r="AV36" i="8"/>
  <c r="AT35" i="8"/>
  <c r="BQ35" i="8" l="1"/>
  <c r="BH36" i="8"/>
  <c r="Y36" i="9"/>
  <c r="AG39" i="8"/>
  <c r="AH39" i="8" s="1"/>
  <c r="F39" i="9"/>
  <c r="E38" i="9"/>
  <c r="G38" i="9"/>
  <c r="E41" i="8"/>
  <c r="G41" i="8"/>
  <c r="AE42" i="8"/>
  <c r="AF40" i="8"/>
  <c r="H41" i="9"/>
  <c r="BS35" i="8"/>
  <c r="K41" i="9"/>
  <c r="AJ42" i="8"/>
  <c r="W42" i="8" s="1"/>
  <c r="AK41" i="8"/>
  <c r="AL41" i="8" s="1"/>
  <c r="M43" i="9"/>
  <c r="AI44" i="8"/>
  <c r="AU38" i="8"/>
  <c r="BP38" i="8" s="1"/>
  <c r="AS39" i="8"/>
  <c r="AV37" i="8"/>
  <c r="J40" i="9"/>
  <c r="L40" i="9"/>
  <c r="I40" i="9"/>
  <c r="X40" i="8"/>
  <c r="N40" i="9" s="1"/>
  <c r="BR36" i="8"/>
  <c r="BU36" i="8"/>
  <c r="CA36" i="8"/>
  <c r="BZ36" i="8"/>
  <c r="BX36" i="8"/>
  <c r="BO37" i="8"/>
  <c r="BY37" i="8" s="1"/>
  <c r="BT37" i="8"/>
  <c r="AT36" i="8"/>
  <c r="BQ36" i="8" l="1"/>
  <c r="BH37" i="8"/>
  <c r="Y37" i="9"/>
  <c r="F40" i="9"/>
  <c r="AG40" i="8"/>
  <c r="AH40" i="8" s="1"/>
  <c r="G42" i="8"/>
  <c r="AF41" i="8"/>
  <c r="AE43" i="8"/>
  <c r="H42" i="9"/>
  <c r="E42" i="8"/>
  <c r="G39" i="9"/>
  <c r="E39" i="9"/>
  <c r="BS36" i="8"/>
  <c r="BV35" i="8"/>
  <c r="BR37" i="8"/>
  <c r="BU37" i="8"/>
  <c r="BV36" i="8" s="1"/>
  <c r="CA37" i="8"/>
  <c r="BX37" i="8"/>
  <c r="BZ37" i="8"/>
  <c r="J41" i="9"/>
  <c r="L41" i="9"/>
  <c r="AS40" i="8"/>
  <c r="AU39" i="8"/>
  <c r="BP39" i="8" s="1"/>
  <c r="BO38" i="8"/>
  <c r="BY38" i="8" s="1"/>
  <c r="BT38" i="8"/>
  <c r="M44" i="9"/>
  <c r="AI45" i="8"/>
  <c r="K42" i="9"/>
  <c r="AJ43" i="8"/>
  <c r="W43" i="8" s="1"/>
  <c r="AK42" i="8"/>
  <c r="AL42" i="8" s="1"/>
  <c r="AV38" i="8"/>
  <c r="BH38" i="8" s="1"/>
  <c r="I41" i="9"/>
  <c r="X41" i="8"/>
  <c r="N41" i="9" s="1"/>
  <c r="AT37" i="8"/>
  <c r="Y38" i="9" l="1"/>
  <c r="G43" i="8"/>
  <c r="AF42" i="8"/>
  <c r="H43" i="9"/>
  <c r="AE44" i="8"/>
  <c r="E43" i="8"/>
  <c r="AG41" i="8"/>
  <c r="AH41" i="8" s="1"/>
  <c r="F41" i="9"/>
  <c r="E40" i="9"/>
  <c r="G40" i="9"/>
  <c r="AV39" i="8"/>
  <c r="AI46" i="8"/>
  <c r="M45" i="9"/>
  <c r="I42" i="9"/>
  <c r="X42" i="8"/>
  <c r="N42" i="9" s="1"/>
  <c r="BU38" i="8"/>
  <c r="BR38" i="8"/>
  <c r="BZ38" i="8"/>
  <c r="BX38" i="8"/>
  <c r="CA38" i="8"/>
  <c r="BO39" i="8"/>
  <c r="BY39" i="8" s="1"/>
  <c r="BT39" i="8"/>
  <c r="BQ37" i="8"/>
  <c r="BS37" i="8" s="1"/>
  <c r="K43" i="9"/>
  <c r="AJ44" i="8"/>
  <c r="W44" i="8" s="1"/>
  <c r="AK43" i="8"/>
  <c r="AL43" i="8" s="1"/>
  <c r="J42" i="9"/>
  <c r="L42" i="9"/>
  <c r="AS41" i="8"/>
  <c r="AU40" i="8"/>
  <c r="BP40" i="8" s="1"/>
  <c r="AT38" i="8"/>
  <c r="BQ38" i="8" l="1"/>
  <c r="BH39" i="8"/>
  <c r="Y39" i="9"/>
  <c r="AV40" i="8"/>
  <c r="G44" i="8"/>
  <c r="H44" i="9"/>
  <c r="AE45" i="8"/>
  <c r="AF43" i="8"/>
  <c r="E44" i="8"/>
  <c r="F42" i="9"/>
  <c r="AG42" i="8"/>
  <c r="AH42" i="8" s="1"/>
  <c r="E41" i="9"/>
  <c r="G41" i="9"/>
  <c r="BV37" i="8"/>
  <c r="BS38" i="8"/>
  <c r="BU39" i="8"/>
  <c r="BR39" i="8"/>
  <c r="BZ39" i="8"/>
  <c r="CA39" i="8"/>
  <c r="BX39" i="8"/>
  <c r="I43" i="9"/>
  <c r="X43" i="8"/>
  <c r="N43" i="9" s="1"/>
  <c r="BO40" i="8"/>
  <c r="BY40" i="8" s="1"/>
  <c r="BT40" i="8"/>
  <c r="AU41" i="8"/>
  <c r="BP41" i="8" s="1"/>
  <c r="AS42" i="8"/>
  <c r="K44" i="9"/>
  <c r="AJ45" i="8"/>
  <c r="W45" i="8" s="1"/>
  <c r="AK44" i="8"/>
  <c r="AL44" i="8" s="1"/>
  <c r="M46" i="9"/>
  <c r="AI47" i="8"/>
  <c r="L43" i="9"/>
  <c r="J43" i="9"/>
  <c r="AT39" i="8"/>
  <c r="BQ39" i="8" l="1"/>
  <c r="BH40" i="8"/>
  <c r="Y40" i="9"/>
  <c r="AV41" i="8"/>
  <c r="AG43" i="8"/>
  <c r="AH43" i="8" s="1"/>
  <c r="F43" i="9"/>
  <c r="E42" i="9"/>
  <c r="G42" i="9"/>
  <c r="G45" i="8"/>
  <c r="AE46" i="8"/>
  <c r="E45" i="8"/>
  <c r="AF44" i="8"/>
  <c r="H45" i="9"/>
  <c r="BV38" i="8"/>
  <c r="BS39" i="8"/>
  <c r="AU42" i="8"/>
  <c r="BP42" i="8" s="1"/>
  <c r="AS43" i="8"/>
  <c r="BT41" i="8"/>
  <c r="BO41" i="8"/>
  <c r="BY41" i="8" s="1"/>
  <c r="BU40" i="8"/>
  <c r="BR40" i="8"/>
  <c r="BX40" i="8"/>
  <c r="CA40" i="8"/>
  <c r="BZ40" i="8"/>
  <c r="I44" i="9"/>
  <c r="X44" i="8"/>
  <c r="N44" i="9" s="1"/>
  <c r="M47" i="9"/>
  <c r="AI48" i="8"/>
  <c r="K45" i="9"/>
  <c r="AJ46" i="8"/>
  <c r="W46" i="8" s="1"/>
  <c r="AK45" i="8"/>
  <c r="AL45" i="8" s="1"/>
  <c r="J44" i="9"/>
  <c r="L44" i="9"/>
  <c r="AT40" i="8"/>
  <c r="BQ40" i="8" l="1"/>
  <c r="BH41" i="8"/>
  <c r="Y41" i="9"/>
  <c r="AV42" i="8"/>
  <c r="BH42" i="8" s="1"/>
  <c r="AG44" i="8"/>
  <c r="AH44" i="8" s="1"/>
  <c r="F44" i="9"/>
  <c r="H46" i="9"/>
  <c r="AE47" i="8"/>
  <c r="G46" i="8"/>
  <c r="AF45" i="8"/>
  <c r="E46" i="8"/>
  <c r="G43" i="9"/>
  <c r="E43" i="9"/>
  <c r="BS40" i="8"/>
  <c r="BV39" i="8"/>
  <c r="BU41" i="8"/>
  <c r="BV40" i="8" s="1"/>
  <c r="BR41" i="8"/>
  <c r="BQ41" i="8"/>
  <c r="BZ41" i="8"/>
  <c r="CA41" i="8"/>
  <c r="BX41" i="8"/>
  <c r="AU43" i="8"/>
  <c r="BP43" i="8" s="1"/>
  <c r="AS44" i="8"/>
  <c r="J45" i="9"/>
  <c r="L45" i="9"/>
  <c r="M48" i="9"/>
  <c r="AI49" i="8"/>
  <c r="X45" i="8"/>
  <c r="N45" i="9" s="1"/>
  <c r="I45" i="9"/>
  <c r="BO42" i="8"/>
  <c r="BY42" i="8" s="1"/>
  <c r="BT42" i="8"/>
  <c r="K46" i="9"/>
  <c r="AJ47" i="8"/>
  <c r="W47" i="8" s="1"/>
  <c r="AK46" i="8"/>
  <c r="AL46" i="8" s="1"/>
  <c r="AT41" i="8"/>
  <c r="AV43" i="8" l="1"/>
  <c r="BH43" i="8" s="1"/>
  <c r="Y42" i="9"/>
  <c r="AE48" i="8"/>
  <c r="E47" i="8"/>
  <c r="G47" i="8"/>
  <c r="H47" i="9"/>
  <c r="AF46" i="8"/>
  <c r="F45" i="9"/>
  <c r="AG45" i="8"/>
  <c r="AH45" i="8" s="1"/>
  <c r="G44" i="9"/>
  <c r="E44" i="9"/>
  <c r="BS41" i="8"/>
  <c r="I46" i="9"/>
  <c r="X46" i="8"/>
  <c r="N46" i="9" s="1"/>
  <c r="J46" i="9"/>
  <c r="L46" i="9"/>
  <c r="AU44" i="8"/>
  <c r="BP44" i="8" s="1"/>
  <c r="AS45" i="8"/>
  <c r="BT43" i="8"/>
  <c r="BO43" i="8"/>
  <c r="BY43" i="8" s="1"/>
  <c r="M49" i="9"/>
  <c r="AI50" i="8"/>
  <c r="BU42" i="8"/>
  <c r="BR42" i="8"/>
  <c r="BQ42" i="8"/>
  <c r="CA42" i="8"/>
  <c r="BZ42" i="8"/>
  <c r="BX42" i="8"/>
  <c r="K47" i="9"/>
  <c r="AJ48" i="8"/>
  <c r="W48" i="8" s="1"/>
  <c r="AK47" i="8"/>
  <c r="AL47" i="8" s="1"/>
  <c r="AT42" i="8"/>
  <c r="Y43" i="9" l="1"/>
  <c r="G45" i="9"/>
  <c r="E45" i="9"/>
  <c r="F46" i="9"/>
  <c r="AG46" i="8"/>
  <c r="AH46" i="8" s="1"/>
  <c r="E48" i="8"/>
  <c r="H48" i="9"/>
  <c r="AF47" i="8"/>
  <c r="AE49" i="8"/>
  <c r="G48" i="8"/>
  <c r="BS42" i="8"/>
  <c r="BT44" i="8"/>
  <c r="BO44" i="8"/>
  <c r="BY44" i="8" s="1"/>
  <c r="I47" i="9"/>
  <c r="X47" i="8"/>
  <c r="N47" i="9" s="1"/>
  <c r="BV41" i="8"/>
  <c r="L47" i="9"/>
  <c r="J47" i="9"/>
  <c r="M50" i="9"/>
  <c r="AI51" i="8"/>
  <c r="AS46" i="8"/>
  <c r="AU45" i="8"/>
  <c r="BP45" i="8" s="1"/>
  <c r="AK48" i="8"/>
  <c r="AL48" i="8" s="1"/>
  <c r="AJ49" i="8"/>
  <c r="W49" i="8" s="1"/>
  <c r="K48" i="9"/>
  <c r="BR43" i="8"/>
  <c r="BU43" i="8"/>
  <c r="BZ43" i="8"/>
  <c r="BX43" i="8"/>
  <c r="CA43" i="8"/>
  <c r="AV44" i="8"/>
  <c r="BH44" i="8" s="1"/>
  <c r="AT43" i="8"/>
  <c r="Y44" i="9" l="1"/>
  <c r="AG47" i="8"/>
  <c r="AH47" i="8" s="1"/>
  <c r="F47" i="9"/>
  <c r="G46" i="9"/>
  <c r="E46" i="9"/>
  <c r="AE50" i="8"/>
  <c r="AF48" i="8"/>
  <c r="G49" i="8"/>
  <c r="E49" i="8"/>
  <c r="H49" i="9"/>
  <c r="AV45" i="8"/>
  <c r="BV42" i="8"/>
  <c r="AU46" i="8"/>
  <c r="BP46" i="8" s="1"/>
  <c r="AS47" i="8"/>
  <c r="I48" i="9"/>
  <c r="X48" i="8"/>
  <c r="N48" i="9" s="1"/>
  <c r="K49" i="9"/>
  <c r="AK49" i="8"/>
  <c r="AL49" i="8" s="1"/>
  <c r="AJ50" i="8"/>
  <c r="W50" i="8" s="1"/>
  <c r="BU44" i="8"/>
  <c r="BR44" i="8"/>
  <c r="BX44" i="8"/>
  <c r="BZ44" i="8"/>
  <c r="CA44" i="8"/>
  <c r="J48" i="9"/>
  <c r="L48" i="9"/>
  <c r="BQ43" i="8"/>
  <c r="BS43" i="8" s="1"/>
  <c r="M51" i="9"/>
  <c r="AI52" i="8"/>
  <c r="BO45" i="8"/>
  <c r="BY45" i="8" s="1"/>
  <c r="BT45" i="8"/>
  <c r="AT44" i="8"/>
  <c r="BQ44" i="8" l="1"/>
  <c r="BH45" i="8"/>
  <c r="Y45" i="9"/>
  <c r="F48" i="9"/>
  <c r="AG48" i="8"/>
  <c r="AH48" i="8" s="1"/>
  <c r="E47" i="9"/>
  <c r="G47" i="9"/>
  <c r="G50" i="8"/>
  <c r="H50" i="9"/>
  <c r="AE51" i="8"/>
  <c r="AF49" i="8"/>
  <c r="E50" i="8"/>
  <c r="AV46" i="8"/>
  <c r="BV43" i="8"/>
  <c r="BS44" i="8"/>
  <c r="BR45" i="8"/>
  <c r="BU45" i="8"/>
  <c r="BX45" i="8"/>
  <c r="CA45" i="8"/>
  <c r="BZ45" i="8"/>
  <c r="AK50" i="8"/>
  <c r="AL50" i="8" s="1"/>
  <c r="K50" i="9"/>
  <c r="AJ51" i="8"/>
  <c r="W51" i="8" s="1"/>
  <c r="BO46" i="8"/>
  <c r="BY46" i="8" s="1"/>
  <c r="BT46" i="8"/>
  <c r="AS48" i="8"/>
  <c r="AU47" i="8"/>
  <c r="BP47" i="8" s="1"/>
  <c r="X49" i="8"/>
  <c r="N49" i="9" s="1"/>
  <c r="I49" i="9"/>
  <c r="M52" i="9"/>
  <c r="AI53" i="8"/>
  <c r="J49" i="9"/>
  <c r="L49" i="9"/>
  <c r="AT45" i="8"/>
  <c r="BQ45" i="8" l="1"/>
  <c r="BS45" i="8" s="1"/>
  <c r="BH46" i="8"/>
  <c r="Y46" i="9"/>
  <c r="AG49" i="8"/>
  <c r="AH49" i="8" s="1"/>
  <c r="F49" i="9"/>
  <c r="H51" i="9"/>
  <c r="AF50" i="8"/>
  <c r="G51" i="8"/>
  <c r="AE52" i="8"/>
  <c r="E51" i="8"/>
  <c r="E48" i="9"/>
  <c r="G48" i="9"/>
  <c r="BV44" i="8"/>
  <c r="AS49" i="8"/>
  <c r="AU48" i="8"/>
  <c r="BP48" i="8" s="1"/>
  <c r="AK51" i="8"/>
  <c r="AL51" i="8" s="1"/>
  <c r="AJ52" i="8"/>
  <c r="W52" i="8" s="1"/>
  <c r="K51" i="9"/>
  <c r="J50" i="9"/>
  <c r="L50" i="9"/>
  <c r="AV47" i="8"/>
  <c r="BH47" i="8" s="1"/>
  <c r="BU46" i="8"/>
  <c r="BV45" i="8" s="1"/>
  <c r="BR46" i="8"/>
  <c r="BZ46" i="8"/>
  <c r="BX46" i="8"/>
  <c r="CA46" i="8"/>
  <c r="BO47" i="8"/>
  <c r="BY47" i="8" s="1"/>
  <c r="BT47" i="8"/>
  <c r="I50" i="9"/>
  <c r="X50" i="8"/>
  <c r="N50" i="9" s="1"/>
  <c r="M53" i="9"/>
  <c r="AI54" i="8"/>
  <c r="AT46" i="8"/>
  <c r="Y47" i="9" l="1"/>
  <c r="AF51" i="8"/>
  <c r="H52" i="9"/>
  <c r="AE53" i="8"/>
  <c r="G52" i="8"/>
  <c r="E52" i="8"/>
  <c r="F50" i="9"/>
  <c r="AG50" i="8"/>
  <c r="AH50" i="8" s="1"/>
  <c r="G49" i="9"/>
  <c r="E49" i="9"/>
  <c r="AV48" i="8"/>
  <c r="BU47" i="8"/>
  <c r="BR47" i="8"/>
  <c r="CA47" i="8"/>
  <c r="BZ47" i="8"/>
  <c r="BX47" i="8"/>
  <c r="BQ46" i="8"/>
  <c r="BS46" i="8" s="1"/>
  <c r="BO48" i="8"/>
  <c r="BY48" i="8" s="1"/>
  <c r="BT48" i="8"/>
  <c r="I51" i="9"/>
  <c r="X51" i="8"/>
  <c r="N51" i="9" s="1"/>
  <c r="L51" i="9"/>
  <c r="J51" i="9"/>
  <c r="AS50" i="8"/>
  <c r="AU49" i="8"/>
  <c r="BP49" i="8" s="1"/>
  <c r="M54" i="9"/>
  <c r="AI55" i="8"/>
  <c r="K52" i="9"/>
  <c r="AK52" i="8"/>
  <c r="AL52" i="8" s="1"/>
  <c r="AJ53" i="8"/>
  <c r="W53" i="8" s="1"/>
  <c r="AT47" i="8"/>
  <c r="BQ47" i="8" l="1"/>
  <c r="BH48" i="8"/>
  <c r="Y48" i="9"/>
  <c r="AV49" i="8"/>
  <c r="E50" i="9"/>
  <c r="G50" i="9"/>
  <c r="G53" i="8"/>
  <c r="E53" i="8"/>
  <c r="H53" i="9"/>
  <c r="AE54" i="8"/>
  <c r="AF52" i="8"/>
  <c r="F51" i="9"/>
  <c r="AG51" i="8"/>
  <c r="AH51" i="8" s="1"/>
  <c r="BV46" i="8"/>
  <c r="BS47" i="8"/>
  <c r="BO49" i="8"/>
  <c r="BY49" i="8" s="1"/>
  <c r="BT49" i="8"/>
  <c r="M55" i="9"/>
  <c r="AI56" i="8"/>
  <c r="K53" i="9"/>
  <c r="AK53" i="8"/>
  <c r="AL53" i="8" s="1"/>
  <c r="AJ54" i="8"/>
  <c r="W54" i="8" s="1"/>
  <c r="I52" i="9"/>
  <c r="X52" i="8"/>
  <c r="N52" i="9" s="1"/>
  <c r="AS51" i="8"/>
  <c r="AU50" i="8"/>
  <c r="BP50" i="8" s="1"/>
  <c r="BU48" i="8"/>
  <c r="BR48" i="8"/>
  <c r="CA48" i="8"/>
  <c r="BX48" i="8"/>
  <c r="BZ48" i="8"/>
  <c r="J52" i="9"/>
  <c r="L52" i="9"/>
  <c r="AT48" i="8"/>
  <c r="BQ48" i="8" l="1"/>
  <c r="BH49" i="8"/>
  <c r="Y49" i="9"/>
  <c r="G51" i="9"/>
  <c r="E51" i="9"/>
  <c r="AG52" i="8"/>
  <c r="AH52" i="8" s="1"/>
  <c r="F52" i="9"/>
  <c r="G54" i="8"/>
  <c r="H54" i="9"/>
  <c r="E54" i="8"/>
  <c r="AE55" i="8"/>
  <c r="AF53" i="8"/>
  <c r="BS48" i="8"/>
  <c r="BV47" i="8"/>
  <c r="AS52" i="8"/>
  <c r="AU51" i="8"/>
  <c r="BP51" i="8" s="1"/>
  <c r="BU49" i="8"/>
  <c r="BR49" i="8"/>
  <c r="BZ49" i="8"/>
  <c r="BX49" i="8"/>
  <c r="CA49" i="8"/>
  <c r="I53" i="9"/>
  <c r="X53" i="8"/>
  <c r="N53" i="9" s="1"/>
  <c r="AV50" i="8"/>
  <c r="BH50" i="8" s="1"/>
  <c r="BO50" i="8"/>
  <c r="BY50" i="8" s="1"/>
  <c r="BT50" i="8"/>
  <c r="J53" i="9"/>
  <c r="L53" i="9"/>
  <c r="K54" i="9"/>
  <c r="AK54" i="8"/>
  <c r="AL54" i="8" s="1"/>
  <c r="AJ55" i="8"/>
  <c r="W55" i="8" s="1"/>
  <c r="M56" i="9"/>
  <c r="AI57" i="8"/>
  <c r="AT49" i="8"/>
  <c r="Y50" i="9" l="1"/>
  <c r="AV51" i="8"/>
  <c r="BH51" i="8" s="1"/>
  <c r="G52" i="9"/>
  <c r="E52" i="9"/>
  <c r="H55" i="9"/>
  <c r="AF54" i="8"/>
  <c r="G55" i="8"/>
  <c r="E55" i="8"/>
  <c r="AE56" i="8"/>
  <c r="AG53" i="8"/>
  <c r="AH53" i="8" s="1"/>
  <c r="F53" i="9"/>
  <c r="BV48" i="8"/>
  <c r="BQ49" i="8"/>
  <c r="BS49" i="8" s="1"/>
  <c r="I54" i="9"/>
  <c r="X54" i="8"/>
  <c r="N54" i="9" s="1"/>
  <c r="K55" i="9"/>
  <c r="AK55" i="8"/>
  <c r="AL55" i="8" s="1"/>
  <c r="AJ56" i="8"/>
  <c r="W56" i="8" s="1"/>
  <c r="BO51" i="8"/>
  <c r="BY51" i="8" s="1"/>
  <c r="BT51" i="8"/>
  <c r="J54" i="9"/>
  <c r="L54" i="9"/>
  <c r="M57" i="9"/>
  <c r="AI58" i="8"/>
  <c r="BU50" i="8"/>
  <c r="BQ50" i="8"/>
  <c r="BR50" i="8"/>
  <c r="BZ50" i="8"/>
  <c r="CA50" i="8"/>
  <c r="BX50" i="8"/>
  <c r="AS53" i="8"/>
  <c r="AU52" i="8"/>
  <c r="BP52" i="8" s="1"/>
  <c r="AT50" i="8"/>
  <c r="AV52" i="8" l="1"/>
  <c r="BH52" i="8" s="1"/>
  <c r="Y51" i="9"/>
  <c r="H56" i="9"/>
  <c r="E56" i="8"/>
  <c r="AF55" i="8"/>
  <c r="AE57" i="8"/>
  <c r="G56" i="8"/>
  <c r="F54" i="9"/>
  <c r="AG54" i="8"/>
  <c r="AH54" i="8" s="1"/>
  <c r="E53" i="9"/>
  <c r="G53" i="9"/>
  <c r="BV49" i="8"/>
  <c r="BS50" i="8"/>
  <c r="BU51" i="8"/>
  <c r="BV50" i="8" s="1"/>
  <c r="BR51" i="8"/>
  <c r="BQ51" i="8"/>
  <c r="CA51" i="8"/>
  <c r="BX51" i="8"/>
  <c r="BZ51" i="8"/>
  <c r="M58" i="9"/>
  <c r="AI59" i="8"/>
  <c r="K56" i="9"/>
  <c r="AK56" i="8"/>
  <c r="AL56" i="8" s="1"/>
  <c r="AJ57" i="8"/>
  <c r="W57" i="8" s="1"/>
  <c r="BO52" i="8"/>
  <c r="BY52" i="8" s="1"/>
  <c r="BT52" i="8"/>
  <c r="I55" i="9"/>
  <c r="X55" i="8"/>
  <c r="N55" i="9" s="1"/>
  <c r="AS54" i="8"/>
  <c r="AU53" i="8"/>
  <c r="BP53" i="8" s="1"/>
  <c r="L55" i="9"/>
  <c r="J55" i="9"/>
  <c r="AT51" i="8"/>
  <c r="Y52" i="9" l="1"/>
  <c r="G54" i="9"/>
  <c r="E54" i="9"/>
  <c r="F55" i="9"/>
  <c r="AG55" i="8"/>
  <c r="AH55" i="8" s="1"/>
  <c r="AE58" i="8"/>
  <c r="AF56" i="8"/>
  <c r="H57" i="9"/>
  <c r="E57" i="8"/>
  <c r="G57" i="8"/>
  <c r="BS51" i="8"/>
  <c r="K57" i="9"/>
  <c r="AK57" i="8"/>
  <c r="AL57" i="8" s="1"/>
  <c r="AJ58" i="8"/>
  <c r="W58" i="8" s="1"/>
  <c r="AS55" i="8"/>
  <c r="AU54" i="8"/>
  <c r="BP54" i="8" s="1"/>
  <c r="M59" i="9"/>
  <c r="AI60" i="8"/>
  <c r="I56" i="9"/>
  <c r="X56" i="8"/>
  <c r="N56" i="9" s="1"/>
  <c r="BU52" i="8"/>
  <c r="BR52" i="8"/>
  <c r="BX52" i="8"/>
  <c r="CA52" i="8"/>
  <c r="BZ52" i="8"/>
  <c r="J56" i="9"/>
  <c r="L56" i="9"/>
  <c r="BO53" i="8"/>
  <c r="BY53" i="8" s="1"/>
  <c r="BT53" i="8"/>
  <c r="AV53" i="8"/>
  <c r="BH53" i="8" s="1"/>
  <c r="AT52" i="8"/>
  <c r="AV54" i="8" l="1"/>
  <c r="BH54" i="8" s="1"/>
  <c r="Y53" i="9"/>
  <c r="E55" i="9"/>
  <c r="G55" i="9"/>
  <c r="AG56" i="8"/>
  <c r="AH56" i="8" s="1"/>
  <c r="F56" i="9"/>
  <c r="AE59" i="8"/>
  <c r="AF57" i="8"/>
  <c r="E58" i="8"/>
  <c r="G58" i="8"/>
  <c r="H58" i="9"/>
  <c r="BV51" i="8"/>
  <c r="BQ52" i="8"/>
  <c r="BS52" i="8" s="1"/>
  <c r="BO54" i="8"/>
  <c r="BY54" i="8" s="1"/>
  <c r="BT54" i="8"/>
  <c r="K58" i="9"/>
  <c r="AK58" i="8"/>
  <c r="AL58" i="8" s="1"/>
  <c r="AJ59" i="8"/>
  <c r="W59" i="8" s="1"/>
  <c r="AS56" i="8"/>
  <c r="AU55" i="8"/>
  <c r="BP55" i="8" s="1"/>
  <c r="X57" i="8"/>
  <c r="N57" i="9" s="1"/>
  <c r="I57" i="9"/>
  <c r="BU53" i="8"/>
  <c r="BR53" i="8"/>
  <c r="BQ53" i="8"/>
  <c r="CA53" i="8"/>
  <c r="BX53" i="8"/>
  <c r="BZ53" i="8"/>
  <c r="M60" i="9"/>
  <c r="AI61" i="8"/>
  <c r="J57" i="9"/>
  <c r="L57" i="9"/>
  <c r="AT53" i="8"/>
  <c r="Y54" i="9" l="1"/>
  <c r="E56" i="9"/>
  <c r="G56" i="9"/>
  <c r="AE60" i="8"/>
  <c r="AF58" i="8"/>
  <c r="H59" i="9"/>
  <c r="G59" i="8"/>
  <c r="E59" i="8"/>
  <c r="F57" i="9"/>
  <c r="AG57" i="8"/>
  <c r="AH57" i="8" s="1"/>
  <c r="BV52" i="8"/>
  <c r="BS53" i="8"/>
  <c r="K59" i="9"/>
  <c r="AK59" i="8"/>
  <c r="AL59" i="8" s="1"/>
  <c r="AJ60" i="8"/>
  <c r="W60" i="8" s="1"/>
  <c r="M61" i="9"/>
  <c r="AI62" i="8"/>
  <c r="AS57" i="8"/>
  <c r="AU56" i="8"/>
  <c r="BP56" i="8" s="1"/>
  <c r="AV55" i="8"/>
  <c r="BH55" i="8" s="1"/>
  <c r="BU54" i="8"/>
  <c r="BR54" i="8"/>
  <c r="BX54" i="8"/>
  <c r="CA54" i="8"/>
  <c r="BZ54" i="8"/>
  <c r="BO55" i="8"/>
  <c r="BY55" i="8" s="1"/>
  <c r="BT55" i="8"/>
  <c r="L58" i="9"/>
  <c r="J58" i="9"/>
  <c r="I58" i="9"/>
  <c r="X58" i="8"/>
  <c r="N58" i="9" s="1"/>
  <c r="AT54" i="8"/>
  <c r="Y55" i="9" l="1"/>
  <c r="AG58" i="8"/>
  <c r="AH58" i="8" s="1"/>
  <c r="F58" i="9"/>
  <c r="AE61" i="8"/>
  <c r="G60" i="8"/>
  <c r="H60" i="9"/>
  <c r="AF59" i="8"/>
  <c r="E60" i="8"/>
  <c r="E57" i="9"/>
  <c r="G57" i="9"/>
  <c r="AV56" i="8"/>
  <c r="BV53" i="8"/>
  <c r="BQ54" i="8"/>
  <c r="BS54" i="8" s="1"/>
  <c r="M62" i="9"/>
  <c r="AI63" i="8"/>
  <c r="I59" i="9"/>
  <c r="X59" i="8"/>
  <c r="N59" i="9" s="1"/>
  <c r="L59" i="9"/>
  <c r="J59" i="9"/>
  <c r="K60" i="9"/>
  <c r="AK60" i="8"/>
  <c r="AL60" i="8" s="1"/>
  <c r="AJ61" i="8"/>
  <c r="W61" i="8" s="1"/>
  <c r="BO56" i="8"/>
  <c r="BY56" i="8" s="1"/>
  <c r="BT56" i="8"/>
  <c r="BU55" i="8"/>
  <c r="BV54" i="8" s="1"/>
  <c r="BR55" i="8"/>
  <c r="BX55" i="8"/>
  <c r="CA55" i="8"/>
  <c r="BZ55" i="8"/>
  <c r="AS58" i="8"/>
  <c r="AU57" i="8"/>
  <c r="BP57" i="8" s="1"/>
  <c r="AT55" i="8"/>
  <c r="BQ55" i="8" l="1"/>
  <c r="BH56" i="8"/>
  <c r="AV57" i="8"/>
  <c r="BH57" i="8" s="1"/>
  <c r="Y56" i="9"/>
  <c r="AG59" i="8"/>
  <c r="AH59" i="8" s="1"/>
  <c r="F59" i="9"/>
  <c r="H61" i="9"/>
  <c r="AF60" i="8"/>
  <c r="AE62" i="8"/>
  <c r="E61" i="8"/>
  <c r="G61" i="8"/>
  <c r="G58" i="9"/>
  <c r="E58" i="9"/>
  <c r="BS55" i="8"/>
  <c r="X60" i="8"/>
  <c r="N60" i="9" s="1"/>
  <c r="I60" i="9"/>
  <c r="AS59" i="8"/>
  <c r="AU58" i="8"/>
  <c r="BP58" i="8" s="1"/>
  <c r="BU56" i="8"/>
  <c r="BR56" i="8"/>
  <c r="BQ56" i="8"/>
  <c r="BX56" i="8"/>
  <c r="CA56" i="8"/>
  <c r="BZ56" i="8"/>
  <c r="BO57" i="8"/>
  <c r="BY57" i="8" s="1"/>
  <c r="BT57" i="8"/>
  <c r="K61" i="9"/>
  <c r="AK61" i="8"/>
  <c r="AL61" i="8" s="1"/>
  <c r="AJ62" i="8"/>
  <c r="W62" i="8" s="1"/>
  <c r="M63" i="9"/>
  <c r="AI64" i="8"/>
  <c r="J60" i="9"/>
  <c r="L60" i="9"/>
  <c r="AT56" i="8"/>
  <c r="Y57" i="9" l="1"/>
  <c r="AF61" i="8"/>
  <c r="E62" i="8"/>
  <c r="H62" i="9"/>
  <c r="G62" i="8"/>
  <c r="AE63" i="8"/>
  <c r="E59" i="9"/>
  <c r="G59" i="9"/>
  <c r="AG60" i="8"/>
  <c r="AH60" i="8" s="1"/>
  <c r="F60" i="9"/>
  <c r="BV55" i="8"/>
  <c r="BS56" i="8"/>
  <c r="BU57" i="8"/>
  <c r="BR57" i="8"/>
  <c r="BX57" i="8"/>
  <c r="CA57" i="8"/>
  <c r="BZ57" i="8"/>
  <c r="K62" i="9"/>
  <c r="AK62" i="8"/>
  <c r="AL62" i="8" s="1"/>
  <c r="AJ63" i="8"/>
  <c r="W63" i="8" s="1"/>
  <c r="I61" i="9"/>
  <c r="X61" i="8"/>
  <c r="N61" i="9" s="1"/>
  <c r="J61" i="9"/>
  <c r="L61" i="9"/>
  <c r="AS60" i="8"/>
  <c r="AU59" i="8"/>
  <c r="BP59" i="8" s="1"/>
  <c r="M64" i="9"/>
  <c r="AI65" i="8"/>
  <c r="BO58" i="8"/>
  <c r="BY58" i="8" s="1"/>
  <c r="BT58" i="8"/>
  <c r="AV58" i="8"/>
  <c r="BH58" i="8" s="1"/>
  <c r="AT57" i="8"/>
  <c r="Y58" i="9" l="1"/>
  <c r="E63" i="8"/>
  <c r="H63" i="9"/>
  <c r="AE64" i="8"/>
  <c r="AF62" i="8"/>
  <c r="G63" i="8"/>
  <c r="E60" i="9"/>
  <c r="G60" i="9"/>
  <c r="F61" i="9"/>
  <c r="AG61" i="8"/>
  <c r="AH61" i="8" s="1"/>
  <c r="AV59" i="8"/>
  <c r="BV56" i="8"/>
  <c r="BU58" i="8"/>
  <c r="BR58" i="8"/>
  <c r="BZ58" i="8"/>
  <c r="CA58" i="8"/>
  <c r="BX58" i="8"/>
  <c r="I62" i="9"/>
  <c r="X62" i="8"/>
  <c r="N62" i="9" s="1"/>
  <c r="BO59" i="8"/>
  <c r="BY59" i="8" s="1"/>
  <c r="BT59" i="8"/>
  <c r="J62" i="9"/>
  <c r="L62" i="9"/>
  <c r="BQ57" i="8"/>
  <c r="BS57" i="8" s="1"/>
  <c r="M65" i="9"/>
  <c r="AI66" i="8"/>
  <c r="K63" i="9"/>
  <c r="AK63" i="8"/>
  <c r="AL63" i="8" s="1"/>
  <c r="AJ64" i="8"/>
  <c r="W64" i="8" s="1"/>
  <c r="AS61" i="8"/>
  <c r="AU60" i="8"/>
  <c r="BP60" i="8" s="1"/>
  <c r="AT58" i="8"/>
  <c r="BQ58" i="8" l="1"/>
  <c r="BS58" i="8" s="1"/>
  <c r="BH59" i="8"/>
  <c r="Y59" i="9"/>
  <c r="AV60" i="8"/>
  <c r="E61" i="9"/>
  <c r="G61" i="9"/>
  <c r="G64" i="8"/>
  <c r="AE65" i="8"/>
  <c r="E64" i="8"/>
  <c r="H64" i="9"/>
  <c r="AF63" i="8"/>
  <c r="F62" i="9"/>
  <c r="AG62" i="8"/>
  <c r="AH62" i="8" s="1"/>
  <c r="BV57" i="8"/>
  <c r="BU59" i="8"/>
  <c r="BR59" i="8"/>
  <c r="BX59" i="8"/>
  <c r="CA59" i="8"/>
  <c r="BZ59" i="8"/>
  <c r="K64" i="9"/>
  <c r="AK64" i="8"/>
  <c r="AL64" i="8" s="1"/>
  <c r="AJ65" i="8"/>
  <c r="W65" i="8" s="1"/>
  <c r="M66" i="9"/>
  <c r="AI67" i="8"/>
  <c r="I63" i="9"/>
  <c r="X63" i="8"/>
  <c r="N63" i="9" s="1"/>
  <c r="L63" i="9"/>
  <c r="J63" i="9"/>
  <c r="BO60" i="8"/>
  <c r="BY60" i="8" s="1"/>
  <c r="BT60" i="8"/>
  <c r="AS62" i="8"/>
  <c r="AU61" i="8"/>
  <c r="BP61" i="8" s="1"/>
  <c r="AT59" i="8"/>
  <c r="BQ59" i="8" l="1"/>
  <c r="BH60" i="8"/>
  <c r="Y60" i="9"/>
  <c r="G62" i="9"/>
  <c r="E62" i="9"/>
  <c r="F63" i="9"/>
  <c r="AG63" i="8"/>
  <c r="AH63" i="8" s="1"/>
  <c r="AE66" i="8"/>
  <c r="AF64" i="8"/>
  <c r="H65" i="9"/>
  <c r="E65" i="8"/>
  <c r="G65" i="8"/>
  <c r="BS59" i="8"/>
  <c r="BV58" i="8"/>
  <c r="BU60" i="8"/>
  <c r="BR60" i="8"/>
  <c r="CA60" i="8"/>
  <c r="BZ60" i="8"/>
  <c r="BX60" i="8"/>
  <c r="I64" i="9"/>
  <c r="X64" i="8"/>
  <c r="N64" i="9" s="1"/>
  <c r="K65" i="9"/>
  <c r="AK65" i="8"/>
  <c r="AL65" i="8" s="1"/>
  <c r="AJ66" i="8"/>
  <c r="W66" i="8" s="1"/>
  <c r="M67" i="9"/>
  <c r="AI68" i="8"/>
  <c r="J64" i="9"/>
  <c r="L64" i="9"/>
  <c r="BO61" i="8"/>
  <c r="BY61" i="8" s="1"/>
  <c r="BT61" i="8"/>
  <c r="AS63" i="8"/>
  <c r="AU62" i="8"/>
  <c r="BP62" i="8" s="1"/>
  <c r="AV61" i="8"/>
  <c r="AT60" i="8"/>
  <c r="BQ60" i="8" l="1"/>
  <c r="BS60" i="8" s="1"/>
  <c r="BH61" i="8"/>
  <c r="Y61" i="9"/>
  <c r="F64" i="9"/>
  <c r="AG64" i="8"/>
  <c r="AH64" i="8" s="1"/>
  <c r="G66" i="8"/>
  <c r="H66" i="9"/>
  <c r="AF65" i="8"/>
  <c r="AE67" i="8"/>
  <c r="E66" i="8"/>
  <c r="G63" i="9"/>
  <c r="E63" i="9"/>
  <c r="BV59" i="8"/>
  <c r="AS64" i="8"/>
  <c r="AU63" i="8"/>
  <c r="BP63" i="8" s="1"/>
  <c r="AK66" i="8"/>
  <c r="AL66" i="8" s="1"/>
  <c r="K66" i="9"/>
  <c r="AJ67" i="8"/>
  <c r="W67" i="8" s="1"/>
  <c r="J65" i="9"/>
  <c r="L65" i="9"/>
  <c r="M68" i="9"/>
  <c r="AI69" i="8"/>
  <c r="AV62" i="8"/>
  <c r="BH62" i="8" s="1"/>
  <c r="BU61" i="8"/>
  <c r="BR61" i="8"/>
  <c r="BZ61" i="8"/>
  <c r="CA61" i="8"/>
  <c r="BX61" i="8"/>
  <c r="I65" i="9"/>
  <c r="X65" i="8"/>
  <c r="N65" i="9" s="1"/>
  <c r="BO62" i="8"/>
  <c r="BY62" i="8" s="1"/>
  <c r="BT62" i="8"/>
  <c r="AT61" i="8"/>
  <c r="Y62" i="9" l="1"/>
  <c r="E67" i="8"/>
  <c r="H67" i="9"/>
  <c r="AE68" i="8"/>
  <c r="AF66" i="8"/>
  <c r="G67" i="8"/>
  <c r="F65" i="9"/>
  <c r="AG65" i="8"/>
  <c r="AH65" i="8" s="1"/>
  <c r="G64" i="9"/>
  <c r="E64" i="9"/>
  <c r="AV63" i="8"/>
  <c r="BV60" i="8"/>
  <c r="M69" i="9"/>
  <c r="AI70" i="8"/>
  <c r="J66" i="9"/>
  <c r="L66" i="9"/>
  <c r="AJ68" i="8"/>
  <c r="W68" i="8" s="1"/>
  <c r="AK67" i="8"/>
  <c r="AL67" i="8" s="1"/>
  <c r="K67" i="9"/>
  <c r="BO63" i="8"/>
  <c r="BY63" i="8" s="1"/>
  <c r="BT63" i="8"/>
  <c r="I66" i="9"/>
  <c r="X66" i="8"/>
  <c r="N66" i="9" s="1"/>
  <c r="BU62" i="8"/>
  <c r="BV61" i="8" s="1"/>
  <c r="BR62" i="8"/>
  <c r="CA62" i="8"/>
  <c r="BX62" i="8"/>
  <c r="BZ62" i="8"/>
  <c r="BQ61" i="8"/>
  <c r="BS61" i="8" s="1"/>
  <c r="AS65" i="8"/>
  <c r="AU64" i="8"/>
  <c r="BP64" i="8" s="1"/>
  <c r="AT62" i="8"/>
  <c r="BQ62" i="8" l="1"/>
  <c r="BS62" i="8" s="1"/>
  <c r="BH63" i="8"/>
  <c r="Y63" i="9"/>
  <c r="AV64" i="8"/>
  <c r="E65" i="9"/>
  <c r="G65" i="9"/>
  <c r="AE69" i="8"/>
  <c r="E68" i="8"/>
  <c r="H68" i="9"/>
  <c r="AF67" i="8"/>
  <c r="G68" i="8"/>
  <c r="F66" i="9"/>
  <c r="AG66" i="8"/>
  <c r="AH66" i="8" s="1"/>
  <c r="I67" i="9"/>
  <c r="X67" i="8"/>
  <c r="N67" i="9" s="1"/>
  <c r="L67" i="9"/>
  <c r="J67" i="9"/>
  <c r="K68" i="9"/>
  <c r="AK68" i="8"/>
  <c r="AL68" i="8" s="1"/>
  <c r="AJ69" i="8"/>
  <c r="W69" i="8" s="1"/>
  <c r="BT64" i="8"/>
  <c r="BO64" i="8"/>
  <c r="BY64" i="8" s="1"/>
  <c r="AI71" i="8"/>
  <c r="M70" i="9"/>
  <c r="AU65" i="8"/>
  <c r="BP65" i="8" s="1"/>
  <c r="AS66" i="8"/>
  <c r="BU63" i="8"/>
  <c r="BV62" i="8" s="1"/>
  <c r="BR63" i="8"/>
  <c r="BZ63" i="8"/>
  <c r="BX63" i="8"/>
  <c r="CA63" i="8"/>
  <c r="AT63" i="8"/>
  <c r="BQ63" i="8" l="1"/>
  <c r="BH64" i="8"/>
  <c r="Y64" i="9"/>
  <c r="E66" i="9"/>
  <c r="G66" i="9"/>
  <c r="F67" i="9"/>
  <c r="AG67" i="8"/>
  <c r="AH67" i="8" s="1"/>
  <c r="G69" i="8"/>
  <c r="AF68" i="8"/>
  <c r="E69" i="8"/>
  <c r="AE70" i="8"/>
  <c r="H69" i="9"/>
  <c r="BS63" i="8"/>
  <c r="BR64" i="8"/>
  <c r="BU64" i="8"/>
  <c r="BZ64" i="8"/>
  <c r="CA64" i="8"/>
  <c r="BX64" i="8"/>
  <c r="M71" i="9"/>
  <c r="AI72" i="8"/>
  <c r="K69" i="9"/>
  <c r="AJ70" i="8"/>
  <c r="W70" i="8" s="1"/>
  <c r="AK69" i="8"/>
  <c r="AL69" i="8" s="1"/>
  <c r="BT65" i="8"/>
  <c r="BO65" i="8"/>
  <c r="BY65" i="8" s="1"/>
  <c r="AS67" i="8"/>
  <c r="AU66" i="8"/>
  <c r="BP66" i="8" s="1"/>
  <c r="I68" i="9"/>
  <c r="X68" i="8"/>
  <c r="N68" i="9" s="1"/>
  <c r="J68" i="9"/>
  <c r="L68" i="9"/>
  <c r="AV65" i="8"/>
  <c r="BH65" i="8" s="1"/>
  <c r="AT64" i="8"/>
  <c r="Y65" i="9" l="1"/>
  <c r="F68" i="9"/>
  <c r="AG68" i="8"/>
  <c r="AH68" i="8" s="1"/>
  <c r="G67" i="9"/>
  <c r="E67" i="9"/>
  <c r="H70" i="9"/>
  <c r="AF69" i="8"/>
  <c r="G70" i="8"/>
  <c r="E70" i="8"/>
  <c r="AE71" i="8"/>
  <c r="AV66" i="8"/>
  <c r="BV63" i="8"/>
  <c r="BR65" i="8"/>
  <c r="BU65" i="8"/>
  <c r="BZ65" i="8"/>
  <c r="BX65" i="8"/>
  <c r="CA65" i="8"/>
  <c r="BQ64" i="8"/>
  <c r="BS64" i="8" s="1"/>
  <c r="I69" i="9"/>
  <c r="X69" i="8"/>
  <c r="N69" i="9" s="1"/>
  <c r="BT66" i="8"/>
  <c r="BO66" i="8"/>
  <c r="BY66" i="8" s="1"/>
  <c r="M72" i="9"/>
  <c r="AI73" i="8"/>
  <c r="K70" i="9"/>
  <c r="AJ71" i="8"/>
  <c r="W71" i="8" s="1"/>
  <c r="AK70" i="8"/>
  <c r="AL70" i="8" s="1"/>
  <c r="AS68" i="8"/>
  <c r="AU67" i="8"/>
  <c r="BP67" i="8" s="1"/>
  <c r="J69" i="9"/>
  <c r="L69" i="9"/>
  <c r="AT65" i="8"/>
  <c r="BQ65" i="8" l="1"/>
  <c r="BH66" i="8"/>
  <c r="Y66" i="9"/>
  <c r="F69" i="9"/>
  <c r="AG69" i="8"/>
  <c r="AH69" i="8" s="1"/>
  <c r="G71" i="8"/>
  <c r="H71" i="9"/>
  <c r="AE72" i="8"/>
  <c r="E71" i="8"/>
  <c r="AF70" i="8"/>
  <c r="E68" i="9"/>
  <c r="G68" i="9"/>
  <c r="BS65" i="8"/>
  <c r="BV64" i="8"/>
  <c r="AU68" i="8"/>
  <c r="BP68" i="8" s="1"/>
  <c r="AS69" i="8"/>
  <c r="M73" i="9"/>
  <c r="AI74" i="8"/>
  <c r="AV67" i="8"/>
  <c r="BH67" i="8" s="1"/>
  <c r="BR66" i="8"/>
  <c r="BU66" i="8"/>
  <c r="CA66" i="8"/>
  <c r="BZ66" i="8"/>
  <c r="BX66" i="8"/>
  <c r="I70" i="9"/>
  <c r="X70" i="8"/>
  <c r="N70" i="9" s="1"/>
  <c r="J70" i="9"/>
  <c r="L70" i="9"/>
  <c r="BO67" i="8"/>
  <c r="BY67" i="8" s="1"/>
  <c r="BT67" i="8"/>
  <c r="K71" i="9"/>
  <c r="AJ72" i="8"/>
  <c r="W72" i="8" s="1"/>
  <c r="AK71" i="8"/>
  <c r="AL71" i="8" s="1"/>
  <c r="AT66" i="8"/>
  <c r="Y67" i="9" l="1"/>
  <c r="G72" i="8"/>
  <c r="E72" i="8"/>
  <c r="AE73" i="8"/>
  <c r="H72" i="9"/>
  <c r="AF71" i="8"/>
  <c r="AG70" i="8"/>
  <c r="AH70" i="8" s="1"/>
  <c r="F70" i="9"/>
  <c r="G69" i="9"/>
  <c r="E69" i="9"/>
  <c r="BV65" i="8"/>
  <c r="AV68" i="8"/>
  <c r="BR67" i="8"/>
  <c r="BU67" i="8"/>
  <c r="BV66" i="8" s="1"/>
  <c r="BX67" i="8"/>
  <c r="CA67" i="8"/>
  <c r="BZ67" i="8"/>
  <c r="M74" i="9"/>
  <c r="AI75" i="8"/>
  <c r="BQ66" i="8"/>
  <c r="BS66" i="8" s="1"/>
  <c r="AU69" i="8"/>
  <c r="BP69" i="8" s="1"/>
  <c r="AS70" i="8"/>
  <c r="L71" i="9"/>
  <c r="J71" i="9"/>
  <c r="K72" i="9"/>
  <c r="AJ73" i="8"/>
  <c r="W73" i="8" s="1"/>
  <c r="AK72" i="8"/>
  <c r="AL72" i="8" s="1"/>
  <c r="BT68" i="8"/>
  <c r="BO68" i="8"/>
  <c r="BY68" i="8" s="1"/>
  <c r="I71" i="9"/>
  <c r="X71" i="8"/>
  <c r="N71" i="9" s="1"/>
  <c r="AT67" i="8"/>
  <c r="BQ67" i="8" l="1"/>
  <c r="BS67" i="8" s="1"/>
  <c r="BH68" i="8"/>
  <c r="Y68" i="9"/>
  <c r="E70" i="9"/>
  <c r="G70" i="9"/>
  <c r="H73" i="9"/>
  <c r="AE74" i="8"/>
  <c r="G73" i="8"/>
  <c r="AF72" i="8"/>
  <c r="E73" i="8"/>
  <c r="F71" i="9"/>
  <c r="AG71" i="8"/>
  <c r="AH71" i="8" s="1"/>
  <c r="K73" i="9"/>
  <c r="AK73" i="8"/>
  <c r="AL73" i="8" s="1"/>
  <c r="AJ74" i="8"/>
  <c r="W74" i="8" s="1"/>
  <c r="AU70" i="8"/>
  <c r="BP70" i="8" s="1"/>
  <c r="AS71" i="8"/>
  <c r="BR68" i="8"/>
  <c r="BU68" i="8"/>
  <c r="BV67" i="8" s="1"/>
  <c r="BX68" i="8"/>
  <c r="CA68" i="8"/>
  <c r="BZ68" i="8"/>
  <c r="X72" i="8"/>
  <c r="N72" i="9" s="1"/>
  <c r="I72" i="9"/>
  <c r="BO69" i="8"/>
  <c r="BY69" i="8" s="1"/>
  <c r="BT69" i="8"/>
  <c r="M75" i="9"/>
  <c r="AI76" i="8"/>
  <c r="J72" i="9"/>
  <c r="L72" i="9"/>
  <c r="AV69" i="8"/>
  <c r="BH69" i="8" s="1"/>
  <c r="AT68" i="8"/>
  <c r="Y69" i="9" l="1"/>
  <c r="E71" i="9"/>
  <c r="G71" i="9"/>
  <c r="F72" i="9"/>
  <c r="AG72" i="8"/>
  <c r="AH72" i="8" s="1"/>
  <c r="E74" i="8"/>
  <c r="G74" i="8"/>
  <c r="AE75" i="8"/>
  <c r="H74" i="9"/>
  <c r="AF73" i="8"/>
  <c r="AV70" i="8"/>
  <c r="M76" i="9"/>
  <c r="AI77" i="8"/>
  <c r="J73" i="9"/>
  <c r="L73" i="9"/>
  <c r="BQ68" i="8"/>
  <c r="BS68" i="8" s="1"/>
  <c r="I73" i="9"/>
  <c r="X73" i="8"/>
  <c r="N73" i="9" s="1"/>
  <c r="BO70" i="8"/>
  <c r="BY70" i="8" s="1"/>
  <c r="BT70" i="8"/>
  <c r="BR69" i="8"/>
  <c r="BU69" i="8"/>
  <c r="CA69" i="8"/>
  <c r="BZ69" i="8"/>
  <c r="BX69" i="8"/>
  <c r="K74" i="9"/>
  <c r="AK74" i="8"/>
  <c r="AL74" i="8" s="1"/>
  <c r="AJ75" i="8"/>
  <c r="W75" i="8" s="1"/>
  <c r="AU71" i="8"/>
  <c r="BP71" i="8" s="1"/>
  <c r="AS72" i="8"/>
  <c r="AT69" i="8"/>
  <c r="BQ69" i="8" l="1"/>
  <c r="BH70" i="8"/>
  <c r="Y70" i="9"/>
  <c r="E72" i="9"/>
  <c r="G72" i="9"/>
  <c r="H75" i="9"/>
  <c r="E75" i="8"/>
  <c r="AE76" i="8"/>
  <c r="G75" i="8"/>
  <c r="AF74" i="8"/>
  <c r="F73" i="9"/>
  <c r="AG73" i="8"/>
  <c r="AH73" i="8" s="1"/>
  <c r="BS69" i="8"/>
  <c r="AV71" i="8"/>
  <c r="BV68" i="8"/>
  <c r="BT71" i="8"/>
  <c r="BO71" i="8"/>
  <c r="BY71" i="8" s="1"/>
  <c r="K75" i="9"/>
  <c r="AJ76" i="8"/>
  <c r="W76" i="8" s="1"/>
  <c r="AK75" i="8"/>
  <c r="AL75" i="8" s="1"/>
  <c r="J74" i="9"/>
  <c r="L74" i="9"/>
  <c r="M77" i="9"/>
  <c r="AI78" i="8"/>
  <c r="I74" i="9"/>
  <c r="X74" i="8"/>
  <c r="N74" i="9" s="1"/>
  <c r="BR70" i="8"/>
  <c r="BU70" i="8"/>
  <c r="BV69" i="8" s="1"/>
  <c r="BZ70" i="8"/>
  <c r="CA70" i="8"/>
  <c r="BX70" i="8"/>
  <c r="AS73" i="8"/>
  <c r="AU72" i="8"/>
  <c r="BP72" i="8" s="1"/>
  <c r="AT70" i="8"/>
  <c r="BQ70" i="8" l="1"/>
  <c r="BH71" i="8"/>
  <c r="Y71" i="9"/>
  <c r="G73" i="9"/>
  <c r="E73" i="9"/>
  <c r="AG74" i="8"/>
  <c r="AH74" i="8" s="1"/>
  <c r="F74" i="9"/>
  <c r="H76" i="9"/>
  <c r="G76" i="8"/>
  <c r="AE77" i="8"/>
  <c r="E76" i="8"/>
  <c r="AF75" i="8"/>
  <c r="BS70" i="8"/>
  <c r="BO72" i="8"/>
  <c r="BY72" i="8" s="1"/>
  <c r="BT72" i="8"/>
  <c r="M78" i="9"/>
  <c r="AI79" i="8"/>
  <c r="L75" i="9"/>
  <c r="J75" i="9"/>
  <c r="BR71" i="8"/>
  <c r="BU71" i="8"/>
  <c r="CA71" i="8"/>
  <c r="BX71" i="8"/>
  <c r="BZ71" i="8"/>
  <c r="K76" i="9"/>
  <c r="AJ77" i="8"/>
  <c r="W77" i="8" s="1"/>
  <c r="AK76" i="8"/>
  <c r="AL76" i="8" s="1"/>
  <c r="I75" i="9"/>
  <c r="X75" i="8"/>
  <c r="N75" i="9" s="1"/>
  <c r="AU73" i="8"/>
  <c r="BP73" i="8" s="1"/>
  <c r="AS74" i="8"/>
  <c r="AV72" i="8"/>
  <c r="AT71" i="8"/>
  <c r="BQ71" i="8" l="1"/>
  <c r="BS71" i="8" s="1"/>
  <c r="BH72" i="8"/>
  <c r="Y72" i="9"/>
  <c r="E77" i="8"/>
  <c r="AE78" i="8"/>
  <c r="H77" i="9"/>
  <c r="AF76" i="8"/>
  <c r="G77" i="8"/>
  <c r="E74" i="9"/>
  <c r="G74" i="9"/>
  <c r="F75" i="9"/>
  <c r="AG75" i="8"/>
  <c r="AH75" i="8" s="1"/>
  <c r="BV70" i="8"/>
  <c r="BT73" i="8"/>
  <c r="BO73" i="8"/>
  <c r="BY73" i="8" s="1"/>
  <c r="M79" i="9"/>
  <c r="AI80" i="8"/>
  <c r="K77" i="9"/>
  <c r="AJ78" i="8"/>
  <c r="W78" i="8" s="1"/>
  <c r="AK77" i="8"/>
  <c r="AL77" i="8" s="1"/>
  <c r="J76" i="9"/>
  <c r="L76" i="9"/>
  <c r="AS75" i="8"/>
  <c r="AU74" i="8"/>
  <c r="BP74" i="8" s="1"/>
  <c r="AV73" i="8"/>
  <c r="BH73" i="8" s="1"/>
  <c r="I76" i="9"/>
  <c r="X76" i="8"/>
  <c r="N76" i="9" s="1"/>
  <c r="BR72" i="8"/>
  <c r="BU72" i="8"/>
  <c r="BV71" i="8" s="1"/>
  <c r="CA72" i="8"/>
  <c r="BZ72" i="8"/>
  <c r="BX72" i="8"/>
  <c r="AT72" i="8"/>
  <c r="Y73" i="9" l="1"/>
  <c r="F76" i="9"/>
  <c r="AG76" i="8"/>
  <c r="AH76" i="8" s="1"/>
  <c r="AF77" i="8"/>
  <c r="AE79" i="8"/>
  <c r="H78" i="9"/>
  <c r="G78" i="8"/>
  <c r="E78" i="8"/>
  <c r="G75" i="9"/>
  <c r="E75" i="9"/>
  <c r="AV74" i="8"/>
  <c r="BQ72" i="8"/>
  <c r="BS72" i="8" s="1"/>
  <c r="J77" i="9"/>
  <c r="L77" i="9"/>
  <c r="M80" i="9"/>
  <c r="AI81" i="8"/>
  <c r="I77" i="9"/>
  <c r="X77" i="8"/>
  <c r="N77" i="9" s="1"/>
  <c r="BT74" i="8"/>
  <c r="BO74" i="8"/>
  <c r="BY74" i="8" s="1"/>
  <c r="AS76" i="8"/>
  <c r="AU75" i="8"/>
  <c r="BP75" i="8" s="1"/>
  <c r="K78" i="9"/>
  <c r="AK78" i="8"/>
  <c r="AL78" i="8" s="1"/>
  <c r="AJ79" i="8"/>
  <c r="W79" i="8" s="1"/>
  <c r="BR73" i="8"/>
  <c r="BU73" i="8"/>
  <c r="BV72" i="8" s="1"/>
  <c r="BX73" i="8"/>
  <c r="CA73" i="8"/>
  <c r="BZ73" i="8"/>
  <c r="AT73" i="8"/>
  <c r="BQ73" i="8" l="1"/>
  <c r="BH74" i="8"/>
  <c r="Y74" i="9"/>
  <c r="E79" i="8"/>
  <c r="AF78" i="8"/>
  <c r="H79" i="9"/>
  <c r="AE80" i="8"/>
  <c r="G79" i="8"/>
  <c r="F77" i="9"/>
  <c r="AG77" i="8"/>
  <c r="AH77" i="8" s="1"/>
  <c r="E76" i="9"/>
  <c r="G76" i="9"/>
  <c r="BS73" i="8"/>
  <c r="L78" i="9"/>
  <c r="J78" i="9"/>
  <c r="M81" i="9"/>
  <c r="AI82" i="8"/>
  <c r="AS77" i="8"/>
  <c r="AU76" i="8"/>
  <c r="BP76" i="8" s="1"/>
  <c r="BO75" i="8"/>
  <c r="BY75" i="8" s="1"/>
  <c r="BT75" i="8"/>
  <c r="BR74" i="8"/>
  <c r="BU74" i="8"/>
  <c r="BX74" i="8"/>
  <c r="CA74" i="8"/>
  <c r="BZ74" i="8"/>
  <c r="K79" i="9"/>
  <c r="AJ80" i="8"/>
  <c r="W80" i="8" s="1"/>
  <c r="AK79" i="8"/>
  <c r="AL79" i="8" s="1"/>
  <c r="X78" i="8"/>
  <c r="N78" i="9" s="1"/>
  <c r="I78" i="9"/>
  <c r="AV75" i="8"/>
  <c r="BH75" i="8" s="1"/>
  <c r="AT74" i="8"/>
  <c r="Y75" i="9" l="1"/>
  <c r="AV76" i="8"/>
  <c r="E80" i="8"/>
  <c r="AF79" i="8"/>
  <c r="G80" i="8"/>
  <c r="AE81" i="8"/>
  <c r="H80" i="9"/>
  <c r="F78" i="9"/>
  <c r="AG78" i="8"/>
  <c r="AH78" i="8" s="1"/>
  <c r="G77" i="9"/>
  <c r="E77" i="9"/>
  <c r="BV73" i="8"/>
  <c r="K80" i="9"/>
  <c r="AJ81" i="8"/>
  <c r="W81" i="8" s="1"/>
  <c r="AK80" i="8"/>
  <c r="AL80" i="8" s="1"/>
  <c r="BT76" i="8"/>
  <c r="BO76" i="8"/>
  <c r="BY76" i="8" s="1"/>
  <c r="I79" i="9"/>
  <c r="X79" i="8"/>
  <c r="N79" i="9" s="1"/>
  <c r="L79" i="9"/>
  <c r="J79" i="9"/>
  <c r="BR75" i="8"/>
  <c r="BU75" i="8"/>
  <c r="BX75" i="8"/>
  <c r="CA75" i="8"/>
  <c r="BZ75" i="8"/>
  <c r="BQ74" i="8"/>
  <c r="BS74" i="8" s="1"/>
  <c r="AU77" i="8"/>
  <c r="BP77" i="8" s="1"/>
  <c r="AS78" i="8"/>
  <c r="M82" i="9"/>
  <c r="AI83" i="8"/>
  <c r="AT75" i="8"/>
  <c r="BQ75" i="8" l="1"/>
  <c r="BH76" i="8"/>
  <c r="AV77" i="8"/>
  <c r="BH77" i="8" s="1"/>
  <c r="Y76" i="9"/>
  <c r="E78" i="9"/>
  <c r="G78" i="9"/>
  <c r="G81" i="8"/>
  <c r="AE82" i="8"/>
  <c r="E81" i="8"/>
  <c r="H81" i="9"/>
  <c r="AF80" i="8"/>
  <c r="F79" i="9"/>
  <c r="AG79" i="8"/>
  <c r="AH79" i="8" s="1"/>
  <c r="BV74" i="8"/>
  <c r="BS75" i="8"/>
  <c r="BR76" i="8"/>
  <c r="BU76" i="8"/>
  <c r="BQ76" i="8"/>
  <c r="BX76" i="8"/>
  <c r="CA76" i="8"/>
  <c r="BZ76" i="8"/>
  <c r="M83" i="9"/>
  <c r="AI84" i="8"/>
  <c r="BO77" i="8"/>
  <c r="BY77" i="8" s="1"/>
  <c r="BT77" i="8"/>
  <c r="BV75" i="8"/>
  <c r="K81" i="9"/>
  <c r="AJ82" i="8"/>
  <c r="W82" i="8" s="1"/>
  <c r="AK81" i="8"/>
  <c r="AL81" i="8" s="1"/>
  <c r="I80" i="9"/>
  <c r="X80" i="8"/>
  <c r="N80" i="9" s="1"/>
  <c r="AU78" i="8"/>
  <c r="BP78" i="8" s="1"/>
  <c r="AS79" i="8"/>
  <c r="J80" i="9"/>
  <c r="L80" i="9"/>
  <c r="AT76" i="8"/>
  <c r="Y77" i="9" l="1"/>
  <c r="BS76" i="8"/>
  <c r="E79" i="9"/>
  <c r="G79" i="9"/>
  <c r="H82" i="9"/>
  <c r="G82" i="8"/>
  <c r="AE83" i="8"/>
  <c r="E82" i="8"/>
  <c r="AF81" i="8"/>
  <c r="F80" i="9"/>
  <c r="AG80" i="8"/>
  <c r="AH80" i="8" s="1"/>
  <c r="AU79" i="8"/>
  <c r="BP79" i="8" s="1"/>
  <c r="AS80" i="8"/>
  <c r="I81" i="9"/>
  <c r="X81" i="8"/>
  <c r="N81" i="9" s="1"/>
  <c r="M84" i="9"/>
  <c r="AI85" i="8"/>
  <c r="K82" i="9"/>
  <c r="AJ83" i="8"/>
  <c r="W83" i="8" s="1"/>
  <c r="AK82" i="8"/>
  <c r="AL82" i="8" s="1"/>
  <c r="BT78" i="8"/>
  <c r="BO78" i="8"/>
  <c r="BY78" i="8" s="1"/>
  <c r="J81" i="9"/>
  <c r="L81" i="9"/>
  <c r="BR77" i="8"/>
  <c r="BU77" i="8"/>
  <c r="BV76" i="8" s="1"/>
  <c r="CA77" i="8"/>
  <c r="BZ77" i="8"/>
  <c r="BX77" i="8"/>
  <c r="AV78" i="8"/>
  <c r="BH78" i="8" s="1"/>
  <c r="AT77" i="8"/>
  <c r="AV79" i="8" l="1"/>
  <c r="BH79" i="8" s="1"/>
  <c r="Y78" i="9"/>
  <c r="G80" i="9"/>
  <c r="E80" i="9"/>
  <c r="AG81" i="8"/>
  <c r="AH81" i="8" s="1"/>
  <c r="F81" i="9"/>
  <c r="AE84" i="8"/>
  <c r="AF82" i="8"/>
  <c r="E83" i="8"/>
  <c r="H83" i="9"/>
  <c r="G83" i="8"/>
  <c r="BQ77" i="8"/>
  <c r="BS77" i="8" s="1"/>
  <c r="BR78" i="8"/>
  <c r="BU78" i="8"/>
  <c r="BV77" i="8" s="1"/>
  <c r="BQ78" i="8"/>
  <c r="CA78" i="8"/>
  <c r="BZ78" i="8"/>
  <c r="BX78" i="8"/>
  <c r="AJ84" i="8"/>
  <c r="W84" i="8" s="1"/>
  <c r="K83" i="9"/>
  <c r="AK83" i="8"/>
  <c r="AL83" i="8" s="1"/>
  <c r="X82" i="8"/>
  <c r="N82" i="9" s="1"/>
  <c r="I82" i="9"/>
  <c r="AS81" i="8"/>
  <c r="AV80" i="8" s="1"/>
  <c r="BH80" i="8" s="1"/>
  <c r="AU80" i="8"/>
  <c r="BP80" i="8" s="1"/>
  <c r="M85" i="9"/>
  <c r="AI86" i="8"/>
  <c r="BT79" i="8"/>
  <c r="BO79" i="8"/>
  <c r="BY79" i="8" s="1"/>
  <c r="J82" i="9"/>
  <c r="L82" i="9"/>
  <c r="AT78" i="8"/>
  <c r="Y79" i="9" l="1"/>
  <c r="G84" i="8"/>
  <c r="AF83" i="8"/>
  <c r="AE85" i="8"/>
  <c r="H84" i="9"/>
  <c r="E84" i="8"/>
  <c r="G81" i="9"/>
  <c r="E81" i="9"/>
  <c r="F82" i="9"/>
  <c r="AG82" i="8"/>
  <c r="AH82" i="8" s="1"/>
  <c r="BS78" i="8"/>
  <c r="BR79" i="8"/>
  <c r="BU79" i="8"/>
  <c r="BV78" i="8" s="1"/>
  <c r="BQ79" i="8"/>
  <c r="CA79" i="8"/>
  <c r="BZ79" i="8"/>
  <c r="BX79" i="8"/>
  <c r="AI87" i="8"/>
  <c r="M86" i="9"/>
  <c r="I83" i="9"/>
  <c r="X83" i="8"/>
  <c r="N83" i="9" s="1"/>
  <c r="BO80" i="8"/>
  <c r="BY80" i="8" s="1"/>
  <c r="BT80" i="8"/>
  <c r="AK84" i="8"/>
  <c r="AL84" i="8" s="1"/>
  <c r="K84" i="9"/>
  <c r="AJ85" i="8"/>
  <c r="W85" i="8" s="1"/>
  <c r="L83" i="9"/>
  <c r="J83" i="9"/>
  <c r="AU81" i="8"/>
  <c r="BP81" i="8" s="1"/>
  <c r="AS82" i="8"/>
  <c r="AV81" i="8" s="1"/>
  <c r="BH81" i="8" s="1"/>
  <c r="AT79" i="8"/>
  <c r="Y80" i="9" l="1"/>
  <c r="E82" i="9"/>
  <c r="G82" i="9"/>
  <c r="G85" i="8"/>
  <c r="AF84" i="8"/>
  <c r="E85" i="8"/>
  <c r="H85" i="9"/>
  <c r="AE86" i="8"/>
  <c r="AG83" i="8"/>
  <c r="AH83" i="8" s="1"/>
  <c r="F83" i="9"/>
  <c r="BS79" i="8"/>
  <c r="BT81" i="8"/>
  <c r="BO81" i="8"/>
  <c r="BY81" i="8" s="1"/>
  <c r="I84" i="9"/>
  <c r="X84" i="8"/>
  <c r="N84" i="9" s="1"/>
  <c r="M87" i="9"/>
  <c r="AI88" i="8"/>
  <c r="J84" i="9"/>
  <c r="L84" i="9"/>
  <c r="AK85" i="8"/>
  <c r="AL85" i="8" s="1"/>
  <c r="AJ86" i="8"/>
  <c r="W86" i="8" s="1"/>
  <c r="K85" i="9"/>
  <c r="AS83" i="8"/>
  <c r="AU82" i="8"/>
  <c r="BP82" i="8" s="1"/>
  <c r="BR80" i="8"/>
  <c r="BU80" i="8"/>
  <c r="BV79" i="8" s="1"/>
  <c r="BQ80" i="8"/>
  <c r="CA80" i="8"/>
  <c r="BX80" i="8"/>
  <c r="BZ80" i="8"/>
  <c r="AT80" i="8"/>
  <c r="Y81" i="9" l="1"/>
  <c r="E86" i="8"/>
  <c r="H86" i="9"/>
  <c r="G86" i="8"/>
  <c r="AF85" i="8"/>
  <c r="AE87" i="8"/>
  <c r="F84" i="9"/>
  <c r="AG84" i="8"/>
  <c r="AH84" i="8" s="1"/>
  <c r="G83" i="9"/>
  <c r="E83" i="9"/>
  <c r="BS80" i="8"/>
  <c r="AU83" i="8"/>
  <c r="BP83" i="8" s="1"/>
  <c r="AS84" i="8"/>
  <c r="AJ87" i="8"/>
  <c r="W87" i="8" s="1"/>
  <c r="K86" i="9"/>
  <c r="AK86" i="8"/>
  <c r="AL86" i="8" s="1"/>
  <c r="X85" i="8"/>
  <c r="N85" i="9" s="1"/>
  <c r="I85" i="9"/>
  <c r="J85" i="9"/>
  <c r="L85" i="9"/>
  <c r="M88" i="9"/>
  <c r="AI89" i="8"/>
  <c r="BR81" i="8"/>
  <c r="BU81" i="8"/>
  <c r="BX81" i="8"/>
  <c r="CA81" i="8"/>
  <c r="BZ81" i="8"/>
  <c r="BT82" i="8"/>
  <c r="BO82" i="8"/>
  <c r="BY82" i="8" s="1"/>
  <c r="AV82" i="8"/>
  <c r="AT81" i="8"/>
  <c r="BQ81" i="8" l="1"/>
  <c r="BS81" i="8" s="1"/>
  <c r="BH82" i="8"/>
  <c r="Y82" i="9"/>
  <c r="E84" i="9"/>
  <c r="G84" i="9"/>
  <c r="AF86" i="8"/>
  <c r="AE88" i="8"/>
  <c r="H87" i="9"/>
  <c r="G87" i="8"/>
  <c r="E87" i="8"/>
  <c r="AG85" i="8"/>
  <c r="AH85" i="8" s="1"/>
  <c r="F85" i="9"/>
  <c r="BV80" i="8"/>
  <c r="BR82" i="8"/>
  <c r="BU82" i="8"/>
  <c r="BX82" i="8"/>
  <c r="BZ82" i="8"/>
  <c r="CA82" i="8"/>
  <c r="K87" i="9"/>
  <c r="AJ88" i="8"/>
  <c r="W88" i="8" s="1"/>
  <c r="AK87" i="8"/>
  <c r="AL87" i="8" s="1"/>
  <c r="AV83" i="8"/>
  <c r="M89" i="9"/>
  <c r="AI90" i="8"/>
  <c r="BO83" i="8"/>
  <c r="BY83" i="8" s="1"/>
  <c r="BT83" i="8"/>
  <c r="L86" i="9"/>
  <c r="J86" i="9"/>
  <c r="I86" i="9"/>
  <c r="X86" i="8"/>
  <c r="N86" i="9" s="1"/>
  <c r="AU84" i="8"/>
  <c r="BP84" i="8" s="1"/>
  <c r="AS85" i="8"/>
  <c r="AT82" i="8"/>
  <c r="BQ82" i="8" l="1"/>
  <c r="BS82" i="8" s="1"/>
  <c r="BH83" i="8"/>
  <c r="Y83" i="9"/>
  <c r="F86" i="9"/>
  <c r="AG86" i="8"/>
  <c r="AH86" i="8" s="1"/>
  <c r="AE89" i="8"/>
  <c r="H88" i="9"/>
  <c r="AF87" i="8"/>
  <c r="E88" i="8"/>
  <c r="G88" i="8"/>
  <c r="E85" i="9"/>
  <c r="G85" i="9"/>
  <c r="BV81" i="8"/>
  <c r="BR83" i="8"/>
  <c r="BU83" i="8"/>
  <c r="CA83" i="8"/>
  <c r="BZ83" i="8"/>
  <c r="BX83" i="8"/>
  <c r="M90" i="9"/>
  <c r="AI91" i="8"/>
  <c r="K88" i="9"/>
  <c r="AK88" i="8"/>
  <c r="AL88" i="8" s="1"/>
  <c r="AJ89" i="8"/>
  <c r="W89" i="8" s="1"/>
  <c r="I87" i="9"/>
  <c r="X87" i="8"/>
  <c r="N87" i="9" s="1"/>
  <c r="L87" i="9"/>
  <c r="J87" i="9"/>
  <c r="AU85" i="8"/>
  <c r="BP85" i="8" s="1"/>
  <c r="AS86" i="8"/>
  <c r="AV84" i="8"/>
  <c r="BH84" i="8" s="1"/>
  <c r="BO84" i="8"/>
  <c r="BY84" i="8" s="1"/>
  <c r="BT84" i="8"/>
  <c r="AT83" i="8"/>
  <c r="Y84" i="9" l="1"/>
  <c r="AV85" i="8"/>
  <c r="F87" i="9"/>
  <c r="AG87" i="8"/>
  <c r="AH87" i="8" s="1"/>
  <c r="G89" i="8"/>
  <c r="H89" i="9"/>
  <c r="AF88" i="8"/>
  <c r="AE90" i="8"/>
  <c r="E89" i="8"/>
  <c r="E86" i="9"/>
  <c r="G86" i="9"/>
  <c r="BV82" i="8"/>
  <c r="M91" i="9"/>
  <c r="AI92" i="8"/>
  <c r="BO85" i="8"/>
  <c r="BY85" i="8" s="1"/>
  <c r="BT85" i="8"/>
  <c r="X88" i="8"/>
  <c r="N88" i="9" s="1"/>
  <c r="I88" i="9"/>
  <c r="J88" i="9"/>
  <c r="L88" i="9"/>
  <c r="AS87" i="8"/>
  <c r="AU86" i="8"/>
  <c r="BP86" i="8" s="1"/>
  <c r="AK89" i="8"/>
  <c r="AL89" i="8" s="1"/>
  <c r="K89" i="9"/>
  <c r="AJ90" i="8"/>
  <c r="W90" i="8" s="1"/>
  <c r="BQ83" i="8"/>
  <c r="BS83" i="8" s="1"/>
  <c r="BR84" i="8"/>
  <c r="BU84" i="8"/>
  <c r="BV83" i="8" s="1"/>
  <c r="BZ84" i="8"/>
  <c r="CA84" i="8"/>
  <c r="BX84" i="8"/>
  <c r="AT84" i="8"/>
  <c r="BQ84" i="8" l="1"/>
  <c r="BS84" i="8" s="1"/>
  <c r="BH85" i="8"/>
  <c r="Y85" i="9"/>
  <c r="AV86" i="8"/>
  <c r="H90" i="9"/>
  <c r="E90" i="8"/>
  <c r="G90" i="8"/>
  <c r="AF89" i="8"/>
  <c r="AE91" i="8"/>
  <c r="AG88" i="8"/>
  <c r="AH88" i="8" s="1"/>
  <c r="F88" i="9"/>
  <c r="G87" i="9"/>
  <c r="E87" i="9"/>
  <c r="K90" i="9"/>
  <c r="AJ91" i="8"/>
  <c r="W91" i="8" s="1"/>
  <c r="AK90" i="8"/>
  <c r="AL90" i="8" s="1"/>
  <c r="BO86" i="8"/>
  <c r="BY86" i="8" s="1"/>
  <c r="BT86" i="8"/>
  <c r="AS88" i="8"/>
  <c r="AU87" i="8"/>
  <c r="BP87" i="8" s="1"/>
  <c r="M92" i="9"/>
  <c r="AI93" i="8"/>
  <c r="BR85" i="8"/>
  <c r="BU85" i="8"/>
  <c r="CA85" i="8"/>
  <c r="BZ85" i="8"/>
  <c r="BX85" i="8"/>
  <c r="J89" i="9"/>
  <c r="L89" i="9"/>
  <c r="X89" i="8"/>
  <c r="N89" i="9" s="1"/>
  <c r="I89" i="9"/>
  <c r="AT85" i="8"/>
  <c r="BQ85" i="8" l="1"/>
  <c r="BS85" i="8" s="1"/>
  <c r="BH86" i="8"/>
  <c r="Y86" i="9"/>
  <c r="G88" i="9"/>
  <c r="E88" i="9"/>
  <c r="AE92" i="8"/>
  <c r="E91" i="8"/>
  <c r="H91" i="9"/>
  <c r="G91" i="8"/>
  <c r="AF90" i="8"/>
  <c r="AG89" i="8"/>
  <c r="AH89" i="8" s="1"/>
  <c r="F89" i="9"/>
  <c r="BV84" i="8"/>
  <c r="J90" i="9"/>
  <c r="L90" i="9"/>
  <c r="K91" i="9"/>
  <c r="AJ92" i="8"/>
  <c r="W92" i="8" s="1"/>
  <c r="AK91" i="8"/>
  <c r="AL91" i="8" s="1"/>
  <c r="BR86" i="8"/>
  <c r="BU86" i="8"/>
  <c r="BV85" i="8" s="1"/>
  <c r="CA86" i="8"/>
  <c r="BX86" i="8"/>
  <c r="BZ86" i="8"/>
  <c r="M93" i="9"/>
  <c r="AI94" i="8"/>
  <c r="I90" i="9"/>
  <c r="X90" i="8"/>
  <c r="N90" i="9" s="1"/>
  <c r="AU88" i="8"/>
  <c r="BP88" i="8" s="1"/>
  <c r="AS89" i="8"/>
  <c r="BT87" i="8"/>
  <c r="BO87" i="8"/>
  <c r="BY87" i="8" s="1"/>
  <c r="AV87" i="8"/>
  <c r="AT86" i="8"/>
  <c r="BQ86" i="8" l="1"/>
  <c r="BH87" i="8"/>
  <c r="Y87" i="9"/>
  <c r="F90" i="9"/>
  <c r="AG90" i="8"/>
  <c r="AH90" i="8" s="1"/>
  <c r="H92" i="9"/>
  <c r="G92" i="8"/>
  <c r="E92" i="8"/>
  <c r="AF91" i="8"/>
  <c r="AE93" i="8"/>
  <c r="G89" i="9"/>
  <c r="E89" i="9"/>
  <c r="BS86" i="8"/>
  <c r="X91" i="8"/>
  <c r="N91" i="9" s="1"/>
  <c r="I91" i="9"/>
  <c r="K92" i="9"/>
  <c r="AK92" i="8"/>
  <c r="AL92" i="8" s="1"/>
  <c r="AJ93" i="8"/>
  <c r="W93" i="8" s="1"/>
  <c r="M94" i="9"/>
  <c r="AI95" i="8"/>
  <c r="L91" i="9"/>
  <c r="J91" i="9"/>
  <c r="AS90" i="8"/>
  <c r="AU89" i="8"/>
  <c r="BP89" i="8" s="1"/>
  <c r="BO88" i="8"/>
  <c r="BY88" i="8" s="1"/>
  <c r="BT88" i="8"/>
  <c r="BR87" i="8"/>
  <c r="BU87" i="8"/>
  <c r="BV86" i="8" s="1"/>
  <c r="BZ87" i="8"/>
  <c r="CA87" i="8"/>
  <c r="BX87" i="8"/>
  <c r="AV88" i="8"/>
  <c r="BH88" i="8" s="1"/>
  <c r="AT87" i="8"/>
  <c r="Y88" i="9" l="1"/>
  <c r="AE94" i="8"/>
  <c r="H93" i="9"/>
  <c r="AF92" i="8"/>
  <c r="G93" i="8"/>
  <c r="E93" i="8"/>
  <c r="F91" i="9"/>
  <c r="AG91" i="8"/>
  <c r="AH91" i="8" s="1"/>
  <c r="G90" i="9"/>
  <c r="E90" i="9"/>
  <c r="AV89" i="8"/>
  <c r="BO89" i="8"/>
  <c r="BY89" i="8" s="1"/>
  <c r="BT89" i="8"/>
  <c r="J92" i="9"/>
  <c r="L92" i="9"/>
  <c r="I92" i="9"/>
  <c r="X92" i="8"/>
  <c r="N92" i="9" s="1"/>
  <c r="AS91" i="8"/>
  <c r="AU90" i="8"/>
  <c r="BP90" i="8" s="1"/>
  <c r="M95" i="9"/>
  <c r="AI96" i="8"/>
  <c r="BR88" i="8"/>
  <c r="BU88" i="8"/>
  <c r="BX88" i="8"/>
  <c r="CA88" i="8"/>
  <c r="BZ88" i="8"/>
  <c r="BQ87" i="8"/>
  <c r="BS87" i="8" s="1"/>
  <c r="K93" i="9"/>
  <c r="AK93" i="8"/>
  <c r="AL93" i="8" s="1"/>
  <c r="AJ94" i="8"/>
  <c r="W94" i="8" s="1"/>
  <c r="AT88" i="8"/>
  <c r="BQ88" i="8" l="1"/>
  <c r="BH89" i="8"/>
  <c r="Y89" i="9"/>
  <c r="AV90" i="8"/>
  <c r="BH90" i="8" s="1"/>
  <c r="G91" i="9"/>
  <c r="E91" i="9"/>
  <c r="F92" i="9"/>
  <c r="AG92" i="8"/>
  <c r="AE95" i="8"/>
  <c r="G94" i="8"/>
  <c r="H94" i="9"/>
  <c r="E94" i="8"/>
  <c r="AF93" i="8"/>
  <c r="BS88" i="8"/>
  <c r="BV87" i="8"/>
  <c r="AS92" i="8"/>
  <c r="AU91" i="8"/>
  <c r="BP91" i="8" s="1"/>
  <c r="AI97" i="8"/>
  <c r="M96" i="9"/>
  <c r="K94" i="9"/>
  <c r="AK94" i="8"/>
  <c r="AL94" i="8" s="1"/>
  <c r="AJ95" i="8"/>
  <c r="W95" i="8" s="1"/>
  <c r="I93" i="9"/>
  <c r="X93" i="8"/>
  <c r="N93" i="9" s="1"/>
  <c r="BR89" i="8"/>
  <c r="BU89" i="8"/>
  <c r="BQ89" i="8"/>
  <c r="BX89" i="8"/>
  <c r="BZ89" i="8"/>
  <c r="CA89" i="8"/>
  <c r="L93" i="9"/>
  <c r="J93" i="9"/>
  <c r="BO90" i="8"/>
  <c r="BY90" i="8" s="1"/>
  <c r="BT90" i="8"/>
  <c r="AT89" i="8"/>
  <c r="Y90" i="9" l="1"/>
  <c r="E92" i="9"/>
  <c r="G92" i="9"/>
  <c r="AH92" i="8"/>
  <c r="AQ33" i="8"/>
  <c r="H95" i="9"/>
  <c r="G95" i="8"/>
  <c r="E95" i="8"/>
  <c r="AF94" i="8"/>
  <c r="AE96" i="8"/>
  <c r="F93" i="9"/>
  <c r="AG93" i="8"/>
  <c r="BS89" i="8"/>
  <c r="BV88" i="8"/>
  <c r="BO91" i="8"/>
  <c r="BY91" i="8" s="1"/>
  <c r="BT91" i="8"/>
  <c r="AS93" i="8"/>
  <c r="AU92" i="8"/>
  <c r="BP92" i="8" s="1"/>
  <c r="BR90" i="8"/>
  <c r="BU90" i="8"/>
  <c r="BV89" i="8" s="1"/>
  <c r="CA90" i="8"/>
  <c r="BX90" i="8"/>
  <c r="BZ90" i="8"/>
  <c r="AJ96" i="8"/>
  <c r="W96" i="8" s="1"/>
  <c r="AK95" i="8"/>
  <c r="AL95" i="8" s="1"/>
  <c r="K95" i="9"/>
  <c r="J94" i="9"/>
  <c r="L94" i="9"/>
  <c r="X94" i="8"/>
  <c r="N94" i="9" s="1"/>
  <c r="I94" i="9"/>
  <c r="M97" i="9"/>
  <c r="AI98" i="8"/>
  <c r="AV91" i="8"/>
  <c r="BH91" i="8" s="1"/>
  <c r="AT90" i="8"/>
  <c r="Y91" i="9" l="1"/>
  <c r="F94" i="9"/>
  <c r="AG94" i="8"/>
  <c r="AH93" i="8"/>
  <c r="AQ36" i="8"/>
  <c r="E93" i="9"/>
  <c r="G93" i="9"/>
  <c r="AF95" i="8"/>
  <c r="E96" i="8"/>
  <c r="AE97" i="8"/>
  <c r="G96" i="8"/>
  <c r="H96" i="9"/>
  <c r="AU93" i="8"/>
  <c r="BP93" i="8" s="1"/>
  <c r="AS94" i="8"/>
  <c r="AV92" i="8"/>
  <c r="BH92" i="8" s="1"/>
  <c r="BQ90" i="8"/>
  <c r="BS90" i="8" s="1"/>
  <c r="J95" i="9"/>
  <c r="L95" i="9"/>
  <c r="BR91" i="8"/>
  <c r="BU91" i="8"/>
  <c r="BX91" i="8"/>
  <c r="CA91" i="8"/>
  <c r="BZ91" i="8"/>
  <c r="K96" i="9"/>
  <c r="AJ97" i="8"/>
  <c r="W97" i="8" s="1"/>
  <c r="AK96" i="8"/>
  <c r="AL96" i="8" s="1"/>
  <c r="BT92" i="8"/>
  <c r="BO92" i="8"/>
  <c r="BY92" i="8" s="1"/>
  <c r="M98" i="9"/>
  <c r="AI99" i="8"/>
  <c r="X95" i="8"/>
  <c r="N95" i="9" s="1"/>
  <c r="I95" i="9"/>
  <c r="AT91" i="8"/>
  <c r="Y92" i="9" l="1"/>
  <c r="F95" i="9"/>
  <c r="AG95" i="8"/>
  <c r="AQ37" i="8"/>
  <c r="AH94" i="8"/>
  <c r="E97" i="8"/>
  <c r="AE98" i="8"/>
  <c r="H97" i="9"/>
  <c r="G97" i="8"/>
  <c r="AF96" i="8"/>
  <c r="G94" i="9"/>
  <c r="E94" i="9"/>
  <c r="AV93" i="8"/>
  <c r="BV90" i="8"/>
  <c r="I96" i="9"/>
  <c r="X96" i="8"/>
  <c r="N96" i="9" s="1"/>
  <c r="AS95" i="8"/>
  <c r="AU94" i="8"/>
  <c r="BP94" i="8" s="1"/>
  <c r="M99" i="9"/>
  <c r="AI100" i="8"/>
  <c r="BQ91" i="8"/>
  <c r="BS91" i="8" s="1"/>
  <c r="BO93" i="8"/>
  <c r="BY93" i="8" s="1"/>
  <c r="BT93" i="8"/>
  <c r="K97" i="9"/>
  <c r="AJ98" i="8"/>
  <c r="W98" i="8" s="1"/>
  <c r="AK97" i="8"/>
  <c r="AL97" i="8" s="1"/>
  <c r="BR92" i="8"/>
  <c r="BU92" i="8"/>
  <c r="BZ92" i="8"/>
  <c r="CA92" i="8"/>
  <c r="BX92" i="8"/>
  <c r="L96" i="9"/>
  <c r="J96" i="9"/>
  <c r="AT92" i="8"/>
  <c r="BQ92" i="8" l="1"/>
  <c r="BH93" i="8"/>
  <c r="Y93" i="9"/>
  <c r="F96" i="9"/>
  <c r="AG96" i="8"/>
  <c r="G98" i="8"/>
  <c r="E98" i="8"/>
  <c r="AF97" i="8"/>
  <c r="AE99" i="8"/>
  <c r="H98" i="9"/>
  <c r="AH95" i="8"/>
  <c r="AQ38" i="8"/>
  <c r="E95" i="9"/>
  <c r="G95" i="9"/>
  <c r="BS92" i="8"/>
  <c r="AV94" i="8"/>
  <c r="BV91" i="8"/>
  <c r="K98" i="9"/>
  <c r="AJ99" i="8"/>
  <c r="W99" i="8" s="1"/>
  <c r="AK98" i="8"/>
  <c r="AL98" i="8" s="1"/>
  <c r="M100" i="9"/>
  <c r="AI101" i="8"/>
  <c r="L97" i="9"/>
  <c r="J97" i="9"/>
  <c r="BR93" i="8"/>
  <c r="BU93" i="8"/>
  <c r="BZ93" i="8"/>
  <c r="BX93" i="8"/>
  <c r="CA93" i="8"/>
  <c r="BO94" i="8"/>
  <c r="BY94" i="8" s="1"/>
  <c r="BT94" i="8"/>
  <c r="X97" i="8"/>
  <c r="N97" i="9" s="1"/>
  <c r="I97" i="9"/>
  <c r="AU95" i="8"/>
  <c r="BP95" i="8" s="1"/>
  <c r="AS96" i="8"/>
  <c r="AT93" i="8"/>
  <c r="BQ93" i="8" l="1"/>
  <c r="BH94" i="8"/>
  <c r="Y94" i="9"/>
  <c r="H99" i="9"/>
  <c r="E99" i="8"/>
  <c r="AE100" i="8"/>
  <c r="G99" i="8"/>
  <c r="AF98" i="8"/>
  <c r="F97" i="9"/>
  <c r="AG97" i="8"/>
  <c r="AH96" i="8"/>
  <c r="AQ39" i="8"/>
  <c r="G96" i="9"/>
  <c r="E96" i="9"/>
  <c r="BS93" i="8"/>
  <c r="BV92" i="8"/>
  <c r="M101" i="9"/>
  <c r="AI102" i="8"/>
  <c r="AS97" i="8"/>
  <c r="AU96" i="8"/>
  <c r="BP96" i="8" s="1"/>
  <c r="BO95" i="8"/>
  <c r="BY95" i="8" s="1"/>
  <c r="BT95" i="8"/>
  <c r="X98" i="8"/>
  <c r="N98" i="9" s="1"/>
  <c r="I98" i="9"/>
  <c r="BR94" i="8"/>
  <c r="BU94" i="8"/>
  <c r="CA94" i="8"/>
  <c r="BX94" i="8"/>
  <c r="BZ94" i="8"/>
  <c r="K99" i="9"/>
  <c r="AJ100" i="8"/>
  <c r="W100" i="8" s="1"/>
  <c r="AK99" i="8"/>
  <c r="AL99" i="8" s="1"/>
  <c r="AV95" i="8"/>
  <c r="BH95" i="8" s="1"/>
  <c r="J98" i="9"/>
  <c r="L98" i="9"/>
  <c r="AT94" i="8"/>
  <c r="Y95" i="9" l="1"/>
  <c r="AH97" i="8"/>
  <c r="AQ40" i="8"/>
  <c r="G97" i="9"/>
  <c r="E97" i="9"/>
  <c r="F98" i="9"/>
  <c r="AG98" i="8"/>
  <c r="AF99" i="8"/>
  <c r="AE101" i="8"/>
  <c r="E100" i="8"/>
  <c r="G100" i="8"/>
  <c r="H100" i="9"/>
  <c r="AV96" i="8"/>
  <c r="BV93" i="8"/>
  <c r="AU97" i="8"/>
  <c r="BP97" i="8" s="1"/>
  <c r="AS98" i="8"/>
  <c r="X99" i="8"/>
  <c r="N99" i="9" s="1"/>
  <c r="I99" i="9"/>
  <c r="BT96" i="8"/>
  <c r="BO96" i="8"/>
  <c r="BY96" i="8" s="1"/>
  <c r="J99" i="9"/>
  <c r="L99" i="9"/>
  <c r="M102" i="9"/>
  <c r="AI103" i="8"/>
  <c r="K100" i="9"/>
  <c r="AJ101" i="8"/>
  <c r="W101" i="8" s="1"/>
  <c r="AK100" i="8"/>
  <c r="AL100" i="8" s="1"/>
  <c r="BR95" i="8"/>
  <c r="BU95" i="8"/>
  <c r="CA95" i="8"/>
  <c r="BX95" i="8"/>
  <c r="BZ95" i="8"/>
  <c r="BQ94" i="8"/>
  <c r="BS94" i="8" s="1"/>
  <c r="AT95" i="8"/>
  <c r="BQ95" i="8" l="1"/>
  <c r="BH96" i="8"/>
  <c r="Y96" i="9"/>
  <c r="AV97" i="8"/>
  <c r="BH97" i="8" s="1"/>
  <c r="G98" i="9"/>
  <c r="E98" i="9"/>
  <c r="G101" i="8"/>
  <c r="H101" i="9"/>
  <c r="AF100" i="8"/>
  <c r="AE102" i="8"/>
  <c r="E101" i="8"/>
  <c r="F99" i="9"/>
  <c r="AG99" i="8"/>
  <c r="AQ41" i="8"/>
  <c r="AH98" i="8"/>
  <c r="BV94" i="8"/>
  <c r="BS95" i="8"/>
  <c r="M103" i="9"/>
  <c r="AI104" i="8"/>
  <c r="M104" i="9" s="1"/>
  <c r="K101" i="9"/>
  <c r="AK101" i="8"/>
  <c r="AL101" i="8" s="1"/>
  <c r="AJ102" i="8"/>
  <c r="W102" i="8" s="1"/>
  <c r="AU98" i="8"/>
  <c r="BP98" i="8" s="1"/>
  <c r="AS99" i="8"/>
  <c r="J100" i="9"/>
  <c r="L100" i="9"/>
  <c r="BR96" i="8"/>
  <c r="BQ96" i="8"/>
  <c r="BU96" i="8"/>
  <c r="BZ96" i="8"/>
  <c r="BX96" i="8"/>
  <c r="CA96" i="8"/>
  <c r="X100" i="8"/>
  <c r="N100" i="9" s="1"/>
  <c r="I100" i="9"/>
  <c r="BO97" i="8"/>
  <c r="BY97" i="8" s="1"/>
  <c r="BT97" i="8"/>
  <c r="AT96" i="8"/>
  <c r="Y97" i="9" l="1"/>
  <c r="AF101" i="8"/>
  <c r="G102" i="8"/>
  <c r="H102" i="9"/>
  <c r="E102" i="8"/>
  <c r="AE103" i="8"/>
  <c r="F100" i="9"/>
  <c r="AG100" i="8"/>
  <c r="G99" i="9"/>
  <c r="E99" i="9"/>
  <c r="AH99" i="8"/>
  <c r="AQ42" i="8"/>
  <c r="BS96" i="8"/>
  <c r="J101" i="9"/>
  <c r="L101" i="9"/>
  <c r="I101" i="9"/>
  <c r="X101" i="8"/>
  <c r="N101" i="9" s="1"/>
  <c r="AJ103" i="8"/>
  <c r="W103" i="8" s="1"/>
  <c r="K102" i="9"/>
  <c r="AK102" i="8"/>
  <c r="AL102" i="8" s="1"/>
  <c r="BV95" i="8"/>
  <c r="AU99" i="8"/>
  <c r="BP99" i="8" s="1"/>
  <c r="AS100" i="8"/>
  <c r="BR97" i="8"/>
  <c r="BU97" i="8"/>
  <c r="BZ97" i="8"/>
  <c r="CA97" i="8"/>
  <c r="BX97" i="8"/>
  <c r="BT98" i="8"/>
  <c r="BO98" i="8"/>
  <c r="BY98" i="8" s="1"/>
  <c r="AV98" i="8"/>
  <c r="BH98" i="8" s="1"/>
  <c r="AT97" i="8"/>
  <c r="Y98" i="9" l="1"/>
  <c r="AV99" i="8"/>
  <c r="E100" i="9"/>
  <c r="G100" i="9"/>
  <c r="H103" i="9"/>
  <c r="G103" i="8"/>
  <c r="AF102" i="8"/>
  <c r="E103" i="8"/>
  <c r="AE104" i="8"/>
  <c r="AQ43" i="8"/>
  <c r="AH100" i="8"/>
  <c r="F101" i="9"/>
  <c r="AG101" i="8"/>
  <c r="BV96" i="8"/>
  <c r="L102" i="9"/>
  <c r="J102" i="9"/>
  <c r="AS101" i="8"/>
  <c r="AU100" i="8"/>
  <c r="BP100" i="8" s="1"/>
  <c r="BR98" i="8"/>
  <c r="BU98" i="8"/>
  <c r="BX98" i="8"/>
  <c r="CA98" i="8"/>
  <c r="BZ98" i="8"/>
  <c r="BT99" i="8"/>
  <c r="BO99" i="8"/>
  <c r="BY99" i="8" s="1"/>
  <c r="K103" i="9"/>
  <c r="AK103" i="8"/>
  <c r="AL103" i="8" s="1"/>
  <c r="AJ104" i="8"/>
  <c r="W104" i="8" s="1"/>
  <c r="I102" i="9"/>
  <c r="X102" i="8"/>
  <c r="N102" i="9" s="1"/>
  <c r="BQ97" i="8"/>
  <c r="BS97" i="8" s="1"/>
  <c r="AT98" i="8"/>
  <c r="BQ98" i="8" l="1"/>
  <c r="BH99" i="8"/>
  <c r="Y99" i="9"/>
  <c r="AV100" i="8"/>
  <c r="G104" i="8"/>
  <c r="AF103" i="8"/>
  <c r="E104" i="8"/>
  <c r="H104" i="9"/>
  <c r="F102" i="9"/>
  <c r="AG102" i="8"/>
  <c r="AH101" i="8"/>
  <c r="AQ44" i="8"/>
  <c r="G101" i="9"/>
  <c r="E101" i="9"/>
  <c r="BV97" i="8"/>
  <c r="BS98" i="8"/>
  <c r="K104" i="9"/>
  <c r="AK104" i="8"/>
  <c r="AL104" i="8" s="1"/>
  <c r="BR99" i="8"/>
  <c r="BU99" i="8"/>
  <c r="CA99" i="8"/>
  <c r="BX99" i="8"/>
  <c r="BZ99" i="8"/>
  <c r="I103" i="9"/>
  <c r="X103" i="8"/>
  <c r="N103" i="9" s="1"/>
  <c r="J103" i="9"/>
  <c r="L103" i="9"/>
  <c r="AU101" i="8"/>
  <c r="BP101" i="8" s="1"/>
  <c r="AS102" i="8"/>
  <c r="BT100" i="8"/>
  <c r="BO100" i="8"/>
  <c r="BY100" i="8" s="1"/>
  <c r="AT99" i="8"/>
  <c r="BQ99" i="8" l="1"/>
  <c r="BH100" i="8"/>
  <c r="Y100" i="9"/>
  <c r="AH102" i="8"/>
  <c r="AQ45" i="8"/>
  <c r="G102" i="9"/>
  <c r="E102" i="9"/>
  <c r="AF104" i="8"/>
  <c r="AG103" i="8"/>
  <c r="F103" i="9"/>
  <c r="BS99" i="8"/>
  <c r="BV98" i="8"/>
  <c r="AS103" i="8"/>
  <c r="AU102" i="8"/>
  <c r="BP102" i="8" s="1"/>
  <c r="BO101" i="8"/>
  <c r="BY101" i="8" s="1"/>
  <c r="BT101" i="8"/>
  <c r="BR100" i="8"/>
  <c r="BU100" i="8"/>
  <c r="CA100" i="8"/>
  <c r="BZ100" i="8"/>
  <c r="BX100" i="8"/>
  <c r="I104" i="9"/>
  <c r="X104" i="8"/>
  <c r="N104" i="9" s="1"/>
  <c r="J104" i="9"/>
  <c r="L104" i="9"/>
  <c r="AV101" i="8"/>
  <c r="BH101" i="8" s="1"/>
  <c r="AT100" i="8"/>
  <c r="Y101" i="9" l="1"/>
  <c r="AV102" i="8"/>
  <c r="G103" i="9"/>
  <c r="E103" i="9"/>
  <c r="AH103" i="8"/>
  <c r="AQ46" i="8"/>
  <c r="F104" i="9"/>
  <c r="AG104" i="8"/>
  <c r="BV99" i="8"/>
  <c r="BQ100" i="8"/>
  <c r="BS100" i="8" s="1"/>
  <c r="BR101" i="8"/>
  <c r="BU101" i="8"/>
  <c r="CA101" i="8"/>
  <c r="BX101" i="8"/>
  <c r="BZ101" i="8"/>
  <c r="BT102" i="8"/>
  <c r="BO102" i="8"/>
  <c r="BY102" i="8" s="1"/>
  <c r="AU103" i="8"/>
  <c r="BP103" i="8" s="1"/>
  <c r="AS104" i="8"/>
  <c r="AT101" i="8"/>
  <c r="BQ101" i="8" l="1"/>
  <c r="BS101" i="8" s="1"/>
  <c r="BH102" i="8"/>
  <c r="Y102" i="9"/>
  <c r="AH104" i="8"/>
  <c r="AQ47" i="8"/>
  <c r="G104" i="9"/>
  <c r="E104" i="9"/>
  <c r="BV100" i="8"/>
  <c r="AU104" i="8"/>
  <c r="BP104" i="8" s="1"/>
  <c r="AS105" i="8"/>
  <c r="BT103" i="8"/>
  <c r="BO103" i="8"/>
  <c r="BY103" i="8" s="1"/>
  <c r="BR102" i="8"/>
  <c r="BU102" i="8"/>
  <c r="CA102" i="8"/>
  <c r="BX102" i="8"/>
  <c r="BZ102" i="8"/>
  <c r="AV103" i="8"/>
  <c r="BH103" i="8" s="1"/>
  <c r="AT102" i="8"/>
  <c r="Y103" i="9" l="1"/>
  <c r="AV104" i="8"/>
  <c r="BV101" i="8"/>
  <c r="BR103" i="8"/>
  <c r="BU103" i="8"/>
  <c r="CA103" i="8"/>
  <c r="BZ103" i="8"/>
  <c r="BX103" i="8"/>
  <c r="BX104" i="8" s="1"/>
  <c r="Z27" i="7" s="1"/>
  <c r="BT104" i="8"/>
  <c r="BO104" i="8"/>
  <c r="BQ102" i="8"/>
  <c r="BS102" i="8" s="1"/>
  <c r="AT103" i="8"/>
  <c r="BQ103" i="8" l="1"/>
  <c r="BH104" i="8"/>
  <c r="Y104" i="9"/>
  <c r="BY104" i="8"/>
  <c r="BS103" i="8"/>
  <c r="BV102" i="8"/>
  <c r="BR104" i="8"/>
  <c r="BQ104" i="8"/>
  <c r="F9" i="7" s="1"/>
  <c r="BU104" i="8"/>
  <c r="BV104" i="8" s="1"/>
  <c r="F6" i="7"/>
  <c r="H11" i="7" a="1"/>
  <c r="H11" i="7" s="1"/>
  <c r="F11" i="7"/>
  <c r="F4" i="7"/>
  <c r="H8" i="7" a="1"/>
  <c r="H8" i="7" s="1"/>
  <c r="P33" i="3" s="1"/>
  <c r="I94" i="3" s="1"/>
  <c r="F3" i="7"/>
  <c r="O7" i="7"/>
  <c r="E11" i="7"/>
  <c r="E8" i="7"/>
  <c r="O4" i="7"/>
  <c r="O9" i="7"/>
  <c r="O11" i="7"/>
  <c r="E10" i="7"/>
  <c r="E6" i="7"/>
  <c r="H7" i="7" a="1"/>
  <c r="H7" i="7" s="1"/>
  <c r="O6" i="7"/>
  <c r="O8" i="7"/>
  <c r="F10" i="7"/>
  <c r="H10" i="7" a="1"/>
  <c r="H10" i="7" s="1"/>
  <c r="O3" i="7"/>
  <c r="H4" i="7" a="1"/>
  <c r="H4" i="7" s="1"/>
  <c r="H6" i="7" a="1"/>
  <c r="H6" i="7" s="1"/>
  <c r="H5" i="7" a="1"/>
  <c r="H5" i="7" s="1"/>
  <c r="O10" i="7"/>
  <c r="E3" i="7"/>
  <c r="O5" i="7"/>
  <c r="F8" i="7"/>
  <c r="H3" i="7" a="1"/>
  <c r="H3" i="7" s="1"/>
  <c r="AT104" i="8"/>
  <c r="Q6" i="7"/>
  <c r="P6" i="7" l="1" a="1"/>
  <c r="P6" i="7" s="1"/>
  <c r="P10" i="7" a="1"/>
  <c r="P10" i="7" s="1"/>
  <c r="F7" i="7"/>
  <c r="F5" i="7"/>
  <c r="P5" i="7" a="1"/>
  <c r="P5" i="7" s="1"/>
  <c r="P4" i="7" a="1"/>
  <c r="P4" i="7" s="1"/>
  <c r="P3" i="7" a="1"/>
  <c r="P3" i="7" s="1"/>
  <c r="P9" i="7" a="1"/>
  <c r="P9" i="7" s="1"/>
  <c r="P7" i="7" a="1"/>
  <c r="P7" i="7" s="1"/>
  <c r="P11" i="7" a="1"/>
  <c r="P11" i="7" s="1"/>
  <c r="P8" i="7" a="1"/>
  <c r="P8" i="7" s="1"/>
  <c r="E7" i="7"/>
  <c r="S7" i="7" s="1"/>
  <c r="C31" i="11"/>
  <c r="H16" i="7"/>
  <c r="I8" i="7"/>
  <c r="K8" i="7" s="1"/>
  <c r="L8" i="7" s="1"/>
  <c r="X8" i="7" s="1"/>
  <c r="H13" i="7"/>
  <c r="R6" i="7"/>
  <c r="E4" i="7"/>
  <c r="S4" i="7" s="1"/>
  <c r="BV103" i="8"/>
  <c r="E9" i="7" s="1"/>
  <c r="S9" i="7" s="1"/>
  <c r="O16" i="7"/>
  <c r="K36" i="3" s="1"/>
  <c r="I7" i="7"/>
  <c r="I4" i="7"/>
  <c r="H17" i="7"/>
  <c r="O15" i="7"/>
  <c r="J36" i="3" s="1"/>
  <c r="BS104" i="8"/>
  <c r="H9" i="7" s="1" a="1"/>
  <c r="H9" i="7" s="1"/>
  <c r="H15" i="7" s="1"/>
  <c r="S3" i="7"/>
  <c r="G3" i="7"/>
  <c r="U3" i="7" s="1"/>
  <c r="F16" i="7"/>
  <c r="I3" i="7"/>
  <c r="K3" i="7" s="1"/>
  <c r="L3" i="7" s="1"/>
  <c r="F13" i="7"/>
  <c r="I6" i="7"/>
  <c r="K6" i="7" s="1"/>
  <c r="L6" i="7" s="1"/>
  <c r="O17" i="7"/>
  <c r="L36" i="3" s="1"/>
  <c r="I10" i="7"/>
  <c r="K10" i="7" s="1"/>
  <c r="L10" i="7" s="1"/>
  <c r="F17" i="7"/>
  <c r="O13" i="7"/>
  <c r="I36" i="3" s="1"/>
  <c r="E17" i="7"/>
  <c r="S10" i="7"/>
  <c r="G10" i="7"/>
  <c r="U10" i="7" s="1"/>
  <c r="G8" i="7"/>
  <c r="U8" i="7" s="1"/>
  <c r="S8" i="7"/>
  <c r="I11" i="7"/>
  <c r="K11" i="7" s="1"/>
  <c r="L11" i="7" s="1"/>
  <c r="G6" i="7"/>
  <c r="U6" i="7" s="1"/>
  <c r="S6" i="7"/>
  <c r="S11" i="7"/>
  <c r="G11" i="7"/>
  <c r="U11" i="7" s="1"/>
  <c r="Q9" i="7"/>
  <c r="Q11" i="7"/>
  <c r="Q3" i="7"/>
  <c r="Q8" i="7"/>
  <c r="Q10" i="7"/>
  <c r="Q7" i="7"/>
  <c r="Q5" i="7"/>
  <c r="Q4" i="7"/>
  <c r="R10" i="7" l="1"/>
  <c r="F15" i="7"/>
  <c r="F19" i="7" s="1"/>
  <c r="I5" i="7"/>
  <c r="E5" i="7"/>
  <c r="S5" i="7" s="1"/>
  <c r="R9" i="7"/>
  <c r="R8" i="7"/>
  <c r="R7" i="7"/>
  <c r="R5" i="7"/>
  <c r="I9" i="7"/>
  <c r="K9" i="7" s="1"/>
  <c r="L9" i="7" s="1"/>
  <c r="X9" i="7" s="1"/>
  <c r="R11" i="7"/>
  <c r="R17" i="7" s="1"/>
  <c r="L38" i="3" s="1"/>
  <c r="F13" i="10" s="1"/>
  <c r="R3" i="7"/>
  <c r="R4" i="7"/>
  <c r="E13" i="7"/>
  <c r="G13" i="7" s="1"/>
  <c r="G7" i="7"/>
  <c r="U7" i="7" s="1"/>
  <c r="V7" i="7" s="1"/>
  <c r="K7" i="7"/>
  <c r="L7" i="7" s="1"/>
  <c r="M7" i="7" s="1"/>
  <c r="Z7" i="7" s="1"/>
  <c r="C11" i="10"/>
  <c r="F11" i="10"/>
  <c r="D11" i="10"/>
  <c r="E11" i="10"/>
  <c r="G9" i="7"/>
  <c r="U9" i="7" s="1"/>
  <c r="V9" i="7" s="1"/>
  <c r="H19" i="7"/>
  <c r="M8" i="7"/>
  <c r="Z8" i="7" s="1"/>
  <c r="G4" i="7"/>
  <c r="U4" i="7" s="1"/>
  <c r="V4" i="7" s="1"/>
  <c r="K4" i="7"/>
  <c r="L4" i="7" s="1"/>
  <c r="E16" i="7"/>
  <c r="I13" i="7"/>
  <c r="I33" i="3"/>
  <c r="M3" i="7"/>
  <c r="X3" i="7"/>
  <c r="L33" i="3"/>
  <c r="I17" i="7"/>
  <c r="K33" i="3"/>
  <c r="I16" i="7"/>
  <c r="W6" i="7"/>
  <c r="V6" i="7"/>
  <c r="V10" i="7"/>
  <c r="W10" i="7"/>
  <c r="W3" i="7"/>
  <c r="V3" i="7"/>
  <c r="M10" i="7"/>
  <c r="X10" i="7"/>
  <c r="W11" i="7"/>
  <c r="V11" i="7"/>
  <c r="W8" i="7"/>
  <c r="V8" i="7"/>
  <c r="G17" i="7"/>
  <c r="S17" i="7"/>
  <c r="L37" i="3" s="1"/>
  <c r="L34" i="3"/>
  <c r="M11" i="7"/>
  <c r="X11" i="7"/>
  <c r="I15" i="7"/>
  <c r="M6" i="7"/>
  <c r="X6" i="7"/>
  <c r="O19" i="7"/>
  <c r="J33" i="3" l="1"/>
  <c r="R13" i="7"/>
  <c r="I38" i="3" s="1"/>
  <c r="C13" i="10" s="1"/>
  <c r="K5" i="7"/>
  <c r="L5" i="7" s="1"/>
  <c r="M5" i="7" s="1"/>
  <c r="R15" i="7"/>
  <c r="J38" i="3" s="1"/>
  <c r="D13" i="10" s="1"/>
  <c r="E15" i="7"/>
  <c r="S15" i="7" s="1"/>
  <c r="J37" i="3" s="1"/>
  <c r="J75" i="3" s="1"/>
  <c r="G5" i="7"/>
  <c r="U5" i="7" s="1"/>
  <c r="W5" i="7" s="1"/>
  <c r="AA7" i="7"/>
  <c r="AB7" i="7" s="1"/>
  <c r="W7" i="7"/>
  <c r="I34" i="3"/>
  <c r="C9" i="10" s="1"/>
  <c r="S13" i="7"/>
  <c r="I37" i="3" s="1"/>
  <c r="C12" i="10" s="1"/>
  <c r="L96" i="3"/>
  <c r="F33" i="11" s="1"/>
  <c r="L97" i="3"/>
  <c r="F34" i="11" s="1"/>
  <c r="R16" i="7"/>
  <c r="K38" i="3" s="1"/>
  <c r="X7" i="7"/>
  <c r="D8" i="10"/>
  <c r="F9" i="10"/>
  <c r="F12" i="10"/>
  <c r="E8" i="10"/>
  <c r="F8" i="10"/>
  <c r="C8" i="10"/>
  <c r="W9" i="7"/>
  <c r="M9" i="7"/>
  <c r="AA9" i="7" s="1"/>
  <c r="AB9" i="7" s="1"/>
  <c r="AA8" i="7"/>
  <c r="AB8" i="7" s="1"/>
  <c r="X5" i="7"/>
  <c r="W4" i="7"/>
  <c r="S16" i="7"/>
  <c r="K37" i="3" s="1"/>
  <c r="K34" i="3"/>
  <c r="G16" i="7"/>
  <c r="K35" i="3" s="1"/>
  <c r="K72" i="3" s="1"/>
  <c r="M4" i="7"/>
  <c r="X4" i="7"/>
  <c r="J29" i="3"/>
  <c r="K17" i="7"/>
  <c r="L17" i="7" s="1"/>
  <c r="L29" i="3"/>
  <c r="L74" i="3"/>
  <c r="L75" i="3"/>
  <c r="AI191" i="7"/>
  <c r="AJ191" i="7" s="1"/>
  <c r="AI179" i="7"/>
  <c r="AJ179" i="7" s="1"/>
  <c r="AI157" i="7"/>
  <c r="AJ157" i="7" s="1"/>
  <c r="AI142" i="7"/>
  <c r="AJ142" i="7" s="1"/>
  <c r="AI140" i="7"/>
  <c r="AJ140" i="7" s="1"/>
  <c r="AI138" i="7"/>
  <c r="AJ138" i="7" s="1"/>
  <c r="AI136" i="7"/>
  <c r="AJ136" i="7" s="1"/>
  <c r="AI134" i="7"/>
  <c r="AJ134" i="7" s="1"/>
  <c r="AI132" i="7"/>
  <c r="AJ132" i="7" s="1"/>
  <c r="AI32" i="7"/>
  <c r="AJ32" i="7" s="1"/>
  <c r="AI195" i="7"/>
  <c r="AJ195" i="7" s="1"/>
  <c r="AI27" i="7"/>
  <c r="AJ27" i="7" s="1"/>
  <c r="AI64" i="7"/>
  <c r="AJ64" i="7" s="1"/>
  <c r="AI173" i="7"/>
  <c r="AJ173" i="7" s="1"/>
  <c r="AI58" i="7"/>
  <c r="AJ58" i="7" s="1"/>
  <c r="AI187" i="7"/>
  <c r="AJ187" i="7" s="1"/>
  <c r="AI169" i="7"/>
  <c r="AJ169" i="7" s="1"/>
  <c r="AI147" i="7"/>
  <c r="AJ147" i="7" s="1"/>
  <c r="AI133" i="7"/>
  <c r="AJ133" i="7" s="1"/>
  <c r="AI128" i="7"/>
  <c r="AJ128" i="7" s="1"/>
  <c r="AI124" i="7"/>
  <c r="AJ124" i="7" s="1"/>
  <c r="AI120" i="7"/>
  <c r="AJ120" i="7" s="1"/>
  <c r="AI116" i="7"/>
  <c r="AJ116" i="7" s="1"/>
  <c r="AI112" i="7"/>
  <c r="AJ112" i="7" s="1"/>
  <c r="AI108" i="7"/>
  <c r="AJ108" i="7" s="1"/>
  <c r="AI104" i="7"/>
  <c r="AJ104" i="7" s="1"/>
  <c r="AI100" i="7"/>
  <c r="AJ100" i="7" s="1"/>
  <c r="AI62" i="7"/>
  <c r="AJ62" i="7" s="1"/>
  <c r="AI46" i="7"/>
  <c r="AJ46" i="7" s="1"/>
  <c r="AI39" i="7"/>
  <c r="AJ39" i="7" s="1"/>
  <c r="AI94" i="7"/>
  <c r="AJ94" i="7" s="1"/>
  <c r="AI76" i="7"/>
  <c r="AJ76" i="7" s="1"/>
  <c r="AI56" i="7"/>
  <c r="AJ56" i="7" s="1"/>
  <c r="AI48" i="7"/>
  <c r="AJ48" i="7" s="1"/>
  <c r="AI41" i="7"/>
  <c r="AJ41" i="7" s="1"/>
  <c r="AI92" i="7"/>
  <c r="AJ92" i="7" s="1"/>
  <c r="AI165" i="7"/>
  <c r="AJ165" i="7" s="1"/>
  <c r="AI159" i="7"/>
  <c r="AJ159" i="7" s="1"/>
  <c r="AI126" i="7"/>
  <c r="AJ126" i="7" s="1"/>
  <c r="AI110" i="7"/>
  <c r="AJ110" i="7" s="1"/>
  <c r="AI88" i="7"/>
  <c r="AJ88" i="7" s="1"/>
  <c r="AI74" i="7"/>
  <c r="AJ74" i="7" s="1"/>
  <c r="AI28" i="7"/>
  <c r="AJ28" i="7" s="1"/>
  <c r="AI26" i="7"/>
  <c r="AJ26" i="7" s="1"/>
  <c r="H36" i="3"/>
  <c r="AI141" i="7"/>
  <c r="AJ141" i="7" s="1"/>
  <c r="AI78" i="7"/>
  <c r="AJ78" i="7" s="1"/>
  <c r="AI153" i="7"/>
  <c r="AJ153" i="7" s="1"/>
  <c r="AI143" i="7"/>
  <c r="AJ143" i="7" s="1"/>
  <c r="AI86" i="7"/>
  <c r="AJ86" i="7" s="1"/>
  <c r="AI68" i="7"/>
  <c r="AJ68" i="7" s="1"/>
  <c r="AI67" i="7"/>
  <c r="AJ67" i="7" s="1"/>
  <c r="AI66" i="7"/>
  <c r="AJ66" i="7" s="1"/>
  <c r="AI57" i="7"/>
  <c r="AJ57" i="7" s="1"/>
  <c r="AI47" i="7"/>
  <c r="AJ47" i="7" s="1"/>
  <c r="AI30" i="7"/>
  <c r="AJ30" i="7" s="1"/>
  <c r="AI203" i="7"/>
  <c r="AJ203" i="7" s="1"/>
  <c r="AI149" i="7"/>
  <c r="AJ149" i="7" s="1"/>
  <c r="AI118" i="7"/>
  <c r="AJ118" i="7" s="1"/>
  <c r="AI122" i="7"/>
  <c r="AJ122" i="7" s="1"/>
  <c r="AI106" i="7"/>
  <c r="AJ106" i="7" s="1"/>
  <c r="AI80" i="7"/>
  <c r="AJ80" i="7" s="1"/>
  <c r="AI52" i="7"/>
  <c r="AJ52" i="7" s="1"/>
  <c r="AI45" i="7"/>
  <c r="AJ45" i="7" s="1"/>
  <c r="AI37" i="7"/>
  <c r="AJ37" i="7" s="1"/>
  <c r="AI189" i="7"/>
  <c r="AJ189" i="7" s="1"/>
  <c r="AI175" i="7"/>
  <c r="AJ175" i="7" s="1"/>
  <c r="AI114" i="7"/>
  <c r="AJ114" i="7" s="1"/>
  <c r="AI60" i="7"/>
  <c r="AJ60" i="7" s="1"/>
  <c r="AI33" i="7"/>
  <c r="AJ33" i="7" s="1"/>
  <c r="AI102" i="7"/>
  <c r="AJ102" i="7" s="1"/>
  <c r="AI53" i="7"/>
  <c r="AJ53" i="7" s="1"/>
  <c r="AI51" i="7"/>
  <c r="AJ51" i="7" s="1"/>
  <c r="AI50" i="7"/>
  <c r="AJ50" i="7" s="1"/>
  <c r="AI130" i="7"/>
  <c r="AJ130" i="7" s="1"/>
  <c r="AI96" i="7"/>
  <c r="AJ96" i="7" s="1"/>
  <c r="AI183" i="7"/>
  <c r="AJ183" i="7" s="1"/>
  <c r="AI90" i="7"/>
  <c r="AJ90" i="7" s="1"/>
  <c r="AI70" i="7"/>
  <c r="AJ70" i="7" s="1"/>
  <c r="AI84" i="7"/>
  <c r="AJ84" i="7" s="1"/>
  <c r="AI12" i="7"/>
  <c r="AJ12" i="7" s="1"/>
  <c r="AI6" i="7"/>
  <c r="AJ6" i="7" s="1"/>
  <c r="AI82" i="7"/>
  <c r="AJ82" i="7" s="1"/>
  <c r="AI72" i="7"/>
  <c r="AJ72" i="7" s="1"/>
  <c r="AI23" i="7"/>
  <c r="AJ23" i="7" s="1"/>
  <c r="AI54" i="7"/>
  <c r="AJ54" i="7" s="1"/>
  <c r="AI9" i="7"/>
  <c r="AJ9" i="7" s="1"/>
  <c r="AI98" i="7"/>
  <c r="AJ98" i="7" s="1"/>
  <c r="AI55" i="7"/>
  <c r="AJ55" i="7" s="1"/>
  <c r="AI43" i="7"/>
  <c r="AJ43" i="7" s="1"/>
  <c r="AI93" i="7"/>
  <c r="AJ93" i="7" s="1"/>
  <c r="AI81" i="7"/>
  <c r="AJ81" i="7" s="1"/>
  <c r="AI125" i="7"/>
  <c r="AJ125" i="7" s="1"/>
  <c r="AI85" i="7"/>
  <c r="AJ85" i="7" s="1"/>
  <c r="AI135" i="7"/>
  <c r="AJ135" i="7" s="1"/>
  <c r="AI75" i="7"/>
  <c r="AJ75" i="7" s="1"/>
  <c r="AI107" i="7"/>
  <c r="AJ107" i="7" s="1"/>
  <c r="AI193" i="7"/>
  <c r="AJ193" i="7" s="1"/>
  <c r="AI184" i="7"/>
  <c r="AJ184" i="7" s="1"/>
  <c r="AI155" i="7"/>
  <c r="AJ155" i="7" s="1"/>
  <c r="AI119" i="7"/>
  <c r="AJ119" i="7" s="1"/>
  <c r="AI158" i="7"/>
  <c r="AJ158" i="7" s="1"/>
  <c r="AI176" i="7"/>
  <c r="AJ176" i="7" s="1"/>
  <c r="AI131" i="7"/>
  <c r="AJ131" i="7" s="1"/>
  <c r="AI16" i="7"/>
  <c r="AJ16" i="7" s="1"/>
  <c r="AI199" i="7"/>
  <c r="AJ199" i="7" s="1"/>
  <c r="AI15" i="7"/>
  <c r="AJ15" i="7" s="1"/>
  <c r="AI8" i="7"/>
  <c r="AJ8" i="7" s="1"/>
  <c r="AI152" i="7"/>
  <c r="AJ152" i="7" s="1"/>
  <c r="AI123" i="7"/>
  <c r="AJ123" i="7" s="1"/>
  <c r="AI180" i="7"/>
  <c r="AJ180" i="7" s="1"/>
  <c r="AI31" i="7"/>
  <c r="AJ31" i="7" s="1"/>
  <c r="AI38" i="7"/>
  <c r="AJ38" i="7" s="1"/>
  <c r="AI19" i="7"/>
  <c r="AJ19" i="7" s="1"/>
  <c r="AI3" i="7"/>
  <c r="AI65" i="7"/>
  <c r="AJ65" i="7" s="1"/>
  <c r="AI71" i="7"/>
  <c r="AJ71" i="7" s="1"/>
  <c r="AI190" i="7"/>
  <c r="AJ190" i="7" s="1"/>
  <c r="AI115" i="7"/>
  <c r="AJ115" i="7" s="1"/>
  <c r="AI151" i="7"/>
  <c r="AJ151" i="7" s="1"/>
  <c r="AI21" i="7"/>
  <c r="AJ21" i="7" s="1"/>
  <c r="AI172" i="7"/>
  <c r="AJ172" i="7" s="1"/>
  <c r="AI154" i="7"/>
  <c r="AJ154" i="7" s="1"/>
  <c r="AI200" i="7"/>
  <c r="AJ200" i="7" s="1"/>
  <c r="AI198" i="7"/>
  <c r="AJ198" i="7" s="1"/>
  <c r="AI146" i="7"/>
  <c r="AJ146" i="7" s="1"/>
  <c r="AI185" i="7"/>
  <c r="AJ185" i="7" s="1"/>
  <c r="AI156" i="7"/>
  <c r="AJ156" i="7" s="1"/>
  <c r="AI42" i="7"/>
  <c r="AJ42" i="7" s="1"/>
  <c r="AI73" i="7"/>
  <c r="AJ73" i="7" s="1"/>
  <c r="AI40" i="7"/>
  <c r="AJ40" i="7" s="1"/>
  <c r="AI35" i="7"/>
  <c r="AJ35" i="7" s="1"/>
  <c r="AI129" i="7"/>
  <c r="AJ129" i="7" s="1"/>
  <c r="AI196" i="7"/>
  <c r="AJ196" i="7" s="1"/>
  <c r="AI87" i="7"/>
  <c r="AJ87" i="7" s="1"/>
  <c r="AI174" i="7"/>
  <c r="AJ174" i="7" s="1"/>
  <c r="AI150" i="7"/>
  <c r="AJ150" i="7" s="1"/>
  <c r="AI99" i="7"/>
  <c r="AJ99" i="7" s="1"/>
  <c r="AI194" i="7"/>
  <c r="AJ194" i="7" s="1"/>
  <c r="AI11" i="7"/>
  <c r="AJ11" i="7" s="1"/>
  <c r="AI121" i="7"/>
  <c r="AJ121" i="7" s="1"/>
  <c r="AI109" i="7"/>
  <c r="AJ109" i="7" s="1"/>
  <c r="AI29" i="7"/>
  <c r="AJ29" i="7" s="1"/>
  <c r="AI59" i="7"/>
  <c r="AJ59" i="7" s="1"/>
  <c r="AI34" i="7"/>
  <c r="AJ34" i="7" s="1"/>
  <c r="AI144" i="7"/>
  <c r="AJ144" i="7" s="1"/>
  <c r="AI18" i="7"/>
  <c r="AJ18" i="7" s="1"/>
  <c r="AI171" i="7"/>
  <c r="AJ171" i="7" s="1"/>
  <c r="AI145" i="7"/>
  <c r="AJ145" i="7" s="1"/>
  <c r="AI162" i="7"/>
  <c r="AJ162" i="7" s="1"/>
  <c r="AI186" i="7"/>
  <c r="AJ186" i="7" s="1"/>
  <c r="AI36" i="7"/>
  <c r="AJ36" i="7" s="1"/>
  <c r="AI13" i="7"/>
  <c r="AJ13" i="7" s="1"/>
  <c r="AI91" i="7"/>
  <c r="AJ91" i="7" s="1"/>
  <c r="AI63" i="7"/>
  <c r="AJ63" i="7" s="1"/>
  <c r="AI97" i="7"/>
  <c r="AJ97" i="7" s="1"/>
  <c r="AI101" i="7"/>
  <c r="AJ101" i="7" s="1"/>
  <c r="AI201" i="7"/>
  <c r="AJ201" i="7" s="1"/>
  <c r="AI25" i="7"/>
  <c r="AJ25" i="7" s="1"/>
  <c r="AI89" i="7"/>
  <c r="AJ89" i="7" s="1"/>
  <c r="AI83" i="7"/>
  <c r="AJ83" i="7" s="1"/>
  <c r="AI202" i="7"/>
  <c r="AJ202" i="7" s="1"/>
  <c r="AI170" i="7"/>
  <c r="AJ170" i="7" s="1"/>
  <c r="AI10" i="7"/>
  <c r="AJ10" i="7" s="1"/>
  <c r="AI17" i="7"/>
  <c r="AJ17" i="7" s="1"/>
  <c r="AI24" i="7"/>
  <c r="AJ24" i="7" s="1"/>
  <c r="AI148" i="7"/>
  <c r="AJ148" i="7" s="1"/>
  <c r="AI167" i="7"/>
  <c r="AJ167" i="7" s="1"/>
  <c r="AI20" i="7"/>
  <c r="AJ20" i="7" s="1"/>
  <c r="AI4" i="7"/>
  <c r="AJ4" i="7" s="1"/>
  <c r="AI178" i="7"/>
  <c r="AJ178" i="7" s="1"/>
  <c r="AI49" i="7"/>
  <c r="AJ49" i="7" s="1"/>
  <c r="AI7" i="7"/>
  <c r="AJ7" i="7" s="1"/>
  <c r="AI113" i="7"/>
  <c r="AJ113" i="7" s="1"/>
  <c r="AI168" i="7"/>
  <c r="AJ168" i="7" s="1"/>
  <c r="AI69" i="7"/>
  <c r="AJ69" i="7" s="1"/>
  <c r="AI117" i="7"/>
  <c r="AJ117" i="7" s="1"/>
  <c r="AI163" i="7"/>
  <c r="AJ163" i="7" s="1"/>
  <c r="AI164" i="7"/>
  <c r="AJ164" i="7" s="1"/>
  <c r="AI204" i="7"/>
  <c r="AJ204" i="7" s="1"/>
  <c r="AI79" i="7"/>
  <c r="AJ79" i="7" s="1"/>
  <c r="AI111" i="7"/>
  <c r="AJ111" i="7" s="1"/>
  <c r="AI161" i="7"/>
  <c r="AJ161" i="7" s="1"/>
  <c r="AI14" i="7"/>
  <c r="AJ14" i="7" s="1"/>
  <c r="AI192" i="7"/>
  <c r="AJ192" i="7" s="1"/>
  <c r="AI177" i="7"/>
  <c r="AJ177" i="7" s="1"/>
  <c r="AI188" i="7"/>
  <c r="AJ188" i="7" s="1"/>
  <c r="AI182" i="7"/>
  <c r="AJ182" i="7" s="1"/>
  <c r="AI166" i="7"/>
  <c r="AJ166" i="7" s="1"/>
  <c r="AI22" i="7"/>
  <c r="AJ22" i="7" s="1"/>
  <c r="AI5" i="7"/>
  <c r="AJ5" i="7" s="1"/>
  <c r="AI137" i="7"/>
  <c r="AJ137" i="7" s="1"/>
  <c r="AI44" i="7"/>
  <c r="AJ44" i="7" s="1"/>
  <c r="AI139" i="7"/>
  <c r="AJ139" i="7" s="1"/>
  <c r="AI181" i="7"/>
  <c r="AJ181" i="7" s="1"/>
  <c r="AI103" i="7"/>
  <c r="AJ103" i="7" s="1"/>
  <c r="AI77" i="7"/>
  <c r="AJ77" i="7" s="1"/>
  <c r="AI105" i="7"/>
  <c r="AJ105" i="7" s="1"/>
  <c r="AI160" i="7"/>
  <c r="AJ160" i="7" s="1"/>
  <c r="AI61" i="7"/>
  <c r="AJ61" i="7" s="1"/>
  <c r="AI95" i="7"/>
  <c r="AJ95" i="7" s="1"/>
  <c r="AI127" i="7"/>
  <c r="AJ127" i="7" s="1"/>
  <c r="AI197" i="7"/>
  <c r="AJ197" i="7" s="1"/>
  <c r="AA3" i="7"/>
  <c r="AB3" i="7" s="1"/>
  <c r="Z3" i="7"/>
  <c r="AA10" i="7"/>
  <c r="AB10" i="7" s="1"/>
  <c r="Z10" i="7"/>
  <c r="AA11" i="7"/>
  <c r="AB11" i="7" s="1"/>
  <c r="Z11" i="7"/>
  <c r="K13" i="7"/>
  <c r="L13" i="7" s="1"/>
  <c r="I29" i="3"/>
  <c r="U17" i="7"/>
  <c r="L35" i="3"/>
  <c r="L72" i="3" s="1"/>
  <c r="U13" i="7"/>
  <c r="I35" i="3"/>
  <c r="I72" i="3" s="1"/>
  <c r="Z6" i="7"/>
  <c r="AA6" i="7"/>
  <c r="AB6" i="7" s="1"/>
  <c r="I19" i="7"/>
  <c r="H29" i="3" s="1"/>
  <c r="H33" i="3"/>
  <c r="K16" i="7"/>
  <c r="L16" i="7" s="1"/>
  <c r="K29" i="3"/>
  <c r="Z5" i="7"/>
  <c r="AA5" i="7"/>
  <c r="AB5" i="7" s="1"/>
  <c r="J96" i="3" l="1"/>
  <c r="J97" i="3"/>
  <c r="D34" i="11" s="1"/>
  <c r="V5" i="7"/>
  <c r="D12" i="10"/>
  <c r="H50" i="3"/>
  <c r="I96" i="3"/>
  <c r="C33" i="11" s="1"/>
  <c r="I97" i="3"/>
  <c r="C34" i="11" s="1"/>
  <c r="K15" i="7"/>
  <c r="L15" i="7" s="1"/>
  <c r="J74" i="3"/>
  <c r="D9" i="11" s="1"/>
  <c r="G15" i="7"/>
  <c r="U15" i="7" s="1"/>
  <c r="W15" i="7" s="1"/>
  <c r="J34" i="3"/>
  <c r="D9" i="10" s="1"/>
  <c r="E19" i="7"/>
  <c r="S19" i="7" s="1"/>
  <c r="H37" i="3" s="1"/>
  <c r="B12" i="10" s="1"/>
  <c r="I75" i="3"/>
  <c r="C10" i="11" s="1"/>
  <c r="I74" i="3"/>
  <c r="C9" i="11" s="1"/>
  <c r="E13" i="10"/>
  <c r="K97" i="3"/>
  <c r="E34" i="11" s="1"/>
  <c r="K96" i="3"/>
  <c r="E33" i="11" s="1"/>
  <c r="R19" i="7"/>
  <c r="H38" i="3" s="1"/>
  <c r="Z9" i="7"/>
  <c r="E4" i="10"/>
  <c r="B8" i="10"/>
  <c r="B4" i="10"/>
  <c r="C4" i="10"/>
  <c r="B11" i="10"/>
  <c r="F10" i="11"/>
  <c r="F9" i="11"/>
  <c r="D10" i="11"/>
  <c r="F4" i="10"/>
  <c r="D4" i="10"/>
  <c r="D33" i="11"/>
  <c r="E9" i="10"/>
  <c r="E10" i="10"/>
  <c r="F10" i="10"/>
  <c r="K75" i="3"/>
  <c r="E12" i="10"/>
  <c r="C10" i="10"/>
  <c r="K74" i="3"/>
  <c r="U16" i="7"/>
  <c r="K40" i="3" s="1"/>
  <c r="AA4" i="7"/>
  <c r="AB4" i="7" s="1"/>
  <c r="Z4" i="7"/>
  <c r="AJ3" i="7"/>
  <c r="AK3" i="7" s="1"/>
  <c r="AY3" i="7"/>
  <c r="M17" i="7"/>
  <c r="L28" i="3"/>
  <c r="X17" i="7"/>
  <c r="L42" i="3" s="1"/>
  <c r="W17" i="7"/>
  <c r="L40" i="3"/>
  <c r="V17" i="7"/>
  <c r="M16" i="7"/>
  <c r="K28" i="3"/>
  <c r="X16" i="7"/>
  <c r="K42" i="3" s="1"/>
  <c r="M13" i="7"/>
  <c r="I28" i="3"/>
  <c r="X13" i="7"/>
  <c r="I42" i="3" s="1"/>
  <c r="W13" i="7"/>
  <c r="V13" i="7"/>
  <c r="I40" i="3"/>
  <c r="K77" i="3"/>
  <c r="I77" i="3"/>
  <c r="L77" i="3"/>
  <c r="K76" i="3"/>
  <c r="L76" i="3"/>
  <c r="I76" i="3"/>
  <c r="AL3" i="7"/>
  <c r="K19" i="7" l="1"/>
  <c r="L19" i="7" s="1"/>
  <c r="V15" i="7"/>
  <c r="J35" i="3"/>
  <c r="J72" i="3" s="1"/>
  <c r="J40" i="3"/>
  <c r="J71" i="3" s="1"/>
  <c r="H74" i="3"/>
  <c r="B9" i="11" s="1"/>
  <c r="H75" i="3"/>
  <c r="B10" i="11" s="1"/>
  <c r="H34" i="3"/>
  <c r="B9" i="10" s="1"/>
  <c r="G19" i="7"/>
  <c r="H35" i="3" s="1"/>
  <c r="H72" i="3" s="1"/>
  <c r="B13" i="10"/>
  <c r="H97" i="3"/>
  <c r="B34" i="11" s="1"/>
  <c r="H96" i="3"/>
  <c r="B33" i="11" s="1"/>
  <c r="F12" i="11"/>
  <c r="F11" i="11"/>
  <c r="E11" i="11"/>
  <c r="C11" i="11"/>
  <c r="C12" i="11"/>
  <c r="E12" i="11"/>
  <c r="V16" i="7"/>
  <c r="W16" i="7"/>
  <c r="C17" i="10"/>
  <c r="C3" i="10"/>
  <c r="E17" i="10"/>
  <c r="E3" i="10"/>
  <c r="D7" i="11"/>
  <c r="F17" i="10"/>
  <c r="F3" i="10"/>
  <c r="E9" i="11"/>
  <c r="C7" i="11"/>
  <c r="E10" i="11"/>
  <c r="F7" i="11"/>
  <c r="E7" i="11"/>
  <c r="C15" i="10"/>
  <c r="I71" i="3"/>
  <c r="E15" i="10"/>
  <c r="K71" i="3"/>
  <c r="D15" i="10"/>
  <c r="F15" i="10"/>
  <c r="L71" i="3"/>
  <c r="AM3" i="7"/>
  <c r="M15" i="7"/>
  <c r="J28" i="3"/>
  <c r="X15" i="7"/>
  <c r="J42" i="3" s="1"/>
  <c r="Z13" i="7"/>
  <c r="I44" i="3" s="1"/>
  <c r="AA13" i="7"/>
  <c r="I30" i="3"/>
  <c r="AA16" i="7"/>
  <c r="Z16" i="7"/>
  <c r="K44" i="3" s="1"/>
  <c r="K30" i="3"/>
  <c r="L103" i="3"/>
  <c r="L73" i="3"/>
  <c r="AA17" i="7"/>
  <c r="L30" i="3"/>
  <c r="Z17" i="7"/>
  <c r="L44" i="3" s="1"/>
  <c r="I73" i="3"/>
  <c r="I103" i="3"/>
  <c r="K103" i="3"/>
  <c r="K73" i="3"/>
  <c r="H28" i="3"/>
  <c r="M19" i="7"/>
  <c r="X19" i="7"/>
  <c r="H42" i="3" s="1"/>
  <c r="AD5" i="9"/>
  <c r="AF5" i="9"/>
  <c r="AB5" i="9"/>
  <c r="AF3" i="7"/>
  <c r="AE3" i="7"/>
  <c r="AR3" i="7"/>
  <c r="AQ3" i="7" s="1"/>
  <c r="AK4" i="7"/>
  <c r="J77" i="3"/>
  <c r="K104" i="3"/>
  <c r="L104" i="3"/>
  <c r="J76" i="3"/>
  <c r="I104" i="3"/>
  <c r="AL4" i="7"/>
  <c r="J73" i="3" l="1"/>
  <c r="H130" i="3"/>
  <c r="H129" i="3"/>
  <c r="H140" i="3" s="1"/>
  <c r="J103" i="3"/>
  <c r="H131" i="3"/>
  <c r="D10" i="10"/>
  <c r="D11" i="11"/>
  <c r="D12" i="11"/>
  <c r="B10" i="10"/>
  <c r="U19" i="7"/>
  <c r="H40" i="3" s="1"/>
  <c r="B15" i="10" s="1"/>
  <c r="H146" i="3"/>
  <c r="H148" i="3" s="1"/>
  <c r="H150" i="3" s="1"/>
  <c r="B17" i="10"/>
  <c r="B3" i="10"/>
  <c r="E8" i="11"/>
  <c r="C8" i="11"/>
  <c r="F19" i="10"/>
  <c r="F8" i="11"/>
  <c r="D8" i="11"/>
  <c r="E19" i="10"/>
  <c r="C19" i="10"/>
  <c r="D17" i="10"/>
  <c r="D3" i="10"/>
  <c r="B7" i="11"/>
  <c r="F5" i="11"/>
  <c r="D5" i="11"/>
  <c r="E5" i="11"/>
  <c r="C5" i="11"/>
  <c r="F5" i="10"/>
  <c r="L80" i="3"/>
  <c r="E5" i="10"/>
  <c r="K80" i="3"/>
  <c r="C5" i="10"/>
  <c r="I80" i="3"/>
  <c r="AM4" i="7"/>
  <c r="BB3" i="7"/>
  <c r="BC3" i="7"/>
  <c r="K45" i="3"/>
  <c r="AB16" i="7"/>
  <c r="K46" i="3" s="1"/>
  <c r="AB6" i="9"/>
  <c r="AD6" i="9"/>
  <c r="AF6" i="9"/>
  <c r="AF4" i="7"/>
  <c r="AE4" i="7"/>
  <c r="AK5" i="7"/>
  <c r="AR4" i="7"/>
  <c r="Z19" i="7"/>
  <c r="H44" i="3" s="1"/>
  <c r="H30" i="3"/>
  <c r="AA19" i="7"/>
  <c r="AB13" i="7"/>
  <c r="I46" i="3" s="1"/>
  <c r="I45" i="3"/>
  <c r="I83" i="3"/>
  <c r="I82" i="3"/>
  <c r="I81" i="3"/>
  <c r="BG3" i="7"/>
  <c r="BH3" i="7"/>
  <c r="BI3" i="7"/>
  <c r="L82" i="3"/>
  <c r="L83" i="3"/>
  <c r="L81" i="3"/>
  <c r="AB17" i="7"/>
  <c r="L46" i="3" s="1"/>
  <c r="L45" i="3"/>
  <c r="K83" i="3"/>
  <c r="K82" i="3"/>
  <c r="K81" i="3"/>
  <c r="AA15" i="7"/>
  <c r="Z15" i="7"/>
  <c r="J44" i="3" s="1"/>
  <c r="J30" i="3"/>
  <c r="H76" i="3"/>
  <c r="J104" i="3"/>
  <c r="H77" i="3"/>
  <c r="H136" i="3"/>
  <c r="AL5" i="7"/>
  <c r="H137" i="3" l="1"/>
  <c r="H145" i="3"/>
  <c r="H147" i="3" s="1"/>
  <c r="H149" i="3" s="1"/>
  <c r="H133" i="3"/>
  <c r="W19" i="7"/>
  <c r="H103" i="3"/>
  <c r="H73" i="3"/>
  <c r="B8" i="11" s="1"/>
  <c r="H71" i="3"/>
  <c r="B5" i="11" s="1"/>
  <c r="V19" i="7"/>
  <c r="B12" i="11"/>
  <c r="B11" i="11"/>
  <c r="D19" i="10"/>
  <c r="E17" i="11"/>
  <c r="E18" i="11"/>
  <c r="E19" i="11"/>
  <c r="F20" i="10"/>
  <c r="F21" i="10"/>
  <c r="F17" i="11"/>
  <c r="F19" i="11"/>
  <c r="F18" i="11"/>
  <c r="C17" i="11"/>
  <c r="C18" i="11"/>
  <c r="C19" i="11"/>
  <c r="C20" i="10"/>
  <c r="C21" i="10"/>
  <c r="B19" i="10"/>
  <c r="E21" i="10"/>
  <c r="E20" i="10"/>
  <c r="C15" i="11"/>
  <c r="E15" i="11"/>
  <c r="F15" i="11"/>
  <c r="D5" i="10"/>
  <c r="J80" i="3"/>
  <c r="B5" i="10"/>
  <c r="H80" i="3"/>
  <c r="AM5" i="7"/>
  <c r="BC4" i="7"/>
  <c r="BB4" i="7"/>
  <c r="AN4" i="7"/>
  <c r="AO4" i="7"/>
  <c r="AD7" i="9"/>
  <c r="AB7" i="9"/>
  <c r="AF7" i="9"/>
  <c r="AF5" i="7"/>
  <c r="AE5" i="7"/>
  <c r="AR5" i="7"/>
  <c r="AK6" i="7"/>
  <c r="AB19" i="7"/>
  <c r="H46" i="3" s="1"/>
  <c r="H45" i="3"/>
  <c r="BH4" i="7"/>
  <c r="BN4" i="7"/>
  <c r="BK4" i="7"/>
  <c r="H83" i="3"/>
  <c r="H81" i="3"/>
  <c r="H82" i="3"/>
  <c r="J45" i="3"/>
  <c r="AB15" i="7"/>
  <c r="J46" i="3" s="1"/>
  <c r="J81" i="3"/>
  <c r="J83" i="3"/>
  <c r="J82" i="3"/>
  <c r="H104" i="3"/>
  <c r="AL6" i="7"/>
  <c r="H134" i="3"/>
  <c r="D18" i="11" l="1"/>
  <c r="D19" i="11"/>
  <c r="D17" i="11"/>
  <c r="D21" i="10"/>
  <c r="D20" i="10"/>
  <c r="B18" i="11"/>
  <c r="B17" i="11"/>
  <c r="B19" i="11"/>
  <c r="B20" i="10"/>
  <c r="B21" i="10"/>
  <c r="B15" i="11"/>
  <c r="D15" i="11"/>
  <c r="AM6" i="7"/>
  <c r="BC5" i="7"/>
  <c r="BB5" i="7"/>
  <c r="BK5" i="7"/>
  <c r="BN5" i="7"/>
  <c r="BH5" i="7"/>
  <c r="AB8" i="9"/>
  <c r="AD8" i="9"/>
  <c r="AF6" i="7"/>
  <c r="AF8" i="9"/>
  <c r="AE6" i="7"/>
  <c r="AR6" i="7"/>
  <c r="AK7" i="7"/>
  <c r="AQ4" i="7"/>
  <c r="AT4" i="7"/>
  <c r="AU4" i="7" s="1"/>
  <c r="AY4" i="7"/>
  <c r="AN5" i="7"/>
  <c r="AO5" i="7"/>
  <c r="AP3" i="7"/>
  <c r="AL7" i="7"/>
  <c r="BO3" i="7" l="1"/>
  <c r="BN3" i="7"/>
  <c r="AV4" i="7"/>
  <c r="BI4" i="7" s="1"/>
  <c r="AM7" i="7"/>
  <c r="BC6" i="7"/>
  <c r="BB6" i="7"/>
  <c r="AW3" i="7"/>
  <c r="AZ3" i="7"/>
  <c r="BF3" i="7" s="1"/>
  <c r="AG5" i="9" s="1"/>
  <c r="BM3" i="7"/>
  <c r="BK6" i="7"/>
  <c r="BH6" i="7"/>
  <c r="BN6" i="7"/>
  <c r="AY5" i="7"/>
  <c r="AN6" i="7"/>
  <c r="AO6" i="7"/>
  <c r="AP4" i="7"/>
  <c r="BO4" i="7" s="1"/>
  <c r="AT5" i="7"/>
  <c r="AU5" i="7" s="1"/>
  <c r="AQ5" i="7"/>
  <c r="AD9" i="9"/>
  <c r="AB9" i="9"/>
  <c r="AF9" i="9"/>
  <c r="AF7" i="7"/>
  <c r="AR7" i="7"/>
  <c r="AE7" i="7"/>
  <c r="AK8" i="7"/>
  <c r="BD3" i="7"/>
  <c r="BE3" i="7"/>
  <c r="AL8" i="7"/>
  <c r="BG4" i="7" l="1"/>
  <c r="BL3" i="7"/>
  <c r="BK3" i="7"/>
  <c r="AC6" i="9"/>
  <c r="AV5" i="7"/>
  <c r="BI5" i="7" s="1"/>
  <c r="AM8" i="7"/>
  <c r="BC7" i="7"/>
  <c r="BB7" i="7"/>
  <c r="AF10" i="9"/>
  <c r="AD10" i="9"/>
  <c r="AB10" i="9"/>
  <c r="AF8" i="7"/>
  <c r="AE8" i="7"/>
  <c r="AR8" i="7"/>
  <c r="AK9" i="7"/>
  <c r="AT6" i="7"/>
  <c r="AU6" i="7" s="1"/>
  <c r="AQ6" i="7"/>
  <c r="AW4" i="7"/>
  <c r="BL4" i="7" s="1"/>
  <c r="AZ4" i="7"/>
  <c r="BF4" i="7" s="1"/>
  <c r="AG6" i="9" s="1"/>
  <c r="BM4" i="7"/>
  <c r="BN7" i="7"/>
  <c r="BK7" i="7"/>
  <c r="BH7" i="7"/>
  <c r="AY6" i="7"/>
  <c r="AO7" i="7"/>
  <c r="AN7" i="7"/>
  <c r="AP5" i="7"/>
  <c r="BO5" i="7" s="1"/>
  <c r="AE5" i="9"/>
  <c r="BA3" i="7"/>
  <c r="BJ3" i="7"/>
  <c r="BE4" i="7"/>
  <c r="AL9" i="7"/>
  <c r="BD4" i="7"/>
  <c r="BG5" i="7" l="1"/>
  <c r="AC7" i="9"/>
  <c r="AV6" i="7"/>
  <c r="BI6" i="7" s="1"/>
  <c r="AM9" i="7"/>
  <c r="BB8" i="7"/>
  <c r="BC8" i="7"/>
  <c r="AY7" i="7"/>
  <c r="AN8" i="7"/>
  <c r="AO8" i="7"/>
  <c r="AP6" i="7"/>
  <c r="BO6" i="7" s="1"/>
  <c r="AE6" i="9"/>
  <c r="BA4" i="7"/>
  <c r="BJ4" i="7"/>
  <c r="BG6" i="7"/>
  <c r="AQ7" i="7"/>
  <c r="AT7" i="7"/>
  <c r="AU7" i="7" s="1"/>
  <c r="AW5" i="7"/>
  <c r="BL5" i="7" s="1"/>
  <c r="AZ5" i="7"/>
  <c r="BF5" i="7" s="1"/>
  <c r="AG7" i="9" s="1"/>
  <c r="BM5" i="7"/>
  <c r="BH8" i="7"/>
  <c r="BK8" i="7"/>
  <c r="BN8" i="7"/>
  <c r="AF11" i="9"/>
  <c r="AB11" i="9"/>
  <c r="AD11" i="9"/>
  <c r="AF9" i="7"/>
  <c r="AK10" i="7"/>
  <c r="AE9" i="7"/>
  <c r="AR9" i="7"/>
  <c r="BD5" i="7"/>
  <c r="AL10" i="7"/>
  <c r="BE5" i="7"/>
  <c r="AC8" i="9" l="1"/>
  <c r="AV7" i="7"/>
  <c r="BI7" i="7" s="1"/>
  <c r="AM10" i="7"/>
  <c r="BC9" i="7"/>
  <c r="BB9" i="7"/>
  <c r="BK9" i="7"/>
  <c r="BN9" i="7"/>
  <c r="BH9" i="7"/>
  <c r="AE7" i="9"/>
  <c r="BA5" i="7"/>
  <c r="BJ5" i="7"/>
  <c r="AQ8" i="7"/>
  <c r="AT8" i="7"/>
  <c r="AU8" i="7" s="1"/>
  <c r="AV8" i="7" s="1"/>
  <c r="AY8" i="7"/>
  <c r="AO9" i="7"/>
  <c r="AN9" i="7"/>
  <c r="AP7" i="7"/>
  <c r="BO7" i="7" s="1"/>
  <c r="BG7" i="7"/>
  <c r="AD12" i="9"/>
  <c r="AF12" i="9"/>
  <c r="AF10" i="7"/>
  <c r="AB12" i="9"/>
  <c r="AE10" i="7"/>
  <c r="AR10" i="7"/>
  <c r="AK11" i="7"/>
  <c r="AW6" i="7"/>
  <c r="BL6" i="7" s="1"/>
  <c r="AZ6" i="7"/>
  <c r="BF6" i="7" s="1"/>
  <c r="AG8" i="9" s="1"/>
  <c r="BM6" i="7"/>
  <c r="AL11" i="7"/>
  <c r="BE6" i="7"/>
  <c r="BD6" i="7"/>
  <c r="AC9" i="9" l="1"/>
  <c r="BI8" i="7"/>
  <c r="AM11" i="7"/>
  <c r="BB10" i="7"/>
  <c r="BC10" i="7"/>
  <c r="AW7" i="7"/>
  <c r="BL7" i="7" s="1"/>
  <c r="AZ7" i="7"/>
  <c r="BF7" i="7" s="1"/>
  <c r="AG9" i="9" s="1"/>
  <c r="BM7" i="7"/>
  <c r="AY9" i="7"/>
  <c r="AN10" i="7"/>
  <c r="AO10" i="7"/>
  <c r="AP8" i="7"/>
  <c r="BO8" i="7" s="1"/>
  <c r="AQ9" i="7"/>
  <c r="AT9" i="7"/>
  <c r="AU9" i="7" s="1"/>
  <c r="AB13" i="9"/>
  <c r="AD13" i="9"/>
  <c r="AF13" i="9"/>
  <c r="AF11" i="7"/>
  <c r="AE11" i="7"/>
  <c r="AK12" i="7"/>
  <c r="AR11" i="7"/>
  <c r="AC10" i="9"/>
  <c r="BG8" i="7"/>
  <c r="BK10" i="7"/>
  <c r="BN10" i="7"/>
  <c r="BH10" i="7"/>
  <c r="AE8" i="9"/>
  <c r="BA6" i="7"/>
  <c r="BJ6" i="7"/>
  <c r="BD7" i="7"/>
  <c r="AL12" i="7"/>
  <c r="BE7" i="7"/>
  <c r="AV9" i="7" l="1"/>
  <c r="BI9" i="7" s="1"/>
  <c r="AM12" i="7"/>
  <c r="BB11" i="7"/>
  <c r="BC11" i="7"/>
  <c r="BG9" i="7"/>
  <c r="AY10" i="7"/>
  <c r="AN11" i="7"/>
  <c r="AO11" i="7"/>
  <c r="AP9" i="7"/>
  <c r="BO9" i="7" s="1"/>
  <c r="BK11" i="7"/>
  <c r="BN11" i="7"/>
  <c r="BH11" i="7"/>
  <c r="AB14" i="9"/>
  <c r="AF14" i="9"/>
  <c r="AD14" i="9"/>
  <c r="AF12" i="7"/>
  <c r="AR12" i="7"/>
  <c r="AE12" i="7"/>
  <c r="AK13" i="7"/>
  <c r="AW8" i="7"/>
  <c r="BL8" i="7" s="1"/>
  <c r="AZ8" i="7"/>
  <c r="BF8" i="7" s="1"/>
  <c r="AG10" i="9" s="1"/>
  <c r="BM8" i="7"/>
  <c r="AE9" i="9"/>
  <c r="BA7" i="7"/>
  <c r="BJ7" i="7"/>
  <c r="AQ10" i="7"/>
  <c r="AT10" i="7"/>
  <c r="AU10" i="7" s="1"/>
  <c r="BE8" i="7"/>
  <c r="BD8" i="7"/>
  <c r="AL13" i="7"/>
  <c r="AC11" i="9" l="1"/>
  <c r="AV10" i="7"/>
  <c r="BI10" i="7" s="1"/>
  <c r="AM13" i="7"/>
  <c r="BC12" i="7"/>
  <c r="BB12" i="7"/>
  <c r="AY11" i="7"/>
  <c r="AN12" i="7"/>
  <c r="AO12" i="7"/>
  <c r="AP10" i="7"/>
  <c r="BO10" i="7" s="1"/>
  <c r="BG10" i="7"/>
  <c r="AQ11" i="7"/>
  <c r="AT11" i="7"/>
  <c r="AU11" i="7" s="1"/>
  <c r="AE10" i="9"/>
  <c r="BA8" i="7"/>
  <c r="BJ8" i="7"/>
  <c r="BK12" i="7"/>
  <c r="BH12" i="7"/>
  <c r="BN12" i="7"/>
  <c r="AF15" i="9"/>
  <c r="AD15" i="9"/>
  <c r="AB15" i="9"/>
  <c r="AK14" i="7"/>
  <c r="AF13" i="7"/>
  <c r="AR13" i="7"/>
  <c r="AE13" i="7"/>
  <c r="AW9" i="7"/>
  <c r="BL9" i="7" s="1"/>
  <c r="AZ9" i="7"/>
  <c r="BF9" i="7" s="1"/>
  <c r="AG11" i="9" s="1"/>
  <c r="BM9" i="7"/>
  <c r="AL14" i="7"/>
  <c r="BE9" i="7"/>
  <c r="BD9" i="7"/>
  <c r="AC12" i="9" l="1"/>
  <c r="AV11" i="7"/>
  <c r="BI11" i="7" s="1"/>
  <c r="AM14" i="7"/>
  <c r="BC13" i="7"/>
  <c r="BB13" i="7"/>
  <c r="AW10" i="7"/>
  <c r="BL10" i="7" s="1"/>
  <c r="AZ10" i="7"/>
  <c r="BF10" i="7" s="1"/>
  <c r="AG12" i="9" s="1"/>
  <c r="BM10" i="7"/>
  <c r="AT12" i="7"/>
  <c r="AU12" i="7" s="1"/>
  <c r="AQ12" i="7"/>
  <c r="AE11" i="9"/>
  <c r="BA9" i="7"/>
  <c r="BJ9" i="7"/>
  <c r="BK13" i="7"/>
  <c r="BH13" i="7"/>
  <c r="BN13" i="7"/>
  <c r="AD16" i="9"/>
  <c r="AF16" i="9"/>
  <c r="AB16" i="9"/>
  <c r="AF14" i="7"/>
  <c r="AE14" i="7"/>
  <c r="AR14" i="7"/>
  <c r="AK15" i="7"/>
  <c r="AY12" i="7"/>
  <c r="AO13" i="7"/>
  <c r="AN13" i="7"/>
  <c r="AP11" i="7"/>
  <c r="BO11" i="7" s="1"/>
  <c r="AL15" i="7"/>
  <c r="BD10" i="7"/>
  <c r="BE10" i="7"/>
  <c r="BG11" i="7" l="1"/>
  <c r="AC13" i="9"/>
  <c r="AV12" i="7"/>
  <c r="AC14" i="9" s="1"/>
  <c r="AM15" i="7"/>
  <c r="BC14" i="7"/>
  <c r="BB14" i="7"/>
  <c r="AT13" i="7"/>
  <c r="AU13" i="7" s="1"/>
  <c r="AQ13" i="7"/>
  <c r="AE12" i="9"/>
  <c r="BA10" i="7"/>
  <c r="BJ10" i="7"/>
  <c r="AY13" i="7"/>
  <c r="AN14" i="7"/>
  <c r="AO14" i="7"/>
  <c r="AP12" i="7"/>
  <c r="BO12" i="7" s="1"/>
  <c r="AB17" i="9"/>
  <c r="AD17" i="9"/>
  <c r="AF17" i="9"/>
  <c r="AF15" i="7"/>
  <c r="AE15" i="7"/>
  <c r="AR15" i="7"/>
  <c r="AK16" i="7"/>
  <c r="AW11" i="7"/>
  <c r="BL11" i="7" s="1"/>
  <c r="AZ11" i="7"/>
  <c r="BF11" i="7" s="1"/>
  <c r="AG13" i="9" s="1"/>
  <c r="BM11" i="7"/>
  <c r="BN14" i="7"/>
  <c r="BK14" i="7"/>
  <c r="BH14" i="7"/>
  <c r="BE11" i="7"/>
  <c r="AL16" i="7"/>
  <c r="BD11" i="7"/>
  <c r="BG12" i="7" l="1"/>
  <c r="BI12" i="7"/>
  <c r="AV13" i="7"/>
  <c r="BI13" i="7" s="1"/>
  <c r="AM16" i="7"/>
  <c r="BB15" i="7"/>
  <c r="BC15" i="7"/>
  <c r="AE13" i="9"/>
  <c r="BA11" i="7"/>
  <c r="BJ11" i="7"/>
  <c r="AW12" i="7"/>
  <c r="BL12" i="7" s="1"/>
  <c r="AZ12" i="7"/>
  <c r="BF12" i="7" s="1"/>
  <c r="AG14" i="9" s="1"/>
  <c r="BM12" i="7"/>
  <c r="AQ14" i="7"/>
  <c r="AT14" i="7"/>
  <c r="AU14" i="7" s="1"/>
  <c r="AY14" i="7"/>
  <c r="AO15" i="7"/>
  <c r="AN15" i="7"/>
  <c r="AP13" i="7"/>
  <c r="BO13" i="7" s="1"/>
  <c r="AB18" i="9"/>
  <c r="AD18" i="9"/>
  <c r="AF18" i="9"/>
  <c r="AF16" i="7"/>
  <c r="AE16" i="7"/>
  <c r="AR16" i="7"/>
  <c r="AK17" i="7"/>
  <c r="BK15" i="7"/>
  <c r="BH15" i="7"/>
  <c r="BN15" i="7"/>
  <c r="BG13" i="7"/>
  <c r="BD12" i="7"/>
  <c r="BE12" i="7"/>
  <c r="AL17" i="7"/>
  <c r="AC15" i="9" l="1"/>
  <c r="AV14" i="7"/>
  <c r="BI14" i="7" s="1"/>
  <c r="AM17" i="7"/>
  <c r="BC16" i="7"/>
  <c r="BB16" i="7"/>
  <c r="AF19" i="9"/>
  <c r="AD19" i="9"/>
  <c r="AB19" i="9"/>
  <c r="AF17" i="7"/>
  <c r="AE17" i="7"/>
  <c r="AK18" i="7"/>
  <c r="AR17" i="7"/>
  <c r="AY15" i="7"/>
  <c r="AN16" i="7"/>
  <c r="AO16" i="7"/>
  <c r="AP14" i="7"/>
  <c r="BO14" i="7" s="1"/>
  <c r="AE14" i="9"/>
  <c r="BA12" i="7"/>
  <c r="BJ12" i="7"/>
  <c r="AQ15" i="7"/>
  <c r="AT15" i="7"/>
  <c r="AU15" i="7" s="1"/>
  <c r="AW13" i="7"/>
  <c r="BL13" i="7" s="1"/>
  <c r="AZ13" i="7"/>
  <c r="BF13" i="7" s="1"/>
  <c r="AG15" i="9" s="1"/>
  <c r="BM13" i="7"/>
  <c r="BG14" i="7"/>
  <c r="BH16" i="7"/>
  <c r="BN16" i="7"/>
  <c r="BK16" i="7"/>
  <c r="BE13" i="7"/>
  <c r="BD13" i="7"/>
  <c r="AL18" i="7"/>
  <c r="AC16" i="9" l="1"/>
  <c r="AV15" i="7"/>
  <c r="BI15" i="7" s="1"/>
  <c r="AM18" i="7"/>
  <c r="BB17" i="7"/>
  <c r="BC17" i="7"/>
  <c r="AD20" i="9"/>
  <c r="AF20" i="9"/>
  <c r="AB20" i="9"/>
  <c r="AE18" i="7"/>
  <c r="AF18" i="7"/>
  <c r="AR18" i="7"/>
  <c r="AK19" i="7"/>
  <c r="AW14" i="7"/>
  <c r="BL14" i="7" s="1"/>
  <c r="AZ14" i="7"/>
  <c r="BF14" i="7" s="1"/>
  <c r="AG16" i="9" s="1"/>
  <c r="BM14" i="7"/>
  <c r="BK17" i="7"/>
  <c r="BH17" i="7"/>
  <c r="BN17" i="7"/>
  <c r="AQ16" i="7"/>
  <c r="AT16" i="7"/>
  <c r="AU16" i="7" s="1"/>
  <c r="AE15" i="9"/>
  <c r="BA13" i="7"/>
  <c r="BJ13" i="7"/>
  <c r="AY16" i="7"/>
  <c r="AO17" i="7"/>
  <c r="AN17" i="7"/>
  <c r="AP15" i="7"/>
  <c r="BO15" i="7" s="1"/>
  <c r="BG15" i="7"/>
  <c r="BE14" i="7"/>
  <c r="BD14" i="7"/>
  <c r="AL19" i="7"/>
  <c r="AC17" i="9" l="1"/>
  <c r="AV16" i="7"/>
  <c r="BI16" i="7" s="1"/>
  <c r="AM19" i="7"/>
  <c r="BC18" i="7"/>
  <c r="BB18" i="7"/>
  <c r="BK18" i="7"/>
  <c r="BH18" i="7"/>
  <c r="BN18" i="7"/>
  <c r="AB21" i="9"/>
  <c r="AD21" i="9"/>
  <c r="AF21" i="9"/>
  <c r="AF19" i="7"/>
  <c r="AR19" i="7"/>
  <c r="AE19" i="7"/>
  <c r="AK20" i="7"/>
  <c r="AQ17" i="7"/>
  <c r="AT17" i="7"/>
  <c r="AU17" i="7" s="1"/>
  <c r="AV17" i="7" s="1"/>
  <c r="AW15" i="7"/>
  <c r="BL15" i="7" s="1"/>
  <c r="AZ15" i="7"/>
  <c r="BF15" i="7" s="1"/>
  <c r="AG17" i="9" s="1"/>
  <c r="BM15" i="7"/>
  <c r="AY17" i="7"/>
  <c r="AO18" i="7"/>
  <c r="AN18" i="7"/>
  <c r="AP16" i="7"/>
  <c r="BO16" i="7" s="1"/>
  <c r="AE16" i="9"/>
  <c r="BA14" i="7"/>
  <c r="BJ14" i="7"/>
  <c r="BD15" i="7"/>
  <c r="BE15" i="7"/>
  <c r="AL20" i="7"/>
  <c r="BG16" i="7" l="1"/>
  <c r="AC18" i="9"/>
  <c r="BI17" i="7"/>
  <c r="AM20" i="7"/>
  <c r="BB19" i="7"/>
  <c r="BC19" i="7"/>
  <c r="BK19" i="7"/>
  <c r="BH19" i="7"/>
  <c r="BN19" i="7"/>
  <c r="AW16" i="7"/>
  <c r="BL16" i="7" s="1"/>
  <c r="AZ16" i="7"/>
  <c r="BF16" i="7" s="1"/>
  <c r="AG18" i="9" s="1"/>
  <c r="BM16" i="7"/>
  <c r="AT18" i="7"/>
  <c r="AU18" i="7" s="1"/>
  <c r="AQ18" i="7"/>
  <c r="AE17" i="9"/>
  <c r="BA15" i="7"/>
  <c r="BJ15" i="7"/>
  <c r="AB22" i="9"/>
  <c r="AF22" i="9"/>
  <c r="AD22" i="9"/>
  <c r="AF20" i="7"/>
  <c r="AE20" i="7"/>
  <c r="AR20" i="7"/>
  <c r="AK21" i="7"/>
  <c r="AY18" i="7"/>
  <c r="AN19" i="7"/>
  <c r="AO19" i="7"/>
  <c r="AP17" i="7"/>
  <c r="BO17" i="7" s="1"/>
  <c r="AC19" i="9"/>
  <c r="BG17" i="7"/>
  <c r="BE16" i="7"/>
  <c r="AL21" i="7"/>
  <c r="BD16" i="7"/>
  <c r="AV18" i="7" l="1"/>
  <c r="BI18" i="7" s="1"/>
  <c r="AM21" i="7"/>
  <c r="BC20" i="7"/>
  <c r="BB20" i="7"/>
  <c r="AW17" i="7"/>
  <c r="BL17" i="7" s="1"/>
  <c r="AZ17" i="7"/>
  <c r="BF17" i="7" s="1"/>
  <c r="AG19" i="9" s="1"/>
  <c r="BM17" i="7"/>
  <c r="BH20" i="7"/>
  <c r="BN20" i="7"/>
  <c r="BK20" i="7"/>
  <c r="AF23" i="9"/>
  <c r="AB23" i="9"/>
  <c r="AD23" i="9"/>
  <c r="AE21" i="7"/>
  <c r="AR21" i="7"/>
  <c r="AF21" i="7"/>
  <c r="AK22" i="7"/>
  <c r="AQ19" i="7"/>
  <c r="AT19" i="7"/>
  <c r="AU19" i="7" s="1"/>
  <c r="AY19" i="7"/>
  <c r="AO20" i="7"/>
  <c r="AN20" i="7"/>
  <c r="AP18" i="7"/>
  <c r="BO18" i="7" s="1"/>
  <c r="BG18" i="7"/>
  <c r="AE18" i="9"/>
  <c r="BA16" i="7"/>
  <c r="BJ16" i="7"/>
  <c r="BE17" i="7"/>
  <c r="BD17" i="7"/>
  <c r="AL22" i="7"/>
  <c r="AC20" i="9" l="1"/>
  <c r="AV19" i="7"/>
  <c r="BI19" i="7" s="1"/>
  <c r="AM22" i="7"/>
  <c r="BB21" i="7"/>
  <c r="BC21" i="7"/>
  <c r="BG19" i="7"/>
  <c r="AD24" i="9"/>
  <c r="AF24" i="9"/>
  <c r="AB24" i="9"/>
  <c r="AE22" i="7"/>
  <c r="AF22" i="7"/>
  <c r="AK23" i="7"/>
  <c r="AR22" i="7"/>
  <c r="AW18" i="7"/>
  <c r="BL18" i="7" s="1"/>
  <c r="AZ18" i="7"/>
  <c r="BF18" i="7" s="1"/>
  <c r="AG20" i="9" s="1"/>
  <c r="BM18" i="7"/>
  <c r="BN21" i="7"/>
  <c r="BK21" i="7"/>
  <c r="BH21" i="7"/>
  <c r="AY20" i="7"/>
  <c r="AO21" i="7"/>
  <c r="AN21" i="7"/>
  <c r="AP19" i="7"/>
  <c r="BO19" i="7" s="1"/>
  <c r="AQ20" i="7"/>
  <c r="AT20" i="7"/>
  <c r="AU20" i="7" s="1"/>
  <c r="AE19" i="9"/>
  <c r="BA17" i="7"/>
  <c r="BJ17" i="7"/>
  <c r="AL23" i="7"/>
  <c r="BD18" i="7"/>
  <c r="BE18" i="7"/>
  <c r="AC21" i="9" l="1"/>
  <c r="AV20" i="7"/>
  <c r="BI20" i="7" s="1"/>
  <c r="AM23" i="7"/>
  <c r="BB22" i="7"/>
  <c r="BC22" i="7"/>
  <c r="BK22" i="7"/>
  <c r="BN22" i="7"/>
  <c r="BH22" i="7"/>
  <c r="AB25" i="9"/>
  <c r="AF25" i="9"/>
  <c r="AF23" i="7"/>
  <c r="AD25" i="9"/>
  <c r="AE23" i="7"/>
  <c r="AK24" i="7"/>
  <c r="AR23" i="7"/>
  <c r="AQ21" i="7"/>
  <c r="AT21" i="7"/>
  <c r="AU21" i="7" s="1"/>
  <c r="AW19" i="7"/>
  <c r="BL19" i="7" s="1"/>
  <c r="AZ19" i="7"/>
  <c r="BF19" i="7" s="1"/>
  <c r="AG21" i="9" s="1"/>
  <c r="BM19" i="7"/>
  <c r="BA18" i="7"/>
  <c r="AE20" i="9"/>
  <c r="BJ18" i="7"/>
  <c r="AY21" i="7"/>
  <c r="AO22" i="7"/>
  <c r="AN22" i="7"/>
  <c r="AP20" i="7"/>
  <c r="BO20" i="7" s="1"/>
  <c r="AL24" i="7"/>
  <c r="BE19" i="7"/>
  <c r="BD19" i="7"/>
  <c r="BG20" i="7" l="1"/>
  <c r="AC22" i="9"/>
  <c r="AV21" i="7"/>
  <c r="BI21" i="7" s="1"/>
  <c r="AM24" i="7"/>
  <c r="BC23" i="7"/>
  <c r="BB23" i="7"/>
  <c r="AW20" i="7"/>
  <c r="BL20" i="7" s="1"/>
  <c r="AZ20" i="7"/>
  <c r="BF20" i="7" s="1"/>
  <c r="AG22" i="9" s="1"/>
  <c r="BM20" i="7"/>
  <c r="AT22" i="7"/>
  <c r="AU22" i="7" s="1"/>
  <c r="AQ22" i="7"/>
  <c r="AY22" i="7"/>
  <c r="AO23" i="7"/>
  <c r="AN23" i="7"/>
  <c r="AP21" i="7"/>
  <c r="BO21" i="7" s="1"/>
  <c r="AE21" i="9"/>
  <c r="BA19" i="7"/>
  <c r="BJ19" i="7"/>
  <c r="AF26" i="9"/>
  <c r="AB26" i="9"/>
  <c r="AD26" i="9"/>
  <c r="AF24" i="7"/>
  <c r="AE24" i="7"/>
  <c r="AR24" i="7"/>
  <c r="AK25" i="7"/>
  <c r="BK23" i="7"/>
  <c r="BN23" i="7"/>
  <c r="BH23" i="7"/>
  <c r="BD20" i="7"/>
  <c r="AL25" i="7"/>
  <c r="BE20" i="7"/>
  <c r="BG21" i="7" l="1"/>
  <c r="AC23" i="9"/>
  <c r="AV22" i="7"/>
  <c r="AC24" i="9" s="1"/>
  <c r="AM25" i="7"/>
  <c r="BC24" i="7"/>
  <c r="BB24" i="7"/>
  <c r="AW21" i="7"/>
  <c r="BL21" i="7" s="1"/>
  <c r="AZ21" i="7"/>
  <c r="BF21" i="7" s="1"/>
  <c r="AG23" i="9" s="1"/>
  <c r="BM21" i="7"/>
  <c r="BN24" i="7"/>
  <c r="BH24" i="7"/>
  <c r="BK24" i="7"/>
  <c r="AN24" i="7"/>
  <c r="AY23" i="7"/>
  <c r="AO24" i="7"/>
  <c r="AP22" i="7"/>
  <c r="BO22" i="7" s="1"/>
  <c r="AD27" i="9"/>
  <c r="AF27" i="9"/>
  <c r="AB27" i="9"/>
  <c r="AF25" i="7"/>
  <c r="AR25" i="7"/>
  <c r="AE25" i="7"/>
  <c r="AK26" i="7"/>
  <c r="AQ23" i="7"/>
  <c r="AT23" i="7"/>
  <c r="AU23" i="7" s="1"/>
  <c r="AE22" i="9"/>
  <c r="BA20" i="7"/>
  <c r="BJ20" i="7"/>
  <c r="BD21" i="7"/>
  <c r="BE21" i="7"/>
  <c r="AL26" i="7"/>
  <c r="BG22" i="7" l="1"/>
  <c r="BI22" i="7"/>
  <c r="AV23" i="7"/>
  <c r="BI23" i="7" s="1"/>
  <c r="AM26" i="7"/>
  <c r="BB25" i="7"/>
  <c r="BC25" i="7"/>
  <c r="AY24" i="7"/>
  <c r="AO25" i="7"/>
  <c r="AN25" i="7"/>
  <c r="AP23" i="7"/>
  <c r="BO23" i="7" s="1"/>
  <c r="AQ24" i="7"/>
  <c r="AT24" i="7"/>
  <c r="AU24" i="7" s="1"/>
  <c r="BG23" i="7"/>
  <c r="AB28" i="9"/>
  <c r="AD28" i="9"/>
  <c r="AF28" i="9"/>
  <c r="AF26" i="7"/>
  <c r="AK27" i="7"/>
  <c r="AE26" i="7"/>
  <c r="AR26" i="7"/>
  <c r="BN25" i="7"/>
  <c r="BH25" i="7"/>
  <c r="BK25" i="7"/>
  <c r="AW22" i="7"/>
  <c r="BL22" i="7" s="1"/>
  <c r="AZ22" i="7"/>
  <c r="BF22" i="7" s="1"/>
  <c r="AG24" i="9" s="1"/>
  <c r="BM22" i="7"/>
  <c r="AE23" i="9"/>
  <c r="BA21" i="7"/>
  <c r="BJ21" i="7"/>
  <c r="AL27" i="7"/>
  <c r="BD22" i="7"/>
  <c r="BE22" i="7"/>
  <c r="AC25" i="9" l="1"/>
  <c r="AV24" i="7"/>
  <c r="BI24" i="7" s="1"/>
  <c r="AM27" i="7"/>
  <c r="BC26" i="7"/>
  <c r="BB26" i="7"/>
  <c r="AW23" i="7"/>
  <c r="BL23" i="7" s="1"/>
  <c r="AZ23" i="7"/>
  <c r="BF23" i="7" s="1"/>
  <c r="AG25" i="9" s="1"/>
  <c r="BM23" i="7"/>
  <c r="BK26" i="7"/>
  <c r="BH26" i="7"/>
  <c r="BN26" i="7"/>
  <c r="BG24" i="7"/>
  <c r="AY25" i="7"/>
  <c r="AN26" i="7"/>
  <c r="AO26" i="7"/>
  <c r="AP24" i="7"/>
  <c r="BO24" i="7" s="1"/>
  <c r="AE24" i="9"/>
  <c r="BA22" i="7"/>
  <c r="BJ22" i="7"/>
  <c r="AQ25" i="7"/>
  <c r="AT25" i="7"/>
  <c r="AU25" i="7" s="1"/>
  <c r="AV25" i="7" s="1"/>
  <c r="AB29" i="9"/>
  <c r="AF29" i="9"/>
  <c r="AD29" i="9"/>
  <c r="AE27" i="7"/>
  <c r="AF27" i="7"/>
  <c r="AK28" i="7"/>
  <c r="AR27" i="7"/>
  <c r="AL28" i="7"/>
  <c r="BE23" i="7"/>
  <c r="BD23" i="7"/>
  <c r="AC26" i="9" l="1"/>
  <c r="BI25" i="7"/>
  <c r="AM28" i="7"/>
  <c r="BC27" i="7"/>
  <c r="BB27" i="7"/>
  <c r="AF30" i="9"/>
  <c r="AB30" i="9"/>
  <c r="AD30" i="9"/>
  <c r="AR28" i="7"/>
  <c r="AE28" i="7"/>
  <c r="AF28" i="7"/>
  <c r="AK29" i="7"/>
  <c r="AW24" i="7"/>
  <c r="BL24" i="7" s="1"/>
  <c r="AZ24" i="7"/>
  <c r="BF24" i="7" s="1"/>
  <c r="AG26" i="9" s="1"/>
  <c r="BM24" i="7"/>
  <c r="AC27" i="9"/>
  <c r="BG25" i="7"/>
  <c r="BN27" i="7"/>
  <c r="BK27" i="7"/>
  <c r="BH27" i="7"/>
  <c r="AQ26" i="7"/>
  <c r="AT26" i="7"/>
  <c r="AU26" i="7" s="1"/>
  <c r="AY26" i="7"/>
  <c r="AO27" i="7"/>
  <c r="AN27" i="7"/>
  <c r="AP25" i="7"/>
  <c r="BO25" i="7" s="1"/>
  <c r="AE25" i="9"/>
  <c r="BA23" i="7"/>
  <c r="BJ23" i="7"/>
  <c r="BE24" i="7"/>
  <c r="BD24" i="7"/>
  <c r="AL29" i="7"/>
  <c r="AV26" i="7" l="1"/>
  <c r="BI26" i="7" s="1"/>
  <c r="AM29" i="7"/>
  <c r="BC28" i="7"/>
  <c r="BB28" i="7"/>
  <c r="AW25" i="7"/>
  <c r="BL25" i="7" s="1"/>
  <c r="AZ25" i="7"/>
  <c r="BF25" i="7" s="1"/>
  <c r="AG27" i="9" s="1"/>
  <c r="BM25" i="7"/>
  <c r="AY27" i="7"/>
  <c r="AO28" i="7"/>
  <c r="AN28" i="7"/>
  <c r="AP26" i="7"/>
  <c r="BO26" i="7" s="1"/>
  <c r="BH28" i="7"/>
  <c r="BN28" i="7"/>
  <c r="BK28" i="7"/>
  <c r="AQ27" i="7"/>
  <c r="AT27" i="7"/>
  <c r="AU27" i="7" s="1"/>
  <c r="AE26" i="9"/>
  <c r="BA24" i="7"/>
  <c r="BJ24" i="7"/>
  <c r="AD31" i="9"/>
  <c r="AF31" i="9"/>
  <c r="AB31" i="9"/>
  <c r="AR29" i="7"/>
  <c r="AF29" i="7"/>
  <c r="AE29" i="7"/>
  <c r="AK30" i="7"/>
  <c r="BG26" i="7"/>
  <c r="BE25" i="7"/>
  <c r="AL30" i="7"/>
  <c r="BD25" i="7"/>
  <c r="AC28" i="9" l="1"/>
  <c r="AV27" i="7"/>
  <c r="BI27" i="7" s="1"/>
  <c r="AM30" i="7"/>
  <c r="BC29" i="7"/>
  <c r="BB29" i="7"/>
  <c r="AY28" i="7"/>
  <c r="AO29" i="7"/>
  <c r="AN29" i="7"/>
  <c r="AP27" i="7"/>
  <c r="BO27" i="7" s="1"/>
  <c r="BG27" i="7"/>
  <c r="AT28" i="7"/>
  <c r="AU28" i="7" s="1"/>
  <c r="AQ28" i="7"/>
  <c r="AB32" i="9"/>
  <c r="AD32" i="9"/>
  <c r="AF32" i="9"/>
  <c r="AF30" i="7"/>
  <c r="AE30" i="7"/>
  <c r="AR30" i="7"/>
  <c r="AK31" i="7"/>
  <c r="BK29" i="7"/>
  <c r="BH29" i="7"/>
  <c r="BN29" i="7"/>
  <c r="AW26" i="7"/>
  <c r="BL26" i="7" s="1"/>
  <c r="AZ26" i="7"/>
  <c r="BF26" i="7" s="1"/>
  <c r="AG28" i="9" s="1"/>
  <c r="BM26" i="7"/>
  <c r="BA25" i="7"/>
  <c r="AE27" i="9"/>
  <c r="BJ25" i="7"/>
  <c r="BE26" i="7"/>
  <c r="AL31" i="7"/>
  <c r="BD26" i="7"/>
  <c r="AC29" i="9" l="1"/>
  <c r="AV28" i="7"/>
  <c r="BI28" i="7" s="1"/>
  <c r="AM31" i="7"/>
  <c r="BC30" i="7"/>
  <c r="BB30" i="7"/>
  <c r="AW27" i="7"/>
  <c r="BL27" i="7" s="1"/>
  <c r="AZ27" i="7"/>
  <c r="BF27" i="7" s="1"/>
  <c r="AG29" i="9" s="1"/>
  <c r="BM27" i="7"/>
  <c r="AY29" i="7"/>
  <c r="AN30" i="7"/>
  <c r="AO30" i="7"/>
  <c r="AP28" i="7"/>
  <c r="BO28" i="7" s="1"/>
  <c r="AQ29" i="7"/>
  <c r="AT29" i="7"/>
  <c r="AU29" i="7" s="1"/>
  <c r="BK30" i="7"/>
  <c r="BN30" i="7"/>
  <c r="BH30" i="7"/>
  <c r="AC30" i="9"/>
  <c r="BG28" i="7"/>
  <c r="AE28" i="9"/>
  <c r="BA26" i="7"/>
  <c r="BJ26" i="7"/>
  <c r="AB33" i="9"/>
  <c r="AF33" i="9"/>
  <c r="AD33" i="9"/>
  <c r="AE31" i="7"/>
  <c r="AF31" i="7"/>
  <c r="AK32" i="7"/>
  <c r="AR31" i="7"/>
  <c r="BE27" i="7"/>
  <c r="BD27" i="7"/>
  <c r="AL32" i="7"/>
  <c r="AV29" i="7" l="1"/>
  <c r="BI29" i="7" s="1"/>
  <c r="AM32" i="7"/>
  <c r="BB31" i="7"/>
  <c r="BC31" i="7"/>
  <c r="AQ30" i="7"/>
  <c r="AT30" i="7"/>
  <c r="AU30" i="7" s="1"/>
  <c r="BG29" i="7"/>
  <c r="AF34" i="9"/>
  <c r="AD34" i="9"/>
  <c r="AE32" i="7"/>
  <c r="AB34" i="9"/>
  <c r="AF32" i="7"/>
  <c r="AR32" i="7"/>
  <c r="AK33" i="7"/>
  <c r="BK31" i="7"/>
  <c r="BN31" i="7"/>
  <c r="BH31" i="7"/>
  <c r="AE29" i="9"/>
  <c r="BA27" i="7"/>
  <c r="BJ27" i="7"/>
  <c r="AY30" i="7"/>
  <c r="AO31" i="7"/>
  <c r="AN31" i="7"/>
  <c r="AP29" i="7"/>
  <c r="BO29" i="7" s="1"/>
  <c r="AW28" i="7"/>
  <c r="BL28" i="7" s="1"/>
  <c r="AZ28" i="7"/>
  <c r="BF28" i="7" s="1"/>
  <c r="AG30" i="9" s="1"/>
  <c r="BM28" i="7"/>
  <c r="AL33" i="7"/>
  <c r="BD28" i="7"/>
  <c r="BE28" i="7"/>
  <c r="AV30" i="7" l="1"/>
  <c r="BI30" i="7" s="1"/>
  <c r="AC31" i="9"/>
  <c r="AM33" i="7"/>
  <c r="BC32" i="7"/>
  <c r="BB32" i="7"/>
  <c r="AW29" i="7"/>
  <c r="BL29" i="7" s="1"/>
  <c r="AZ29" i="7"/>
  <c r="BF29" i="7" s="1"/>
  <c r="AG31" i="9" s="1"/>
  <c r="BM29" i="7"/>
  <c r="AO32" i="7"/>
  <c r="AY31" i="7"/>
  <c r="AN32" i="7"/>
  <c r="AP30" i="7"/>
  <c r="BO30" i="7" s="1"/>
  <c r="AD35" i="9"/>
  <c r="AF35" i="9"/>
  <c r="AB35" i="9"/>
  <c r="AE33" i="7"/>
  <c r="AF33" i="7"/>
  <c r="AK34" i="7"/>
  <c r="AR33" i="7"/>
  <c r="AE30" i="9"/>
  <c r="BA28" i="7"/>
  <c r="BJ28" i="7"/>
  <c r="AT31" i="7"/>
  <c r="AU31" i="7" s="1"/>
  <c r="AV31" i="7" s="1"/>
  <c r="AQ31" i="7"/>
  <c r="AC32" i="9"/>
  <c r="BN32" i="7"/>
  <c r="BH32" i="7"/>
  <c r="BK32" i="7"/>
  <c r="AL34" i="7"/>
  <c r="BD29" i="7"/>
  <c r="BE29" i="7"/>
  <c r="BG30" i="7" l="1"/>
  <c r="BI31" i="7"/>
  <c r="AM34" i="7"/>
  <c r="BB33" i="7"/>
  <c r="BC33" i="7"/>
  <c r="AB36" i="9"/>
  <c r="AD36" i="9"/>
  <c r="AF36" i="9"/>
  <c r="AF34" i="7"/>
  <c r="AE34" i="7"/>
  <c r="AK35" i="7"/>
  <c r="AR34" i="7"/>
  <c r="AC33" i="9"/>
  <c r="BG31" i="7"/>
  <c r="AQ32" i="7"/>
  <c r="AT32" i="7"/>
  <c r="AU32" i="7" s="1"/>
  <c r="AY32" i="7"/>
  <c r="AO33" i="7"/>
  <c r="AN33" i="7"/>
  <c r="AP31" i="7"/>
  <c r="BO31" i="7" s="1"/>
  <c r="BH33" i="7"/>
  <c r="BN33" i="7"/>
  <c r="BK33" i="7"/>
  <c r="AW30" i="7"/>
  <c r="BL30" i="7" s="1"/>
  <c r="AZ30" i="7"/>
  <c r="BF30" i="7" s="1"/>
  <c r="AG32" i="9" s="1"/>
  <c r="BM30" i="7"/>
  <c r="AE31" i="9"/>
  <c r="BA29" i="7"/>
  <c r="BJ29" i="7"/>
  <c r="BE30" i="7"/>
  <c r="AL35" i="7"/>
  <c r="BD30" i="7"/>
  <c r="AV32" i="7" l="1"/>
  <c r="BI32" i="7" s="1"/>
  <c r="AM35" i="7"/>
  <c r="BC34" i="7"/>
  <c r="BB34" i="7"/>
  <c r="AY33" i="7"/>
  <c r="AO34" i="7"/>
  <c r="AN34" i="7"/>
  <c r="AP32" i="7"/>
  <c r="BO32" i="7" s="1"/>
  <c r="BG32" i="7"/>
  <c r="BK34" i="7"/>
  <c r="BN34" i="7"/>
  <c r="BH34" i="7"/>
  <c r="AT33" i="7"/>
  <c r="AU33" i="7" s="1"/>
  <c r="AQ33" i="7"/>
  <c r="AB37" i="9"/>
  <c r="AD37" i="9"/>
  <c r="AF37" i="9"/>
  <c r="AE35" i="7"/>
  <c r="AF35" i="7"/>
  <c r="AR35" i="7"/>
  <c r="AK36" i="7"/>
  <c r="AE32" i="9"/>
  <c r="BA30" i="7"/>
  <c r="BJ30" i="7"/>
  <c r="AW31" i="7"/>
  <c r="BL31" i="7" s="1"/>
  <c r="AZ31" i="7"/>
  <c r="BF31" i="7" s="1"/>
  <c r="AG33" i="9" s="1"/>
  <c r="BM31" i="7"/>
  <c r="BE31" i="7"/>
  <c r="BD31" i="7"/>
  <c r="AL36" i="7"/>
  <c r="AC34" i="9" l="1"/>
  <c r="AV33" i="7"/>
  <c r="BI33" i="7" s="1"/>
  <c r="AM36" i="7"/>
  <c r="BB35" i="7"/>
  <c r="BC35" i="7"/>
  <c r="AW32" i="7"/>
  <c r="BL32" i="7" s="1"/>
  <c r="AZ32" i="7"/>
  <c r="BF32" i="7" s="1"/>
  <c r="AG34" i="9" s="1"/>
  <c r="BM32" i="7"/>
  <c r="BH35" i="7"/>
  <c r="BN35" i="7"/>
  <c r="BK35" i="7"/>
  <c r="AO35" i="7"/>
  <c r="AY34" i="7"/>
  <c r="AN35" i="7"/>
  <c r="AP33" i="7"/>
  <c r="BO33" i="7" s="1"/>
  <c r="AE33" i="9"/>
  <c r="BA31" i="7"/>
  <c r="BJ31" i="7"/>
  <c r="AQ34" i="7"/>
  <c r="AT34" i="7"/>
  <c r="AU34" i="7" s="1"/>
  <c r="AV34" i="7" s="1"/>
  <c r="AF38" i="9"/>
  <c r="AB38" i="9"/>
  <c r="AD38" i="9"/>
  <c r="AE36" i="7"/>
  <c r="AF36" i="7"/>
  <c r="AK37" i="7"/>
  <c r="AR36" i="7"/>
  <c r="BG33" i="7"/>
  <c r="AL37" i="7"/>
  <c r="BD32" i="7"/>
  <c r="BE32" i="7"/>
  <c r="AC35" i="9" l="1"/>
  <c r="BI34" i="7"/>
  <c r="AM37" i="7"/>
  <c r="BB36" i="7"/>
  <c r="BC36" i="7"/>
  <c r="AY35" i="7"/>
  <c r="AO36" i="7"/>
  <c r="AN36" i="7"/>
  <c r="AP34" i="7"/>
  <c r="BO34" i="7" s="1"/>
  <c r="AC36" i="9"/>
  <c r="BG34" i="7"/>
  <c r="AD39" i="9"/>
  <c r="AF39" i="9"/>
  <c r="AB39" i="9"/>
  <c r="AR37" i="7"/>
  <c r="AE37" i="7"/>
  <c r="AF37" i="7"/>
  <c r="AK38" i="7"/>
  <c r="BN36" i="7"/>
  <c r="BK36" i="7"/>
  <c r="BH36" i="7"/>
  <c r="AQ35" i="7"/>
  <c r="AT35" i="7"/>
  <c r="AU35" i="7" s="1"/>
  <c r="AW33" i="7"/>
  <c r="BL33" i="7" s="1"/>
  <c r="AZ33" i="7"/>
  <c r="BF33" i="7" s="1"/>
  <c r="AG35" i="9" s="1"/>
  <c r="BM33" i="7"/>
  <c r="AE34" i="9"/>
  <c r="BA32" i="7"/>
  <c r="BJ32" i="7"/>
  <c r="AL38" i="7"/>
  <c r="BE33" i="7"/>
  <c r="BD33" i="7"/>
  <c r="AV35" i="7" l="1"/>
  <c r="BI35" i="7" s="1"/>
  <c r="AM38" i="7"/>
  <c r="BC37" i="7"/>
  <c r="BB37" i="7"/>
  <c r="AB40" i="9"/>
  <c r="AD40" i="9"/>
  <c r="AF40" i="9"/>
  <c r="AE38" i="7"/>
  <c r="AF38" i="7"/>
  <c r="AK39" i="7"/>
  <c r="AR38" i="7"/>
  <c r="BH37" i="7"/>
  <c r="BN37" i="7"/>
  <c r="BK37" i="7"/>
  <c r="AW34" i="7"/>
  <c r="BL34" i="7" s="1"/>
  <c r="AZ34" i="7"/>
  <c r="BF34" i="7" s="1"/>
  <c r="AG36" i="9" s="1"/>
  <c r="BM34" i="7"/>
  <c r="AO37" i="7"/>
  <c r="AN37" i="7"/>
  <c r="AY36" i="7"/>
  <c r="AP35" i="7"/>
  <c r="BO35" i="7" s="1"/>
  <c r="AE35" i="9"/>
  <c r="BA33" i="7"/>
  <c r="BJ33" i="7"/>
  <c r="AT36" i="7"/>
  <c r="AU36" i="7" s="1"/>
  <c r="AV36" i="7" s="1"/>
  <c r="AQ36" i="7"/>
  <c r="BG35" i="7"/>
  <c r="AL39" i="7"/>
  <c r="BD34" i="7"/>
  <c r="BE34" i="7"/>
  <c r="AC37" i="9" l="1"/>
  <c r="BI36" i="7"/>
  <c r="AM39" i="7"/>
  <c r="BB38" i="7"/>
  <c r="BC38" i="7"/>
  <c r="BN38" i="7"/>
  <c r="BK38" i="7"/>
  <c r="BH38" i="7"/>
  <c r="AO38" i="7"/>
  <c r="AY37" i="7"/>
  <c r="AN38" i="7"/>
  <c r="AP36" i="7"/>
  <c r="BO36" i="7" s="1"/>
  <c r="AB41" i="9"/>
  <c r="AF41" i="9"/>
  <c r="AD41" i="9"/>
  <c r="AR39" i="7"/>
  <c r="AE39" i="7"/>
  <c r="AF39" i="7"/>
  <c r="AK40" i="7"/>
  <c r="AC38" i="9"/>
  <c r="BG36" i="7"/>
  <c r="AQ37" i="7"/>
  <c r="AT37" i="7"/>
  <c r="AU37" i="7" s="1"/>
  <c r="AW35" i="7"/>
  <c r="BL35" i="7" s="1"/>
  <c r="AZ35" i="7"/>
  <c r="BF35" i="7" s="1"/>
  <c r="AG37" i="9" s="1"/>
  <c r="BM35" i="7"/>
  <c r="AE36" i="9"/>
  <c r="BA34" i="7"/>
  <c r="BJ34" i="7"/>
  <c r="AL40" i="7"/>
  <c r="BD35" i="7"/>
  <c r="BE35" i="7"/>
  <c r="AV37" i="7" l="1"/>
  <c r="AC39" i="9" s="1"/>
  <c r="AM40" i="7"/>
  <c r="BB39" i="7"/>
  <c r="BC39" i="7"/>
  <c r="AO39" i="7"/>
  <c r="AY38" i="7"/>
  <c r="AN39" i="7"/>
  <c r="AP37" i="7"/>
  <c r="BO37" i="7" s="1"/>
  <c r="AW36" i="7"/>
  <c r="BL36" i="7" s="1"/>
  <c r="AZ36" i="7"/>
  <c r="BF36" i="7" s="1"/>
  <c r="AG38" i="9" s="1"/>
  <c r="BM36" i="7"/>
  <c r="BH39" i="7"/>
  <c r="BN39" i="7"/>
  <c r="BK39" i="7"/>
  <c r="BG37" i="7"/>
  <c r="AF42" i="9"/>
  <c r="AD42" i="9"/>
  <c r="AB42" i="9"/>
  <c r="AE40" i="7"/>
  <c r="AF40" i="7"/>
  <c r="AK41" i="7"/>
  <c r="AR40" i="7"/>
  <c r="AE37" i="9"/>
  <c r="BA35" i="7"/>
  <c r="BJ35" i="7"/>
  <c r="AT38" i="7"/>
  <c r="AU38" i="7" s="1"/>
  <c r="AQ38" i="7"/>
  <c r="BD36" i="7"/>
  <c r="AL41" i="7"/>
  <c r="BE36" i="7"/>
  <c r="BI37" i="7" l="1"/>
  <c r="AV38" i="7"/>
  <c r="BI38" i="7" s="1"/>
  <c r="AM41" i="7"/>
  <c r="AN40" i="7" s="1"/>
  <c r="BB40" i="7"/>
  <c r="BC40" i="7"/>
  <c r="AW37" i="7"/>
  <c r="BL37" i="7" s="1"/>
  <c r="AZ37" i="7"/>
  <c r="BF37" i="7" s="1"/>
  <c r="AG39" i="9" s="1"/>
  <c r="BM37" i="7"/>
  <c r="AY39" i="7"/>
  <c r="AO40" i="7"/>
  <c r="AP38" i="7"/>
  <c r="BO38" i="7" s="1"/>
  <c r="BN40" i="7"/>
  <c r="BK40" i="7"/>
  <c r="BH40" i="7"/>
  <c r="AE38" i="9"/>
  <c r="BA36" i="7"/>
  <c r="BJ36" i="7"/>
  <c r="AT39" i="7"/>
  <c r="AU39" i="7" s="1"/>
  <c r="AV39" i="7" s="1"/>
  <c r="AQ39" i="7"/>
  <c r="AD43" i="9"/>
  <c r="AF43" i="9"/>
  <c r="AR41" i="7"/>
  <c r="AB43" i="9"/>
  <c r="AE41" i="7"/>
  <c r="AF41" i="7"/>
  <c r="AK42" i="7"/>
  <c r="BG38" i="7"/>
  <c r="BD37" i="7"/>
  <c r="AL42" i="7"/>
  <c r="BE37" i="7"/>
  <c r="AC40" i="9" l="1"/>
  <c r="BI39" i="7"/>
  <c r="AM42" i="7"/>
  <c r="BB41" i="7"/>
  <c r="BC41" i="7"/>
  <c r="AC41" i="9"/>
  <c r="BG39" i="7"/>
  <c r="AT40" i="7"/>
  <c r="AU40" i="7" s="1"/>
  <c r="AQ40" i="7"/>
  <c r="AO41" i="7"/>
  <c r="AY40" i="7"/>
  <c r="AN41" i="7"/>
  <c r="AP39" i="7"/>
  <c r="BO39" i="7" s="1"/>
  <c r="AB44" i="9"/>
  <c r="AD44" i="9"/>
  <c r="AF44" i="9"/>
  <c r="AE42" i="7"/>
  <c r="AF42" i="7"/>
  <c r="AR42" i="7"/>
  <c r="AK43" i="7"/>
  <c r="BH41" i="7"/>
  <c r="BN41" i="7"/>
  <c r="BK41" i="7"/>
  <c r="AW38" i="7"/>
  <c r="BL38" i="7" s="1"/>
  <c r="AZ38" i="7"/>
  <c r="BF38" i="7" s="1"/>
  <c r="AG40" i="9" s="1"/>
  <c r="BM38" i="7"/>
  <c r="AE39" i="9"/>
  <c r="BA37" i="7"/>
  <c r="BJ37" i="7"/>
  <c r="BD38" i="7"/>
  <c r="BE38" i="7"/>
  <c r="AL43" i="7"/>
  <c r="AV40" i="7" l="1"/>
  <c r="BI40" i="7" s="1"/>
  <c r="AM43" i="7"/>
  <c r="BB42" i="7"/>
  <c r="BC42" i="7"/>
  <c r="BN42" i="7"/>
  <c r="BK42" i="7"/>
  <c r="BH42" i="7"/>
  <c r="AQ41" i="7"/>
  <c r="AT41" i="7"/>
  <c r="AU41" i="7" s="1"/>
  <c r="AE40" i="9"/>
  <c r="BA38" i="7"/>
  <c r="BJ38" i="7"/>
  <c r="AW39" i="7"/>
  <c r="BL39" i="7" s="1"/>
  <c r="AZ39" i="7"/>
  <c r="BF39" i="7" s="1"/>
  <c r="AG41" i="9" s="1"/>
  <c r="BM39" i="7"/>
  <c r="AF45" i="9"/>
  <c r="AD45" i="9"/>
  <c r="AB45" i="9"/>
  <c r="AF43" i="7"/>
  <c r="AE43" i="7"/>
  <c r="AK44" i="7"/>
  <c r="AR43" i="7"/>
  <c r="AY41" i="7"/>
  <c r="AN42" i="7"/>
  <c r="AO42" i="7"/>
  <c r="AP40" i="7"/>
  <c r="BO40" i="7" s="1"/>
  <c r="BE39" i="7"/>
  <c r="BD39" i="7"/>
  <c r="AL44" i="7"/>
  <c r="BG40" i="7" l="1"/>
  <c r="AC42" i="9"/>
  <c r="AV41" i="7"/>
  <c r="BI41" i="7" s="1"/>
  <c r="AM44" i="7"/>
  <c r="BC43" i="7"/>
  <c r="BB43" i="7"/>
  <c r="AT42" i="7"/>
  <c r="AU42" i="7" s="1"/>
  <c r="AQ42" i="7"/>
  <c r="BH43" i="7"/>
  <c r="BN43" i="7"/>
  <c r="BK43" i="7"/>
  <c r="AW40" i="7"/>
  <c r="BL40" i="7" s="1"/>
  <c r="AZ40" i="7"/>
  <c r="BF40" i="7" s="1"/>
  <c r="AG42" i="9" s="1"/>
  <c r="BM40" i="7"/>
  <c r="AB46" i="9"/>
  <c r="AF46" i="9"/>
  <c r="AD46" i="9"/>
  <c r="AF44" i="7"/>
  <c r="AE44" i="7"/>
  <c r="AK45" i="7"/>
  <c r="AR44" i="7"/>
  <c r="AE41" i="9"/>
  <c r="BA39" i="7"/>
  <c r="BJ39" i="7"/>
  <c r="AY42" i="7"/>
  <c r="AO43" i="7"/>
  <c r="AN43" i="7"/>
  <c r="AP41" i="7"/>
  <c r="BO41" i="7" s="1"/>
  <c r="BG41" i="7"/>
  <c r="BE40" i="7"/>
  <c r="BD40" i="7"/>
  <c r="AL45" i="7"/>
  <c r="AC43" i="9" l="1"/>
  <c r="AV42" i="7"/>
  <c r="BI42" i="7" s="1"/>
  <c r="AM45" i="7"/>
  <c r="BB44" i="7"/>
  <c r="BC44" i="7"/>
  <c r="AW41" i="7"/>
  <c r="BL41" i="7" s="1"/>
  <c r="AZ41" i="7"/>
  <c r="BF41" i="7" s="1"/>
  <c r="AG43" i="9" s="1"/>
  <c r="BM41" i="7"/>
  <c r="AB47" i="9"/>
  <c r="AD47" i="9"/>
  <c r="AF47" i="9"/>
  <c r="AF45" i="7"/>
  <c r="AK46" i="7"/>
  <c r="AR45" i="7"/>
  <c r="AE45" i="7"/>
  <c r="AE42" i="9"/>
  <c r="BA40" i="7"/>
  <c r="BJ40" i="7"/>
  <c r="AY43" i="7"/>
  <c r="AN44" i="7"/>
  <c r="AO44" i="7"/>
  <c r="AP42" i="7"/>
  <c r="BO42" i="7" s="1"/>
  <c r="BH44" i="7"/>
  <c r="BK44" i="7"/>
  <c r="BN44" i="7"/>
  <c r="AQ43" i="7"/>
  <c r="AT43" i="7"/>
  <c r="AU43" i="7" s="1"/>
  <c r="BG42" i="7"/>
  <c r="BD41" i="7"/>
  <c r="AL46" i="7"/>
  <c r="BE41" i="7"/>
  <c r="AC44" i="9" l="1"/>
  <c r="AV43" i="7"/>
  <c r="BI43" i="7" s="1"/>
  <c r="AM46" i="7"/>
  <c r="BC45" i="7"/>
  <c r="BB45" i="7"/>
  <c r="BK45" i="7"/>
  <c r="BH45" i="7"/>
  <c r="BN45" i="7"/>
  <c r="AW42" i="7"/>
  <c r="BL42" i="7" s="1"/>
  <c r="AZ42" i="7"/>
  <c r="BF42" i="7" s="1"/>
  <c r="AG44" i="9" s="1"/>
  <c r="BM42" i="7"/>
  <c r="BG43" i="7"/>
  <c r="AD48" i="9"/>
  <c r="AB48" i="9"/>
  <c r="AF48" i="9"/>
  <c r="AR46" i="7"/>
  <c r="AE46" i="7"/>
  <c r="AF46" i="7"/>
  <c r="AK47" i="7"/>
  <c r="AT44" i="7"/>
  <c r="AU44" i="7" s="1"/>
  <c r="AQ44" i="7"/>
  <c r="AN45" i="7"/>
  <c r="AY44" i="7"/>
  <c r="AO45" i="7"/>
  <c r="AP43" i="7"/>
  <c r="BO43" i="7" s="1"/>
  <c r="AE43" i="9"/>
  <c r="BA41" i="7"/>
  <c r="BJ41" i="7"/>
  <c r="BE42" i="7"/>
  <c r="AL47" i="7"/>
  <c r="BD42" i="7"/>
  <c r="AC45" i="9" l="1"/>
  <c r="AV44" i="7"/>
  <c r="BI44" i="7" s="1"/>
  <c r="AM47" i="7"/>
  <c r="BC46" i="7"/>
  <c r="BB46" i="7"/>
  <c r="AD49" i="9"/>
  <c r="AB49" i="9"/>
  <c r="AF49" i="9"/>
  <c r="AE47" i="7"/>
  <c r="AF47" i="7"/>
  <c r="AK48" i="7"/>
  <c r="AR47" i="7"/>
  <c r="AW43" i="7"/>
  <c r="BL43" i="7" s="1"/>
  <c r="AZ43" i="7"/>
  <c r="BF43" i="7" s="1"/>
  <c r="AG45" i="9" s="1"/>
  <c r="BM43" i="7"/>
  <c r="BH46" i="7"/>
  <c r="BN46" i="7"/>
  <c r="BK46" i="7"/>
  <c r="AT45" i="7"/>
  <c r="AU45" i="7" s="1"/>
  <c r="AQ45" i="7"/>
  <c r="AO46" i="7"/>
  <c r="AY45" i="7"/>
  <c r="AN46" i="7"/>
  <c r="AP44" i="7"/>
  <c r="BO44" i="7" s="1"/>
  <c r="AE44" i="9"/>
  <c r="BA42" i="7"/>
  <c r="BJ42" i="7"/>
  <c r="BG44" i="7"/>
  <c r="BE43" i="7"/>
  <c r="BD43" i="7"/>
  <c r="AL48" i="7"/>
  <c r="AC46" i="9" l="1"/>
  <c r="AV45" i="7"/>
  <c r="BI45" i="7" s="1"/>
  <c r="AM48" i="7"/>
  <c r="BB47" i="7"/>
  <c r="BC47" i="7"/>
  <c r="AE45" i="9"/>
  <c r="BA43" i="7"/>
  <c r="BJ43" i="7"/>
  <c r="BH47" i="7"/>
  <c r="BN47" i="7"/>
  <c r="BK47" i="7"/>
  <c r="AD50" i="9"/>
  <c r="AF50" i="9"/>
  <c r="AB50" i="9"/>
  <c r="AR48" i="7"/>
  <c r="AE48" i="7"/>
  <c r="AF48" i="7"/>
  <c r="AK49" i="7"/>
  <c r="AW44" i="7"/>
  <c r="BL44" i="7" s="1"/>
  <c r="AZ44" i="7"/>
  <c r="BF44" i="7" s="1"/>
  <c r="AG46" i="9" s="1"/>
  <c r="BM44" i="7"/>
  <c r="BG45" i="7"/>
  <c r="AQ46" i="7"/>
  <c r="AT46" i="7"/>
  <c r="AU46" i="7" s="1"/>
  <c r="AV46" i="7" s="1"/>
  <c r="AY46" i="7"/>
  <c r="AO47" i="7"/>
  <c r="AN47" i="7"/>
  <c r="AP45" i="7"/>
  <c r="BO45" i="7" s="1"/>
  <c r="AL49" i="7"/>
  <c r="BE44" i="7"/>
  <c r="BD44" i="7"/>
  <c r="AC47" i="9" l="1"/>
  <c r="BI46" i="7"/>
  <c r="AM49" i="7"/>
  <c r="BC48" i="7"/>
  <c r="BB48" i="7"/>
  <c r="AC48" i="9"/>
  <c r="BG46" i="7"/>
  <c r="AE46" i="9"/>
  <c r="BA44" i="7"/>
  <c r="BJ44" i="7"/>
  <c r="AT47" i="7"/>
  <c r="AU47" i="7" s="1"/>
  <c r="AV47" i="7" s="1"/>
  <c r="AQ47" i="7"/>
  <c r="AD51" i="9"/>
  <c r="AF51" i="9"/>
  <c r="AE49" i="7"/>
  <c r="AB51" i="9"/>
  <c r="AF49" i="7"/>
  <c r="AK50" i="7"/>
  <c r="AR49" i="7"/>
  <c r="BH48" i="7"/>
  <c r="BN48" i="7"/>
  <c r="BK48" i="7"/>
  <c r="AW45" i="7"/>
  <c r="BL45" i="7" s="1"/>
  <c r="AZ45" i="7"/>
  <c r="BF45" i="7" s="1"/>
  <c r="AG47" i="9" s="1"/>
  <c r="BM45" i="7"/>
  <c r="AO48" i="7"/>
  <c r="AY47" i="7"/>
  <c r="AN48" i="7"/>
  <c r="AP46" i="7"/>
  <c r="BO46" i="7" s="1"/>
  <c r="BE45" i="7"/>
  <c r="AL50" i="7"/>
  <c r="BD45" i="7"/>
  <c r="BI47" i="7" l="1"/>
  <c r="AM50" i="7"/>
  <c r="BB49" i="7"/>
  <c r="BC49" i="7"/>
  <c r="AF52" i="9"/>
  <c r="AD52" i="9"/>
  <c r="AB52" i="9"/>
  <c r="AR50" i="7"/>
  <c r="AE50" i="7"/>
  <c r="AF50" i="7"/>
  <c r="AK51" i="7"/>
  <c r="AE47" i="9"/>
  <c r="BA45" i="7"/>
  <c r="BJ45" i="7"/>
  <c r="BH49" i="7"/>
  <c r="BN49" i="7"/>
  <c r="BK49" i="7"/>
  <c r="AY48" i="7"/>
  <c r="AN49" i="7"/>
  <c r="AO49" i="7"/>
  <c r="AP47" i="7"/>
  <c r="BO47" i="7" s="1"/>
  <c r="AQ48" i="7"/>
  <c r="AT48" i="7"/>
  <c r="AU48" i="7" s="1"/>
  <c r="AV48" i="7" s="1"/>
  <c r="AC49" i="9"/>
  <c r="BG47" i="7"/>
  <c r="AW46" i="7"/>
  <c r="BL46" i="7" s="1"/>
  <c r="AZ46" i="7"/>
  <c r="BF46" i="7" s="1"/>
  <c r="AG48" i="9" s="1"/>
  <c r="BM46" i="7"/>
  <c r="BD46" i="7"/>
  <c r="BE46" i="7"/>
  <c r="AL51" i="7"/>
  <c r="BI48" i="7" l="1"/>
  <c r="AM51" i="7"/>
  <c r="BB50" i="7"/>
  <c r="BC50" i="7"/>
  <c r="AT49" i="7"/>
  <c r="AU49" i="7" s="1"/>
  <c r="AV49" i="7" s="1"/>
  <c r="AQ49" i="7"/>
  <c r="AB53" i="9"/>
  <c r="AD53" i="9"/>
  <c r="AF53" i="9"/>
  <c r="AE51" i="7"/>
  <c r="AK52" i="7"/>
  <c r="AR51" i="7"/>
  <c r="AF51" i="7"/>
  <c r="AE48" i="9"/>
  <c r="BA46" i="7"/>
  <c r="BJ46" i="7"/>
  <c r="BH50" i="7"/>
  <c r="BN50" i="7"/>
  <c r="BK50" i="7"/>
  <c r="AW47" i="7"/>
  <c r="BL47" i="7" s="1"/>
  <c r="AZ47" i="7"/>
  <c r="BF47" i="7" s="1"/>
  <c r="AG49" i="9" s="1"/>
  <c r="BM47" i="7"/>
  <c r="AO50" i="7"/>
  <c r="AY49" i="7"/>
  <c r="AN50" i="7"/>
  <c r="AP48" i="7"/>
  <c r="BO48" i="7" s="1"/>
  <c r="AC50" i="9"/>
  <c r="BG48" i="7"/>
  <c r="BD47" i="7"/>
  <c r="AL52" i="7"/>
  <c r="BE47" i="7"/>
  <c r="BI49" i="7" l="1"/>
  <c r="AM52" i="7"/>
  <c r="BB51" i="7"/>
  <c r="BC51" i="7"/>
  <c r="AW48" i="7"/>
  <c r="BL48" i="7" s="1"/>
  <c r="AZ48" i="7"/>
  <c r="BF48" i="7" s="1"/>
  <c r="AG50" i="9" s="1"/>
  <c r="BM48" i="7"/>
  <c r="AY50" i="7"/>
  <c r="AN51" i="7"/>
  <c r="AO51" i="7"/>
  <c r="AP49" i="7"/>
  <c r="BO49" i="7" s="1"/>
  <c r="AE49" i="9"/>
  <c r="BA47" i="7"/>
  <c r="BJ47" i="7"/>
  <c r="AT50" i="7"/>
  <c r="AU50" i="7" s="1"/>
  <c r="AV50" i="7" s="1"/>
  <c r="AQ50" i="7"/>
  <c r="AC51" i="9"/>
  <c r="BG49" i="7"/>
  <c r="AD54" i="9"/>
  <c r="AF54" i="9"/>
  <c r="AR52" i="7"/>
  <c r="AB54" i="9"/>
  <c r="AE52" i="7"/>
  <c r="AF52" i="7"/>
  <c r="AK53" i="7"/>
  <c r="BH51" i="7"/>
  <c r="BK51" i="7"/>
  <c r="BN51" i="7"/>
  <c r="BD48" i="7"/>
  <c r="AL53" i="7"/>
  <c r="BE48" i="7"/>
  <c r="BI50" i="7" l="1"/>
  <c r="AM53" i="7"/>
  <c r="BC52" i="7"/>
  <c r="BB52" i="7"/>
  <c r="AT51" i="7"/>
  <c r="AU51" i="7" s="1"/>
  <c r="AQ51" i="7"/>
  <c r="AC52" i="9"/>
  <c r="BG50" i="7"/>
  <c r="AW49" i="7"/>
  <c r="BL49" i="7" s="1"/>
  <c r="AZ49" i="7"/>
  <c r="BF49" i="7" s="1"/>
  <c r="AG51" i="9" s="1"/>
  <c r="BM49" i="7"/>
  <c r="BH52" i="7"/>
  <c r="BN52" i="7"/>
  <c r="BK52" i="7"/>
  <c r="AF55" i="9"/>
  <c r="AD55" i="9"/>
  <c r="AB55" i="9"/>
  <c r="AE53" i="7"/>
  <c r="AF53" i="7"/>
  <c r="AK54" i="7"/>
  <c r="AR53" i="7"/>
  <c r="AO52" i="7"/>
  <c r="AY51" i="7"/>
  <c r="AN52" i="7"/>
  <c r="AP50" i="7"/>
  <c r="BO50" i="7" s="1"/>
  <c r="AE50" i="9"/>
  <c r="BA48" i="7"/>
  <c r="BJ48" i="7"/>
  <c r="BE49" i="7"/>
  <c r="AL54" i="7"/>
  <c r="BD49" i="7"/>
  <c r="AV51" i="7" l="1"/>
  <c r="BI51" i="7" s="1"/>
  <c r="AM54" i="7"/>
  <c r="BB53" i="7"/>
  <c r="BC53" i="7"/>
  <c r="AB56" i="9"/>
  <c r="AF56" i="9"/>
  <c r="AR54" i="7"/>
  <c r="AD56" i="9"/>
  <c r="AE54" i="7"/>
  <c r="AF54" i="7"/>
  <c r="AK55" i="7"/>
  <c r="AY52" i="7"/>
  <c r="AO53" i="7"/>
  <c r="AN53" i="7"/>
  <c r="AP51" i="7"/>
  <c r="BO51" i="7" s="1"/>
  <c r="BH53" i="7"/>
  <c r="BN53" i="7"/>
  <c r="BK53" i="7"/>
  <c r="AE51" i="9"/>
  <c r="BA49" i="7"/>
  <c r="BJ49" i="7"/>
  <c r="AQ52" i="7"/>
  <c r="AT52" i="7"/>
  <c r="AU52" i="7" s="1"/>
  <c r="AV52" i="7" s="1"/>
  <c r="AW50" i="7"/>
  <c r="BL50" i="7" s="1"/>
  <c r="AZ50" i="7"/>
  <c r="BF50" i="7" s="1"/>
  <c r="AG52" i="9" s="1"/>
  <c r="BM50" i="7"/>
  <c r="BG51" i="7"/>
  <c r="AL55" i="7"/>
  <c r="BE50" i="7"/>
  <c r="BD50" i="7"/>
  <c r="AC53" i="9" l="1"/>
  <c r="BI52" i="7"/>
  <c r="AM55" i="7"/>
  <c r="BC54" i="7"/>
  <c r="BB54" i="7"/>
  <c r="AB57" i="9"/>
  <c r="AF57" i="9"/>
  <c r="AE55" i="7"/>
  <c r="AD57" i="9"/>
  <c r="AK56" i="7"/>
  <c r="AF55" i="7"/>
  <c r="AR55" i="7"/>
  <c r="AW51" i="7"/>
  <c r="BL51" i="7" s="1"/>
  <c r="AZ51" i="7"/>
  <c r="BF51" i="7" s="1"/>
  <c r="AG53" i="9" s="1"/>
  <c r="BM51" i="7"/>
  <c r="AO54" i="7"/>
  <c r="AY53" i="7"/>
  <c r="AN54" i="7"/>
  <c r="AP52" i="7"/>
  <c r="BO52" i="7" s="1"/>
  <c r="BH54" i="7"/>
  <c r="BN54" i="7"/>
  <c r="BK54" i="7"/>
  <c r="AE52" i="9"/>
  <c r="BA50" i="7"/>
  <c r="BJ50" i="7"/>
  <c r="AT53" i="7"/>
  <c r="AU53" i="7" s="1"/>
  <c r="AQ53" i="7"/>
  <c r="AC54" i="9"/>
  <c r="BG52" i="7"/>
  <c r="BE51" i="7"/>
  <c r="BD51" i="7"/>
  <c r="AL56" i="7"/>
  <c r="AV53" i="7" l="1"/>
  <c r="BI53" i="7" s="1"/>
  <c r="AM56" i="7"/>
  <c r="BB55" i="7"/>
  <c r="BC55" i="7"/>
  <c r="AT54" i="7"/>
  <c r="AU54" i="7" s="1"/>
  <c r="AQ54" i="7"/>
  <c r="AF58" i="9"/>
  <c r="AD58" i="9"/>
  <c r="AB58" i="9"/>
  <c r="AR56" i="7"/>
  <c r="AE56" i="7"/>
  <c r="AF56" i="7"/>
  <c r="AK57" i="7"/>
  <c r="AY54" i="7"/>
  <c r="AO55" i="7"/>
  <c r="AN55" i="7"/>
  <c r="AP53" i="7"/>
  <c r="BO53" i="7" s="1"/>
  <c r="BG53" i="7"/>
  <c r="AW52" i="7"/>
  <c r="BL52" i="7" s="1"/>
  <c r="AZ52" i="7"/>
  <c r="BF52" i="7" s="1"/>
  <c r="AG54" i="9" s="1"/>
  <c r="BM52" i="7"/>
  <c r="AE53" i="9"/>
  <c r="BA51" i="7"/>
  <c r="BJ51" i="7"/>
  <c r="BH55" i="7"/>
  <c r="BN55" i="7"/>
  <c r="BK55" i="7"/>
  <c r="BE52" i="7"/>
  <c r="AL57" i="7"/>
  <c r="BD52" i="7"/>
  <c r="AC55" i="9" l="1"/>
  <c r="AV54" i="7"/>
  <c r="BI54" i="7" s="1"/>
  <c r="AM57" i="7"/>
  <c r="BC56" i="7"/>
  <c r="BB56" i="7"/>
  <c r="AO56" i="7"/>
  <c r="AY55" i="7"/>
  <c r="AN56" i="7"/>
  <c r="AP54" i="7"/>
  <c r="BO54" i="7" s="1"/>
  <c r="AT55" i="7"/>
  <c r="AU55" i="7" s="1"/>
  <c r="AQ55" i="7"/>
  <c r="BH56" i="7"/>
  <c r="BN56" i="7"/>
  <c r="BK56" i="7"/>
  <c r="AW53" i="7"/>
  <c r="BL53" i="7" s="1"/>
  <c r="AZ53" i="7"/>
  <c r="BF53" i="7" s="1"/>
  <c r="AG55" i="9" s="1"/>
  <c r="BM53" i="7"/>
  <c r="AE54" i="9"/>
  <c r="BA52" i="7"/>
  <c r="BJ52" i="7"/>
  <c r="AB59" i="9"/>
  <c r="AF59" i="9"/>
  <c r="AD59" i="9"/>
  <c r="AE57" i="7"/>
  <c r="AK58" i="7"/>
  <c r="AF57" i="7"/>
  <c r="AR57" i="7"/>
  <c r="BD53" i="7"/>
  <c r="AL58" i="7"/>
  <c r="BE53" i="7"/>
  <c r="AC56" i="9" l="1"/>
  <c r="BG54" i="7"/>
  <c r="AV55" i="7"/>
  <c r="BI55" i="7" s="1"/>
  <c r="AM58" i="7"/>
  <c r="BB57" i="7"/>
  <c r="BC57" i="7"/>
  <c r="BH57" i="7"/>
  <c r="BK57" i="7"/>
  <c r="BN57" i="7"/>
  <c r="AB60" i="9"/>
  <c r="AD60" i="9"/>
  <c r="AF60" i="9"/>
  <c r="AR58" i="7"/>
  <c r="AE58" i="7"/>
  <c r="AF58" i="7"/>
  <c r="AK59" i="7"/>
  <c r="AW54" i="7"/>
  <c r="BL54" i="7" s="1"/>
  <c r="AZ54" i="7"/>
  <c r="BF54" i="7" s="1"/>
  <c r="AG56" i="9" s="1"/>
  <c r="BM54" i="7"/>
  <c r="AY56" i="7"/>
  <c r="AO57" i="7"/>
  <c r="AN57" i="7"/>
  <c r="AP55" i="7"/>
  <c r="BO55" i="7" s="1"/>
  <c r="AE55" i="9"/>
  <c r="BA53" i="7"/>
  <c r="BJ53" i="7"/>
  <c r="AQ56" i="7"/>
  <c r="AT56" i="7"/>
  <c r="AU56" i="7" s="1"/>
  <c r="AV56" i="7" s="1"/>
  <c r="BG55" i="7"/>
  <c r="AL59" i="7"/>
  <c r="BE54" i="7"/>
  <c r="BD54" i="7"/>
  <c r="AC57" i="9" l="1"/>
  <c r="BI56" i="7"/>
  <c r="AM59" i="7"/>
  <c r="BC58" i="7"/>
  <c r="BB58" i="7"/>
  <c r="AO58" i="7"/>
  <c r="AY57" i="7"/>
  <c r="AN58" i="7"/>
  <c r="AP56" i="7"/>
  <c r="BO56" i="7" s="1"/>
  <c r="AF61" i="9"/>
  <c r="AB61" i="9"/>
  <c r="AD61" i="9"/>
  <c r="AE59" i="7"/>
  <c r="AF59" i="7"/>
  <c r="AK60" i="7"/>
  <c r="AR59" i="7"/>
  <c r="AT57" i="7"/>
  <c r="AU57" i="7" s="1"/>
  <c r="AQ57" i="7"/>
  <c r="AW55" i="7"/>
  <c r="BL55" i="7" s="1"/>
  <c r="AZ55" i="7"/>
  <c r="BF55" i="7" s="1"/>
  <c r="AG57" i="9" s="1"/>
  <c r="BM55" i="7"/>
  <c r="BH58" i="7"/>
  <c r="BN58" i="7"/>
  <c r="BK58" i="7"/>
  <c r="AC58" i="9"/>
  <c r="BG56" i="7"/>
  <c r="AE56" i="9"/>
  <c r="BA54" i="7"/>
  <c r="BJ54" i="7"/>
  <c r="BD55" i="7"/>
  <c r="AL60" i="7"/>
  <c r="BE55" i="7"/>
  <c r="AV57" i="7" l="1"/>
  <c r="BI57" i="7" s="1"/>
  <c r="AM60" i="7"/>
  <c r="BB59" i="7"/>
  <c r="BC59" i="7"/>
  <c r="AW56" i="7"/>
  <c r="BL56" i="7" s="1"/>
  <c r="AZ56" i="7"/>
  <c r="BF56" i="7" s="1"/>
  <c r="AG58" i="9" s="1"/>
  <c r="BM56" i="7"/>
  <c r="AY58" i="7"/>
  <c r="AO59" i="7"/>
  <c r="AN59" i="7"/>
  <c r="AP57" i="7"/>
  <c r="BO57" i="7" s="1"/>
  <c r="AD62" i="9"/>
  <c r="AF62" i="9"/>
  <c r="AB62" i="9"/>
  <c r="AR60" i="7"/>
  <c r="AE60" i="7"/>
  <c r="AF60" i="7"/>
  <c r="AK61" i="7"/>
  <c r="BH59" i="7"/>
  <c r="BN59" i="7"/>
  <c r="BK59" i="7"/>
  <c r="AT58" i="7"/>
  <c r="AU58" i="7" s="1"/>
  <c r="AQ58" i="7"/>
  <c r="AE57" i="9"/>
  <c r="BA55" i="7"/>
  <c r="BJ55" i="7"/>
  <c r="BD56" i="7"/>
  <c r="BE56" i="7"/>
  <c r="AL61" i="7"/>
  <c r="BG57" i="7" l="1"/>
  <c r="AC59" i="9"/>
  <c r="AV58" i="7"/>
  <c r="AC60" i="9" s="1"/>
  <c r="AM61" i="7"/>
  <c r="BC60" i="7"/>
  <c r="BB60" i="7"/>
  <c r="AW57" i="7"/>
  <c r="BL57" i="7" s="1"/>
  <c r="AZ57" i="7"/>
  <c r="BF57" i="7" s="1"/>
  <c r="AG59" i="9" s="1"/>
  <c r="BM57" i="7"/>
  <c r="AB63" i="9"/>
  <c r="AD63" i="9"/>
  <c r="AF63" i="9"/>
  <c r="AE61" i="7"/>
  <c r="AF61" i="7"/>
  <c r="AK62" i="7"/>
  <c r="AR61" i="7"/>
  <c r="AT59" i="7"/>
  <c r="AU59" i="7" s="1"/>
  <c r="AQ59" i="7"/>
  <c r="BH60" i="7"/>
  <c r="BN60" i="7"/>
  <c r="BK60" i="7"/>
  <c r="AO60" i="7"/>
  <c r="AY59" i="7"/>
  <c r="AN60" i="7"/>
  <c r="AP58" i="7"/>
  <c r="BO58" i="7" s="1"/>
  <c r="AE58" i="9"/>
  <c r="BA56" i="7"/>
  <c r="BJ56" i="7"/>
  <c r="BE57" i="7"/>
  <c r="BD57" i="7"/>
  <c r="AL62" i="7"/>
  <c r="BG58" i="7" l="1"/>
  <c r="BI58" i="7"/>
  <c r="AV59" i="7"/>
  <c r="BI59" i="7" s="1"/>
  <c r="AM62" i="7"/>
  <c r="BB61" i="7"/>
  <c r="BC61" i="7"/>
  <c r="AW58" i="7"/>
  <c r="BL58" i="7" s="1"/>
  <c r="AZ58" i="7"/>
  <c r="BF58" i="7" s="1"/>
  <c r="AG60" i="9" s="1"/>
  <c r="BM58" i="7"/>
  <c r="AY60" i="7"/>
  <c r="AO61" i="7"/>
  <c r="AN61" i="7"/>
  <c r="AP59" i="7"/>
  <c r="BO59" i="7" s="1"/>
  <c r="BH61" i="7"/>
  <c r="BK61" i="7"/>
  <c r="BN61" i="7"/>
  <c r="AT60" i="7"/>
  <c r="AU60" i="7" s="1"/>
  <c r="AQ60" i="7"/>
  <c r="AC61" i="9"/>
  <c r="BG59" i="7"/>
  <c r="AD64" i="9"/>
  <c r="AF64" i="9"/>
  <c r="AB64" i="9"/>
  <c r="AR62" i="7"/>
  <c r="AE62" i="7"/>
  <c r="AF62" i="7"/>
  <c r="AK63" i="7"/>
  <c r="AE59" i="9"/>
  <c r="BA57" i="7"/>
  <c r="BJ57" i="7"/>
  <c r="AL63" i="7"/>
  <c r="BD58" i="7"/>
  <c r="BE58" i="7"/>
  <c r="AV60" i="7" l="1"/>
  <c r="AC62" i="9" s="1"/>
  <c r="AM63" i="7"/>
  <c r="BC62" i="7"/>
  <c r="BB62" i="7"/>
  <c r="AT61" i="7"/>
  <c r="AU61" i="7" s="1"/>
  <c r="AQ61" i="7"/>
  <c r="BG60" i="7"/>
  <c r="AO62" i="7"/>
  <c r="AY61" i="7"/>
  <c r="AN62" i="7"/>
  <c r="AP60" i="7"/>
  <c r="BO60" i="7" s="1"/>
  <c r="BH62" i="7"/>
  <c r="BN62" i="7"/>
  <c r="BK62" i="7"/>
  <c r="AW59" i="7"/>
  <c r="BL59" i="7" s="1"/>
  <c r="AZ59" i="7"/>
  <c r="BF59" i="7" s="1"/>
  <c r="AG61" i="9" s="1"/>
  <c r="BM59" i="7"/>
  <c r="AF65" i="9"/>
  <c r="AB65" i="9"/>
  <c r="AD65" i="9"/>
  <c r="AE63" i="7"/>
  <c r="AF63" i="7"/>
  <c r="AK64" i="7"/>
  <c r="AR63" i="7"/>
  <c r="AE60" i="9"/>
  <c r="BA58" i="7"/>
  <c r="BJ58" i="7"/>
  <c r="AL64" i="7"/>
  <c r="BE59" i="7"/>
  <c r="BD59" i="7"/>
  <c r="BI60" i="7" l="1"/>
  <c r="AV61" i="7"/>
  <c r="BI61" i="7" s="1"/>
  <c r="AM64" i="7"/>
  <c r="BB63" i="7"/>
  <c r="BC63" i="7"/>
  <c r="BG61" i="7"/>
  <c r="AD66" i="9"/>
  <c r="AF66" i="9"/>
  <c r="AB66" i="9"/>
  <c r="AR64" i="7"/>
  <c r="AE64" i="7"/>
  <c r="AF64" i="7"/>
  <c r="AK65" i="7"/>
  <c r="AE61" i="9"/>
  <c r="BA59" i="7"/>
  <c r="BJ59" i="7"/>
  <c r="AY62" i="7"/>
  <c r="AN63" i="7"/>
  <c r="AO63" i="7"/>
  <c r="AP61" i="7"/>
  <c r="BO61" i="7" s="1"/>
  <c r="AQ62" i="7"/>
  <c r="AT62" i="7"/>
  <c r="AU62" i="7" s="1"/>
  <c r="BH63" i="7"/>
  <c r="BN63" i="7"/>
  <c r="BK63" i="7"/>
  <c r="AW60" i="7"/>
  <c r="BL60" i="7" s="1"/>
  <c r="AZ60" i="7"/>
  <c r="BF60" i="7" s="1"/>
  <c r="AG62" i="9" s="1"/>
  <c r="BM60" i="7"/>
  <c r="AL65" i="7"/>
  <c r="BE60" i="7"/>
  <c r="BD60" i="7"/>
  <c r="AC63" i="9" l="1"/>
  <c r="AV62" i="7"/>
  <c r="BI62" i="7" s="1"/>
  <c r="AM65" i="7"/>
  <c r="BC64" i="7"/>
  <c r="BB64" i="7"/>
  <c r="BH64" i="7"/>
  <c r="BN64" i="7"/>
  <c r="BK64" i="7"/>
  <c r="AO64" i="7"/>
  <c r="AY63" i="7"/>
  <c r="AN64" i="7"/>
  <c r="AP62" i="7"/>
  <c r="BO62" i="7" s="1"/>
  <c r="BG62" i="7"/>
  <c r="AW61" i="7"/>
  <c r="BL61" i="7" s="1"/>
  <c r="AZ61" i="7"/>
  <c r="BF61" i="7" s="1"/>
  <c r="AG63" i="9" s="1"/>
  <c r="BM61" i="7"/>
  <c r="AE62" i="9"/>
  <c r="BA60" i="7"/>
  <c r="BJ60" i="7"/>
  <c r="AT63" i="7"/>
  <c r="AU63" i="7" s="1"/>
  <c r="AQ63" i="7"/>
  <c r="AD67" i="9"/>
  <c r="AF67" i="9"/>
  <c r="AB67" i="9"/>
  <c r="AE65" i="7"/>
  <c r="AK66" i="7"/>
  <c r="AF65" i="7"/>
  <c r="AR65" i="7"/>
  <c r="BD61" i="7"/>
  <c r="BE61" i="7"/>
  <c r="AL66" i="7"/>
  <c r="AC64" i="9" l="1"/>
  <c r="AV63" i="7"/>
  <c r="BI63" i="7" s="1"/>
  <c r="AM66" i="7"/>
  <c r="BC65" i="7"/>
  <c r="BB65" i="7"/>
  <c r="AF68" i="9"/>
  <c r="AB68" i="9"/>
  <c r="AR66" i="7"/>
  <c r="AD68" i="9"/>
  <c r="AE66" i="7"/>
  <c r="AF66" i="7"/>
  <c r="AK67" i="7"/>
  <c r="AW62" i="7"/>
  <c r="BL62" i="7" s="1"/>
  <c r="AZ62" i="7"/>
  <c r="BF62" i="7" s="1"/>
  <c r="AG64" i="9" s="1"/>
  <c r="BM62" i="7"/>
  <c r="AY64" i="7"/>
  <c r="AN65" i="7"/>
  <c r="AO65" i="7"/>
  <c r="AP63" i="7"/>
  <c r="BO63" i="7" s="1"/>
  <c r="AQ64" i="7"/>
  <c r="AT64" i="7"/>
  <c r="AU64" i="7" s="1"/>
  <c r="AE63" i="9"/>
  <c r="BA61" i="7"/>
  <c r="BJ61" i="7"/>
  <c r="BG63" i="7"/>
  <c r="BH65" i="7"/>
  <c r="BN65" i="7"/>
  <c r="BK65" i="7"/>
  <c r="BE62" i="7"/>
  <c r="AL67" i="7"/>
  <c r="BD62" i="7"/>
  <c r="AC65" i="9" l="1"/>
  <c r="AV64" i="7"/>
  <c r="BI64" i="7" s="1"/>
  <c r="AM67" i="7"/>
  <c r="AO66" i="7" s="1"/>
  <c r="BC66" i="7"/>
  <c r="BB66" i="7"/>
  <c r="AB69" i="9"/>
  <c r="AF69" i="9"/>
  <c r="AD69" i="9"/>
  <c r="AK68" i="7"/>
  <c r="AF67" i="7"/>
  <c r="AE67" i="7"/>
  <c r="AR67" i="7"/>
  <c r="AT65" i="7"/>
  <c r="AU65" i="7" s="1"/>
  <c r="AV65" i="7" s="1"/>
  <c r="AQ65" i="7"/>
  <c r="AY65" i="7"/>
  <c r="AP64" i="7"/>
  <c r="BO64" i="7" s="1"/>
  <c r="AE64" i="9"/>
  <c r="BA62" i="7"/>
  <c r="BJ62" i="7"/>
  <c r="BH66" i="7"/>
  <c r="BN66" i="7"/>
  <c r="BK66" i="7"/>
  <c r="AW63" i="7"/>
  <c r="BL63" i="7" s="1"/>
  <c r="AZ63" i="7"/>
  <c r="BF63" i="7" s="1"/>
  <c r="AG65" i="9" s="1"/>
  <c r="BM63" i="7"/>
  <c r="BD63" i="7"/>
  <c r="BE63" i="7"/>
  <c r="AL68" i="7"/>
  <c r="BG64" i="7" l="1"/>
  <c r="AC66" i="9"/>
  <c r="BI65" i="7"/>
  <c r="AN66" i="7"/>
  <c r="AM68" i="7"/>
  <c r="BC67" i="7"/>
  <c r="BB67" i="7"/>
  <c r="AW64" i="7"/>
  <c r="BL64" i="7" s="1"/>
  <c r="AZ64" i="7"/>
  <c r="BF64" i="7" s="1"/>
  <c r="AG66" i="9" s="1"/>
  <c r="BM64" i="7"/>
  <c r="AE65" i="9"/>
  <c r="BA63" i="7"/>
  <c r="BJ63" i="7"/>
  <c r="BK67" i="7"/>
  <c r="BH67" i="7"/>
  <c r="BN67" i="7"/>
  <c r="AQ66" i="7"/>
  <c r="AD70" i="9"/>
  <c r="AF70" i="9"/>
  <c r="AB70" i="9"/>
  <c r="AE68" i="7"/>
  <c r="AR68" i="7"/>
  <c r="AF68" i="7"/>
  <c r="AK69" i="7"/>
  <c r="AC67" i="9"/>
  <c r="BG65" i="7"/>
  <c r="BE64" i="7"/>
  <c r="BD64" i="7"/>
  <c r="AL69" i="7"/>
  <c r="AO67" i="7" l="1"/>
  <c r="AQ67" i="7" s="1"/>
  <c r="AY66" i="7"/>
  <c r="AT66" i="7"/>
  <c r="AU66" i="7" s="1"/>
  <c r="AV66" i="7" s="1"/>
  <c r="AP65" i="7"/>
  <c r="BO65" i="7" s="1"/>
  <c r="AN67" i="7"/>
  <c r="AM69" i="7"/>
  <c r="BB68" i="7"/>
  <c r="BC68" i="7"/>
  <c r="AF71" i="9"/>
  <c r="AB71" i="9"/>
  <c r="AD71" i="9"/>
  <c r="AK70" i="7"/>
  <c r="AE69" i="7"/>
  <c r="AF69" i="7"/>
  <c r="AR69" i="7"/>
  <c r="BM65" i="7"/>
  <c r="BN68" i="7"/>
  <c r="BK68" i="7"/>
  <c r="BH68" i="7"/>
  <c r="BG66" i="7"/>
  <c r="AE66" i="9"/>
  <c r="BA64" i="7"/>
  <c r="BJ64" i="7"/>
  <c r="AL70" i="7"/>
  <c r="AY67" i="7" l="1"/>
  <c r="BI66" i="7"/>
  <c r="AW65" i="7"/>
  <c r="AE67" i="9" s="1"/>
  <c r="AT67" i="7"/>
  <c r="AU67" i="7" s="1"/>
  <c r="AV67" i="7" s="1"/>
  <c r="AC68" i="9"/>
  <c r="AZ65" i="7"/>
  <c r="BF65" i="7" s="1"/>
  <c r="AG67" i="9" s="1"/>
  <c r="AP66" i="7"/>
  <c r="BO66" i="7" s="1"/>
  <c r="AN68" i="7"/>
  <c r="AO68" i="7"/>
  <c r="AM70" i="7"/>
  <c r="BB69" i="7"/>
  <c r="BC69" i="7"/>
  <c r="BH69" i="7"/>
  <c r="BN69" i="7"/>
  <c r="BK69" i="7"/>
  <c r="BJ65" i="7"/>
  <c r="AB72" i="9"/>
  <c r="AF72" i="9"/>
  <c r="AD72" i="9"/>
  <c r="AE70" i="7"/>
  <c r="AR70" i="7"/>
  <c r="AF70" i="7"/>
  <c r="AK71" i="7"/>
  <c r="BG67" i="7"/>
  <c r="AL71" i="7"/>
  <c r="BD65" i="7"/>
  <c r="BE65" i="7"/>
  <c r="BM66" i="7" l="1"/>
  <c r="BI67" i="7"/>
  <c r="AO69" i="7"/>
  <c r="AQ69" i="7" s="1"/>
  <c r="BA65" i="7"/>
  <c r="BL65" i="7"/>
  <c r="AC69" i="9"/>
  <c r="AZ66" i="7"/>
  <c r="BF66" i="7" s="1"/>
  <c r="AG68" i="9" s="1"/>
  <c r="AN69" i="7"/>
  <c r="AT68" i="7"/>
  <c r="AU68" i="7" s="1"/>
  <c r="AV68" i="7" s="1"/>
  <c r="BG68" i="7" s="1"/>
  <c r="AY68" i="7"/>
  <c r="AQ68" i="7"/>
  <c r="AP67" i="7"/>
  <c r="BO67" i="7" s="1"/>
  <c r="AW66" i="7"/>
  <c r="BJ66" i="7" s="1"/>
  <c r="AM71" i="7"/>
  <c r="BB70" i="7"/>
  <c r="BC70" i="7"/>
  <c r="AB73" i="9"/>
  <c r="AF73" i="9"/>
  <c r="AD73" i="9"/>
  <c r="AK72" i="7"/>
  <c r="AF71" i="7"/>
  <c r="AE71" i="7"/>
  <c r="AR71" i="7"/>
  <c r="BN70" i="7"/>
  <c r="BK70" i="7"/>
  <c r="BH70" i="7"/>
  <c r="BE66" i="7"/>
  <c r="BD66" i="7"/>
  <c r="AL72" i="7"/>
  <c r="BM67" i="7" l="1"/>
  <c r="AN70" i="7"/>
  <c r="AY70" i="7" s="1"/>
  <c r="AP68" i="7"/>
  <c r="BO68" i="7" s="1"/>
  <c r="AO70" i="7"/>
  <c r="AQ70" i="7" s="1"/>
  <c r="AT69" i="7"/>
  <c r="AU69" i="7" s="1"/>
  <c r="AV69" i="7" s="1"/>
  <c r="BG69" i="7" s="1"/>
  <c r="AY69" i="7"/>
  <c r="BI68" i="7"/>
  <c r="AC70" i="9"/>
  <c r="AZ67" i="7"/>
  <c r="BF67" i="7" s="1"/>
  <c r="AG69" i="9" s="1"/>
  <c r="AW67" i="7"/>
  <c r="BA67" i="7" s="1"/>
  <c r="BA66" i="7"/>
  <c r="AE68" i="9"/>
  <c r="BL66" i="7"/>
  <c r="AM72" i="7"/>
  <c r="BB71" i="7"/>
  <c r="BC71" i="7"/>
  <c r="BH71" i="7"/>
  <c r="BK71" i="7"/>
  <c r="BN71" i="7"/>
  <c r="AF74" i="9"/>
  <c r="AB74" i="9"/>
  <c r="AE72" i="7"/>
  <c r="AD74" i="9"/>
  <c r="AR72" i="7"/>
  <c r="AF72" i="7"/>
  <c r="AK73" i="7"/>
  <c r="BJ67" i="7"/>
  <c r="BD67" i="7"/>
  <c r="BE67" i="7"/>
  <c r="AL73" i="7"/>
  <c r="BM68" i="7" l="1"/>
  <c r="AZ68" i="7"/>
  <c r="BF68" i="7" s="1"/>
  <c r="AG70" i="9" s="1"/>
  <c r="AN71" i="7"/>
  <c r="AN72" i="7" s="1"/>
  <c r="AO71" i="7"/>
  <c r="AQ71" i="7" s="1"/>
  <c r="AP69" i="7"/>
  <c r="BO69" i="7" s="1"/>
  <c r="AW68" i="7"/>
  <c r="BA68" i="7" s="1"/>
  <c r="BI69" i="7"/>
  <c r="AC71" i="9"/>
  <c r="AT70" i="7"/>
  <c r="AU70" i="7" s="1"/>
  <c r="AE69" i="9"/>
  <c r="BL67" i="7"/>
  <c r="AM73" i="7"/>
  <c r="BB72" i="7"/>
  <c r="BC72" i="7"/>
  <c r="BJ68" i="7"/>
  <c r="AB75" i="9"/>
  <c r="AF75" i="9"/>
  <c r="AD75" i="9"/>
  <c r="AF73" i="7"/>
  <c r="AE73" i="7"/>
  <c r="AK74" i="7"/>
  <c r="AR73" i="7"/>
  <c r="BN72" i="7"/>
  <c r="BK72" i="7"/>
  <c r="BH72" i="7"/>
  <c r="BE68" i="7"/>
  <c r="BD68" i="7"/>
  <c r="AL74" i="7"/>
  <c r="AE70" i="9" l="1"/>
  <c r="BM69" i="7"/>
  <c r="AZ69" i="7"/>
  <c r="BF69" i="7" s="1"/>
  <c r="AG71" i="9" s="1"/>
  <c r="AW69" i="7"/>
  <c r="AE71" i="9" s="1"/>
  <c r="AY71" i="7"/>
  <c r="AO72" i="7"/>
  <c r="AT72" i="7" s="1"/>
  <c r="AU72" i="7" s="1"/>
  <c r="AT71" i="7"/>
  <c r="AU71" i="7" s="1"/>
  <c r="AV71" i="7" s="1"/>
  <c r="AC73" i="9" s="1"/>
  <c r="AP70" i="7"/>
  <c r="BO70" i="7" s="1"/>
  <c r="BL68" i="7"/>
  <c r="AV70" i="7"/>
  <c r="AM74" i="7"/>
  <c r="AO73" i="7" s="1"/>
  <c r="BB73" i="7"/>
  <c r="BC73" i="7"/>
  <c r="AB76" i="9"/>
  <c r="AD76" i="9"/>
  <c r="AF76" i="9"/>
  <c r="AE74" i="7"/>
  <c r="AR74" i="7"/>
  <c r="AF74" i="7"/>
  <c r="AK75" i="7"/>
  <c r="AY72" i="7"/>
  <c r="AP71" i="7"/>
  <c r="BO71" i="7" s="1"/>
  <c r="BH73" i="7"/>
  <c r="BN73" i="7"/>
  <c r="BK73" i="7"/>
  <c r="AL75" i="7"/>
  <c r="BD69" i="7"/>
  <c r="BE69" i="7"/>
  <c r="BJ69" i="7" l="1"/>
  <c r="BA69" i="7"/>
  <c r="BM70" i="7"/>
  <c r="BI70" i="7"/>
  <c r="BG70" i="7"/>
  <c r="BG71" i="7"/>
  <c r="AQ72" i="7"/>
  <c r="AZ70" i="7"/>
  <c r="BF70" i="7" s="1"/>
  <c r="AG72" i="9" s="1"/>
  <c r="BL69" i="7"/>
  <c r="AW70" i="7"/>
  <c r="AE72" i="9" s="1"/>
  <c r="AC72" i="9"/>
  <c r="AN73" i="7"/>
  <c r="AY73" i="7" s="1"/>
  <c r="BI71" i="7"/>
  <c r="AV72" i="7"/>
  <c r="BI72" i="7" s="1"/>
  <c r="AM75" i="7"/>
  <c r="BB74" i="7"/>
  <c r="BC74" i="7"/>
  <c r="AQ73" i="7"/>
  <c r="BN74" i="7"/>
  <c r="BK74" i="7"/>
  <c r="BH74" i="7"/>
  <c r="AW71" i="7"/>
  <c r="BL71" i="7" s="1"/>
  <c r="AZ71" i="7"/>
  <c r="BF71" i="7" s="1"/>
  <c r="AG73" i="9" s="1"/>
  <c r="BM71" i="7"/>
  <c r="AF77" i="9"/>
  <c r="AB77" i="9"/>
  <c r="AD77" i="9"/>
  <c r="AK76" i="7"/>
  <c r="AF75" i="7"/>
  <c r="AE75" i="7"/>
  <c r="AR75" i="7"/>
  <c r="BE70" i="7"/>
  <c r="AL76" i="7"/>
  <c r="BD70" i="7"/>
  <c r="BE71" i="7"/>
  <c r="BD71" i="7"/>
  <c r="BG72" i="7" l="1"/>
  <c r="BJ70" i="7"/>
  <c r="AN74" i="7"/>
  <c r="AP73" i="7" s="1"/>
  <c r="BO73" i="7" s="1"/>
  <c r="BA70" i="7"/>
  <c r="BL70" i="7"/>
  <c r="AT73" i="7"/>
  <c r="AU73" i="7" s="1"/>
  <c r="AV73" i="7" s="1"/>
  <c r="AC75" i="9" s="1"/>
  <c r="AP72" i="7"/>
  <c r="BO72" i="7" s="1"/>
  <c r="AC74" i="9"/>
  <c r="AO74" i="7"/>
  <c r="AQ74" i="7" s="1"/>
  <c r="AM76" i="7"/>
  <c r="BB75" i="7"/>
  <c r="BC75" i="7"/>
  <c r="AE73" i="9"/>
  <c r="BA71" i="7"/>
  <c r="BJ71" i="7"/>
  <c r="BH75" i="7"/>
  <c r="BK75" i="7"/>
  <c r="BN75" i="7"/>
  <c r="AF78" i="9"/>
  <c r="AB78" i="9"/>
  <c r="AD78" i="9"/>
  <c r="AE76" i="7"/>
  <c r="AR76" i="7"/>
  <c r="AF76" i="7"/>
  <c r="AK77" i="7"/>
  <c r="AL77" i="7"/>
  <c r="AY74" i="7" l="1"/>
  <c r="AO75" i="7"/>
  <c r="BM72" i="7"/>
  <c r="BG73" i="7"/>
  <c r="AZ72" i="7"/>
  <c r="BF72" i="7" s="1"/>
  <c r="AG74" i="9" s="1"/>
  <c r="AW72" i="7"/>
  <c r="BA72" i="7" s="1"/>
  <c r="AN75" i="7"/>
  <c r="AP74" i="7" s="1"/>
  <c r="BO74" i="7" s="1"/>
  <c r="AT74" i="7"/>
  <c r="AU74" i="7" s="1"/>
  <c r="AV74" i="7" s="1"/>
  <c r="BI74" i="7" s="1"/>
  <c r="BI73" i="7"/>
  <c r="AM77" i="7"/>
  <c r="BB76" i="7"/>
  <c r="BC76" i="7"/>
  <c r="AB79" i="9"/>
  <c r="AD79" i="9"/>
  <c r="AF79" i="9"/>
  <c r="AE77" i="7"/>
  <c r="AK78" i="7"/>
  <c r="AF77" i="7"/>
  <c r="AR77" i="7"/>
  <c r="BN76" i="7"/>
  <c r="BK76" i="7"/>
  <c r="BH76" i="7"/>
  <c r="AW73" i="7"/>
  <c r="BL73" i="7" s="1"/>
  <c r="AZ73" i="7"/>
  <c r="BF73" i="7" s="1"/>
  <c r="AG75" i="9" s="1"/>
  <c r="BM73" i="7"/>
  <c r="BE72" i="7"/>
  <c r="BD73" i="7"/>
  <c r="BD72" i="7"/>
  <c r="AL78" i="7"/>
  <c r="BE73" i="7"/>
  <c r="AT75" i="7" l="1"/>
  <c r="AU75" i="7" s="1"/>
  <c r="AQ75" i="7"/>
  <c r="BJ72" i="7"/>
  <c r="AE74" i="9"/>
  <c r="BG74" i="7"/>
  <c r="AO76" i="7"/>
  <c r="AQ76" i="7" s="1"/>
  <c r="AY75" i="7"/>
  <c r="BL72" i="7"/>
  <c r="AC76" i="9"/>
  <c r="AN76" i="7"/>
  <c r="AV75" i="7"/>
  <c r="BI75" i="7" s="1"/>
  <c r="AM78" i="7"/>
  <c r="BC77" i="7"/>
  <c r="BB77" i="7"/>
  <c r="AD80" i="9"/>
  <c r="AB80" i="9"/>
  <c r="AF80" i="9"/>
  <c r="AE78" i="7"/>
  <c r="AR78" i="7"/>
  <c r="AF78" i="7"/>
  <c r="AK79" i="7"/>
  <c r="AW74" i="7"/>
  <c r="BL74" i="7" s="1"/>
  <c r="AZ74" i="7"/>
  <c r="BF74" i="7" s="1"/>
  <c r="AG76" i="9" s="1"/>
  <c r="BM74" i="7"/>
  <c r="AE75" i="9"/>
  <c r="BA73" i="7"/>
  <c r="BJ73" i="7"/>
  <c r="BH77" i="7"/>
  <c r="BN77" i="7"/>
  <c r="BK77" i="7"/>
  <c r="AL79" i="7"/>
  <c r="BE74" i="7"/>
  <c r="BD74" i="7"/>
  <c r="AT76" i="7" l="1"/>
  <c r="AU76" i="7" s="1"/>
  <c r="BG75" i="7"/>
  <c r="AN77" i="7"/>
  <c r="AY77" i="7" s="1"/>
  <c r="AY76" i="7"/>
  <c r="AO77" i="7"/>
  <c r="AQ77" i="7" s="1"/>
  <c r="AP75" i="7"/>
  <c r="BO75" i="7" s="1"/>
  <c r="AC77" i="9"/>
  <c r="AV76" i="7"/>
  <c r="BI76" i="7" s="1"/>
  <c r="AM79" i="7"/>
  <c r="BB78" i="7"/>
  <c r="BC78" i="7"/>
  <c r="AE76" i="9"/>
  <c r="BA74" i="7"/>
  <c r="BJ74" i="7"/>
  <c r="AP76" i="7"/>
  <c r="BO76" i="7" s="1"/>
  <c r="BN78" i="7"/>
  <c r="BK78" i="7"/>
  <c r="BH78" i="7"/>
  <c r="AB81" i="9"/>
  <c r="AF81" i="9"/>
  <c r="AD81" i="9"/>
  <c r="AK80" i="7"/>
  <c r="AF79" i="7"/>
  <c r="AE79" i="7"/>
  <c r="AR79" i="7"/>
  <c r="AL80" i="7"/>
  <c r="BG76" i="7" l="1"/>
  <c r="BM75" i="7"/>
  <c r="AO78" i="7"/>
  <c r="AN78" i="7"/>
  <c r="AP77" i="7" s="1"/>
  <c r="BO77" i="7" s="1"/>
  <c r="AT77" i="7"/>
  <c r="AU77" i="7" s="1"/>
  <c r="AV77" i="7" s="1"/>
  <c r="BI77" i="7" s="1"/>
  <c r="AZ75" i="7"/>
  <c r="BF75" i="7" s="1"/>
  <c r="AG77" i="9" s="1"/>
  <c r="AW75" i="7"/>
  <c r="AE77" i="9" s="1"/>
  <c r="AC78" i="9"/>
  <c r="AM80" i="7"/>
  <c r="BB79" i="7"/>
  <c r="BC79" i="7"/>
  <c r="BH79" i="7"/>
  <c r="BK79" i="7"/>
  <c r="BN79" i="7"/>
  <c r="AD82" i="9"/>
  <c r="AB82" i="9"/>
  <c r="AF82" i="9"/>
  <c r="AE80" i="7"/>
  <c r="AR80" i="7"/>
  <c r="AF80" i="7"/>
  <c r="AK81" i="7"/>
  <c r="AW76" i="7"/>
  <c r="BL76" i="7" s="1"/>
  <c r="AZ76" i="7"/>
  <c r="BF76" i="7" s="1"/>
  <c r="AG78" i="9" s="1"/>
  <c r="BM76" i="7"/>
  <c r="AL81" i="7"/>
  <c r="BE75" i="7"/>
  <c r="BD75" i="7"/>
  <c r="BD76" i="7"/>
  <c r="BE76" i="7"/>
  <c r="AT78" i="7" l="1"/>
  <c r="AU78" i="7" s="1"/>
  <c r="AV78" i="7" s="1"/>
  <c r="BI78" i="7" s="1"/>
  <c r="AQ78" i="7"/>
  <c r="BG77" i="7"/>
  <c r="AY78" i="7"/>
  <c r="AO79" i="7"/>
  <c r="AQ79" i="7" s="1"/>
  <c r="AN79" i="7"/>
  <c r="AP78" i="7" s="1"/>
  <c r="BO78" i="7" s="1"/>
  <c r="BJ75" i="7"/>
  <c r="BA75" i="7"/>
  <c r="BL75" i="7"/>
  <c r="AC79" i="9"/>
  <c r="AM81" i="7"/>
  <c r="BB80" i="7"/>
  <c r="BC80" i="7"/>
  <c r="AE78" i="9"/>
  <c r="BA76" i="7"/>
  <c r="BJ76" i="7"/>
  <c r="AD83" i="9"/>
  <c r="AF83" i="9"/>
  <c r="AB83" i="9"/>
  <c r="AK82" i="7"/>
  <c r="AF81" i="7"/>
  <c r="AE81" i="7"/>
  <c r="AR81" i="7"/>
  <c r="AW77" i="7"/>
  <c r="BL77" i="7" s="1"/>
  <c r="AZ77" i="7"/>
  <c r="BF77" i="7" s="1"/>
  <c r="AG79" i="9" s="1"/>
  <c r="BM77" i="7"/>
  <c r="BN80" i="7"/>
  <c r="BK80" i="7"/>
  <c r="BH80" i="7"/>
  <c r="AL82" i="7"/>
  <c r="BE77" i="7"/>
  <c r="BD77" i="7"/>
  <c r="AY79" i="7" l="1"/>
  <c r="AT79" i="7"/>
  <c r="AU79" i="7" s="1"/>
  <c r="AV79" i="7" s="1"/>
  <c r="BI79" i="7" s="1"/>
  <c r="AO80" i="7"/>
  <c r="AQ80" i="7" s="1"/>
  <c r="BG78" i="7"/>
  <c r="AN80" i="7"/>
  <c r="AC80" i="9"/>
  <c r="AM82" i="7"/>
  <c r="BB81" i="7"/>
  <c r="BC81" i="7"/>
  <c r="AE79" i="9"/>
  <c r="BA77" i="7"/>
  <c r="BJ77" i="7"/>
  <c r="BH81" i="7"/>
  <c r="BN81" i="7"/>
  <c r="BK81" i="7"/>
  <c r="AW78" i="7"/>
  <c r="BL78" i="7" s="1"/>
  <c r="AZ78" i="7"/>
  <c r="BF78" i="7" s="1"/>
  <c r="AG80" i="9" s="1"/>
  <c r="BM78" i="7"/>
  <c r="AD84" i="9"/>
  <c r="AF84" i="9"/>
  <c r="AB84" i="9"/>
  <c r="AE82" i="7"/>
  <c r="AR82" i="7"/>
  <c r="AF82" i="7"/>
  <c r="AK83" i="7"/>
  <c r="BD78" i="7"/>
  <c r="AL83" i="7"/>
  <c r="BE78" i="7"/>
  <c r="BG79" i="7" l="1"/>
  <c r="AT80" i="7"/>
  <c r="AU80" i="7" s="1"/>
  <c r="AV80" i="7" s="1"/>
  <c r="BI80" i="7" s="1"/>
  <c r="AP79" i="7"/>
  <c r="BO79" i="7" s="1"/>
  <c r="AY80" i="7"/>
  <c r="AN81" i="7"/>
  <c r="AY81" i="7" s="1"/>
  <c r="AC81" i="9"/>
  <c r="AO81" i="7"/>
  <c r="AM83" i="7"/>
  <c r="BB82" i="7"/>
  <c r="BC82" i="7"/>
  <c r="AB85" i="9"/>
  <c r="AF85" i="9"/>
  <c r="AD85" i="9"/>
  <c r="AK84" i="7"/>
  <c r="AF83" i="7"/>
  <c r="AE83" i="7"/>
  <c r="AR83" i="7"/>
  <c r="AE80" i="9"/>
  <c r="BA78" i="7"/>
  <c r="BJ78" i="7"/>
  <c r="BN82" i="7"/>
  <c r="BK82" i="7"/>
  <c r="BH82" i="7"/>
  <c r="AL84" i="7"/>
  <c r="BM79" i="7" l="1"/>
  <c r="BG80" i="7"/>
  <c r="AO82" i="7"/>
  <c r="AQ82" i="7" s="1"/>
  <c r="AZ79" i="7"/>
  <c r="BF79" i="7" s="1"/>
  <c r="AG81" i="9" s="1"/>
  <c r="AW79" i="7"/>
  <c r="AE81" i="9" s="1"/>
  <c r="AP80" i="7"/>
  <c r="BO80" i="7" s="1"/>
  <c r="AT81" i="7"/>
  <c r="AU81" i="7" s="1"/>
  <c r="AV81" i="7" s="1"/>
  <c r="BI81" i="7" s="1"/>
  <c r="AN82" i="7"/>
  <c r="AC82" i="9"/>
  <c r="AQ81" i="7"/>
  <c r="AM84" i="7"/>
  <c r="BC83" i="7"/>
  <c r="BB83" i="7"/>
  <c r="BH83" i="7"/>
  <c r="BK83" i="7"/>
  <c r="BN83" i="7"/>
  <c r="AD86" i="9"/>
  <c r="AF86" i="9"/>
  <c r="AB86" i="9"/>
  <c r="AE84" i="7"/>
  <c r="AR84" i="7"/>
  <c r="AF84" i="7"/>
  <c r="AK85" i="7"/>
  <c r="BE79" i="7"/>
  <c r="AL85" i="7"/>
  <c r="BD79" i="7"/>
  <c r="AT82" i="7" l="1"/>
  <c r="AU82" i="7" s="1"/>
  <c r="BG81" i="7"/>
  <c r="BJ79" i="7"/>
  <c r="BM80" i="7"/>
  <c r="BA79" i="7"/>
  <c r="AW80" i="7"/>
  <c r="AE82" i="9" s="1"/>
  <c r="BL79" i="7"/>
  <c r="AP81" i="7"/>
  <c r="BO81" i="7" s="1"/>
  <c r="AN83" i="7"/>
  <c r="AP82" i="7" s="1"/>
  <c r="BO82" i="7" s="1"/>
  <c r="AY82" i="7"/>
  <c r="AO83" i="7"/>
  <c r="AQ83" i="7" s="1"/>
  <c r="AZ80" i="7"/>
  <c r="BF80" i="7" s="1"/>
  <c r="AG82" i="9" s="1"/>
  <c r="AC83" i="9"/>
  <c r="AV82" i="7"/>
  <c r="BI82" i="7" s="1"/>
  <c r="AM85" i="7"/>
  <c r="BB84" i="7"/>
  <c r="BC84" i="7"/>
  <c r="AF87" i="9"/>
  <c r="AB87" i="9"/>
  <c r="AD87" i="9"/>
  <c r="AK86" i="7"/>
  <c r="AF85" i="7"/>
  <c r="AE85" i="7"/>
  <c r="AR85" i="7"/>
  <c r="BN84" i="7"/>
  <c r="BK84" i="7"/>
  <c r="BH84" i="7"/>
  <c r="BD80" i="7"/>
  <c r="AL86" i="7"/>
  <c r="BE80" i="7"/>
  <c r="BJ80" i="7" l="1"/>
  <c r="BG82" i="7"/>
  <c r="BA80" i="7"/>
  <c r="AW81" i="7"/>
  <c r="BJ81" i="7" s="1"/>
  <c r="BM81" i="7"/>
  <c r="AY83" i="7"/>
  <c r="AT83" i="7"/>
  <c r="AU83" i="7" s="1"/>
  <c r="AV83" i="7" s="1"/>
  <c r="BI83" i="7" s="1"/>
  <c r="AO84" i="7"/>
  <c r="AQ84" i="7" s="1"/>
  <c r="AZ81" i="7"/>
  <c r="BF81" i="7" s="1"/>
  <c r="AG83" i="9" s="1"/>
  <c r="BL80" i="7"/>
  <c r="AN84" i="7"/>
  <c r="AC84" i="9"/>
  <c r="AM86" i="7"/>
  <c r="BB85" i="7"/>
  <c r="BC85" i="7"/>
  <c r="AE83" i="9"/>
  <c r="BH85" i="7"/>
  <c r="BN85" i="7"/>
  <c r="BK85" i="7"/>
  <c r="AW82" i="7"/>
  <c r="BL82" i="7" s="1"/>
  <c r="AZ82" i="7"/>
  <c r="BF82" i="7" s="1"/>
  <c r="AG84" i="9" s="1"/>
  <c r="BM82" i="7"/>
  <c r="AB88" i="9"/>
  <c r="AD88" i="9"/>
  <c r="AF88" i="9"/>
  <c r="AE86" i="7"/>
  <c r="AR86" i="7"/>
  <c r="AF86" i="7"/>
  <c r="AK87" i="7"/>
  <c r="BD82" i="7"/>
  <c r="BD81" i="7"/>
  <c r="AL87" i="7"/>
  <c r="BE81" i="7"/>
  <c r="BE82" i="7"/>
  <c r="BG83" i="7" l="1"/>
  <c r="BA81" i="7"/>
  <c r="AT84" i="7"/>
  <c r="AU84" i="7" s="1"/>
  <c r="AV84" i="7" s="1"/>
  <c r="BI84" i="7" s="1"/>
  <c r="BL81" i="7"/>
  <c r="AP83" i="7"/>
  <c r="BO83" i="7" s="1"/>
  <c r="AY84" i="7"/>
  <c r="AN85" i="7"/>
  <c r="AP84" i="7" s="1"/>
  <c r="BO84" i="7" s="1"/>
  <c r="AC85" i="9"/>
  <c r="AO85" i="7"/>
  <c r="AQ85" i="7" s="1"/>
  <c r="AM87" i="7"/>
  <c r="BB86" i="7"/>
  <c r="BC86" i="7"/>
  <c r="AE84" i="9"/>
  <c r="BA82" i="7"/>
  <c r="BJ82" i="7"/>
  <c r="AB89" i="9"/>
  <c r="AF89" i="9"/>
  <c r="AD89" i="9"/>
  <c r="AK88" i="7"/>
  <c r="AF87" i="7"/>
  <c r="AE87" i="7"/>
  <c r="AR87" i="7"/>
  <c r="BN86" i="7"/>
  <c r="BK86" i="7"/>
  <c r="BH86" i="7"/>
  <c r="AL88" i="7"/>
  <c r="BM83" i="7" l="1"/>
  <c r="AZ83" i="7"/>
  <c r="BF83" i="7" s="1"/>
  <c r="AG85" i="9" s="1"/>
  <c r="BG84" i="7"/>
  <c r="AY85" i="7"/>
  <c r="AW83" i="7"/>
  <c r="BA83" i="7" s="1"/>
  <c r="AO86" i="7"/>
  <c r="AQ86" i="7" s="1"/>
  <c r="AT85" i="7"/>
  <c r="AU85" i="7" s="1"/>
  <c r="AV85" i="7" s="1"/>
  <c r="BI85" i="7" s="1"/>
  <c r="AC86" i="9"/>
  <c r="AN86" i="7"/>
  <c r="AM88" i="7"/>
  <c r="BB87" i="7"/>
  <c r="BC87" i="7"/>
  <c r="BH87" i="7"/>
  <c r="BK87" i="7"/>
  <c r="BN87" i="7"/>
  <c r="AF90" i="9"/>
  <c r="AB90" i="9"/>
  <c r="AD90" i="9"/>
  <c r="AE88" i="7"/>
  <c r="AR88" i="7"/>
  <c r="AF88" i="7"/>
  <c r="AK89" i="7"/>
  <c r="AW84" i="7"/>
  <c r="BL84" i="7" s="1"/>
  <c r="AZ84" i="7"/>
  <c r="BF84" i="7" s="1"/>
  <c r="AG86" i="9" s="1"/>
  <c r="BM84" i="7"/>
  <c r="BD83" i="7"/>
  <c r="BE84" i="7"/>
  <c r="AL89" i="7"/>
  <c r="BE83" i="7"/>
  <c r="BD84" i="7"/>
  <c r="BG85" i="7" l="1"/>
  <c r="AT86" i="7"/>
  <c r="AU86" i="7" s="1"/>
  <c r="AV86" i="7" s="1"/>
  <c r="BI86" i="7" s="1"/>
  <c r="BJ83" i="7"/>
  <c r="AE85" i="9"/>
  <c r="BL83" i="7"/>
  <c r="AP85" i="7"/>
  <c r="BO85" i="7" s="1"/>
  <c r="AN87" i="7"/>
  <c r="AP86" i="7" s="1"/>
  <c r="BO86" i="7" s="1"/>
  <c r="AO87" i="7"/>
  <c r="AQ87" i="7" s="1"/>
  <c r="AY86" i="7"/>
  <c r="AC87" i="9"/>
  <c r="AM89" i="7"/>
  <c r="BB88" i="7"/>
  <c r="BC88" i="7"/>
  <c r="BN88" i="7"/>
  <c r="BK88" i="7"/>
  <c r="BH88" i="7"/>
  <c r="AE86" i="9"/>
  <c r="BA84" i="7"/>
  <c r="BJ84" i="7"/>
  <c r="AB91" i="9"/>
  <c r="AD91" i="9"/>
  <c r="AF91" i="9"/>
  <c r="AF89" i="7"/>
  <c r="AK90" i="7"/>
  <c r="AE89" i="7"/>
  <c r="AR89" i="7"/>
  <c r="AL90" i="7"/>
  <c r="BG86" i="7" l="1"/>
  <c r="BM85" i="7"/>
  <c r="AZ85" i="7"/>
  <c r="BF85" i="7" s="1"/>
  <c r="AG87" i="9" s="1"/>
  <c r="AY87" i="7"/>
  <c r="AN88" i="7"/>
  <c r="AP87" i="7" s="1"/>
  <c r="BO87" i="7" s="1"/>
  <c r="AW85" i="7"/>
  <c r="AE87" i="9" s="1"/>
  <c r="AT87" i="7"/>
  <c r="AU87" i="7" s="1"/>
  <c r="AV87" i="7" s="1"/>
  <c r="BI87" i="7" s="1"/>
  <c r="AO88" i="7"/>
  <c r="AT88" i="7" s="1"/>
  <c r="AU88" i="7" s="1"/>
  <c r="AC88" i="9"/>
  <c r="AM90" i="7"/>
  <c r="BB89" i="7"/>
  <c r="BC89" i="7"/>
  <c r="AD92" i="9"/>
  <c r="AF92" i="9"/>
  <c r="AB92" i="9"/>
  <c r="AE90" i="7"/>
  <c r="AR90" i="7"/>
  <c r="AF90" i="7"/>
  <c r="AK91" i="7"/>
  <c r="AW86" i="7"/>
  <c r="BL86" i="7" s="1"/>
  <c r="AZ86" i="7"/>
  <c r="BF86" i="7" s="1"/>
  <c r="AG88" i="9" s="1"/>
  <c r="BM86" i="7"/>
  <c r="BH89" i="7"/>
  <c r="BN89" i="7"/>
  <c r="BK89" i="7"/>
  <c r="AL91" i="7"/>
  <c r="BD85" i="7"/>
  <c r="BE85" i="7"/>
  <c r="BE86" i="7"/>
  <c r="BD86" i="7"/>
  <c r="AN89" i="7" l="1"/>
  <c r="BJ85" i="7"/>
  <c r="BG87" i="7"/>
  <c r="BA85" i="7"/>
  <c r="AY88" i="7"/>
  <c r="BL85" i="7"/>
  <c r="AQ88" i="7"/>
  <c r="AO89" i="7"/>
  <c r="AQ89" i="7" s="1"/>
  <c r="AC89" i="9"/>
  <c r="AV88" i="7"/>
  <c r="BI88" i="7" s="1"/>
  <c r="AM91" i="7"/>
  <c r="BB90" i="7"/>
  <c r="BC90" i="7"/>
  <c r="AY89" i="7"/>
  <c r="AP88" i="7"/>
  <c r="BO88" i="7" s="1"/>
  <c r="AE88" i="9"/>
  <c r="BA86" i="7"/>
  <c r="BJ86" i="7"/>
  <c r="AF93" i="9"/>
  <c r="AB93" i="9"/>
  <c r="AD93" i="9"/>
  <c r="AK92" i="7"/>
  <c r="AF91" i="7"/>
  <c r="AE91" i="7"/>
  <c r="AR91" i="7"/>
  <c r="AW87" i="7"/>
  <c r="BL87" i="7" s="1"/>
  <c r="AZ87" i="7"/>
  <c r="BF87" i="7" s="1"/>
  <c r="AG89" i="9" s="1"/>
  <c r="BM87" i="7"/>
  <c r="BN90" i="7"/>
  <c r="BK90" i="7"/>
  <c r="BH90" i="7"/>
  <c r="BD87" i="7"/>
  <c r="AL92" i="7"/>
  <c r="BE87" i="7"/>
  <c r="BG88" i="7" l="1"/>
  <c r="AO90" i="7"/>
  <c r="AQ90" i="7" s="1"/>
  <c r="AT89" i="7"/>
  <c r="AU89" i="7" s="1"/>
  <c r="AV89" i="7" s="1"/>
  <c r="BI89" i="7" s="1"/>
  <c r="AN90" i="7"/>
  <c r="AC90" i="9"/>
  <c r="AM92" i="7"/>
  <c r="BB91" i="7"/>
  <c r="BC91" i="7"/>
  <c r="AE89" i="9"/>
  <c r="BA87" i="7"/>
  <c r="BJ87" i="7"/>
  <c r="AW88" i="7"/>
  <c r="BL88" i="7" s="1"/>
  <c r="AZ88" i="7"/>
  <c r="BF88" i="7" s="1"/>
  <c r="AG90" i="9" s="1"/>
  <c r="BM88" i="7"/>
  <c r="BH91" i="7"/>
  <c r="BK91" i="7"/>
  <c r="BN91" i="7"/>
  <c r="AB94" i="9"/>
  <c r="AF94" i="9"/>
  <c r="AD94" i="9"/>
  <c r="AE92" i="7"/>
  <c r="AR92" i="7"/>
  <c r="AF92" i="7"/>
  <c r="AK93" i="7"/>
  <c r="BE88" i="7"/>
  <c r="AL93" i="7"/>
  <c r="BD88" i="7"/>
  <c r="AT90" i="7" l="1"/>
  <c r="AU90" i="7" s="1"/>
  <c r="AV90" i="7" s="1"/>
  <c r="BI90" i="7" s="1"/>
  <c r="BG89" i="7"/>
  <c r="AP89" i="7"/>
  <c r="BO89" i="7" s="1"/>
  <c r="AY90" i="7"/>
  <c r="AN91" i="7"/>
  <c r="AY91" i="7" s="1"/>
  <c r="AO91" i="7"/>
  <c r="AC91" i="9"/>
  <c r="AM93" i="7"/>
  <c r="BB92" i="7"/>
  <c r="BC92" i="7"/>
  <c r="BN92" i="7"/>
  <c r="BK92" i="7"/>
  <c r="BH92" i="7"/>
  <c r="AB95" i="9"/>
  <c r="AF95" i="9"/>
  <c r="AD95" i="9"/>
  <c r="AE93" i="7"/>
  <c r="AK94" i="7"/>
  <c r="AF93" i="7"/>
  <c r="AR93" i="7"/>
  <c r="AE90" i="9"/>
  <c r="BA88" i="7"/>
  <c r="BJ88" i="7"/>
  <c r="AL94" i="7"/>
  <c r="AT91" i="7" l="1"/>
  <c r="AU91" i="7" s="1"/>
  <c r="AP90" i="7"/>
  <c r="BO90" i="7" s="1"/>
  <c r="BM89" i="7"/>
  <c r="BG90" i="7"/>
  <c r="AZ89" i="7"/>
  <c r="BF89" i="7" s="1"/>
  <c r="AG91" i="9" s="1"/>
  <c r="AO92" i="7"/>
  <c r="AQ92" i="7" s="1"/>
  <c r="AW89" i="7"/>
  <c r="AE91" i="9" s="1"/>
  <c r="AN92" i="7"/>
  <c r="AQ91" i="7"/>
  <c r="AC92" i="9"/>
  <c r="AV91" i="7"/>
  <c r="BI91" i="7" s="1"/>
  <c r="AM94" i="7"/>
  <c r="BB93" i="7"/>
  <c r="BC93" i="7"/>
  <c r="AF96" i="9"/>
  <c r="AD96" i="9"/>
  <c r="AB96" i="9"/>
  <c r="AE94" i="7"/>
  <c r="AR94" i="7"/>
  <c r="AF94" i="7"/>
  <c r="AK95" i="7"/>
  <c r="BH93" i="7"/>
  <c r="BN93" i="7"/>
  <c r="BK93" i="7"/>
  <c r="BM90" i="7"/>
  <c r="BD89" i="7"/>
  <c r="BE89" i="7"/>
  <c r="AL95" i="7"/>
  <c r="AZ90" i="7" l="1"/>
  <c r="BF90" i="7" s="1"/>
  <c r="AG92" i="9" s="1"/>
  <c r="AW90" i="7"/>
  <c r="BA90" i="7" s="1"/>
  <c r="BJ89" i="7"/>
  <c r="BG91" i="7"/>
  <c r="AO93" i="7"/>
  <c r="BA89" i="7"/>
  <c r="AT92" i="7"/>
  <c r="AU92" i="7" s="1"/>
  <c r="AV92" i="7" s="1"/>
  <c r="BI92" i="7" s="1"/>
  <c r="AP91" i="7"/>
  <c r="BO91" i="7" s="1"/>
  <c r="AY92" i="7"/>
  <c r="BL89" i="7"/>
  <c r="AN93" i="7"/>
  <c r="AY93" i="7" s="1"/>
  <c r="AC93" i="9"/>
  <c r="AM95" i="7"/>
  <c r="BB94" i="7"/>
  <c r="BC94" i="7"/>
  <c r="AE92" i="9"/>
  <c r="BJ90" i="7"/>
  <c r="AB97" i="9"/>
  <c r="AD97" i="9"/>
  <c r="AF97" i="9"/>
  <c r="AK96" i="7"/>
  <c r="AF95" i="7"/>
  <c r="AE95" i="7"/>
  <c r="AR95" i="7"/>
  <c r="AQ93" i="7"/>
  <c r="BN94" i="7"/>
  <c r="BK94" i="7"/>
  <c r="BH94" i="7"/>
  <c r="BE90" i="7"/>
  <c r="AL96" i="7"/>
  <c r="BD90" i="7"/>
  <c r="BL90" i="7" l="1"/>
  <c r="BG92" i="7"/>
  <c r="BM91" i="7"/>
  <c r="AZ91" i="7"/>
  <c r="BF91" i="7" s="1"/>
  <c r="AG93" i="9" s="1"/>
  <c r="AW91" i="7"/>
  <c r="BA91" i="7" s="1"/>
  <c r="AO94" i="7"/>
  <c r="AQ94" i="7" s="1"/>
  <c r="AT93" i="7"/>
  <c r="AU93" i="7" s="1"/>
  <c r="AV93" i="7" s="1"/>
  <c r="BI93" i="7" s="1"/>
  <c r="AP92" i="7"/>
  <c r="BO92" i="7" s="1"/>
  <c r="AN94" i="7"/>
  <c r="AC94" i="9"/>
  <c r="AM96" i="7"/>
  <c r="BB95" i="7"/>
  <c r="BC95" i="7"/>
  <c r="BJ91" i="7"/>
  <c r="BH95" i="7"/>
  <c r="BK95" i="7"/>
  <c r="BN95" i="7"/>
  <c r="AB98" i="9"/>
  <c r="AD98" i="9"/>
  <c r="AF98" i="9"/>
  <c r="AE96" i="7"/>
  <c r="AR96" i="7"/>
  <c r="AF96" i="7"/>
  <c r="AK97" i="7"/>
  <c r="BD91" i="7"/>
  <c r="AL97" i="7"/>
  <c r="BE91" i="7"/>
  <c r="AE93" i="9" l="1"/>
  <c r="BM92" i="7"/>
  <c r="BL91" i="7"/>
  <c r="BG93" i="7"/>
  <c r="AO95" i="7"/>
  <c r="AQ95" i="7" s="1"/>
  <c r="AT94" i="7"/>
  <c r="AU94" i="7" s="1"/>
  <c r="AV94" i="7" s="1"/>
  <c r="BI94" i="7" s="1"/>
  <c r="AW92" i="7"/>
  <c r="AE94" i="9" s="1"/>
  <c r="AZ92" i="7"/>
  <c r="BF92" i="7" s="1"/>
  <c r="AG94" i="9" s="1"/>
  <c r="AP93" i="7"/>
  <c r="BO93" i="7" s="1"/>
  <c r="AY94" i="7"/>
  <c r="AC95" i="9"/>
  <c r="AN95" i="7"/>
  <c r="AM97" i="7"/>
  <c r="BB96" i="7"/>
  <c r="BC96" i="7"/>
  <c r="AF99" i="9"/>
  <c r="AD99" i="9"/>
  <c r="AB99" i="9"/>
  <c r="AE97" i="7"/>
  <c r="AF97" i="7"/>
  <c r="AK98" i="7"/>
  <c r="AR97" i="7"/>
  <c r="BJ92" i="7"/>
  <c r="BN96" i="7"/>
  <c r="BK96" i="7"/>
  <c r="BH96" i="7"/>
  <c r="BD92" i="7"/>
  <c r="BE92" i="7"/>
  <c r="AL98" i="7"/>
  <c r="BG94" i="7" l="1"/>
  <c r="AT95" i="7"/>
  <c r="AU95" i="7" s="1"/>
  <c r="AV95" i="7" s="1"/>
  <c r="BI95" i="7" s="1"/>
  <c r="BM93" i="7"/>
  <c r="BA92" i="7"/>
  <c r="AZ93" i="7"/>
  <c r="BF93" i="7" s="1"/>
  <c r="AG95" i="9" s="1"/>
  <c r="AW93" i="7"/>
  <c r="BJ93" i="7" s="1"/>
  <c r="BL92" i="7"/>
  <c r="AN96" i="7"/>
  <c r="AY96" i="7" s="1"/>
  <c r="AP94" i="7"/>
  <c r="BO94" i="7" s="1"/>
  <c r="AC96" i="9"/>
  <c r="AY95" i="7"/>
  <c r="AO96" i="7"/>
  <c r="AQ96" i="7" s="1"/>
  <c r="AM98" i="7"/>
  <c r="BB97" i="7"/>
  <c r="BC97" i="7"/>
  <c r="AF100" i="9"/>
  <c r="AD100" i="9"/>
  <c r="AB100" i="9"/>
  <c r="AE98" i="7"/>
  <c r="AR98" i="7"/>
  <c r="AF98" i="7"/>
  <c r="AK99" i="7"/>
  <c r="BH97" i="7"/>
  <c r="BN97" i="7"/>
  <c r="BK97" i="7"/>
  <c r="BD93" i="7"/>
  <c r="BE93" i="7"/>
  <c r="AL99" i="7"/>
  <c r="BG95" i="7" l="1"/>
  <c r="AE95" i="9"/>
  <c r="BA93" i="7"/>
  <c r="BM94" i="7"/>
  <c r="AP95" i="7"/>
  <c r="BO95" i="7" s="1"/>
  <c r="AN97" i="7"/>
  <c r="AP96" i="7" s="1"/>
  <c r="BO96" i="7" s="1"/>
  <c r="BL93" i="7"/>
  <c r="AZ94" i="7"/>
  <c r="BF94" i="7" s="1"/>
  <c r="AG96" i="9" s="1"/>
  <c r="AW94" i="7"/>
  <c r="AE96" i="9" s="1"/>
  <c r="AC97" i="9"/>
  <c r="AT96" i="7"/>
  <c r="AU96" i="7" s="1"/>
  <c r="AO97" i="7"/>
  <c r="AQ97" i="7" s="1"/>
  <c r="AM99" i="7"/>
  <c r="BB98" i="7"/>
  <c r="BC98" i="7"/>
  <c r="BM95" i="7"/>
  <c r="BA94" i="7"/>
  <c r="AD101" i="9"/>
  <c r="AB101" i="9"/>
  <c r="AF101" i="9"/>
  <c r="AK100" i="7"/>
  <c r="AF99" i="7"/>
  <c r="AE99" i="7"/>
  <c r="AR99" i="7"/>
  <c r="BN98" i="7"/>
  <c r="BK98" i="7"/>
  <c r="BH98" i="7"/>
  <c r="BE94" i="7"/>
  <c r="AL100" i="7"/>
  <c r="BD94" i="7"/>
  <c r="AW95" i="7" l="1"/>
  <c r="BA95" i="7" s="1"/>
  <c r="AZ95" i="7"/>
  <c r="BF95" i="7" s="1"/>
  <c r="AG97" i="9" s="1"/>
  <c r="AY97" i="7"/>
  <c r="BJ94" i="7"/>
  <c r="AO98" i="7"/>
  <c r="AQ98" i="7" s="1"/>
  <c r="BL94" i="7"/>
  <c r="AV96" i="7"/>
  <c r="AT97" i="7"/>
  <c r="AU97" i="7" s="1"/>
  <c r="AN98" i="7"/>
  <c r="AM100" i="7"/>
  <c r="BB99" i="7"/>
  <c r="BC99" i="7"/>
  <c r="BJ95" i="7"/>
  <c r="AD102" i="9"/>
  <c r="AF102" i="9"/>
  <c r="AB102" i="9"/>
  <c r="AE100" i="7"/>
  <c r="AR100" i="7"/>
  <c r="AF100" i="7"/>
  <c r="AK101" i="7"/>
  <c r="BH99" i="7"/>
  <c r="BK99" i="7"/>
  <c r="BN99" i="7"/>
  <c r="AW96" i="7"/>
  <c r="BL96" i="7" s="1"/>
  <c r="AZ96" i="7"/>
  <c r="BF96" i="7" s="1"/>
  <c r="AG98" i="9" s="1"/>
  <c r="BM96" i="7"/>
  <c r="BE95" i="7"/>
  <c r="BD95" i="7"/>
  <c r="BE96" i="7"/>
  <c r="BD96" i="7"/>
  <c r="AL101" i="7"/>
  <c r="AE97" i="9" l="1"/>
  <c r="BL95" i="7"/>
  <c r="AC98" i="9"/>
  <c r="BG96" i="7"/>
  <c r="AV97" i="7"/>
  <c r="BI96" i="7"/>
  <c r="AT98" i="7"/>
  <c r="AU98" i="7" s="1"/>
  <c r="AP97" i="7"/>
  <c r="BO97" i="7" s="1"/>
  <c r="AO99" i="7"/>
  <c r="AQ99" i="7" s="1"/>
  <c r="AY98" i="7"/>
  <c r="AN99" i="7"/>
  <c r="AM101" i="7"/>
  <c r="BB100" i="7"/>
  <c r="BC100" i="7"/>
  <c r="AE98" i="9"/>
  <c r="BA96" i="7"/>
  <c r="BJ96" i="7"/>
  <c r="AF103" i="9"/>
  <c r="AD103" i="9"/>
  <c r="AB103" i="9"/>
  <c r="AF101" i="7"/>
  <c r="AE101" i="7"/>
  <c r="AK102" i="7"/>
  <c r="AR101" i="7"/>
  <c r="BN100" i="7"/>
  <c r="BK100" i="7"/>
  <c r="BH100" i="7"/>
  <c r="AL102" i="7"/>
  <c r="BM97" i="7" l="1"/>
  <c r="BI97" i="7"/>
  <c r="BG97" i="7"/>
  <c r="AC99" i="9"/>
  <c r="AV98" i="7"/>
  <c r="AP98" i="7"/>
  <c r="BO98" i="7" s="1"/>
  <c r="AN100" i="7"/>
  <c r="AO100" i="7"/>
  <c r="AY99" i="7"/>
  <c r="AZ97" i="7"/>
  <c r="BF97" i="7" s="1"/>
  <c r="AG99" i="9" s="1"/>
  <c r="AT99" i="7"/>
  <c r="AU99" i="7" s="1"/>
  <c r="AV99" i="7" s="1"/>
  <c r="BG99" i="7" s="1"/>
  <c r="AW97" i="7"/>
  <c r="BA97" i="7" s="1"/>
  <c r="AM102" i="7"/>
  <c r="BB101" i="7"/>
  <c r="BC101" i="7"/>
  <c r="BH101" i="7"/>
  <c r="BN101" i="7"/>
  <c r="BK101" i="7"/>
  <c r="AB104" i="9"/>
  <c r="AD104" i="9"/>
  <c r="AF104" i="9"/>
  <c r="AE102" i="7"/>
  <c r="AR102" i="7"/>
  <c r="AF102" i="7"/>
  <c r="AK103" i="7"/>
  <c r="BE97" i="7"/>
  <c r="AL103" i="7"/>
  <c r="BD97" i="7"/>
  <c r="BJ97" i="7" l="1"/>
  <c r="AC100" i="9"/>
  <c r="BG98" i="7"/>
  <c r="BM98" i="7"/>
  <c r="AW98" i="7"/>
  <c r="AE100" i="9" s="1"/>
  <c r="AZ98" i="7"/>
  <c r="BF98" i="7" s="1"/>
  <c r="AG100" i="9" s="1"/>
  <c r="BI99" i="7"/>
  <c r="BI98" i="7"/>
  <c r="AY100" i="7"/>
  <c r="AN101" i="7"/>
  <c r="AP100" i="7" s="1"/>
  <c r="BO100" i="7" s="1"/>
  <c r="AP99" i="7"/>
  <c r="BO99" i="7" s="1"/>
  <c r="AT100" i="7"/>
  <c r="AU100" i="7" s="1"/>
  <c r="AV100" i="7" s="1"/>
  <c r="AE99" i="9"/>
  <c r="AQ100" i="7"/>
  <c r="AO101" i="7"/>
  <c r="AC101" i="9"/>
  <c r="BL97" i="7"/>
  <c r="AM103" i="7"/>
  <c r="BB102" i="7"/>
  <c r="BC102" i="7"/>
  <c r="BN102" i="7"/>
  <c r="BK102" i="7"/>
  <c r="BH102" i="7"/>
  <c r="BG100" i="7"/>
  <c r="AD105" i="9"/>
  <c r="AF105" i="9"/>
  <c r="AB105" i="9"/>
  <c r="AK104" i="7"/>
  <c r="AF103" i="7"/>
  <c r="AE103" i="7"/>
  <c r="AR103" i="7"/>
  <c r="BM99" i="7"/>
  <c r="BD98" i="7"/>
  <c r="AL104" i="7"/>
  <c r="BE98" i="7"/>
  <c r="BL98" i="7" l="1"/>
  <c r="BJ98" i="7"/>
  <c r="BA98" i="7"/>
  <c r="AO102" i="7"/>
  <c r="AQ102" i="7" s="1"/>
  <c r="AW99" i="7"/>
  <c r="AE101" i="9" s="1"/>
  <c r="AY101" i="7"/>
  <c r="BI100" i="7"/>
  <c r="AZ99" i="7"/>
  <c r="BF99" i="7" s="1"/>
  <c r="AG101" i="9" s="1"/>
  <c r="AT101" i="7"/>
  <c r="AU101" i="7" s="1"/>
  <c r="AC102" i="9"/>
  <c r="AN102" i="7"/>
  <c r="AP101" i="7" s="1"/>
  <c r="BO101" i="7" s="1"/>
  <c r="AQ101" i="7"/>
  <c r="AM104" i="7"/>
  <c r="BB103" i="7"/>
  <c r="BC103" i="7"/>
  <c r="AB106" i="9"/>
  <c r="AD106" i="9"/>
  <c r="AF106" i="9"/>
  <c r="AE104" i="7"/>
  <c r="AR104" i="7"/>
  <c r="AF104" i="7"/>
  <c r="AK105" i="7"/>
  <c r="AW100" i="7"/>
  <c r="BL100" i="7" s="1"/>
  <c r="AZ100" i="7"/>
  <c r="BF100" i="7" s="1"/>
  <c r="AG102" i="9" s="1"/>
  <c r="BM100" i="7"/>
  <c r="BH103" i="7"/>
  <c r="BK103" i="7"/>
  <c r="BN103" i="7"/>
  <c r="BJ99" i="7"/>
  <c r="BE99" i="7"/>
  <c r="BD99" i="7"/>
  <c r="AL105" i="7"/>
  <c r="BE100" i="7"/>
  <c r="BD100" i="7"/>
  <c r="AT102" i="7" l="1"/>
  <c r="AU102" i="7" s="1"/>
  <c r="AV102" i="7" s="1"/>
  <c r="AC104" i="9" s="1"/>
  <c r="BA99" i="7"/>
  <c r="AV101" i="7"/>
  <c r="BL99" i="7"/>
  <c r="AY102" i="7"/>
  <c r="AN103" i="7"/>
  <c r="AO103" i="7"/>
  <c r="AQ103" i="7" s="1"/>
  <c r="AM105" i="7"/>
  <c r="BC104" i="7"/>
  <c r="BB104" i="7"/>
  <c r="AD107" i="9"/>
  <c r="AF107" i="9"/>
  <c r="AB107" i="9"/>
  <c r="AE105" i="7"/>
  <c r="AK106" i="7"/>
  <c r="AF105" i="7"/>
  <c r="AR105" i="7"/>
  <c r="AE102" i="9"/>
  <c r="BA100" i="7"/>
  <c r="BJ100" i="7"/>
  <c r="BN104" i="7"/>
  <c r="BK104" i="7"/>
  <c r="L41" i="3" s="1"/>
  <c r="BH104" i="7"/>
  <c r="AW101" i="7"/>
  <c r="BL101" i="7" s="1"/>
  <c r="AZ101" i="7"/>
  <c r="BF101" i="7" s="1"/>
  <c r="AG103" i="9" s="1"/>
  <c r="BM101" i="7"/>
  <c r="BD101" i="7"/>
  <c r="L98" i="3"/>
  <c r="BE101" i="7"/>
  <c r="L99" i="3"/>
  <c r="AL106" i="7"/>
  <c r="BG102" i="7" l="1"/>
  <c r="AC103" i="9"/>
  <c r="BG101" i="7"/>
  <c r="AN104" i="7"/>
  <c r="AP103" i="7" s="1"/>
  <c r="BO103" i="7" s="1"/>
  <c r="AP102" i="7"/>
  <c r="BO102" i="7" s="1"/>
  <c r="AY103" i="7"/>
  <c r="BI102" i="7"/>
  <c r="BI101" i="7"/>
  <c r="AO104" i="7"/>
  <c r="AT103" i="7"/>
  <c r="AU103" i="7" s="1"/>
  <c r="F36" i="11"/>
  <c r="F35" i="11"/>
  <c r="F16" i="10"/>
  <c r="AM106" i="7"/>
  <c r="BC105" i="7"/>
  <c r="BB105" i="7"/>
  <c r="BH105" i="7"/>
  <c r="BN105" i="7"/>
  <c r="BK105" i="7"/>
  <c r="AE103" i="9"/>
  <c r="BA101" i="7"/>
  <c r="BJ101" i="7"/>
  <c r="AF108" i="9"/>
  <c r="AB108" i="9"/>
  <c r="AD108" i="9"/>
  <c r="AE106" i="7"/>
  <c r="AR106" i="7"/>
  <c r="AF106" i="7"/>
  <c r="AK107" i="7"/>
  <c r="L93" i="3"/>
  <c r="L95" i="3"/>
  <c r="AL107" i="7"/>
  <c r="BM102" i="7" l="1"/>
  <c r="AY104" i="7"/>
  <c r="AZ102" i="7"/>
  <c r="BF102" i="7" s="1"/>
  <c r="AG104" i="9" s="1"/>
  <c r="AW102" i="7"/>
  <c r="BA102" i="7" s="1"/>
  <c r="AT104" i="7"/>
  <c r="AU104" i="7" s="1"/>
  <c r="AV104" i="7" s="1"/>
  <c r="BG104" i="7" s="1"/>
  <c r="AO105" i="7"/>
  <c r="AQ105" i="7" s="1"/>
  <c r="AQ104" i="7"/>
  <c r="AV103" i="7"/>
  <c r="AN105" i="7"/>
  <c r="F32" i="11"/>
  <c r="F29" i="11"/>
  <c r="AM107" i="7"/>
  <c r="BC106" i="7"/>
  <c r="BB106" i="7"/>
  <c r="AW103" i="7"/>
  <c r="BL103" i="7" s="1"/>
  <c r="AZ103" i="7"/>
  <c r="BF103" i="7" s="1"/>
  <c r="AG105" i="9" s="1"/>
  <c r="BM103" i="7"/>
  <c r="AB109" i="9"/>
  <c r="AD109" i="9"/>
  <c r="AF109" i="9"/>
  <c r="AK108" i="7"/>
  <c r="AF107" i="7"/>
  <c r="AE107" i="7"/>
  <c r="AR107" i="7"/>
  <c r="BN106" i="7"/>
  <c r="BK106" i="7"/>
  <c r="BH106" i="7"/>
  <c r="AE104" i="9"/>
  <c r="BJ102" i="7"/>
  <c r="BD102" i="7"/>
  <c r="BE102" i="7"/>
  <c r="AL108" i="7"/>
  <c r="BD103" i="7"/>
  <c r="BE103" i="7"/>
  <c r="BI103" i="7" l="1"/>
  <c r="BG103" i="7"/>
  <c r="K31" i="3" s="1"/>
  <c r="BL102" i="7"/>
  <c r="BI104" i="7"/>
  <c r="AC106" i="9"/>
  <c r="AO106" i="7"/>
  <c r="AQ106" i="7" s="1"/>
  <c r="AY105" i="7"/>
  <c r="AT105" i="7"/>
  <c r="AU105" i="7" s="1"/>
  <c r="AV105" i="7" s="1"/>
  <c r="AC107" i="9" s="1"/>
  <c r="AP104" i="7"/>
  <c r="BO104" i="7" s="1"/>
  <c r="AC105" i="9"/>
  <c r="AN106" i="7"/>
  <c r="AY106" i="7" s="1"/>
  <c r="AM108" i="7"/>
  <c r="BB107" i="7"/>
  <c r="BC107" i="7"/>
  <c r="BH107" i="7"/>
  <c r="BK107" i="7"/>
  <c r="BN107" i="7"/>
  <c r="BM104" i="7"/>
  <c r="AF110" i="9"/>
  <c r="AB110" i="9"/>
  <c r="AD110" i="9"/>
  <c r="AE108" i="7"/>
  <c r="AR108" i="7"/>
  <c r="AF108" i="7"/>
  <c r="AK109" i="7"/>
  <c r="AE105" i="9"/>
  <c r="BA103" i="7"/>
  <c r="BJ103" i="7"/>
  <c r="AL109" i="7"/>
  <c r="J31" i="3" l="1"/>
  <c r="J86" i="3" s="1"/>
  <c r="D22" i="11" s="1"/>
  <c r="BG105" i="7"/>
  <c r="E6" i="10"/>
  <c r="K89" i="3"/>
  <c r="E26" i="11" s="1"/>
  <c r="K87" i="3"/>
  <c r="E24" i="11" s="1"/>
  <c r="K86" i="3"/>
  <c r="E22" i="11" s="1"/>
  <c r="K88" i="3"/>
  <c r="E25" i="11" s="1"/>
  <c r="AT106" i="7"/>
  <c r="AU106" i="7" s="1"/>
  <c r="AV106" i="7" s="1"/>
  <c r="AC108" i="9" s="1"/>
  <c r="AP105" i="7"/>
  <c r="BO105" i="7" s="1"/>
  <c r="AW104" i="7"/>
  <c r="AE106" i="9" s="1"/>
  <c r="BI105" i="7"/>
  <c r="AZ104" i="7"/>
  <c r="BF104" i="7" s="1"/>
  <c r="AG106" i="9" s="1"/>
  <c r="AO107" i="7"/>
  <c r="AN107" i="7"/>
  <c r="AM109" i="7"/>
  <c r="BB108" i="7"/>
  <c r="BC108" i="7"/>
  <c r="AD111" i="9"/>
  <c r="AF111" i="9"/>
  <c r="AB111" i="9"/>
  <c r="AF109" i="7"/>
  <c r="AE109" i="7"/>
  <c r="AK110" i="7"/>
  <c r="AR109" i="7"/>
  <c r="BN108" i="7"/>
  <c r="BK108" i="7"/>
  <c r="BH108" i="7"/>
  <c r="BE104" i="7"/>
  <c r="AL110" i="7"/>
  <c r="BD104" i="7"/>
  <c r="BG106" i="7" l="1"/>
  <c r="J88" i="3"/>
  <c r="D25" i="11" s="1"/>
  <c r="J87" i="3"/>
  <c r="D24" i="11" s="1"/>
  <c r="D6" i="10"/>
  <c r="J89" i="3"/>
  <c r="D26" i="11" s="1"/>
  <c r="BJ104" i="7"/>
  <c r="K41" i="3" s="1"/>
  <c r="E16" i="10" s="1"/>
  <c r="BM105" i="7"/>
  <c r="AZ105" i="7"/>
  <c r="BF105" i="7" s="1"/>
  <c r="AG107" i="9" s="1"/>
  <c r="AW105" i="7"/>
  <c r="AE107" i="9" s="1"/>
  <c r="H41" i="3"/>
  <c r="H95" i="3" s="1"/>
  <c r="AT107" i="7"/>
  <c r="AU107" i="7" s="1"/>
  <c r="AV107" i="7" s="1"/>
  <c r="BI107" i="7" s="1"/>
  <c r="BA104" i="7"/>
  <c r="AQ107" i="7"/>
  <c r="BI106" i="7"/>
  <c r="AP106" i="7"/>
  <c r="BO106" i="7" s="1"/>
  <c r="BL104" i="7"/>
  <c r="J41" i="3" s="1"/>
  <c r="AO108" i="7"/>
  <c r="AY107" i="7"/>
  <c r="AN108" i="7"/>
  <c r="AY108" i="7" s="1"/>
  <c r="AM110" i="7"/>
  <c r="BB109" i="7"/>
  <c r="BC109" i="7"/>
  <c r="BH109" i="7"/>
  <c r="BN109" i="7"/>
  <c r="BK109" i="7"/>
  <c r="AF112" i="9"/>
  <c r="AD112" i="9"/>
  <c r="AB112" i="9"/>
  <c r="AE110" i="7"/>
  <c r="AR110" i="7"/>
  <c r="AF110" i="7"/>
  <c r="AK111" i="7"/>
  <c r="K98" i="3"/>
  <c r="BD105" i="7"/>
  <c r="K99" i="3"/>
  <c r="J99" i="3"/>
  <c r="H98" i="3"/>
  <c r="H99" i="3"/>
  <c r="AL111" i="7"/>
  <c r="J98" i="3"/>
  <c r="BE105" i="7"/>
  <c r="BM106" i="7" l="1"/>
  <c r="K93" i="3"/>
  <c r="E29" i="11" s="1"/>
  <c r="K95" i="3"/>
  <c r="E36" i="11"/>
  <c r="E35" i="11"/>
  <c r="BJ105" i="7"/>
  <c r="BA105" i="7"/>
  <c r="BG107" i="7"/>
  <c r="B16" i="10"/>
  <c r="H93" i="3"/>
  <c r="B29" i="11" s="1"/>
  <c r="BL105" i="7"/>
  <c r="B35" i="11"/>
  <c r="B36" i="11"/>
  <c r="AT108" i="7"/>
  <c r="AU108" i="7" s="1"/>
  <c r="AV108" i="7" s="1"/>
  <c r="BI108" i="7" s="1"/>
  <c r="AQ108" i="7"/>
  <c r="AP107" i="7"/>
  <c r="BO107" i="7" s="1"/>
  <c r="AC109" i="9"/>
  <c r="D36" i="11"/>
  <c r="D35" i="11"/>
  <c r="AW106" i="7"/>
  <c r="AE108" i="9" s="1"/>
  <c r="D16" i="10"/>
  <c r="J93" i="3"/>
  <c r="J95" i="3"/>
  <c r="D32" i="11" s="1"/>
  <c r="AZ106" i="7"/>
  <c r="BF106" i="7" s="1"/>
  <c r="AG108" i="9" s="1"/>
  <c r="AN109" i="7"/>
  <c r="AP108" i="7" s="1"/>
  <c r="BO108" i="7" s="1"/>
  <c r="AO109" i="7"/>
  <c r="AQ109" i="7" s="1"/>
  <c r="E32" i="11"/>
  <c r="B32" i="11"/>
  <c r="AM111" i="7"/>
  <c r="BC110" i="7"/>
  <c r="BB110" i="7"/>
  <c r="AB113" i="9"/>
  <c r="AF113" i="9"/>
  <c r="AD113" i="9"/>
  <c r="AK112" i="7"/>
  <c r="AF111" i="7"/>
  <c r="AE111" i="7"/>
  <c r="AR111" i="7"/>
  <c r="BN110" i="7"/>
  <c r="BK110" i="7"/>
  <c r="BH110" i="7"/>
  <c r="BD106" i="7"/>
  <c r="BE106" i="7"/>
  <c r="AL112" i="7"/>
  <c r="BM107" i="7" l="1"/>
  <c r="BG108" i="7"/>
  <c r="BJ106" i="7"/>
  <c r="AZ107" i="7"/>
  <c r="BF107" i="7" s="1"/>
  <c r="AG109" i="9" s="1"/>
  <c r="AY109" i="7"/>
  <c r="BA106" i="7"/>
  <c r="AO110" i="7"/>
  <c r="AQ110" i="7" s="1"/>
  <c r="AW107" i="7"/>
  <c r="BA107" i="7" s="1"/>
  <c r="AT109" i="7"/>
  <c r="AU109" i="7" s="1"/>
  <c r="AV109" i="7" s="1"/>
  <c r="BG109" i="7" s="1"/>
  <c r="AC110" i="9"/>
  <c r="BL106" i="7"/>
  <c r="D29" i="11"/>
  <c r="H141" i="3"/>
  <c r="H142" i="3" s="1"/>
  <c r="AN110" i="7"/>
  <c r="AY110" i="7" s="1"/>
  <c r="AM112" i="7"/>
  <c r="BB111" i="7"/>
  <c r="BC111" i="7"/>
  <c r="BH111" i="7"/>
  <c r="BK111" i="7"/>
  <c r="BN111" i="7"/>
  <c r="AD114" i="9"/>
  <c r="AF114" i="9"/>
  <c r="AB114" i="9"/>
  <c r="AE112" i="7"/>
  <c r="AR112" i="7"/>
  <c r="AF112" i="7"/>
  <c r="AK113" i="7"/>
  <c r="AW108" i="7"/>
  <c r="BL108" i="7" s="1"/>
  <c r="AZ108" i="7"/>
  <c r="BF108" i="7" s="1"/>
  <c r="AG110" i="9" s="1"/>
  <c r="BM108" i="7"/>
  <c r="AL113" i="7"/>
  <c r="BE108" i="7"/>
  <c r="BD108" i="7"/>
  <c r="BE107" i="7"/>
  <c r="BD107" i="7"/>
  <c r="BJ107" i="7" l="1"/>
  <c r="BI109" i="7"/>
  <c r="AC111" i="9"/>
  <c r="BL107" i="7"/>
  <c r="AE109" i="9"/>
  <c r="AP109" i="7"/>
  <c r="BO109" i="7" s="1"/>
  <c r="AT110" i="7"/>
  <c r="AU110" i="7" s="1"/>
  <c r="AV110" i="7" s="1"/>
  <c r="AC112" i="9" s="1"/>
  <c r="AN111" i="7"/>
  <c r="AY111" i="7" s="1"/>
  <c r="AO111" i="7"/>
  <c r="AQ111" i="7" s="1"/>
  <c r="AM113" i="7"/>
  <c r="BB112" i="7"/>
  <c r="BC112" i="7"/>
  <c r="BN112" i="7"/>
  <c r="BK112" i="7"/>
  <c r="BH112" i="7"/>
  <c r="AE110" i="9"/>
  <c r="BA108" i="7"/>
  <c r="BJ108" i="7"/>
  <c r="AB115" i="9"/>
  <c r="AD115" i="9"/>
  <c r="AF115" i="9"/>
  <c r="AK114" i="7"/>
  <c r="AF113" i="7"/>
  <c r="AE113" i="7"/>
  <c r="AR113" i="7"/>
  <c r="AL114" i="7"/>
  <c r="BM109" i="7" l="1"/>
  <c r="BG110" i="7"/>
  <c r="AP110" i="7"/>
  <c r="BO110" i="7" s="1"/>
  <c r="AZ109" i="7"/>
  <c r="BF109" i="7" s="1"/>
  <c r="AG111" i="9" s="1"/>
  <c r="AO112" i="7"/>
  <c r="AQ112" i="7" s="1"/>
  <c r="AW109" i="7"/>
  <c r="BA109" i="7" s="1"/>
  <c r="BI110" i="7"/>
  <c r="AN112" i="7"/>
  <c r="AY112" i="7" s="1"/>
  <c r="AT111" i="7"/>
  <c r="AU111" i="7" s="1"/>
  <c r="AM114" i="7"/>
  <c r="BB113" i="7"/>
  <c r="BC113" i="7"/>
  <c r="BH113" i="7"/>
  <c r="BN113" i="7"/>
  <c r="BK113" i="7"/>
  <c r="AB116" i="9"/>
  <c r="AF116" i="9"/>
  <c r="AD116" i="9"/>
  <c r="AE114" i="7"/>
  <c r="AR114" i="7"/>
  <c r="AF114" i="7"/>
  <c r="AK115" i="7"/>
  <c r="BE109" i="7"/>
  <c r="BD109" i="7"/>
  <c r="AL115" i="7"/>
  <c r="BJ109" i="7" l="1"/>
  <c r="BM110" i="7"/>
  <c r="AZ110" i="7"/>
  <c r="BF110" i="7" s="1"/>
  <c r="AG112" i="9" s="1"/>
  <c r="AW110" i="7"/>
  <c r="AE112" i="9" s="1"/>
  <c r="AE111" i="9"/>
  <c r="AO113" i="7"/>
  <c r="AQ113" i="7" s="1"/>
  <c r="AP111" i="7"/>
  <c r="BO111" i="7" s="1"/>
  <c r="BL109" i="7"/>
  <c r="AN113" i="7"/>
  <c r="AP112" i="7" s="1"/>
  <c r="BO112" i="7" s="1"/>
  <c r="AV111" i="7"/>
  <c r="AT112" i="7"/>
  <c r="AU112" i="7" s="1"/>
  <c r="AV112" i="7" s="1"/>
  <c r="AC114" i="9" s="1"/>
  <c r="AM115" i="7"/>
  <c r="BC114" i="7"/>
  <c r="BB114" i="7"/>
  <c r="AF117" i="9"/>
  <c r="AD117" i="9"/>
  <c r="AB117" i="9"/>
  <c r="AK116" i="7"/>
  <c r="AF115" i="7"/>
  <c r="AE115" i="7"/>
  <c r="AR115" i="7"/>
  <c r="BN114" i="7"/>
  <c r="BK114" i="7"/>
  <c r="BH114" i="7"/>
  <c r="AL116" i="7"/>
  <c r="BD110" i="7"/>
  <c r="BE110" i="7"/>
  <c r="BG112" i="7" l="1"/>
  <c r="BJ110" i="7"/>
  <c r="BA110" i="7"/>
  <c r="BI111" i="7"/>
  <c r="BG111" i="7"/>
  <c r="BM111" i="7"/>
  <c r="BL110" i="7"/>
  <c r="AW111" i="7"/>
  <c r="BA111" i="7" s="1"/>
  <c r="AO114" i="7"/>
  <c r="AQ114" i="7" s="1"/>
  <c r="AT113" i="7"/>
  <c r="AU113" i="7" s="1"/>
  <c r="AV113" i="7" s="1"/>
  <c r="BI113" i="7" s="1"/>
  <c r="AZ111" i="7"/>
  <c r="BF111" i="7" s="1"/>
  <c r="AG113" i="9" s="1"/>
  <c r="AC113" i="9"/>
  <c r="BI112" i="7"/>
  <c r="AY113" i="7"/>
  <c r="AN114" i="7"/>
  <c r="AM116" i="7"/>
  <c r="BB115" i="7"/>
  <c r="BC115" i="7"/>
  <c r="BH115" i="7"/>
  <c r="BK115" i="7"/>
  <c r="BN115" i="7"/>
  <c r="AW112" i="7"/>
  <c r="BL112" i="7" s="1"/>
  <c r="AZ112" i="7"/>
  <c r="BF112" i="7" s="1"/>
  <c r="AG114" i="9" s="1"/>
  <c r="BM112" i="7"/>
  <c r="AB118" i="9"/>
  <c r="AD118" i="9"/>
  <c r="AF118" i="9"/>
  <c r="AE116" i="7"/>
  <c r="AR116" i="7"/>
  <c r="AF116" i="7"/>
  <c r="AK117" i="7"/>
  <c r="BG113" i="7"/>
  <c r="BD111" i="7"/>
  <c r="BE112" i="7"/>
  <c r="AL117" i="7"/>
  <c r="BD112" i="7"/>
  <c r="BE111" i="7"/>
  <c r="AE113" i="9" l="1"/>
  <c r="BJ111" i="7"/>
  <c r="BL111" i="7"/>
  <c r="AC115" i="9"/>
  <c r="AY114" i="7"/>
  <c r="AN115" i="7"/>
  <c r="AT114" i="7"/>
  <c r="AU114" i="7" s="1"/>
  <c r="AO115" i="7"/>
  <c r="AP113" i="7"/>
  <c r="BO113" i="7" s="1"/>
  <c r="AM117" i="7"/>
  <c r="BB116" i="7"/>
  <c r="BC116" i="7"/>
  <c r="AF119" i="9"/>
  <c r="AB119" i="9"/>
  <c r="AD119" i="9"/>
  <c r="AF117" i="7"/>
  <c r="AE117" i="7"/>
  <c r="AK118" i="7"/>
  <c r="AR117" i="7"/>
  <c r="AE114" i="9"/>
  <c r="BA112" i="7"/>
  <c r="BJ112" i="7"/>
  <c r="BN116" i="7"/>
  <c r="BK116" i="7"/>
  <c r="BH116" i="7"/>
  <c r="AL118" i="7"/>
  <c r="AV114" i="7" l="1"/>
  <c r="AC116" i="9" s="1"/>
  <c r="AO116" i="7"/>
  <c r="AQ116" i="7" s="1"/>
  <c r="AW113" i="7"/>
  <c r="BA113" i="7" s="1"/>
  <c r="BM113" i="7"/>
  <c r="AT115" i="7"/>
  <c r="AU115" i="7" s="1"/>
  <c r="AP114" i="7"/>
  <c r="BO114" i="7" s="1"/>
  <c r="AN116" i="7"/>
  <c r="AY115" i="7"/>
  <c r="AZ113" i="7"/>
  <c r="BF113" i="7" s="1"/>
  <c r="AG115" i="9" s="1"/>
  <c r="AQ115" i="7"/>
  <c r="AM118" i="7"/>
  <c r="BB117" i="7"/>
  <c r="BC117" i="7"/>
  <c r="BH117" i="7"/>
  <c r="BN117" i="7"/>
  <c r="BK117" i="7"/>
  <c r="AB120" i="9"/>
  <c r="AF120" i="9"/>
  <c r="AD120" i="9"/>
  <c r="AE118" i="7"/>
  <c r="AR118" i="7"/>
  <c r="AF118" i="7"/>
  <c r="AK119" i="7"/>
  <c r="BE113" i="7"/>
  <c r="AL119" i="7"/>
  <c r="BD113" i="7"/>
  <c r="BJ113" i="7" l="1"/>
  <c r="BG114" i="7"/>
  <c r="AE115" i="9"/>
  <c r="BI114" i="7"/>
  <c r="AV115" i="7"/>
  <c r="BI115" i="7" s="1"/>
  <c r="AP115" i="7"/>
  <c r="BO115" i="7" s="1"/>
  <c r="AT116" i="7"/>
  <c r="AU116" i="7" s="1"/>
  <c r="BM114" i="7"/>
  <c r="AW114" i="7"/>
  <c r="AE116" i="9" s="1"/>
  <c r="BL113" i="7"/>
  <c r="AN117" i="7"/>
  <c r="AZ114" i="7"/>
  <c r="BF114" i="7" s="1"/>
  <c r="AG116" i="9" s="1"/>
  <c r="AO117" i="7"/>
  <c r="AY116" i="7"/>
  <c r="AM119" i="7"/>
  <c r="BB118" i="7"/>
  <c r="BC118" i="7"/>
  <c r="AD121" i="9"/>
  <c r="AB121" i="9"/>
  <c r="AF121" i="9"/>
  <c r="AK120" i="7"/>
  <c r="AF119" i="7"/>
  <c r="AE119" i="7"/>
  <c r="AR119" i="7"/>
  <c r="BJ114" i="7"/>
  <c r="BN118" i="7"/>
  <c r="BK118" i="7"/>
  <c r="BH118" i="7"/>
  <c r="BE114" i="7"/>
  <c r="BD114" i="7"/>
  <c r="AL120" i="7"/>
  <c r="BM115" i="7" l="1"/>
  <c r="BG115" i="7"/>
  <c r="AC117" i="9"/>
  <c r="AZ115" i="7"/>
  <c r="BF115" i="7" s="1"/>
  <c r="AG117" i="9" s="1"/>
  <c r="AW115" i="7"/>
  <c r="AE117" i="9" s="1"/>
  <c r="BA114" i="7"/>
  <c r="AV116" i="7"/>
  <c r="BI116" i="7" s="1"/>
  <c r="AP116" i="7"/>
  <c r="BO116" i="7" s="1"/>
  <c r="AT117" i="7"/>
  <c r="AU117" i="7" s="1"/>
  <c r="AN118" i="7"/>
  <c r="AY117" i="7"/>
  <c r="AO118" i="7"/>
  <c r="AQ117" i="7"/>
  <c r="BL114" i="7"/>
  <c r="BG116" i="7"/>
  <c r="AM120" i="7"/>
  <c r="BB119" i="7"/>
  <c r="BC119" i="7"/>
  <c r="BH119" i="7"/>
  <c r="BK119" i="7"/>
  <c r="BN119" i="7"/>
  <c r="AB122" i="9"/>
  <c r="AD122" i="9"/>
  <c r="AF122" i="9"/>
  <c r="AE120" i="7"/>
  <c r="AR120" i="7"/>
  <c r="AF120" i="7"/>
  <c r="AK121" i="7"/>
  <c r="BA115" i="7"/>
  <c r="BD115" i="7"/>
  <c r="AL121" i="7"/>
  <c r="BE115" i="7"/>
  <c r="BJ115" i="7" l="1"/>
  <c r="BM116" i="7"/>
  <c r="AC118" i="9"/>
  <c r="BL115" i="7"/>
  <c r="AT118" i="7"/>
  <c r="AU118" i="7" s="1"/>
  <c r="AV118" i="7" s="1"/>
  <c r="AC120" i="9" s="1"/>
  <c r="AZ116" i="7"/>
  <c r="BF116" i="7" s="1"/>
  <c r="AG118" i="9" s="1"/>
  <c r="AV117" i="7"/>
  <c r="AW116" i="7"/>
  <c r="BA116" i="7" s="1"/>
  <c r="AY118" i="7"/>
  <c r="AO119" i="7"/>
  <c r="AQ119" i="7" s="1"/>
  <c r="AP117" i="7"/>
  <c r="BO117" i="7" s="1"/>
  <c r="AQ118" i="7"/>
  <c r="AN119" i="7"/>
  <c r="AM121" i="7"/>
  <c r="BB120" i="7"/>
  <c r="BC120" i="7"/>
  <c r="AD123" i="9"/>
  <c r="AF123" i="9"/>
  <c r="AB123" i="9"/>
  <c r="AE121" i="7"/>
  <c r="AK122" i="7"/>
  <c r="AF121" i="7"/>
  <c r="AR121" i="7"/>
  <c r="BN120" i="7"/>
  <c r="BK120" i="7"/>
  <c r="BH120" i="7"/>
  <c r="BE116" i="7"/>
  <c r="AL122" i="7"/>
  <c r="BD116" i="7"/>
  <c r="BM117" i="7" l="1"/>
  <c r="BG118" i="7"/>
  <c r="BJ116" i="7"/>
  <c r="BI117" i="7"/>
  <c r="BG117" i="7"/>
  <c r="AE118" i="9"/>
  <c r="AC119" i="9"/>
  <c r="BI118" i="7"/>
  <c r="BL116" i="7"/>
  <c r="AP118" i="7"/>
  <c r="BO118" i="7" s="1"/>
  <c r="AZ117" i="7"/>
  <c r="BF117" i="7" s="1"/>
  <c r="AG119" i="9" s="1"/>
  <c r="AT119" i="7"/>
  <c r="AU119" i="7" s="1"/>
  <c r="AV119" i="7" s="1"/>
  <c r="AW117" i="7"/>
  <c r="AE119" i="9" s="1"/>
  <c r="AY119" i="7"/>
  <c r="AO120" i="7"/>
  <c r="AN120" i="7"/>
  <c r="AM122" i="7"/>
  <c r="BB121" i="7"/>
  <c r="BC121" i="7"/>
  <c r="BH121" i="7"/>
  <c r="BN121" i="7"/>
  <c r="BK121" i="7"/>
  <c r="AD124" i="9"/>
  <c r="AF124" i="9"/>
  <c r="AB124" i="9"/>
  <c r="AE122" i="7"/>
  <c r="AR122" i="7"/>
  <c r="AF122" i="7"/>
  <c r="AK123" i="7"/>
  <c r="BD117" i="7"/>
  <c r="AL123" i="7"/>
  <c r="BE117" i="7"/>
  <c r="BJ117" i="7" l="1"/>
  <c r="BM118" i="7"/>
  <c r="BA117" i="7"/>
  <c r="BI119" i="7"/>
  <c r="AZ118" i="7"/>
  <c r="BF118" i="7" s="1"/>
  <c r="AG120" i="9" s="1"/>
  <c r="AW118" i="7"/>
  <c r="BA118" i="7" s="1"/>
  <c r="AT120" i="7"/>
  <c r="AU120" i="7" s="1"/>
  <c r="AN121" i="7"/>
  <c r="AC121" i="9"/>
  <c r="BL117" i="7"/>
  <c r="BG119" i="7"/>
  <c r="AQ120" i="7"/>
  <c r="AO121" i="7"/>
  <c r="AQ121" i="7" s="1"/>
  <c r="AY120" i="7"/>
  <c r="AP119" i="7"/>
  <c r="BO119" i="7" s="1"/>
  <c r="AM123" i="7"/>
  <c r="BB122" i="7"/>
  <c r="BC122" i="7"/>
  <c r="AB125" i="9"/>
  <c r="AD125" i="9"/>
  <c r="AF125" i="9"/>
  <c r="AK124" i="7"/>
  <c r="AF123" i="7"/>
  <c r="AE123" i="7"/>
  <c r="AR123" i="7"/>
  <c r="BN122" i="7"/>
  <c r="BK122" i="7"/>
  <c r="BH122" i="7"/>
  <c r="AL124" i="7"/>
  <c r="BD118" i="7"/>
  <c r="BE118" i="7"/>
  <c r="BJ118" i="7" l="1"/>
  <c r="AE120" i="9"/>
  <c r="AN122" i="7"/>
  <c r="AY122" i="7" s="1"/>
  <c r="BL118" i="7"/>
  <c r="AV120" i="7"/>
  <c r="BI120" i="7" s="1"/>
  <c r="AY121" i="7"/>
  <c r="AP120" i="7"/>
  <c r="BO120" i="7" s="1"/>
  <c r="AT121" i="7"/>
  <c r="AU121" i="7" s="1"/>
  <c r="AZ119" i="7"/>
  <c r="BF119" i="7" s="1"/>
  <c r="AG121" i="9" s="1"/>
  <c r="AW119" i="7"/>
  <c r="AE121" i="9" s="1"/>
  <c r="BM119" i="7"/>
  <c r="AO122" i="7"/>
  <c r="AT122" i="7" s="1"/>
  <c r="AU122" i="7" s="1"/>
  <c r="AM124" i="7"/>
  <c r="BC123" i="7"/>
  <c r="BB123" i="7"/>
  <c r="BH123" i="7"/>
  <c r="BK123" i="7"/>
  <c r="BN123" i="7"/>
  <c r="AF126" i="9"/>
  <c r="AD126" i="9"/>
  <c r="AB126" i="9"/>
  <c r="AE124" i="7"/>
  <c r="AR124" i="7"/>
  <c r="AF124" i="7"/>
  <c r="AK125" i="7"/>
  <c r="BJ119" i="7"/>
  <c r="AL125" i="7"/>
  <c r="BE119" i="7"/>
  <c r="BD119" i="7"/>
  <c r="BG120" i="7" l="1"/>
  <c r="BM120" i="7"/>
  <c r="BA119" i="7"/>
  <c r="AP121" i="7"/>
  <c r="BO121" i="7" s="1"/>
  <c r="AN123" i="7"/>
  <c r="AP122" i="7" s="1"/>
  <c r="BO122" i="7" s="1"/>
  <c r="AC122" i="9"/>
  <c r="AV121" i="7"/>
  <c r="BI121" i="7" s="1"/>
  <c r="AV122" i="7"/>
  <c r="AC124" i="9" s="1"/>
  <c r="AZ120" i="7"/>
  <c r="BF120" i="7" s="1"/>
  <c r="AG122" i="9" s="1"/>
  <c r="AW120" i="7"/>
  <c r="BA120" i="7" s="1"/>
  <c r="AO123" i="7"/>
  <c r="AQ123" i="7" s="1"/>
  <c r="BL119" i="7"/>
  <c r="AQ122" i="7"/>
  <c r="AM125" i="7"/>
  <c r="BB124" i="7"/>
  <c r="BC124" i="7"/>
  <c r="BJ120" i="7"/>
  <c r="AD127" i="9"/>
  <c r="AF127" i="9"/>
  <c r="AB127" i="9"/>
  <c r="AF125" i="7"/>
  <c r="AE125" i="7"/>
  <c r="AK126" i="7"/>
  <c r="AR125" i="7"/>
  <c r="BN124" i="7"/>
  <c r="BK124" i="7"/>
  <c r="BH124" i="7"/>
  <c r="BD120" i="7"/>
  <c r="BE120" i="7"/>
  <c r="AL126" i="7"/>
  <c r="BM121" i="7" l="1"/>
  <c r="AZ121" i="7"/>
  <c r="BF121" i="7" s="1"/>
  <c r="AG123" i="9" s="1"/>
  <c r="BG121" i="7"/>
  <c r="BG122" i="7"/>
  <c r="AY123" i="7"/>
  <c r="AO124" i="7"/>
  <c r="AQ124" i="7" s="1"/>
  <c r="AW121" i="7"/>
  <c r="AE123" i="9" s="1"/>
  <c r="AE122" i="9"/>
  <c r="AC123" i="9"/>
  <c r="BI122" i="7"/>
  <c r="BL120" i="7"/>
  <c r="AN124" i="7"/>
  <c r="AT123" i="7"/>
  <c r="AU123" i="7" s="1"/>
  <c r="AM126" i="7"/>
  <c r="BB125" i="7"/>
  <c r="BC125" i="7"/>
  <c r="AW122" i="7"/>
  <c r="BL122" i="7" s="1"/>
  <c r="AZ122" i="7"/>
  <c r="BF122" i="7" s="1"/>
  <c r="AG124" i="9" s="1"/>
  <c r="BM122" i="7"/>
  <c r="BH125" i="7"/>
  <c r="BN125" i="7"/>
  <c r="BK125" i="7"/>
  <c r="AF128" i="9"/>
  <c r="AD128" i="9"/>
  <c r="AB128" i="9"/>
  <c r="AE126" i="7"/>
  <c r="AR126" i="7"/>
  <c r="AF126" i="7"/>
  <c r="AK127" i="7"/>
  <c r="BE122" i="7"/>
  <c r="BD121" i="7"/>
  <c r="AL127" i="7"/>
  <c r="BD122" i="7"/>
  <c r="BE121" i="7"/>
  <c r="BJ121" i="7" l="1"/>
  <c r="BA121" i="7"/>
  <c r="AT124" i="7"/>
  <c r="AU124" i="7" s="1"/>
  <c r="AV124" i="7" s="1"/>
  <c r="BI124" i="7" s="1"/>
  <c r="BL121" i="7"/>
  <c r="AV123" i="7"/>
  <c r="AP123" i="7"/>
  <c r="BO123" i="7" s="1"/>
  <c r="AO125" i="7"/>
  <c r="AQ125" i="7" s="1"/>
  <c r="AY124" i="7"/>
  <c r="AN125" i="7"/>
  <c r="AM127" i="7"/>
  <c r="BB126" i="7"/>
  <c r="BC126" i="7"/>
  <c r="BN126" i="7"/>
  <c r="BK126" i="7"/>
  <c r="BH126" i="7"/>
  <c r="AB129" i="9"/>
  <c r="AD129" i="9"/>
  <c r="AF129" i="9"/>
  <c r="AK128" i="7"/>
  <c r="AF127" i="7"/>
  <c r="AE127" i="7"/>
  <c r="AR127" i="7"/>
  <c r="AE124" i="9"/>
  <c r="BA122" i="7"/>
  <c r="BJ122" i="7"/>
  <c r="AL128" i="7"/>
  <c r="BM123" i="7" l="1"/>
  <c r="BI123" i="7"/>
  <c r="BG123" i="7"/>
  <c r="BG124" i="7"/>
  <c r="AC126" i="9"/>
  <c r="AZ123" i="7"/>
  <c r="BF123" i="7" s="1"/>
  <c r="AG125" i="9" s="1"/>
  <c r="AW123" i="7"/>
  <c r="BA123" i="7" s="1"/>
  <c r="AC125" i="9"/>
  <c r="AY125" i="7"/>
  <c r="AT125" i="7"/>
  <c r="AU125" i="7" s="1"/>
  <c r="AP124" i="7"/>
  <c r="BO124" i="7" s="1"/>
  <c r="AN126" i="7"/>
  <c r="AP125" i="7" s="1"/>
  <c r="BO125" i="7" s="1"/>
  <c r="AO126" i="7"/>
  <c r="AQ126" i="7" s="1"/>
  <c r="AM128" i="7"/>
  <c r="BC127" i="7"/>
  <c r="BB127" i="7"/>
  <c r="AD130" i="9"/>
  <c r="AF130" i="9"/>
  <c r="AE128" i="7"/>
  <c r="AB130" i="9"/>
  <c r="AR128" i="7"/>
  <c r="AF128" i="7"/>
  <c r="AK129" i="7"/>
  <c r="BH127" i="7"/>
  <c r="BK127" i="7"/>
  <c r="BN127" i="7"/>
  <c r="BE123" i="7"/>
  <c r="BD123" i="7"/>
  <c r="AL129" i="7"/>
  <c r="BM124" i="7" l="1"/>
  <c r="BJ123" i="7"/>
  <c r="AE125" i="9"/>
  <c r="AV125" i="7"/>
  <c r="BL123" i="7"/>
  <c r="AY126" i="7"/>
  <c r="AW124" i="7"/>
  <c r="BA124" i="7" s="1"/>
  <c r="AZ124" i="7"/>
  <c r="BF124" i="7" s="1"/>
  <c r="AG126" i="9" s="1"/>
  <c r="AO127" i="7"/>
  <c r="AQ127" i="7" s="1"/>
  <c r="AT126" i="7"/>
  <c r="AU126" i="7" s="1"/>
  <c r="AV126" i="7" s="1"/>
  <c r="AN127" i="7"/>
  <c r="AM129" i="7"/>
  <c r="BB128" i="7"/>
  <c r="BC128" i="7"/>
  <c r="BJ124" i="7"/>
  <c r="BN128" i="7"/>
  <c r="BK128" i="7"/>
  <c r="BH128" i="7"/>
  <c r="BG126" i="7"/>
  <c r="AB131" i="9"/>
  <c r="AF131" i="9"/>
  <c r="AD131" i="9"/>
  <c r="AE129" i="7"/>
  <c r="AF129" i="7"/>
  <c r="AK130" i="7"/>
  <c r="AR129" i="7"/>
  <c r="AW125" i="7"/>
  <c r="BL125" i="7" s="1"/>
  <c r="AZ125" i="7"/>
  <c r="BF125" i="7" s="1"/>
  <c r="AG127" i="9" s="1"/>
  <c r="BM125" i="7"/>
  <c r="BD124" i="7"/>
  <c r="BE125" i="7"/>
  <c r="BD125" i="7"/>
  <c r="AL130" i="7"/>
  <c r="BE124" i="7"/>
  <c r="BI125" i="7" l="1"/>
  <c r="BG125" i="7"/>
  <c r="AE126" i="9"/>
  <c r="AC127" i="9"/>
  <c r="BI126" i="7"/>
  <c r="AY127" i="7"/>
  <c r="BL124" i="7"/>
  <c r="AP126" i="7"/>
  <c r="BO126" i="7" s="1"/>
  <c r="AT127" i="7"/>
  <c r="AU127" i="7" s="1"/>
  <c r="AN128" i="7"/>
  <c r="AO128" i="7"/>
  <c r="AC128" i="9"/>
  <c r="AM130" i="7"/>
  <c r="BB129" i="7"/>
  <c r="BC129" i="7"/>
  <c r="AE127" i="9"/>
  <c r="BA125" i="7"/>
  <c r="BJ125" i="7"/>
  <c r="AB132" i="9"/>
  <c r="AF132" i="9"/>
  <c r="AD132" i="9"/>
  <c r="AE130" i="7"/>
  <c r="AR130" i="7"/>
  <c r="AF130" i="7"/>
  <c r="AK131" i="7"/>
  <c r="BH129" i="7"/>
  <c r="BN129" i="7"/>
  <c r="BK129" i="7"/>
  <c r="AL131" i="7"/>
  <c r="BM126" i="7" l="1"/>
  <c r="AZ126" i="7"/>
  <c r="BF126" i="7" s="1"/>
  <c r="AG128" i="9" s="1"/>
  <c r="AV127" i="7"/>
  <c r="AY128" i="7"/>
  <c r="AO129" i="7"/>
  <c r="AQ129" i="7" s="1"/>
  <c r="AN129" i="7"/>
  <c r="AP127" i="7"/>
  <c r="BO127" i="7" s="1"/>
  <c r="AW126" i="7"/>
  <c r="BA126" i="7" s="1"/>
  <c r="AT128" i="7"/>
  <c r="AU128" i="7" s="1"/>
  <c r="AV128" i="7" s="1"/>
  <c r="AQ128" i="7"/>
  <c r="AM131" i="7"/>
  <c r="BB130" i="7"/>
  <c r="BC130" i="7"/>
  <c r="AF133" i="9"/>
  <c r="AD133" i="9"/>
  <c r="AB133" i="9"/>
  <c r="AF131" i="7"/>
  <c r="AE131" i="7"/>
  <c r="AK132" i="7"/>
  <c r="AR131" i="7"/>
  <c r="BG128" i="7"/>
  <c r="BN130" i="7"/>
  <c r="BK130" i="7"/>
  <c r="BH130" i="7"/>
  <c r="BE126" i="7"/>
  <c r="BD126" i="7"/>
  <c r="AL132" i="7"/>
  <c r="BJ126" i="7" l="1"/>
  <c r="BM127" i="7"/>
  <c r="BI127" i="7"/>
  <c r="BG127" i="7"/>
  <c r="AC129" i="9"/>
  <c r="BI128" i="7"/>
  <c r="AT129" i="7"/>
  <c r="AU129" i="7" s="1"/>
  <c r="AE128" i="9"/>
  <c r="AZ127" i="7"/>
  <c r="BF127" i="7" s="1"/>
  <c r="AG129" i="9" s="1"/>
  <c r="AW127" i="7"/>
  <c r="AE129" i="9" s="1"/>
  <c r="AO130" i="7"/>
  <c r="AQ130" i="7" s="1"/>
  <c r="AP128" i="7"/>
  <c r="BO128" i="7" s="1"/>
  <c r="BL126" i="7"/>
  <c r="AY129" i="7"/>
  <c r="AC130" i="9"/>
  <c r="AN130" i="7"/>
  <c r="AM132" i="7"/>
  <c r="BB131" i="7"/>
  <c r="BC131" i="7"/>
  <c r="AB134" i="9"/>
  <c r="AD134" i="9"/>
  <c r="AF134" i="9"/>
  <c r="AE132" i="7"/>
  <c r="AR132" i="7"/>
  <c r="AF132" i="7"/>
  <c r="AK133" i="7"/>
  <c r="BH131" i="7"/>
  <c r="BK131" i="7"/>
  <c r="BN131" i="7"/>
  <c r="BJ127" i="7"/>
  <c r="BD127" i="7"/>
  <c r="BE127" i="7"/>
  <c r="AL133" i="7"/>
  <c r="BM128" i="7" l="1"/>
  <c r="AV129" i="7"/>
  <c r="AY130" i="7"/>
  <c r="BA127" i="7"/>
  <c r="AW128" i="7"/>
  <c r="BA128" i="7" s="1"/>
  <c r="BL127" i="7"/>
  <c r="AZ128" i="7"/>
  <c r="BF128" i="7" s="1"/>
  <c r="AG130" i="9" s="1"/>
  <c r="AT130" i="7"/>
  <c r="AU130" i="7" s="1"/>
  <c r="AV130" i="7" s="1"/>
  <c r="BG130" i="7" s="1"/>
  <c r="AP129" i="7"/>
  <c r="BO129" i="7" s="1"/>
  <c r="AN131" i="7"/>
  <c r="AO131" i="7"/>
  <c r="AM133" i="7"/>
  <c r="BC132" i="7"/>
  <c r="BB132" i="7"/>
  <c r="BJ128" i="7"/>
  <c r="BN132" i="7"/>
  <c r="BH132" i="7"/>
  <c r="BK132" i="7"/>
  <c r="AF135" i="9"/>
  <c r="AB135" i="9"/>
  <c r="AD135" i="9"/>
  <c r="AK134" i="7"/>
  <c r="AE133" i="7"/>
  <c r="AF133" i="7"/>
  <c r="AR133" i="7"/>
  <c r="BD128" i="7"/>
  <c r="AL134" i="7"/>
  <c r="BE128" i="7"/>
  <c r="BM129" i="7" l="1"/>
  <c r="AC131" i="9"/>
  <c r="BG129" i="7"/>
  <c r="AE130" i="9"/>
  <c r="BI130" i="7"/>
  <c r="BI129" i="7"/>
  <c r="AY131" i="7"/>
  <c r="AC132" i="9"/>
  <c r="BL128" i="7"/>
  <c r="AP130" i="7"/>
  <c r="BO130" i="7" s="1"/>
  <c r="AO132" i="7"/>
  <c r="AQ132" i="7" s="1"/>
  <c r="AN132" i="7"/>
  <c r="AW129" i="7"/>
  <c r="BA129" i="7" s="1"/>
  <c r="AT131" i="7"/>
  <c r="AU131" i="7" s="1"/>
  <c r="AV131" i="7" s="1"/>
  <c r="AZ129" i="7"/>
  <c r="BF129" i="7" s="1"/>
  <c r="AG131" i="9" s="1"/>
  <c r="AQ131" i="7"/>
  <c r="AM134" i="7"/>
  <c r="BB133" i="7"/>
  <c r="BC133" i="7"/>
  <c r="BH133" i="7"/>
  <c r="BK133" i="7"/>
  <c r="BN133" i="7"/>
  <c r="BM130" i="7"/>
  <c r="AB136" i="9"/>
  <c r="AD136" i="9"/>
  <c r="AF136" i="9"/>
  <c r="AE134" i="7"/>
  <c r="AF134" i="7"/>
  <c r="AR134" i="7"/>
  <c r="AK135" i="7"/>
  <c r="BJ129" i="7"/>
  <c r="BG131" i="7"/>
  <c r="BE129" i="7"/>
  <c r="AL135" i="7"/>
  <c r="BD129" i="7"/>
  <c r="AW130" i="7" l="1"/>
  <c r="AE132" i="9" s="1"/>
  <c r="BI131" i="7"/>
  <c r="AY132" i="7"/>
  <c r="AE131" i="9"/>
  <c r="AZ130" i="7"/>
  <c r="BF130" i="7" s="1"/>
  <c r="AG132" i="9" s="1"/>
  <c r="AO133" i="7"/>
  <c r="AQ133" i="7" s="1"/>
  <c r="AN133" i="7"/>
  <c r="AP131" i="7"/>
  <c r="BO131" i="7" s="1"/>
  <c r="AT132" i="7"/>
  <c r="AU132" i="7" s="1"/>
  <c r="AV132" i="7" s="1"/>
  <c r="AC133" i="9"/>
  <c r="BL129" i="7"/>
  <c r="AM135" i="7"/>
  <c r="BB134" i="7"/>
  <c r="BC134" i="7"/>
  <c r="BG132" i="7"/>
  <c r="BJ130" i="7"/>
  <c r="BN134" i="7"/>
  <c r="BK134" i="7"/>
  <c r="BH134" i="7"/>
  <c r="AD137" i="9"/>
  <c r="AB137" i="9"/>
  <c r="AF137" i="9"/>
  <c r="AF135" i="7"/>
  <c r="AK136" i="7"/>
  <c r="AE135" i="7"/>
  <c r="AR135" i="7"/>
  <c r="BD130" i="7"/>
  <c r="BE130" i="7"/>
  <c r="AL136" i="7"/>
  <c r="BA130" i="7" l="1"/>
  <c r="BM131" i="7"/>
  <c r="BL130" i="7"/>
  <c r="BI132" i="7"/>
  <c r="AY133" i="7"/>
  <c r="AP132" i="7"/>
  <c r="BO132" i="7" s="1"/>
  <c r="AO134" i="7"/>
  <c r="AQ134" i="7" s="1"/>
  <c r="AZ131" i="7"/>
  <c r="BF131" i="7" s="1"/>
  <c r="AG133" i="9" s="1"/>
  <c r="AC134" i="9"/>
  <c r="AW131" i="7"/>
  <c r="BA131" i="7" s="1"/>
  <c r="AT133" i="7"/>
  <c r="AU133" i="7" s="1"/>
  <c r="AV133" i="7" s="1"/>
  <c r="BG133" i="7" s="1"/>
  <c r="AN134" i="7"/>
  <c r="AM136" i="7"/>
  <c r="BC135" i="7"/>
  <c r="BB135" i="7"/>
  <c r="BM132" i="7"/>
  <c r="AB138" i="9"/>
  <c r="AF138" i="9"/>
  <c r="AD138" i="9"/>
  <c r="AE136" i="7"/>
  <c r="AF136" i="7"/>
  <c r="AK137" i="7"/>
  <c r="AR136" i="7"/>
  <c r="BH135" i="7"/>
  <c r="BK135" i="7"/>
  <c r="BN135" i="7"/>
  <c r="BE131" i="7"/>
  <c r="AL137" i="7"/>
  <c r="BD131" i="7"/>
  <c r="BJ131" i="7" l="1"/>
  <c r="BI133" i="7"/>
  <c r="AZ132" i="7"/>
  <c r="BF132" i="7" s="1"/>
  <c r="AG134" i="9" s="1"/>
  <c r="AW132" i="7"/>
  <c r="BA132" i="7" s="1"/>
  <c r="AE133" i="9"/>
  <c r="AO135" i="7"/>
  <c r="AQ135" i="7" s="1"/>
  <c r="AT134" i="7"/>
  <c r="AU134" i="7" s="1"/>
  <c r="AP133" i="7"/>
  <c r="BO133" i="7" s="1"/>
  <c r="AY134" i="7"/>
  <c r="AN135" i="7"/>
  <c r="AC135" i="9"/>
  <c r="BL131" i="7"/>
  <c r="AM137" i="7"/>
  <c r="BB136" i="7"/>
  <c r="BC136" i="7"/>
  <c r="AD139" i="9"/>
  <c r="AF139" i="9"/>
  <c r="AB139" i="9"/>
  <c r="AK138" i="7"/>
  <c r="AE137" i="7"/>
  <c r="AF137" i="7"/>
  <c r="AR137" i="7"/>
  <c r="BN136" i="7"/>
  <c r="BK136" i="7"/>
  <c r="BH136" i="7"/>
  <c r="BE132" i="7"/>
  <c r="BD132" i="7"/>
  <c r="AL138" i="7"/>
  <c r="BJ132" i="7" l="1"/>
  <c r="AE134" i="9"/>
  <c r="BM133" i="7"/>
  <c r="AV134" i="7"/>
  <c r="AY135" i="7"/>
  <c r="BL132" i="7"/>
  <c r="AZ133" i="7"/>
  <c r="BF133" i="7" s="1"/>
  <c r="AG135" i="9" s="1"/>
  <c r="AP134" i="7"/>
  <c r="BO134" i="7" s="1"/>
  <c r="AT135" i="7"/>
  <c r="AU135" i="7" s="1"/>
  <c r="AV135" i="7" s="1"/>
  <c r="BG135" i="7" s="1"/>
  <c r="AW133" i="7"/>
  <c r="BA133" i="7" s="1"/>
  <c r="AO136" i="7"/>
  <c r="AN136" i="7"/>
  <c r="AM138" i="7"/>
  <c r="BC137" i="7"/>
  <c r="BB137" i="7"/>
  <c r="AD140" i="9"/>
  <c r="AB140" i="9"/>
  <c r="AF140" i="9"/>
  <c r="AE138" i="7"/>
  <c r="AF138" i="7"/>
  <c r="AR138" i="7"/>
  <c r="AK139" i="7"/>
  <c r="BH137" i="7"/>
  <c r="BK137" i="7"/>
  <c r="BN137" i="7"/>
  <c r="AL139" i="7"/>
  <c r="BE133" i="7"/>
  <c r="BD133" i="7"/>
  <c r="BM134" i="7" l="1"/>
  <c r="BJ133" i="7"/>
  <c r="BI134" i="7"/>
  <c r="BG134" i="7"/>
  <c r="AE135" i="9"/>
  <c r="AC136" i="9"/>
  <c r="BI135" i="7"/>
  <c r="AZ134" i="7"/>
  <c r="BF134" i="7" s="1"/>
  <c r="AG136" i="9" s="1"/>
  <c r="AY136" i="7"/>
  <c r="AW134" i="7"/>
  <c r="AE136" i="9" s="1"/>
  <c r="AC137" i="9"/>
  <c r="AT136" i="7"/>
  <c r="AU136" i="7" s="1"/>
  <c r="BL133" i="7"/>
  <c r="AQ136" i="7"/>
  <c r="AP135" i="7"/>
  <c r="BO135" i="7" s="1"/>
  <c r="AN137" i="7"/>
  <c r="AO137" i="7"/>
  <c r="AM139" i="7"/>
  <c r="BB138" i="7"/>
  <c r="BC138" i="7"/>
  <c r="BN138" i="7"/>
  <c r="BK138" i="7"/>
  <c r="BH138" i="7"/>
  <c r="AB141" i="9"/>
  <c r="AD141" i="9"/>
  <c r="AF141" i="9"/>
  <c r="AF139" i="7"/>
  <c r="AE139" i="7"/>
  <c r="AK140" i="7"/>
  <c r="AR139" i="7"/>
  <c r="AL140" i="7"/>
  <c r="BE134" i="7"/>
  <c r="BD134" i="7"/>
  <c r="BJ134" i="7" l="1"/>
  <c r="AT137" i="7"/>
  <c r="AU137" i="7" s="1"/>
  <c r="AV137" i="7" s="1"/>
  <c r="BI137" i="7" s="1"/>
  <c r="BM135" i="7"/>
  <c r="BA134" i="7"/>
  <c r="AV136" i="7"/>
  <c r="AY137" i="7"/>
  <c r="AP136" i="7"/>
  <c r="BO136" i="7" s="1"/>
  <c r="BL134" i="7"/>
  <c r="AO138" i="7"/>
  <c r="AQ138" i="7" s="1"/>
  <c r="AW135" i="7"/>
  <c r="AN138" i="7"/>
  <c r="AZ135" i="7"/>
  <c r="BF135" i="7" s="1"/>
  <c r="AG137" i="9" s="1"/>
  <c r="AQ137" i="7"/>
  <c r="AM140" i="7"/>
  <c r="BB139" i="7"/>
  <c r="BC139" i="7"/>
  <c r="BG137" i="7"/>
  <c r="BJ135" i="7"/>
  <c r="BH139" i="7"/>
  <c r="BK139" i="7"/>
  <c r="BN139" i="7"/>
  <c r="AF142" i="9"/>
  <c r="AD142" i="9"/>
  <c r="AB142" i="9"/>
  <c r="AE140" i="7"/>
  <c r="AR140" i="7"/>
  <c r="AF140" i="7"/>
  <c r="AK141" i="7"/>
  <c r="BE135" i="7"/>
  <c r="BD135" i="7"/>
  <c r="AL141" i="7"/>
  <c r="AC138" i="9" l="1"/>
  <c r="BG136" i="7"/>
  <c r="BM136" i="7"/>
  <c r="AC139" i="9"/>
  <c r="AZ136" i="7"/>
  <c r="BF136" i="7" s="1"/>
  <c r="AG138" i="9" s="1"/>
  <c r="AW136" i="7"/>
  <c r="AE138" i="9" s="1"/>
  <c r="BI136" i="7"/>
  <c r="AY138" i="7"/>
  <c r="AN139" i="7"/>
  <c r="AP138" i="7" s="1"/>
  <c r="BO138" i="7" s="1"/>
  <c r="AT138" i="7"/>
  <c r="AU138" i="7" s="1"/>
  <c r="AV138" i="7" s="1"/>
  <c r="AP137" i="7"/>
  <c r="BO137" i="7" s="1"/>
  <c r="AO139" i="7"/>
  <c r="BL135" i="7"/>
  <c r="BA135" i="7"/>
  <c r="AE137" i="9"/>
  <c r="AM141" i="7"/>
  <c r="BC140" i="7"/>
  <c r="BB140" i="7"/>
  <c r="BN140" i="7"/>
  <c r="BK140" i="7"/>
  <c r="BH140" i="7"/>
  <c r="BJ136" i="7"/>
  <c r="AD143" i="9"/>
  <c r="AF143" i="9"/>
  <c r="AB143" i="9"/>
  <c r="AK142" i="7"/>
  <c r="AE141" i="7"/>
  <c r="AF141" i="7"/>
  <c r="AR141" i="7"/>
  <c r="BG138" i="7"/>
  <c r="BE136" i="7"/>
  <c r="BD136" i="7"/>
  <c r="AL142" i="7"/>
  <c r="BM137" i="7" l="1"/>
  <c r="BA136" i="7"/>
  <c r="AT139" i="7"/>
  <c r="AU139" i="7" s="1"/>
  <c r="BI138" i="7"/>
  <c r="BL136" i="7"/>
  <c r="AY139" i="7"/>
  <c r="AV139" i="7"/>
  <c r="AC141" i="9" s="1"/>
  <c r="AO140" i="7"/>
  <c r="AQ140" i="7" s="1"/>
  <c r="AW137" i="7"/>
  <c r="BA137" i="7" s="1"/>
  <c r="AC140" i="9"/>
  <c r="AZ137" i="7"/>
  <c r="BF137" i="7" s="1"/>
  <c r="AG139" i="9" s="1"/>
  <c r="AQ139" i="7"/>
  <c r="AN140" i="7"/>
  <c r="AM142" i="7"/>
  <c r="BB141" i="7"/>
  <c r="BC141" i="7"/>
  <c r="AE139" i="9"/>
  <c r="BH141" i="7"/>
  <c r="BK141" i="7"/>
  <c r="BN141" i="7"/>
  <c r="AW138" i="7"/>
  <c r="BL138" i="7" s="1"/>
  <c r="AZ138" i="7"/>
  <c r="BF138" i="7" s="1"/>
  <c r="AG140" i="9" s="1"/>
  <c r="BM138" i="7"/>
  <c r="AF144" i="9"/>
  <c r="AB144" i="9"/>
  <c r="AD144" i="9"/>
  <c r="AE142" i="7"/>
  <c r="AR142" i="7"/>
  <c r="AF142" i="7"/>
  <c r="AK143" i="7"/>
  <c r="BD137" i="7"/>
  <c r="BD138" i="7"/>
  <c r="AL143" i="7"/>
  <c r="BE138" i="7"/>
  <c r="BE137" i="7"/>
  <c r="BJ137" i="7" l="1"/>
  <c r="BG139" i="7"/>
  <c r="BI139" i="7"/>
  <c r="BL137" i="7"/>
  <c r="AO141" i="7"/>
  <c r="AQ141" i="7" s="1"/>
  <c r="AT140" i="7"/>
  <c r="AU140" i="7" s="1"/>
  <c r="AN141" i="7"/>
  <c r="AY140" i="7"/>
  <c r="AP139" i="7"/>
  <c r="BO139" i="7" s="1"/>
  <c r="AM143" i="7"/>
  <c r="BC142" i="7"/>
  <c r="BB142" i="7"/>
  <c r="AB145" i="9"/>
  <c r="AF145" i="9"/>
  <c r="AD145" i="9"/>
  <c r="AE143" i="7"/>
  <c r="AF143" i="7"/>
  <c r="AK144" i="7"/>
  <c r="AR143" i="7"/>
  <c r="BN142" i="7"/>
  <c r="BK142" i="7"/>
  <c r="BH142" i="7"/>
  <c r="AE140" i="9"/>
  <c r="BA138" i="7"/>
  <c r="BJ138" i="7"/>
  <c r="AL144" i="7"/>
  <c r="BM139" i="7" l="1"/>
  <c r="AV140" i="7"/>
  <c r="AY141" i="7"/>
  <c r="AP140" i="7"/>
  <c r="BO140" i="7" s="1"/>
  <c r="AN142" i="7"/>
  <c r="AY142" i="7" s="1"/>
  <c r="AW139" i="7"/>
  <c r="BA139" i="7" s="1"/>
  <c r="AT141" i="7"/>
  <c r="AU141" i="7" s="1"/>
  <c r="AV141" i="7" s="1"/>
  <c r="BG141" i="7" s="1"/>
  <c r="AO142" i="7"/>
  <c r="AQ142" i="7" s="1"/>
  <c r="AZ139" i="7"/>
  <c r="BF139" i="7" s="1"/>
  <c r="AG141" i="9" s="1"/>
  <c r="AM144" i="7"/>
  <c r="BC143" i="7"/>
  <c r="BB143" i="7"/>
  <c r="BK143" i="7"/>
  <c r="BN143" i="7"/>
  <c r="BH143" i="7"/>
  <c r="AD146" i="9"/>
  <c r="AF146" i="9"/>
  <c r="AB146" i="9"/>
  <c r="AE144" i="7"/>
  <c r="AR144" i="7"/>
  <c r="AF144" i="7"/>
  <c r="AK145" i="7"/>
  <c r="BM140" i="7"/>
  <c r="BD139" i="7"/>
  <c r="AL145" i="7"/>
  <c r="BE139" i="7"/>
  <c r="AZ140" i="7" l="1"/>
  <c r="BF140" i="7" s="1"/>
  <c r="AG142" i="9" s="1"/>
  <c r="BJ139" i="7"/>
  <c r="BI140" i="7"/>
  <c r="BG140" i="7"/>
  <c r="AE141" i="9"/>
  <c r="AC142" i="9"/>
  <c r="AW140" i="7"/>
  <c r="AE142" i="9" s="1"/>
  <c r="AP141" i="7"/>
  <c r="BO141" i="7" s="1"/>
  <c r="AN143" i="7"/>
  <c r="AY143" i="7" s="1"/>
  <c r="BI141" i="7"/>
  <c r="AT142" i="7"/>
  <c r="AU142" i="7" s="1"/>
  <c r="AC143" i="9"/>
  <c r="BL139" i="7"/>
  <c r="AO143" i="7"/>
  <c r="AM145" i="7"/>
  <c r="BB144" i="7"/>
  <c r="BC144" i="7"/>
  <c r="BK144" i="7"/>
  <c r="BN144" i="7"/>
  <c r="BH144" i="7"/>
  <c r="AD147" i="9"/>
  <c r="AF147" i="9"/>
  <c r="AB147" i="9"/>
  <c r="AE145" i="7"/>
  <c r="AF145" i="7"/>
  <c r="AR145" i="7"/>
  <c r="AK146" i="7"/>
  <c r="BE140" i="7"/>
  <c r="BD140" i="7"/>
  <c r="AL146" i="7"/>
  <c r="BJ140" i="7" l="1"/>
  <c r="BM141" i="7"/>
  <c r="BA140" i="7"/>
  <c r="AW141" i="7"/>
  <c r="BJ141" i="7" s="1"/>
  <c r="AP142" i="7"/>
  <c r="BO142" i="7" s="1"/>
  <c r="AT143" i="7"/>
  <c r="AU143" i="7" s="1"/>
  <c r="AV143" i="7" s="1"/>
  <c r="BG143" i="7" s="1"/>
  <c r="AZ141" i="7"/>
  <c r="BF141" i="7" s="1"/>
  <c r="AG143" i="9" s="1"/>
  <c r="AV142" i="7"/>
  <c r="AO144" i="7"/>
  <c r="AQ144" i="7" s="1"/>
  <c r="BL140" i="7"/>
  <c r="AN144" i="7"/>
  <c r="AY144" i="7" s="1"/>
  <c r="AQ143" i="7"/>
  <c r="AM146" i="7"/>
  <c r="BC145" i="7"/>
  <c r="BB145" i="7"/>
  <c r="AE143" i="9"/>
  <c r="AB148" i="9"/>
  <c r="AF148" i="9"/>
  <c r="AD148" i="9"/>
  <c r="AE146" i="7"/>
  <c r="AF146" i="7"/>
  <c r="AK147" i="7"/>
  <c r="AR146" i="7"/>
  <c r="BK145" i="7"/>
  <c r="BN145" i="7"/>
  <c r="BH145" i="7"/>
  <c r="AL147" i="7"/>
  <c r="BE141" i="7"/>
  <c r="BD141" i="7"/>
  <c r="BA141" i="7" l="1"/>
  <c r="BI142" i="7"/>
  <c r="BG142" i="7"/>
  <c r="BM142" i="7"/>
  <c r="AZ142" i="7"/>
  <c r="BF142" i="7" s="1"/>
  <c r="AG144" i="9" s="1"/>
  <c r="AW142" i="7"/>
  <c r="AE144" i="9" s="1"/>
  <c r="BL141" i="7"/>
  <c r="AC145" i="9"/>
  <c r="BI143" i="7"/>
  <c r="AC144" i="9"/>
  <c r="AO145" i="7"/>
  <c r="AQ145" i="7" s="1"/>
  <c r="AT144" i="7"/>
  <c r="AU144" i="7" s="1"/>
  <c r="AV144" i="7" s="1"/>
  <c r="AC146" i="9" s="1"/>
  <c r="AN145" i="7"/>
  <c r="AY145" i="7" s="1"/>
  <c r="AP143" i="7"/>
  <c r="BO143" i="7" s="1"/>
  <c r="AM147" i="7"/>
  <c r="BC146" i="7"/>
  <c r="BB146" i="7"/>
  <c r="AF149" i="9"/>
  <c r="AD149" i="9"/>
  <c r="AB149" i="9"/>
  <c r="AF147" i="7"/>
  <c r="AE147" i="7"/>
  <c r="AR147" i="7"/>
  <c r="AK148" i="7"/>
  <c r="BH146" i="7"/>
  <c r="BN146" i="7"/>
  <c r="BK146" i="7"/>
  <c r="AL148" i="7"/>
  <c r="BD142" i="7"/>
  <c r="BE142" i="7"/>
  <c r="BG144" i="7" l="1"/>
  <c r="BM143" i="7"/>
  <c r="BJ142" i="7"/>
  <c r="BA142" i="7"/>
  <c r="BL142" i="7"/>
  <c r="AP144" i="7"/>
  <c r="BO144" i="7" s="1"/>
  <c r="AT145" i="7"/>
  <c r="AU145" i="7" s="1"/>
  <c r="AV145" i="7" s="1"/>
  <c r="BI145" i="7" s="1"/>
  <c r="AW143" i="7"/>
  <c r="AE145" i="9" s="1"/>
  <c r="BI144" i="7"/>
  <c r="AO146" i="7"/>
  <c r="AQ146" i="7" s="1"/>
  <c r="AN146" i="7"/>
  <c r="AY146" i="7" s="1"/>
  <c r="AZ143" i="7"/>
  <c r="BF143" i="7" s="1"/>
  <c r="AG145" i="9" s="1"/>
  <c r="AM148" i="7"/>
  <c r="BC147" i="7"/>
  <c r="BB147" i="7"/>
  <c r="BK147" i="7"/>
  <c r="BH147" i="7"/>
  <c r="BN147" i="7"/>
  <c r="AB150" i="9"/>
  <c r="AD150" i="9"/>
  <c r="AF150" i="9"/>
  <c r="AF148" i="7"/>
  <c r="AK149" i="7"/>
  <c r="AR148" i="7"/>
  <c r="AE148" i="7"/>
  <c r="BD143" i="7"/>
  <c r="AL149" i="7"/>
  <c r="BE143" i="7"/>
  <c r="BJ143" i="7" l="1"/>
  <c r="BM144" i="7"/>
  <c r="BG145" i="7"/>
  <c r="AZ144" i="7"/>
  <c r="BF144" i="7" s="1"/>
  <c r="AG146" i="9" s="1"/>
  <c r="AW144" i="7"/>
  <c r="BA144" i="7" s="1"/>
  <c r="BA143" i="7"/>
  <c r="AP145" i="7"/>
  <c r="BO145" i="7" s="1"/>
  <c r="AC147" i="9"/>
  <c r="AN147" i="7"/>
  <c r="AY147" i="7" s="1"/>
  <c r="BL143" i="7"/>
  <c r="AT146" i="7"/>
  <c r="AU146" i="7" s="1"/>
  <c r="AV146" i="7" s="1"/>
  <c r="AC148" i="9" s="1"/>
  <c r="AO147" i="7"/>
  <c r="AM149" i="7"/>
  <c r="BB148" i="7"/>
  <c r="BC148" i="7"/>
  <c r="BG146" i="7"/>
  <c r="BK148" i="7"/>
  <c r="BN148" i="7"/>
  <c r="BH148" i="7"/>
  <c r="AF151" i="9"/>
  <c r="AD151" i="9"/>
  <c r="AB151" i="9"/>
  <c r="AE149" i="7"/>
  <c r="AK150" i="7"/>
  <c r="AR149" i="7"/>
  <c r="AF149" i="7"/>
  <c r="BD144" i="7"/>
  <c r="BE144" i="7"/>
  <c r="AL150" i="7"/>
  <c r="BM145" i="7" l="1"/>
  <c r="AE146" i="9"/>
  <c r="AW145" i="7"/>
  <c r="BJ144" i="7"/>
  <c r="AT147" i="7"/>
  <c r="AU147" i="7" s="1"/>
  <c r="AV147" i="7" s="1"/>
  <c r="BI147" i="7" s="1"/>
  <c r="BL144" i="7"/>
  <c r="AN148" i="7"/>
  <c r="AY148" i="7" s="1"/>
  <c r="AP146" i="7"/>
  <c r="BO146" i="7" s="1"/>
  <c r="AZ145" i="7"/>
  <c r="BF145" i="7" s="1"/>
  <c r="AG147" i="9" s="1"/>
  <c r="BI146" i="7"/>
  <c r="AO148" i="7"/>
  <c r="AQ148" i="7" s="1"/>
  <c r="AQ147" i="7"/>
  <c r="AM150" i="7"/>
  <c r="BB149" i="7"/>
  <c r="BC149" i="7"/>
  <c r="AB152" i="9"/>
  <c r="AD152" i="9"/>
  <c r="AF152" i="9"/>
  <c r="AE150" i="7"/>
  <c r="AF150" i="7"/>
  <c r="AK151" i="7"/>
  <c r="AR150" i="7"/>
  <c r="BG147" i="7"/>
  <c r="BK149" i="7"/>
  <c r="BH149" i="7"/>
  <c r="BN149" i="7"/>
  <c r="AE147" i="9"/>
  <c r="BA145" i="7"/>
  <c r="BJ145" i="7"/>
  <c r="BD145" i="7"/>
  <c r="BE145" i="7"/>
  <c r="AL151" i="7"/>
  <c r="BL145" i="7" l="1"/>
  <c r="BM146" i="7"/>
  <c r="AP147" i="7"/>
  <c r="BO147" i="7" s="1"/>
  <c r="AZ146" i="7"/>
  <c r="BF146" i="7" s="1"/>
  <c r="AG148" i="9" s="1"/>
  <c r="AW146" i="7"/>
  <c r="BA146" i="7" s="1"/>
  <c r="AN149" i="7"/>
  <c r="AY149" i="7" s="1"/>
  <c r="AC149" i="9"/>
  <c r="AT148" i="7"/>
  <c r="AU148" i="7" s="1"/>
  <c r="AO149" i="7"/>
  <c r="AQ149" i="7" s="1"/>
  <c r="AM151" i="7"/>
  <c r="BC150" i="7"/>
  <c r="BB150" i="7"/>
  <c r="BH150" i="7"/>
  <c r="BK150" i="7"/>
  <c r="BN150" i="7"/>
  <c r="BM147" i="7"/>
  <c r="AD153" i="9"/>
  <c r="AB153" i="9"/>
  <c r="AF153" i="9"/>
  <c r="AF151" i="7"/>
  <c r="AE151" i="7"/>
  <c r="AR151" i="7"/>
  <c r="AK152" i="7"/>
  <c r="AE148" i="9"/>
  <c r="BE146" i="7"/>
  <c r="AL152" i="7"/>
  <c r="BD146" i="7"/>
  <c r="BJ146" i="7" l="1"/>
  <c r="AN150" i="7"/>
  <c r="AY150" i="7" s="1"/>
  <c r="AZ147" i="7"/>
  <c r="BF147" i="7" s="1"/>
  <c r="AG149" i="9" s="1"/>
  <c r="AW147" i="7"/>
  <c r="BA147" i="7" s="1"/>
  <c r="AP148" i="7"/>
  <c r="BO148" i="7" s="1"/>
  <c r="BL146" i="7"/>
  <c r="AV148" i="7"/>
  <c r="AO150" i="7"/>
  <c r="AQ150" i="7" s="1"/>
  <c r="AT149" i="7"/>
  <c r="AU149" i="7" s="1"/>
  <c r="AM152" i="7"/>
  <c r="BB151" i="7"/>
  <c r="BC151" i="7"/>
  <c r="BK151" i="7"/>
  <c r="BH151" i="7"/>
  <c r="BN151" i="7"/>
  <c r="AB154" i="9"/>
  <c r="AD154" i="9"/>
  <c r="AF154" i="9"/>
  <c r="AF152" i="7"/>
  <c r="AK153" i="7"/>
  <c r="AE152" i="7"/>
  <c r="AR152" i="7"/>
  <c r="AW148" i="7"/>
  <c r="BL148" i="7" s="1"/>
  <c r="BE148" i="7"/>
  <c r="AL153" i="7"/>
  <c r="BD148" i="7"/>
  <c r="BE147" i="7"/>
  <c r="BD147" i="7"/>
  <c r="AP149" i="7" l="1"/>
  <c r="BO149" i="7" s="1"/>
  <c r="AO151" i="7"/>
  <c r="AQ151" i="7" s="1"/>
  <c r="BJ147" i="7"/>
  <c r="BM148" i="7"/>
  <c r="AZ148" i="7"/>
  <c r="BF148" i="7" s="1"/>
  <c r="AG150" i="9" s="1"/>
  <c r="AE149" i="9"/>
  <c r="BL147" i="7"/>
  <c r="AC150" i="9"/>
  <c r="BG148" i="7"/>
  <c r="AN151" i="7"/>
  <c r="AY151" i="7" s="1"/>
  <c r="AV149" i="7"/>
  <c r="BI149" i="7" s="1"/>
  <c r="AT150" i="7"/>
  <c r="AU150" i="7" s="1"/>
  <c r="BI148" i="7"/>
  <c r="BG149" i="7"/>
  <c r="AM153" i="7"/>
  <c r="BB152" i="7"/>
  <c r="BC152" i="7"/>
  <c r="AE150" i="9"/>
  <c r="BA148" i="7"/>
  <c r="BJ148" i="7"/>
  <c r="AD155" i="9"/>
  <c r="AF155" i="9"/>
  <c r="AB155" i="9"/>
  <c r="AK154" i="7"/>
  <c r="AR153" i="7"/>
  <c r="AF153" i="7"/>
  <c r="AE153" i="7"/>
  <c r="AW149" i="7"/>
  <c r="BL149" i="7" s="1"/>
  <c r="AZ149" i="7"/>
  <c r="BF149" i="7" s="1"/>
  <c r="AG151" i="9" s="1"/>
  <c r="BM149" i="7"/>
  <c r="BK152" i="7"/>
  <c r="BN152" i="7"/>
  <c r="BH152" i="7"/>
  <c r="AL154" i="7"/>
  <c r="BE149" i="7"/>
  <c r="BD149" i="7"/>
  <c r="AN152" i="7" l="1"/>
  <c r="AY152" i="7" s="1"/>
  <c r="AP150" i="7"/>
  <c r="BO150" i="7" s="1"/>
  <c r="AT151" i="7"/>
  <c r="AU151" i="7" s="1"/>
  <c r="AV151" i="7" s="1"/>
  <c r="BI151" i="7" s="1"/>
  <c r="AC151" i="9"/>
  <c r="AO152" i="7"/>
  <c r="AQ152" i="7" s="1"/>
  <c r="AV150" i="7"/>
  <c r="AM154" i="7"/>
  <c r="BC153" i="7"/>
  <c r="BB153" i="7"/>
  <c r="AE151" i="9"/>
  <c r="BA149" i="7"/>
  <c r="BJ149" i="7"/>
  <c r="BK153" i="7"/>
  <c r="BH153" i="7"/>
  <c r="BN153" i="7"/>
  <c r="AW150" i="7"/>
  <c r="BL150" i="7" s="1"/>
  <c r="BM150" i="7"/>
  <c r="AB156" i="9"/>
  <c r="AF156" i="9"/>
  <c r="AD156" i="9"/>
  <c r="AF154" i="7"/>
  <c r="AE154" i="7"/>
  <c r="AR154" i="7"/>
  <c r="AK155" i="7"/>
  <c r="AL155" i="7"/>
  <c r="BD150" i="7"/>
  <c r="BE150" i="7"/>
  <c r="AN153" i="7" l="1"/>
  <c r="AP152" i="7" s="1"/>
  <c r="BO152" i="7" s="1"/>
  <c r="AC152" i="9"/>
  <c r="BG150" i="7"/>
  <c r="AP151" i="7"/>
  <c r="BO151" i="7" s="1"/>
  <c r="BG151" i="7"/>
  <c r="AZ150" i="7"/>
  <c r="BF150" i="7" s="1"/>
  <c r="AG152" i="9" s="1"/>
  <c r="AT152" i="7"/>
  <c r="AU152" i="7" s="1"/>
  <c r="AV152" i="7" s="1"/>
  <c r="AC154" i="9" s="1"/>
  <c r="AO153" i="7"/>
  <c r="AQ153" i="7" s="1"/>
  <c r="AC153" i="9"/>
  <c r="BI150" i="7"/>
  <c r="AM155" i="7"/>
  <c r="BC154" i="7"/>
  <c r="BB154" i="7"/>
  <c r="AB157" i="9"/>
  <c r="AD157" i="9"/>
  <c r="AF157" i="9"/>
  <c r="AF155" i="7"/>
  <c r="AE155" i="7"/>
  <c r="AR155" i="7"/>
  <c r="AK156" i="7"/>
  <c r="BH154" i="7"/>
  <c r="BK154" i="7"/>
  <c r="BN154" i="7"/>
  <c r="AE152" i="9"/>
  <c r="BA150" i="7"/>
  <c r="BJ150" i="7"/>
  <c r="AL156" i="7"/>
  <c r="BG152" i="7" l="1"/>
  <c r="AY153" i="7"/>
  <c r="AO154" i="7"/>
  <c r="AZ151" i="7"/>
  <c r="BF151" i="7" s="1"/>
  <c r="AG153" i="9" s="1"/>
  <c r="BM151" i="7"/>
  <c r="AW151" i="7"/>
  <c r="BA151" i="7" s="1"/>
  <c r="AT153" i="7"/>
  <c r="AU153" i="7" s="1"/>
  <c r="AV153" i="7" s="1"/>
  <c r="BI153" i="7" s="1"/>
  <c r="BI152" i="7"/>
  <c r="AN154" i="7"/>
  <c r="AY154" i="7" s="1"/>
  <c r="AM156" i="7"/>
  <c r="BC155" i="7"/>
  <c r="BB155" i="7"/>
  <c r="BK155" i="7"/>
  <c r="BH155" i="7"/>
  <c r="BN155" i="7"/>
  <c r="AW152" i="7"/>
  <c r="BL152" i="7" s="1"/>
  <c r="AZ152" i="7"/>
  <c r="BF152" i="7" s="1"/>
  <c r="AG154" i="9" s="1"/>
  <c r="BM152" i="7"/>
  <c r="AQ154" i="7"/>
  <c r="AF158" i="9"/>
  <c r="AB158" i="9"/>
  <c r="AD158" i="9"/>
  <c r="AE156" i="7"/>
  <c r="AK157" i="7"/>
  <c r="AR156" i="7"/>
  <c r="AF156" i="7"/>
  <c r="BE152" i="7"/>
  <c r="BD152" i="7"/>
  <c r="BE151" i="7"/>
  <c r="BD151" i="7"/>
  <c r="AL157" i="7"/>
  <c r="AE153" i="9" l="1"/>
  <c r="BJ151" i="7"/>
  <c r="BG153" i="7"/>
  <c r="BL151" i="7"/>
  <c r="AC155" i="9"/>
  <c r="AT154" i="7"/>
  <c r="AU154" i="7" s="1"/>
  <c r="AV154" i="7" s="1"/>
  <c r="BI154" i="7" s="1"/>
  <c r="AP153" i="7"/>
  <c r="BO153" i="7" s="1"/>
  <c r="AO155" i="7"/>
  <c r="AQ155" i="7" s="1"/>
  <c r="AN155" i="7"/>
  <c r="AM157" i="7"/>
  <c r="BB156" i="7"/>
  <c r="BC156" i="7"/>
  <c r="BK156" i="7"/>
  <c r="BH156" i="7"/>
  <c r="BN156" i="7"/>
  <c r="AE154" i="9"/>
  <c r="BA152" i="7"/>
  <c r="BJ152" i="7"/>
  <c r="AD159" i="9"/>
  <c r="AB159" i="9"/>
  <c r="AF159" i="9"/>
  <c r="AF157" i="7"/>
  <c r="AE157" i="7"/>
  <c r="AR157" i="7"/>
  <c r="AK158" i="7"/>
  <c r="AL158" i="7"/>
  <c r="BG154" i="7" l="1"/>
  <c r="BM153" i="7"/>
  <c r="AC156" i="9"/>
  <c r="AZ153" i="7"/>
  <c r="BF153" i="7" s="1"/>
  <c r="AG155" i="9" s="1"/>
  <c r="AW153" i="7"/>
  <c r="BA153" i="7" s="1"/>
  <c r="AP154" i="7"/>
  <c r="BO154" i="7" s="1"/>
  <c r="AT155" i="7"/>
  <c r="AU155" i="7" s="1"/>
  <c r="AY155" i="7"/>
  <c r="AO156" i="7"/>
  <c r="AQ156" i="7" s="1"/>
  <c r="AN156" i="7"/>
  <c r="AM158" i="7"/>
  <c r="BC157" i="7"/>
  <c r="BB157" i="7"/>
  <c r="AF160" i="9"/>
  <c r="AB160" i="9"/>
  <c r="AD160" i="9"/>
  <c r="AF158" i="7"/>
  <c r="AE158" i="7"/>
  <c r="AR158" i="7"/>
  <c r="AK159" i="7"/>
  <c r="BK157" i="7"/>
  <c r="BN157" i="7"/>
  <c r="BH157" i="7"/>
  <c r="BJ153" i="7"/>
  <c r="BE153" i="7"/>
  <c r="BD153" i="7"/>
  <c r="AL159" i="7"/>
  <c r="AE155" i="9" l="1"/>
  <c r="BM154" i="7"/>
  <c r="BL153" i="7"/>
  <c r="AW154" i="7"/>
  <c r="AE156" i="9" s="1"/>
  <c r="AV155" i="7"/>
  <c r="AZ154" i="7"/>
  <c r="BF154" i="7" s="1"/>
  <c r="AG156" i="9" s="1"/>
  <c r="AT156" i="7"/>
  <c r="AU156" i="7" s="1"/>
  <c r="AO157" i="7"/>
  <c r="AQ157" i="7" s="1"/>
  <c r="AY156" i="7"/>
  <c r="AP155" i="7"/>
  <c r="BO155" i="7" s="1"/>
  <c r="AN157" i="7"/>
  <c r="AM159" i="7"/>
  <c r="BC158" i="7"/>
  <c r="BB158" i="7"/>
  <c r="BN158" i="7"/>
  <c r="BK158" i="7"/>
  <c r="BH158" i="7"/>
  <c r="AB161" i="9"/>
  <c r="AF161" i="9"/>
  <c r="AD161" i="9"/>
  <c r="AF159" i="7"/>
  <c r="AE159" i="7"/>
  <c r="AK160" i="7"/>
  <c r="AR159" i="7"/>
  <c r="BE154" i="7"/>
  <c r="BD154" i="7"/>
  <c r="AL160" i="7"/>
  <c r="BJ154" i="7" l="1"/>
  <c r="BI155" i="7"/>
  <c r="BG155" i="7"/>
  <c r="BM155" i="7"/>
  <c r="BA154" i="7"/>
  <c r="AC157" i="9"/>
  <c r="BL154" i="7"/>
  <c r="AV156" i="7"/>
  <c r="AN158" i="7"/>
  <c r="AY158" i="7" s="1"/>
  <c r="AT157" i="7"/>
  <c r="AU157" i="7" s="1"/>
  <c r="AO158" i="7"/>
  <c r="AY157" i="7"/>
  <c r="AZ155" i="7"/>
  <c r="BF155" i="7" s="1"/>
  <c r="AG157" i="9" s="1"/>
  <c r="AW155" i="7"/>
  <c r="BA155" i="7" s="1"/>
  <c r="AP156" i="7"/>
  <c r="BO156" i="7" s="1"/>
  <c r="AM160" i="7"/>
  <c r="BC159" i="7"/>
  <c r="BB159" i="7"/>
  <c r="AD162" i="9"/>
  <c r="AF162" i="9"/>
  <c r="AB162" i="9"/>
  <c r="AF160" i="7"/>
  <c r="AE160" i="7"/>
  <c r="AK161" i="7"/>
  <c r="AR160" i="7"/>
  <c r="BK159" i="7"/>
  <c r="BN159" i="7"/>
  <c r="BH159" i="7"/>
  <c r="BE155" i="7"/>
  <c r="AL161" i="7"/>
  <c r="BD155" i="7"/>
  <c r="BM156" i="7" l="1"/>
  <c r="AT158" i="7"/>
  <c r="AU158" i="7" s="1"/>
  <c r="AV158" i="7" s="1"/>
  <c r="BI158" i="7" s="1"/>
  <c r="BJ155" i="7"/>
  <c r="BI156" i="7"/>
  <c r="BG156" i="7"/>
  <c r="AE157" i="9"/>
  <c r="AO159" i="7"/>
  <c r="AQ159" i="7" s="1"/>
  <c r="AC158" i="9"/>
  <c r="AQ158" i="7"/>
  <c r="AV157" i="7"/>
  <c r="AP157" i="7"/>
  <c r="BO157" i="7" s="1"/>
  <c r="AZ156" i="7"/>
  <c r="BF156" i="7" s="1"/>
  <c r="AG158" i="9" s="1"/>
  <c r="AW156" i="7"/>
  <c r="BA156" i="7" s="1"/>
  <c r="AN159" i="7"/>
  <c r="BL155" i="7"/>
  <c r="AM161" i="7"/>
  <c r="BC160" i="7"/>
  <c r="BB160" i="7"/>
  <c r="BN160" i="7"/>
  <c r="BH160" i="7"/>
  <c r="BK160" i="7"/>
  <c r="BM157" i="7"/>
  <c r="AD163" i="9"/>
  <c r="AB163" i="9"/>
  <c r="AF163" i="9"/>
  <c r="AE161" i="7"/>
  <c r="AF161" i="7"/>
  <c r="AK162" i="7"/>
  <c r="AR161" i="7"/>
  <c r="BG158" i="7"/>
  <c r="BE156" i="7"/>
  <c r="BD156" i="7"/>
  <c r="AL162" i="7"/>
  <c r="BJ156" i="7" l="1"/>
  <c r="AE158" i="9"/>
  <c r="BI157" i="7"/>
  <c r="BG157" i="7"/>
  <c r="AC159" i="9"/>
  <c r="AC160" i="9"/>
  <c r="AZ157" i="7"/>
  <c r="BF157" i="7" s="1"/>
  <c r="AG159" i="9" s="1"/>
  <c r="AW157" i="7"/>
  <c r="BA157" i="7" s="1"/>
  <c r="AY159" i="7"/>
  <c r="AP158" i="7"/>
  <c r="BO158" i="7" s="1"/>
  <c r="AN160" i="7"/>
  <c r="AT159" i="7"/>
  <c r="AU159" i="7" s="1"/>
  <c r="AV159" i="7" s="1"/>
  <c r="BG159" i="7" s="1"/>
  <c r="AO160" i="7"/>
  <c r="AQ160" i="7" s="1"/>
  <c r="BL156" i="7"/>
  <c r="AM162" i="7"/>
  <c r="BB161" i="7"/>
  <c r="BC161" i="7"/>
  <c r="AB164" i="9"/>
  <c r="AF164" i="9"/>
  <c r="AD164" i="9"/>
  <c r="AE162" i="7"/>
  <c r="AF162" i="7"/>
  <c r="AK163" i="7"/>
  <c r="AR162" i="7"/>
  <c r="BK161" i="7"/>
  <c r="BN161" i="7"/>
  <c r="BH161" i="7"/>
  <c r="AL163" i="7"/>
  <c r="BE157" i="7"/>
  <c r="BD157" i="7"/>
  <c r="BJ157" i="7" l="1"/>
  <c r="AE159" i="9"/>
  <c r="BM158" i="7"/>
  <c r="BI159" i="7"/>
  <c r="AZ158" i="7"/>
  <c r="BF158" i="7" s="1"/>
  <c r="AG160" i="9" s="1"/>
  <c r="BL157" i="7"/>
  <c r="AP159" i="7"/>
  <c r="BO159" i="7" s="1"/>
  <c r="AY160" i="7"/>
  <c r="AW158" i="7"/>
  <c r="BA158" i="7" s="1"/>
  <c r="AC161" i="9"/>
  <c r="AO161" i="7"/>
  <c r="AT160" i="7"/>
  <c r="AU160" i="7" s="1"/>
  <c r="AV160" i="7" s="1"/>
  <c r="BG160" i="7" s="1"/>
  <c r="AN161" i="7"/>
  <c r="AM163" i="7"/>
  <c r="BC162" i="7"/>
  <c r="BB162" i="7"/>
  <c r="AD165" i="9"/>
  <c r="AF165" i="9"/>
  <c r="AB165" i="9"/>
  <c r="AF163" i="7"/>
  <c r="AE163" i="7"/>
  <c r="AR163" i="7"/>
  <c r="AK164" i="7"/>
  <c r="BH162" i="7"/>
  <c r="BN162" i="7"/>
  <c r="BK162" i="7"/>
  <c r="BE158" i="7"/>
  <c r="BD158" i="7"/>
  <c r="AL164" i="7"/>
  <c r="BM159" i="7" l="1"/>
  <c r="BJ158" i="7"/>
  <c r="AZ159" i="7"/>
  <c r="BF159" i="7" s="1"/>
  <c r="AG161" i="9" s="1"/>
  <c r="AE160" i="9"/>
  <c r="AW159" i="7"/>
  <c r="BA159" i="7" s="1"/>
  <c r="BI160" i="7"/>
  <c r="AP160" i="7"/>
  <c r="BO160" i="7" s="1"/>
  <c r="BL158" i="7"/>
  <c r="AY161" i="7"/>
  <c r="AT161" i="7"/>
  <c r="AU161" i="7" s="1"/>
  <c r="AN162" i="7"/>
  <c r="AQ161" i="7"/>
  <c r="AO162" i="7"/>
  <c r="AC162" i="9"/>
  <c r="AM164" i="7"/>
  <c r="BC163" i="7"/>
  <c r="BB163" i="7"/>
  <c r="AB166" i="9"/>
  <c r="AD166" i="9"/>
  <c r="AF166" i="9"/>
  <c r="AF164" i="7"/>
  <c r="AE164" i="7"/>
  <c r="AK165" i="7"/>
  <c r="AR164" i="7"/>
  <c r="BK163" i="7"/>
  <c r="BH163" i="7"/>
  <c r="BN163" i="7"/>
  <c r="BD159" i="7"/>
  <c r="AL165" i="7"/>
  <c r="BE159" i="7"/>
  <c r="BJ159" i="7" l="1"/>
  <c r="AE161" i="9"/>
  <c r="BM160" i="7"/>
  <c r="AZ160" i="7"/>
  <c r="BF160" i="7" s="1"/>
  <c r="AG162" i="9" s="1"/>
  <c r="AW160" i="7"/>
  <c r="BA160" i="7" s="1"/>
  <c r="AV161" i="7"/>
  <c r="BL159" i="7"/>
  <c r="AY162" i="7"/>
  <c r="AT162" i="7"/>
  <c r="AU162" i="7" s="1"/>
  <c r="AV162" i="7" s="1"/>
  <c r="AC164" i="9" s="1"/>
  <c r="AO163" i="7"/>
  <c r="AQ163" i="7" s="1"/>
  <c r="AN163" i="7"/>
  <c r="AP161" i="7"/>
  <c r="BO161" i="7" s="1"/>
  <c r="AQ162" i="7"/>
  <c r="AM165" i="7"/>
  <c r="BB164" i="7"/>
  <c r="BC164" i="7"/>
  <c r="AF167" i="9"/>
  <c r="AB167" i="9"/>
  <c r="AE165" i="7"/>
  <c r="AD167" i="9"/>
  <c r="AK166" i="7"/>
  <c r="AR165" i="7"/>
  <c r="AF165" i="7"/>
  <c r="BM161" i="7"/>
  <c r="BN164" i="7"/>
  <c r="BK164" i="7"/>
  <c r="BH164" i="7"/>
  <c r="BE160" i="7"/>
  <c r="BD160" i="7"/>
  <c r="AL166" i="7"/>
  <c r="BJ160" i="7" l="1"/>
  <c r="AE162" i="9"/>
  <c r="BI161" i="7"/>
  <c r="BG161" i="7"/>
  <c r="BG162" i="7"/>
  <c r="AC163" i="9"/>
  <c r="AN164" i="7"/>
  <c r="AP163" i="7" s="1"/>
  <c r="BO163" i="7" s="1"/>
  <c r="BL160" i="7"/>
  <c r="BI162" i="7"/>
  <c r="AT163" i="7"/>
  <c r="AU163" i="7" s="1"/>
  <c r="AV163" i="7" s="1"/>
  <c r="AC165" i="9" s="1"/>
  <c r="AP162" i="7"/>
  <c r="BO162" i="7" s="1"/>
  <c r="AY163" i="7"/>
  <c r="AW161" i="7"/>
  <c r="BA161" i="7" s="1"/>
  <c r="AO164" i="7"/>
  <c r="AQ164" i="7" s="1"/>
  <c r="AZ161" i="7"/>
  <c r="BF161" i="7" s="1"/>
  <c r="AG163" i="9" s="1"/>
  <c r="AM166" i="7"/>
  <c r="BC165" i="7"/>
  <c r="BB165" i="7"/>
  <c r="BK165" i="7"/>
  <c r="BN165" i="7"/>
  <c r="BH165" i="7"/>
  <c r="AB168" i="9"/>
  <c r="AF168" i="9"/>
  <c r="AD168" i="9"/>
  <c r="AE166" i="7"/>
  <c r="AF166" i="7"/>
  <c r="AK167" i="7"/>
  <c r="AR166" i="7"/>
  <c r="BJ161" i="7"/>
  <c r="BD161" i="7"/>
  <c r="AL167" i="7"/>
  <c r="BE161" i="7"/>
  <c r="BG163" i="7" l="1"/>
  <c r="BM162" i="7"/>
  <c r="AO165" i="7"/>
  <c r="AQ165" i="7" s="1"/>
  <c r="AN165" i="7"/>
  <c r="AP164" i="7" s="1"/>
  <c r="BO164" i="7" s="1"/>
  <c r="AY164" i="7"/>
  <c r="AW162" i="7"/>
  <c r="BA162" i="7" s="1"/>
  <c r="AZ162" i="7"/>
  <c r="BF162" i="7" s="1"/>
  <c r="AG164" i="9" s="1"/>
  <c r="AE163" i="9"/>
  <c r="BI163" i="7"/>
  <c r="AT164" i="7"/>
  <c r="AU164" i="7" s="1"/>
  <c r="BL161" i="7"/>
  <c r="AM167" i="7"/>
  <c r="BB166" i="7"/>
  <c r="BC166" i="7"/>
  <c r="AD169" i="9"/>
  <c r="AF169" i="9"/>
  <c r="AB169" i="9"/>
  <c r="AF167" i="7"/>
  <c r="AE167" i="7"/>
  <c r="AK168" i="7"/>
  <c r="AR167" i="7"/>
  <c r="AW163" i="7"/>
  <c r="BL163" i="7" s="1"/>
  <c r="AZ163" i="7"/>
  <c r="BF163" i="7" s="1"/>
  <c r="AG165" i="9" s="1"/>
  <c r="BM163" i="7"/>
  <c r="BH166" i="7"/>
  <c r="BK166" i="7"/>
  <c r="BN166" i="7"/>
  <c r="AT165" i="7"/>
  <c r="AU165" i="7" s="1"/>
  <c r="BD162" i="7"/>
  <c r="AL168" i="7"/>
  <c r="BE162" i="7"/>
  <c r="BD163" i="7"/>
  <c r="BE163" i="7"/>
  <c r="AY165" i="7" l="1"/>
  <c r="BJ162" i="7"/>
  <c r="AN166" i="7"/>
  <c r="AY166" i="7" s="1"/>
  <c r="AE164" i="9"/>
  <c r="BL162" i="7"/>
  <c r="AV164" i="7"/>
  <c r="AV165" i="7"/>
  <c r="BI165" i="7" s="1"/>
  <c r="AO166" i="7"/>
  <c r="AQ166" i="7" s="1"/>
  <c r="AM168" i="7"/>
  <c r="BB167" i="7"/>
  <c r="BC167" i="7"/>
  <c r="AB170" i="9"/>
  <c r="AF170" i="9"/>
  <c r="AD170" i="9"/>
  <c r="AF168" i="7"/>
  <c r="AE168" i="7"/>
  <c r="AR168" i="7"/>
  <c r="AK169" i="7"/>
  <c r="BK167" i="7"/>
  <c r="BH167" i="7"/>
  <c r="BN167" i="7"/>
  <c r="AP165" i="7"/>
  <c r="BO165" i="7" s="1"/>
  <c r="AW164" i="7"/>
  <c r="BL164" i="7" s="1"/>
  <c r="AZ164" i="7"/>
  <c r="BF164" i="7" s="1"/>
  <c r="AG166" i="9" s="1"/>
  <c r="BM164" i="7"/>
  <c r="AE165" i="9"/>
  <c r="BA163" i="7"/>
  <c r="BJ163" i="7"/>
  <c r="BE164" i="7"/>
  <c r="AL169" i="7"/>
  <c r="BD164" i="7"/>
  <c r="AO167" i="7" l="1"/>
  <c r="AQ167" i="7" s="1"/>
  <c r="BG165" i="7"/>
  <c r="AC166" i="9"/>
  <c r="BG164" i="7"/>
  <c r="AN167" i="7"/>
  <c r="AY167" i="7" s="1"/>
  <c r="BI164" i="7"/>
  <c r="AC167" i="9"/>
  <c r="AT166" i="7"/>
  <c r="AU166" i="7" s="1"/>
  <c r="AM169" i="7"/>
  <c r="BB168" i="7"/>
  <c r="BC168" i="7"/>
  <c r="AE166" i="9"/>
  <c r="BA164" i="7"/>
  <c r="BJ164" i="7"/>
  <c r="BK168" i="7"/>
  <c r="BH168" i="7"/>
  <c r="BN168" i="7"/>
  <c r="AD171" i="9"/>
  <c r="AF171" i="9"/>
  <c r="AB171" i="9"/>
  <c r="AF169" i="7"/>
  <c r="AE169" i="7"/>
  <c r="AR169" i="7"/>
  <c r="AK170" i="7"/>
  <c r="AW165" i="7"/>
  <c r="BL165" i="7" s="1"/>
  <c r="AZ165" i="7"/>
  <c r="BF165" i="7" s="1"/>
  <c r="AG167" i="9" s="1"/>
  <c r="BM165" i="7"/>
  <c r="BE165" i="7"/>
  <c r="AL170" i="7"/>
  <c r="BD165" i="7"/>
  <c r="AT167" i="7" l="1"/>
  <c r="AU167" i="7" s="1"/>
  <c r="AV167" i="7" s="1"/>
  <c r="AC169" i="9" s="1"/>
  <c r="AO168" i="7"/>
  <c r="AQ168" i="7" s="1"/>
  <c r="AP166" i="7"/>
  <c r="BO166" i="7" s="1"/>
  <c r="AN168" i="7"/>
  <c r="AV166" i="7"/>
  <c r="AM170" i="7"/>
  <c r="BC169" i="7"/>
  <c r="BB169" i="7"/>
  <c r="AE167" i="9"/>
  <c r="BA165" i="7"/>
  <c r="BJ165" i="7"/>
  <c r="BK169" i="7"/>
  <c r="BH169" i="7"/>
  <c r="BN169" i="7"/>
  <c r="BG167" i="7"/>
  <c r="AB172" i="9"/>
  <c r="AF172" i="9"/>
  <c r="AD172" i="9"/>
  <c r="AE170" i="7"/>
  <c r="AF170" i="7"/>
  <c r="AR170" i="7"/>
  <c r="AK171" i="7"/>
  <c r="BM166" i="7"/>
  <c r="AL171" i="7"/>
  <c r="AT168" i="7" l="1"/>
  <c r="AU168" i="7" s="1"/>
  <c r="AV168" i="7" s="1"/>
  <c r="BI168" i="7" s="1"/>
  <c r="BI166" i="7"/>
  <c r="BG166" i="7"/>
  <c r="AN169" i="7"/>
  <c r="AP168" i="7" s="1"/>
  <c r="BO168" i="7" s="1"/>
  <c r="AZ166" i="7"/>
  <c r="BF166" i="7" s="1"/>
  <c r="AG168" i="9" s="1"/>
  <c r="AW166" i="7"/>
  <c r="AE168" i="9" s="1"/>
  <c r="AP167" i="7"/>
  <c r="BO167" i="7" s="1"/>
  <c r="AY168" i="7"/>
  <c r="AO169" i="7"/>
  <c r="AQ169" i="7" s="1"/>
  <c r="AC168" i="9"/>
  <c r="BI167" i="7"/>
  <c r="AM171" i="7"/>
  <c r="BB170" i="7"/>
  <c r="BC170" i="7"/>
  <c r="AB173" i="9"/>
  <c r="AD173" i="9"/>
  <c r="AF173" i="9"/>
  <c r="AF171" i="7"/>
  <c r="AE171" i="7"/>
  <c r="AR171" i="7"/>
  <c r="AK172" i="7"/>
  <c r="BN170" i="7"/>
  <c r="BK170" i="7"/>
  <c r="BH170" i="7"/>
  <c r="BD166" i="7"/>
  <c r="BE166" i="7"/>
  <c r="AL172" i="7"/>
  <c r="AY169" i="7" l="1"/>
  <c r="AO170" i="7"/>
  <c r="AT169" i="7"/>
  <c r="AU169" i="7" s="1"/>
  <c r="AV169" i="7" s="1"/>
  <c r="AC171" i="9" s="1"/>
  <c r="BM167" i="7"/>
  <c r="BJ166" i="7"/>
  <c r="BA166" i="7"/>
  <c r="BG168" i="7"/>
  <c r="AW167" i="7"/>
  <c r="AE169" i="9" s="1"/>
  <c r="AZ167" i="7"/>
  <c r="BF167" i="7" s="1"/>
  <c r="AG169" i="9" s="1"/>
  <c r="BL166" i="7"/>
  <c r="AC170" i="9"/>
  <c r="AN170" i="7"/>
  <c r="AY170" i="7" s="1"/>
  <c r="AM172" i="7"/>
  <c r="BC171" i="7"/>
  <c r="BB171" i="7"/>
  <c r="AQ170" i="7"/>
  <c r="BG169" i="7"/>
  <c r="BK171" i="7"/>
  <c r="BH171" i="7"/>
  <c r="BN171" i="7"/>
  <c r="AF174" i="9"/>
  <c r="AB174" i="9"/>
  <c r="AD174" i="9"/>
  <c r="AF172" i="7"/>
  <c r="AE172" i="7"/>
  <c r="AK173" i="7"/>
  <c r="AR172" i="7"/>
  <c r="AW168" i="7"/>
  <c r="BL168" i="7" s="1"/>
  <c r="AZ168" i="7"/>
  <c r="BF168" i="7" s="1"/>
  <c r="AG170" i="9" s="1"/>
  <c r="BM168" i="7"/>
  <c r="BD167" i="7"/>
  <c r="BE168" i="7"/>
  <c r="AL173" i="7"/>
  <c r="BE167" i="7"/>
  <c r="BD168" i="7"/>
  <c r="BJ167" i="7" l="1"/>
  <c r="BA167" i="7"/>
  <c r="BL167" i="7"/>
  <c r="AP169" i="7"/>
  <c r="BO169" i="7" s="1"/>
  <c r="AO171" i="7"/>
  <c r="AQ171" i="7" s="1"/>
  <c r="AN171" i="7"/>
  <c r="AP170" i="7" s="1"/>
  <c r="BO170" i="7" s="1"/>
  <c r="AT170" i="7"/>
  <c r="AU170" i="7" s="1"/>
  <c r="AV170" i="7" s="1"/>
  <c r="BI170" i="7" s="1"/>
  <c r="BI169" i="7"/>
  <c r="AM173" i="7"/>
  <c r="BC172" i="7"/>
  <c r="BB172" i="7"/>
  <c r="BH172" i="7"/>
  <c r="BN172" i="7"/>
  <c r="BK172" i="7"/>
  <c r="BM169" i="7"/>
  <c r="AE170" i="9"/>
  <c r="BA168" i="7"/>
  <c r="BJ168" i="7"/>
  <c r="AD175" i="9"/>
  <c r="AB175" i="9"/>
  <c r="AF175" i="9"/>
  <c r="AF173" i="7"/>
  <c r="AE173" i="7"/>
  <c r="AR173" i="7"/>
  <c r="AK174" i="7"/>
  <c r="AL174" i="7"/>
  <c r="AW169" i="7" l="1"/>
  <c r="BG170" i="7"/>
  <c r="AZ169" i="7"/>
  <c r="BF169" i="7" s="1"/>
  <c r="AG171" i="9" s="1"/>
  <c r="AN172" i="7"/>
  <c r="AY172" i="7" s="1"/>
  <c r="AT171" i="7"/>
  <c r="AU171" i="7" s="1"/>
  <c r="AV171" i="7" s="1"/>
  <c r="BI171" i="7" s="1"/>
  <c r="AY171" i="7"/>
  <c r="AO172" i="7"/>
  <c r="AQ172" i="7" s="1"/>
  <c r="AC172" i="9"/>
  <c r="AM174" i="7"/>
  <c r="BC173" i="7"/>
  <c r="BB173" i="7"/>
  <c r="AW170" i="7"/>
  <c r="BL170" i="7" s="1"/>
  <c r="AZ170" i="7"/>
  <c r="BF170" i="7" s="1"/>
  <c r="AG172" i="9" s="1"/>
  <c r="BM170" i="7"/>
  <c r="AE171" i="9"/>
  <c r="BA169" i="7"/>
  <c r="BJ169" i="7"/>
  <c r="BK173" i="7"/>
  <c r="BH173" i="7"/>
  <c r="BN173" i="7"/>
  <c r="AF176" i="9"/>
  <c r="AD176" i="9"/>
  <c r="AB176" i="9"/>
  <c r="AK175" i="7"/>
  <c r="AF174" i="7"/>
  <c r="AR174" i="7"/>
  <c r="AE174" i="7"/>
  <c r="BD169" i="7"/>
  <c r="AL175" i="7"/>
  <c r="BE169" i="7"/>
  <c r="BE170" i="7"/>
  <c r="BD170" i="7"/>
  <c r="BL169" i="7" l="1"/>
  <c r="AP171" i="7"/>
  <c r="BO171" i="7" s="1"/>
  <c r="BG171" i="7"/>
  <c r="AN173" i="7"/>
  <c r="AY173" i="7" s="1"/>
  <c r="AT172" i="7"/>
  <c r="AU172" i="7" s="1"/>
  <c r="AV172" i="7" s="1"/>
  <c r="BI172" i="7" s="1"/>
  <c r="AC173" i="9"/>
  <c r="AO173" i="7"/>
  <c r="AM175" i="7"/>
  <c r="BC174" i="7"/>
  <c r="BB174" i="7"/>
  <c r="BN174" i="7"/>
  <c r="BH174" i="7"/>
  <c r="BK174" i="7"/>
  <c r="BM171" i="7"/>
  <c r="AB177" i="9"/>
  <c r="AF177" i="9"/>
  <c r="AD177" i="9"/>
  <c r="AF175" i="7"/>
  <c r="AE175" i="7"/>
  <c r="AK176" i="7"/>
  <c r="AR175" i="7"/>
  <c r="AE172" i="9"/>
  <c r="BA170" i="7"/>
  <c r="BJ170" i="7"/>
  <c r="AL176" i="7"/>
  <c r="AT173" i="7" l="1"/>
  <c r="AU173" i="7" s="1"/>
  <c r="AZ171" i="7"/>
  <c r="BF171" i="7" s="1"/>
  <c r="AG173" i="9" s="1"/>
  <c r="AW171" i="7"/>
  <c r="BA171" i="7" s="1"/>
  <c r="AP172" i="7"/>
  <c r="BO172" i="7" s="1"/>
  <c r="BG172" i="7"/>
  <c r="AO174" i="7"/>
  <c r="AQ174" i="7" s="1"/>
  <c r="AC174" i="9"/>
  <c r="AV173" i="7"/>
  <c r="BI173" i="7" s="1"/>
  <c r="AN174" i="7"/>
  <c r="AQ173" i="7"/>
  <c r="AM176" i="7"/>
  <c r="BC175" i="7"/>
  <c r="BB175" i="7"/>
  <c r="BM172" i="7"/>
  <c r="AD178" i="9"/>
  <c r="AF178" i="9"/>
  <c r="AB178" i="9"/>
  <c r="AF176" i="7"/>
  <c r="AR176" i="7"/>
  <c r="AE176" i="7"/>
  <c r="AK177" i="7"/>
  <c r="BK175" i="7"/>
  <c r="BN175" i="7"/>
  <c r="BH175" i="7"/>
  <c r="AE173" i="9"/>
  <c r="BJ171" i="7"/>
  <c r="BE171" i="7"/>
  <c r="BD171" i="7"/>
  <c r="AL177" i="7"/>
  <c r="BL171" i="7" l="1"/>
  <c r="AZ172" i="7"/>
  <c r="BF172" i="7" s="1"/>
  <c r="AG174" i="9" s="1"/>
  <c r="BG173" i="7"/>
  <c r="AW172" i="7"/>
  <c r="AE174" i="9" s="1"/>
  <c r="AC175" i="9"/>
  <c r="AO175" i="7"/>
  <c r="AQ175" i="7" s="1"/>
  <c r="AY174" i="7"/>
  <c r="AP173" i="7"/>
  <c r="BO173" i="7" s="1"/>
  <c r="AN175" i="7"/>
  <c r="AT174" i="7"/>
  <c r="AU174" i="7" s="1"/>
  <c r="AM177" i="7"/>
  <c r="BB176" i="7"/>
  <c r="BC176" i="7"/>
  <c r="AB179" i="9"/>
  <c r="AD179" i="9"/>
  <c r="AF179" i="9"/>
  <c r="AF177" i="7"/>
  <c r="AE177" i="7"/>
  <c r="AR177" i="7"/>
  <c r="AK178" i="7"/>
  <c r="BH176" i="7"/>
  <c r="BK176" i="7"/>
  <c r="BN176" i="7"/>
  <c r="AL178" i="7"/>
  <c r="BD172" i="7"/>
  <c r="BE172" i="7"/>
  <c r="BA172" i="7" l="1"/>
  <c r="BJ172" i="7"/>
  <c r="BL172" i="7"/>
  <c r="BM173" i="7"/>
  <c r="AV174" i="7"/>
  <c r="AP174" i="7"/>
  <c r="BO174" i="7" s="1"/>
  <c r="AY175" i="7"/>
  <c r="AT175" i="7"/>
  <c r="AU175" i="7" s="1"/>
  <c r="AV175" i="7" s="1"/>
  <c r="AC177" i="9" s="1"/>
  <c r="AZ173" i="7"/>
  <c r="BF173" i="7" s="1"/>
  <c r="AG175" i="9" s="1"/>
  <c r="AO176" i="7"/>
  <c r="AQ176" i="7" s="1"/>
  <c r="AW173" i="7"/>
  <c r="AE175" i="9" s="1"/>
  <c r="AN176" i="7"/>
  <c r="AM178" i="7"/>
  <c r="BB177" i="7"/>
  <c r="BC177" i="7"/>
  <c r="AB180" i="9"/>
  <c r="AF180" i="9"/>
  <c r="AD180" i="9"/>
  <c r="AF178" i="7"/>
  <c r="AK179" i="7"/>
  <c r="AE178" i="7"/>
  <c r="AR178" i="7"/>
  <c r="BK177" i="7"/>
  <c r="BN177" i="7"/>
  <c r="BH177" i="7"/>
  <c r="AL179" i="7"/>
  <c r="BE173" i="7"/>
  <c r="BD173" i="7"/>
  <c r="BG175" i="7" l="1"/>
  <c r="BM174" i="7"/>
  <c r="BI174" i="7"/>
  <c r="BG174" i="7"/>
  <c r="BJ173" i="7"/>
  <c r="AW174" i="7"/>
  <c r="AE176" i="9" s="1"/>
  <c r="AC176" i="9"/>
  <c r="AZ174" i="7"/>
  <c r="BF174" i="7" s="1"/>
  <c r="AG176" i="9" s="1"/>
  <c r="BI175" i="7"/>
  <c r="AY176" i="7"/>
  <c r="BA173" i="7"/>
  <c r="AT176" i="7"/>
  <c r="AU176" i="7" s="1"/>
  <c r="BL173" i="7"/>
  <c r="AP175" i="7"/>
  <c r="BO175" i="7" s="1"/>
  <c r="AN177" i="7"/>
  <c r="AO177" i="7"/>
  <c r="AQ177" i="7" s="1"/>
  <c r="AM179" i="7"/>
  <c r="BB178" i="7"/>
  <c r="BC178" i="7"/>
  <c r="BH178" i="7"/>
  <c r="BK178" i="7"/>
  <c r="BN178" i="7"/>
  <c r="AD181" i="9"/>
  <c r="AB181" i="9"/>
  <c r="AF181" i="9"/>
  <c r="AF179" i="7"/>
  <c r="AE179" i="7"/>
  <c r="AK180" i="7"/>
  <c r="AR179" i="7"/>
  <c r="BA174" i="7"/>
  <c r="BJ174" i="7"/>
  <c r="BE174" i="7"/>
  <c r="AL180" i="7"/>
  <c r="BD174" i="7"/>
  <c r="BL174" i="7" l="1"/>
  <c r="AV176" i="7"/>
  <c r="AP176" i="7"/>
  <c r="BO176" i="7" s="1"/>
  <c r="AY177" i="7"/>
  <c r="AT177" i="7"/>
  <c r="AU177" i="7" s="1"/>
  <c r="AN178" i="7"/>
  <c r="BM175" i="7"/>
  <c r="AZ175" i="7"/>
  <c r="BF175" i="7" s="1"/>
  <c r="AG177" i="9" s="1"/>
  <c r="AO178" i="7"/>
  <c r="AQ178" i="7" s="1"/>
  <c r="AW175" i="7"/>
  <c r="BA175" i="7" s="1"/>
  <c r="AM180" i="7"/>
  <c r="BC179" i="7"/>
  <c r="BB179" i="7"/>
  <c r="AB182" i="9"/>
  <c r="AD182" i="9"/>
  <c r="AF182" i="9"/>
  <c r="AR180" i="7"/>
  <c r="AF180" i="7"/>
  <c r="AE180" i="7"/>
  <c r="AK181" i="7"/>
  <c r="BK179" i="7"/>
  <c r="BH179" i="7"/>
  <c r="BN179" i="7"/>
  <c r="BM176" i="7"/>
  <c r="AL181" i="7"/>
  <c r="BD175" i="7"/>
  <c r="BE175" i="7"/>
  <c r="BI176" i="7" l="1"/>
  <c r="BG176" i="7"/>
  <c r="AZ176" i="7"/>
  <c r="BF176" i="7" s="1"/>
  <c r="AG178" i="9" s="1"/>
  <c r="AC178" i="9"/>
  <c r="AV177" i="7"/>
  <c r="BI177" i="7" s="1"/>
  <c r="AW176" i="7"/>
  <c r="BA176" i="7" s="1"/>
  <c r="AY178" i="7"/>
  <c r="AP177" i="7"/>
  <c r="BO177" i="7" s="1"/>
  <c r="AN179" i="7"/>
  <c r="AO179" i="7"/>
  <c r="AQ179" i="7" s="1"/>
  <c r="AT178" i="7"/>
  <c r="AU178" i="7" s="1"/>
  <c r="AV178" i="7" s="1"/>
  <c r="AE177" i="9"/>
  <c r="BJ175" i="7"/>
  <c r="BL175" i="7"/>
  <c r="AM181" i="7"/>
  <c r="BB180" i="7"/>
  <c r="BC180" i="7"/>
  <c r="BK180" i="7"/>
  <c r="BH180" i="7"/>
  <c r="BN180" i="7"/>
  <c r="AF183" i="9"/>
  <c r="AB183" i="9"/>
  <c r="AF181" i="7"/>
  <c r="AD183" i="9"/>
  <c r="AE181" i="7"/>
  <c r="AK182" i="7"/>
  <c r="AR181" i="7"/>
  <c r="BE176" i="7"/>
  <c r="BD176" i="7"/>
  <c r="AL182" i="7"/>
  <c r="BG177" i="7" l="1"/>
  <c r="BM177" i="7"/>
  <c r="BJ176" i="7"/>
  <c r="AE178" i="9"/>
  <c r="BL176" i="7"/>
  <c r="BI178" i="7"/>
  <c r="AC179" i="9"/>
  <c r="AY179" i="7"/>
  <c r="AW177" i="7"/>
  <c r="AE179" i="9" s="1"/>
  <c r="AZ177" i="7"/>
  <c r="BF177" i="7" s="1"/>
  <c r="AG179" i="9" s="1"/>
  <c r="AT179" i="7"/>
  <c r="AU179" i="7" s="1"/>
  <c r="AV179" i="7" s="1"/>
  <c r="AO180" i="7"/>
  <c r="AQ180" i="7" s="1"/>
  <c r="AP178" i="7"/>
  <c r="BO178" i="7" s="1"/>
  <c r="AN180" i="7"/>
  <c r="AC180" i="9"/>
  <c r="BG178" i="7"/>
  <c r="AM182" i="7"/>
  <c r="BC181" i="7"/>
  <c r="BB181" i="7"/>
  <c r="BJ177" i="7"/>
  <c r="BK181" i="7"/>
  <c r="BN181" i="7"/>
  <c r="BH181" i="7"/>
  <c r="AB184" i="9"/>
  <c r="AF184" i="9"/>
  <c r="AE182" i="7"/>
  <c r="AD184" i="9"/>
  <c r="AF182" i="7"/>
  <c r="AR182" i="7"/>
  <c r="AK183" i="7"/>
  <c r="BG179" i="7"/>
  <c r="BM178" i="7"/>
  <c r="BE177" i="7"/>
  <c r="BD177" i="7"/>
  <c r="AL183" i="7"/>
  <c r="BI179" i="7" l="1"/>
  <c r="BA177" i="7"/>
  <c r="AP179" i="7"/>
  <c r="BO179" i="7" s="1"/>
  <c r="BL177" i="7"/>
  <c r="AZ178" i="7"/>
  <c r="BF178" i="7" s="1"/>
  <c r="AG180" i="9" s="1"/>
  <c r="AW178" i="7"/>
  <c r="AE180" i="9" s="1"/>
  <c r="AC181" i="9"/>
  <c r="AT180" i="7"/>
  <c r="AU180" i="7" s="1"/>
  <c r="AV180" i="7" s="1"/>
  <c r="BG180" i="7" s="1"/>
  <c r="AY180" i="7"/>
  <c r="AN181" i="7"/>
  <c r="AO181" i="7"/>
  <c r="AQ181" i="7" s="1"/>
  <c r="AM183" i="7"/>
  <c r="BB182" i="7"/>
  <c r="BC182" i="7"/>
  <c r="BJ178" i="7"/>
  <c r="AD185" i="9"/>
  <c r="AB185" i="9"/>
  <c r="AF185" i="9"/>
  <c r="AF183" i="7"/>
  <c r="AE183" i="7"/>
  <c r="AR183" i="7"/>
  <c r="AK184" i="7"/>
  <c r="BM179" i="7"/>
  <c r="BK182" i="7"/>
  <c r="BH182" i="7"/>
  <c r="BN182" i="7"/>
  <c r="BE178" i="7"/>
  <c r="AL184" i="7"/>
  <c r="BD178" i="7"/>
  <c r="AZ179" i="7" l="1"/>
  <c r="BF179" i="7" s="1"/>
  <c r="AG181" i="9" s="1"/>
  <c r="AW179" i="7"/>
  <c r="BA179" i="7" s="1"/>
  <c r="BI180" i="7"/>
  <c r="BA178" i="7"/>
  <c r="AN182" i="7"/>
  <c r="AY182" i="7" s="1"/>
  <c r="BL178" i="7"/>
  <c r="AY181" i="7"/>
  <c r="AC182" i="9"/>
  <c r="AO182" i="7"/>
  <c r="AQ182" i="7" s="1"/>
  <c r="AP180" i="7"/>
  <c r="BO180" i="7" s="1"/>
  <c r="AT181" i="7"/>
  <c r="AU181" i="7" s="1"/>
  <c r="AM184" i="7"/>
  <c r="BC183" i="7"/>
  <c r="BB183" i="7"/>
  <c r="BJ179" i="7"/>
  <c r="AB186" i="9"/>
  <c r="AF186" i="9"/>
  <c r="AD186" i="9"/>
  <c r="AF184" i="7"/>
  <c r="AE184" i="7"/>
  <c r="AR184" i="7"/>
  <c r="AK185" i="7"/>
  <c r="BK183" i="7"/>
  <c r="BN183" i="7"/>
  <c r="BH183" i="7"/>
  <c r="BD179" i="7"/>
  <c r="AL185" i="7"/>
  <c r="BE179" i="7"/>
  <c r="BM180" i="7" l="1"/>
  <c r="BL179" i="7"/>
  <c r="AE181" i="9"/>
  <c r="AV181" i="7"/>
  <c r="BI181" i="7" s="1"/>
  <c r="AP181" i="7"/>
  <c r="BO181" i="7" s="1"/>
  <c r="AN183" i="7"/>
  <c r="AP182" i="7" s="1"/>
  <c r="BO182" i="7" s="1"/>
  <c r="AO183" i="7"/>
  <c r="AT182" i="7"/>
  <c r="AU182" i="7" s="1"/>
  <c r="AV182" i="7" s="1"/>
  <c r="BG182" i="7" s="1"/>
  <c r="AW180" i="7"/>
  <c r="AE182" i="9" s="1"/>
  <c r="AZ180" i="7"/>
  <c r="BF180" i="7" s="1"/>
  <c r="AG182" i="9" s="1"/>
  <c r="AM185" i="7"/>
  <c r="BC184" i="7"/>
  <c r="BB184" i="7"/>
  <c r="BK184" i="7"/>
  <c r="BN184" i="7"/>
  <c r="BH184" i="7"/>
  <c r="AD187" i="9"/>
  <c r="AF187" i="9"/>
  <c r="AB187" i="9"/>
  <c r="AF185" i="7"/>
  <c r="AE185" i="7"/>
  <c r="AR185" i="7"/>
  <c r="AK186" i="7"/>
  <c r="AL186" i="7"/>
  <c r="BE180" i="7"/>
  <c r="BD180" i="7"/>
  <c r="BG181" i="7" l="1"/>
  <c r="BJ180" i="7"/>
  <c r="BM181" i="7"/>
  <c r="BA180" i="7"/>
  <c r="AZ181" i="7"/>
  <c r="BF181" i="7" s="1"/>
  <c r="AG183" i="9" s="1"/>
  <c r="AC183" i="9"/>
  <c r="AY183" i="7"/>
  <c r="AT183" i="7"/>
  <c r="AU183" i="7" s="1"/>
  <c r="AV183" i="7" s="1"/>
  <c r="AC185" i="9" s="1"/>
  <c r="AN184" i="7"/>
  <c r="AY184" i="7" s="1"/>
  <c r="AW181" i="7"/>
  <c r="BA181" i="7" s="1"/>
  <c r="BI182" i="7"/>
  <c r="AC184" i="9"/>
  <c r="AQ183" i="7"/>
  <c r="AO184" i="7"/>
  <c r="AQ184" i="7" s="1"/>
  <c r="BL180" i="7"/>
  <c r="AM186" i="7"/>
  <c r="BC185" i="7"/>
  <c r="BB185" i="7"/>
  <c r="BJ181" i="7"/>
  <c r="BK185" i="7"/>
  <c r="BH185" i="7"/>
  <c r="BN185" i="7"/>
  <c r="AD188" i="9"/>
  <c r="AF188" i="9"/>
  <c r="AB188" i="9"/>
  <c r="AE186" i="7"/>
  <c r="AR186" i="7"/>
  <c r="AF186" i="7"/>
  <c r="AK187" i="7"/>
  <c r="AW182" i="7"/>
  <c r="BL182" i="7" s="1"/>
  <c r="AZ182" i="7"/>
  <c r="BF182" i="7" s="1"/>
  <c r="AG184" i="9" s="1"/>
  <c r="BM182" i="7"/>
  <c r="BE181" i="7"/>
  <c r="BD182" i="7"/>
  <c r="BD181" i="7"/>
  <c r="AL187" i="7"/>
  <c r="BE182" i="7"/>
  <c r="BG183" i="7" l="1"/>
  <c r="AE183" i="9"/>
  <c r="AN185" i="7"/>
  <c r="AY185" i="7" s="1"/>
  <c r="BL181" i="7"/>
  <c r="BI183" i="7"/>
  <c r="AP183" i="7"/>
  <c r="BO183" i="7" s="1"/>
  <c r="AO185" i="7"/>
  <c r="AQ185" i="7" s="1"/>
  <c r="AT184" i="7"/>
  <c r="AU184" i="7" s="1"/>
  <c r="AM187" i="7"/>
  <c r="BB186" i="7"/>
  <c r="BC186" i="7"/>
  <c r="BN186" i="7"/>
  <c r="BK186" i="7"/>
  <c r="BH186" i="7"/>
  <c r="AB189" i="9"/>
  <c r="AD189" i="9"/>
  <c r="AF189" i="9"/>
  <c r="AF187" i="7"/>
  <c r="AE187" i="7"/>
  <c r="AR187" i="7"/>
  <c r="AK188" i="7"/>
  <c r="AE184" i="9"/>
  <c r="BA182" i="7"/>
  <c r="BJ182" i="7"/>
  <c r="AL188" i="7"/>
  <c r="BM183" i="7" l="1"/>
  <c r="AP184" i="7"/>
  <c r="BO184" i="7" s="1"/>
  <c r="AO186" i="7"/>
  <c r="AQ186" i="7" s="1"/>
  <c r="AW183" i="7"/>
  <c r="AE185" i="9" s="1"/>
  <c r="AZ183" i="7"/>
  <c r="BF183" i="7" s="1"/>
  <c r="AG185" i="9" s="1"/>
  <c r="AV184" i="7"/>
  <c r="AT185" i="7"/>
  <c r="AU185" i="7" s="1"/>
  <c r="AN186" i="7"/>
  <c r="AM188" i="7"/>
  <c r="BC187" i="7"/>
  <c r="BB187" i="7"/>
  <c r="BM184" i="7"/>
  <c r="AF190" i="9"/>
  <c r="AD190" i="9"/>
  <c r="AB190" i="9"/>
  <c r="AF188" i="7"/>
  <c r="AE188" i="7"/>
  <c r="AK189" i="7"/>
  <c r="AR188" i="7"/>
  <c r="BK187" i="7"/>
  <c r="BH187" i="7"/>
  <c r="BN187" i="7"/>
  <c r="BD183" i="7"/>
  <c r="BE183" i="7"/>
  <c r="AL189" i="7"/>
  <c r="BJ183" i="7" l="1"/>
  <c r="AZ184" i="7"/>
  <c r="BF184" i="7" s="1"/>
  <c r="AG186" i="9" s="1"/>
  <c r="AW184" i="7"/>
  <c r="AE186" i="9" s="1"/>
  <c r="BI184" i="7"/>
  <c r="BG184" i="7"/>
  <c r="BA183" i="7"/>
  <c r="BL183" i="7"/>
  <c r="AC186" i="9"/>
  <c r="AV185" i="7"/>
  <c r="AP185" i="7"/>
  <c r="BO185" i="7" s="1"/>
  <c r="AT186" i="7"/>
  <c r="AU186" i="7" s="1"/>
  <c r="AO187" i="7"/>
  <c r="AQ187" i="7" s="1"/>
  <c r="AY186" i="7"/>
  <c r="AN187" i="7"/>
  <c r="AM189" i="7"/>
  <c r="BB188" i="7"/>
  <c r="BC188" i="7"/>
  <c r="BK188" i="7"/>
  <c r="BH188" i="7"/>
  <c r="BN188" i="7"/>
  <c r="AD191" i="9"/>
  <c r="AB191" i="9"/>
  <c r="AF191" i="9"/>
  <c r="AF189" i="7"/>
  <c r="AE189" i="7"/>
  <c r="AR189" i="7"/>
  <c r="AK190" i="7"/>
  <c r="BJ184" i="7"/>
  <c r="BE184" i="7"/>
  <c r="BD184" i="7"/>
  <c r="AL190" i="7"/>
  <c r="BA184" i="7" l="1"/>
  <c r="BL184" i="7"/>
  <c r="AC187" i="9"/>
  <c r="BG185" i="7"/>
  <c r="BM185" i="7"/>
  <c r="AW185" i="7"/>
  <c r="AE187" i="9" s="1"/>
  <c r="AV186" i="7"/>
  <c r="AZ185" i="7"/>
  <c r="BF185" i="7" s="1"/>
  <c r="AG187" i="9" s="1"/>
  <c r="BI185" i="7"/>
  <c r="AY187" i="7"/>
  <c r="AP186" i="7"/>
  <c r="BO186" i="7" s="1"/>
  <c r="AT187" i="7"/>
  <c r="AU187" i="7" s="1"/>
  <c r="AV187" i="7" s="1"/>
  <c r="BG187" i="7" s="1"/>
  <c r="AN188" i="7"/>
  <c r="AO188" i="7"/>
  <c r="AQ188" i="7" s="1"/>
  <c r="AM190" i="7"/>
  <c r="BC189" i="7"/>
  <c r="BB189" i="7"/>
  <c r="AF192" i="9"/>
  <c r="AD192" i="9"/>
  <c r="AB192" i="9"/>
  <c r="AR190" i="7"/>
  <c r="AE190" i="7"/>
  <c r="AK191" i="7"/>
  <c r="AF190" i="7"/>
  <c r="BK189" i="7"/>
  <c r="BH189" i="7"/>
  <c r="BN189" i="7"/>
  <c r="BE185" i="7"/>
  <c r="AL191" i="7"/>
  <c r="BD185" i="7"/>
  <c r="BM186" i="7" l="1"/>
  <c r="BI186" i="7"/>
  <c r="BG186" i="7"/>
  <c r="BJ185" i="7"/>
  <c r="BA185" i="7"/>
  <c r="AZ186" i="7"/>
  <c r="BF186" i="7" s="1"/>
  <c r="AG188" i="9" s="1"/>
  <c r="BL185" i="7"/>
  <c r="AW186" i="7"/>
  <c r="AE188" i="9" s="1"/>
  <c r="AC188" i="9"/>
  <c r="BI187" i="7"/>
  <c r="AY188" i="7"/>
  <c r="AC189" i="9"/>
  <c r="AN189" i="7"/>
  <c r="AP188" i="7" s="1"/>
  <c r="BO188" i="7" s="1"/>
  <c r="AP187" i="7"/>
  <c r="BO187" i="7" s="1"/>
  <c r="AO189" i="7"/>
  <c r="AQ189" i="7" s="1"/>
  <c r="AT188" i="7"/>
  <c r="AU188" i="7" s="1"/>
  <c r="AV188" i="7" s="1"/>
  <c r="AM191" i="7"/>
  <c r="BC190" i="7"/>
  <c r="BB190" i="7"/>
  <c r="BN190" i="7"/>
  <c r="BK190" i="7"/>
  <c r="BH190" i="7"/>
  <c r="AB193" i="9"/>
  <c r="AF193" i="9"/>
  <c r="AD193" i="9"/>
  <c r="AF191" i="7"/>
  <c r="AE191" i="7"/>
  <c r="AK192" i="7"/>
  <c r="AR191" i="7"/>
  <c r="BE186" i="7"/>
  <c r="BD186" i="7"/>
  <c r="AL192" i="7"/>
  <c r="BM187" i="7" l="1"/>
  <c r="BJ186" i="7"/>
  <c r="BL186" i="7"/>
  <c r="BA186" i="7"/>
  <c r="BI188" i="7"/>
  <c r="AN190" i="7"/>
  <c r="AY190" i="7" s="1"/>
  <c r="AY189" i="7"/>
  <c r="AZ187" i="7"/>
  <c r="BF187" i="7" s="1"/>
  <c r="AG189" i="9" s="1"/>
  <c r="AW187" i="7"/>
  <c r="AE189" i="9" s="1"/>
  <c r="AO190" i="7"/>
  <c r="AQ190" i="7" s="1"/>
  <c r="AT189" i="7"/>
  <c r="AU189" i="7" s="1"/>
  <c r="BG188" i="7"/>
  <c r="AC190" i="9"/>
  <c r="AM192" i="7"/>
  <c r="BC191" i="7"/>
  <c r="BB191" i="7"/>
  <c r="BK191" i="7"/>
  <c r="BH191" i="7"/>
  <c r="BN191" i="7"/>
  <c r="AW188" i="7"/>
  <c r="BL188" i="7" s="1"/>
  <c r="AZ188" i="7"/>
  <c r="BF188" i="7" s="1"/>
  <c r="AG190" i="9" s="1"/>
  <c r="BM188" i="7"/>
  <c r="AD194" i="9"/>
  <c r="AF194" i="9"/>
  <c r="AB194" i="9"/>
  <c r="AK193" i="7"/>
  <c r="AE192" i="7"/>
  <c r="AR192" i="7"/>
  <c r="AF192" i="7"/>
  <c r="AL193" i="7"/>
  <c r="BD187" i="7"/>
  <c r="BD188" i="7"/>
  <c r="BE187" i="7"/>
  <c r="BE188" i="7"/>
  <c r="BJ187" i="7" l="1"/>
  <c r="AT190" i="7"/>
  <c r="AU190" i="7" s="1"/>
  <c r="AV190" i="7" s="1"/>
  <c r="BI190" i="7" s="1"/>
  <c r="AP189" i="7"/>
  <c r="BO189" i="7" s="1"/>
  <c r="AO191" i="7"/>
  <c r="AQ191" i="7" s="1"/>
  <c r="AV189" i="7"/>
  <c r="BA187" i="7"/>
  <c r="AN191" i="7"/>
  <c r="AY191" i="7" s="1"/>
  <c r="BL187" i="7"/>
  <c r="AM193" i="7"/>
  <c r="BB192" i="7"/>
  <c r="BC192" i="7"/>
  <c r="BH192" i="7"/>
  <c r="BN192" i="7"/>
  <c r="BK192" i="7"/>
  <c r="BG190" i="7"/>
  <c r="AE190" i="9"/>
  <c r="BA188" i="7"/>
  <c r="BJ188" i="7"/>
  <c r="AB195" i="9"/>
  <c r="AD195" i="9"/>
  <c r="AF195" i="9"/>
  <c r="AF193" i="7"/>
  <c r="AE193" i="7"/>
  <c r="AR193" i="7"/>
  <c r="AK194" i="7"/>
  <c r="AL194" i="7"/>
  <c r="BM189" i="7" l="1"/>
  <c r="BI189" i="7"/>
  <c r="BG189" i="7"/>
  <c r="AZ189" i="7"/>
  <c r="BF189" i="7" s="1"/>
  <c r="AG191" i="9" s="1"/>
  <c r="AW189" i="7"/>
  <c r="BA189" i="7" s="1"/>
  <c r="AC192" i="9"/>
  <c r="AC191" i="9"/>
  <c r="AT191" i="7"/>
  <c r="AU191" i="7" s="1"/>
  <c r="AV191" i="7" s="1"/>
  <c r="AC193" i="9" s="1"/>
  <c r="AP190" i="7"/>
  <c r="BO190" i="7" s="1"/>
  <c r="AO192" i="7"/>
  <c r="AQ192" i="7" s="1"/>
  <c r="AN192" i="7"/>
  <c r="AM194" i="7"/>
  <c r="BC193" i="7"/>
  <c r="BB193" i="7"/>
  <c r="AB196" i="9"/>
  <c r="AF196" i="9"/>
  <c r="AD196" i="9"/>
  <c r="AF194" i="7"/>
  <c r="AK195" i="7"/>
  <c r="AE194" i="7"/>
  <c r="AR194" i="7"/>
  <c r="BK193" i="7"/>
  <c r="BN193" i="7"/>
  <c r="BH193" i="7"/>
  <c r="BE189" i="7"/>
  <c r="BD189" i="7"/>
  <c r="AL195" i="7"/>
  <c r="BJ189" i="7" l="1"/>
  <c r="BM190" i="7"/>
  <c r="BG191" i="7"/>
  <c r="AZ190" i="7"/>
  <c r="BF190" i="7" s="1"/>
  <c r="AG192" i="9" s="1"/>
  <c r="AW190" i="7"/>
  <c r="AE192" i="9" s="1"/>
  <c r="BL189" i="7"/>
  <c r="AE191" i="9"/>
  <c r="BI191" i="7"/>
  <c r="AT192" i="7"/>
  <c r="AU192" i="7" s="1"/>
  <c r="AP191" i="7"/>
  <c r="BO191" i="7" s="1"/>
  <c r="AY192" i="7"/>
  <c r="AN193" i="7"/>
  <c r="AO193" i="7"/>
  <c r="AQ193" i="7" s="1"/>
  <c r="AM195" i="7"/>
  <c r="BB194" i="7"/>
  <c r="BC194" i="7"/>
  <c r="AF197" i="9"/>
  <c r="AB197" i="9"/>
  <c r="AD197" i="9"/>
  <c r="AF195" i="7"/>
  <c r="AE195" i="7"/>
  <c r="AK196" i="7"/>
  <c r="AR195" i="7"/>
  <c r="BM191" i="7"/>
  <c r="BK194" i="7"/>
  <c r="BH194" i="7"/>
  <c r="BN194" i="7"/>
  <c r="BD190" i="7"/>
  <c r="BE190" i="7"/>
  <c r="AL196" i="7"/>
  <c r="BJ190" i="7" l="1"/>
  <c r="BA190" i="7"/>
  <c r="AO194" i="7"/>
  <c r="AQ194" i="7" s="1"/>
  <c r="BL190" i="7"/>
  <c r="AP192" i="7"/>
  <c r="BO192" i="7" s="1"/>
  <c r="AV192" i="7"/>
  <c r="AY193" i="7"/>
  <c r="AN194" i="7"/>
  <c r="AZ191" i="7"/>
  <c r="BF191" i="7" s="1"/>
  <c r="AG193" i="9" s="1"/>
  <c r="AW191" i="7"/>
  <c r="AE193" i="9" s="1"/>
  <c r="AT193" i="7"/>
  <c r="AU193" i="7" s="1"/>
  <c r="AV193" i="7" s="1"/>
  <c r="AM196" i="7"/>
  <c r="BC195" i="7"/>
  <c r="BB195" i="7"/>
  <c r="AB198" i="9"/>
  <c r="AD198" i="9"/>
  <c r="AF198" i="9"/>
  <c r="AF196" i="7"/>
  <c r="AE196" i="7"/>
  <c r="AR196" i="7"/>
  <c r="AK197" i="7"/>
  <c r="BK195" i="7"/>
  <c r="BH195" i="7"/>
  <c r="BN195" i="7"/>
  <c r="BJ191" i="7"/>
  <c r="BD191" i="7"/>
  <c r="AL197" i="7"/>
  <c r="BE191" i="7"/>
  <c r="AC194" i="9" l="1"/>
  <c r="BG192" i="7"/>
  <c r="BM192" i="7"/>
  <c r="AZ192" i="7"/>
  <c r="BF192" i="7" s="1"/>
  <c r="AG194" i="9" s="1"/>
  <c r="AW192" i="7"/>
  <c r="BA192" i="7" s="1"/>
  <c r="AT194" i="7"/>
  <c r="AU194" i="7" s="1"/>
  <c r="AP193" i="7"/>
  <c r="BO193" i="7" s="1"/>
  <c r="AY194" i="7"/>
  <c r="BI193" i="7"/>
  <c r="BI192" i="7"/>
  <c r="AN195" i="7"/>
  <c r="AY195" i="7" s="1"/>
  <c r="BA191" i="7"/>
  <c r="AO195" i="7"/>
  <c r="BL191" i="7"/>
  <c r="BG193" i="7"/>
  <c r="AC195" i="9"/>
  <c r="AM197" i="7"/>
  <c r="BB196" i="7"/>
  <c r="BC196" i="7"/>
  <c r="BK196" i="7"/>
  <c r="BH196" i="7"/>
  <c r="BN196" i="7"/>
  <c r="AF199" i="9"/>
  <c r="AB199" i="9"/>
  <c r="AD199" i="9"/>
  <c r="AF197" i="7"/>
  <c r="AE197" i="7"/>
  <c r="AR197" i="7"/>
  <c r="AK198" i="7"/>
  <c r="AL198" i="7"/>
  <c r="BD192" i="7"/>
  <c r="BE192" i="7"/>
  <c r="BJ192" i="7" l="1"/>
  <c r="AE194" i="9"/>
  <c r="BM193" i="7"/>
  <c r="AW193" i="7"/>
  <c r="BA193" i="7" s="1"/>
  <c r="AZ193" i="7"/>
  <c r="BF193" i="7" s="1"/>
  <c r="AG195" i="9" s="1"/>
  <c r="AN196" i="7"/>
  <c r="AP195" i="7" s="1"/>
  <c r="BO195" i="7" s="1"/>
  <c r="AP194" i="7"/>
  <c r="BO194" i="7" s="1"/>
  <c r="AT195" i="7"/>
  <c r="AU195" i="7" s="1"/>
  <c r="AV195" i="7" s="1"/>
  <c r="BI195" i="7" s="1"/>
  <c r="BL192" i="7"/>
  <c r="AV194" i="7"/>
  <c r="AO196" i="7"/>
  <c r="AQ196" i="7" s="1"/>
  <c r="AQ195" i="7"/>
  <c r="AM198" i="7"/>
  <c r="BC197" i="7"/>
  <c r="BB197" i="7"/>
  <c r="BM194" i="7"/>
  <c r="BK197" i="7"/>
  <c r="BN197" i="7"/>
  <c r="BH197" i="7"/>
  <c r="AE195" i="9"/>
  <c r="BJ193" i="7"/>
  <c r="AB200" i="9"/>
  <c r="AD200" i="9"/>
  <c r="AF200" i="9"/>
  <c r="AE198" i="7"/>
  <c r="AF198" i="7"/>
  <c r="AK199" i="7"/>
  <c r="AR198" i="7"/>
  <c r="BE193" i="7"/>
  <c r="BD193" i="7"/>
  <c r="AL199" i="7"/>
  <c r="AY196" i="7" l="1"/>
  <c r="AC196" i="9"/>
  <c r="BG194" i="7"/>
  <c r="BG195" i="7"/>
  <c r="AZ194" i="7"/>
  <c r="BF194" i="7" s="1"/>
  <c r="AG196" i="9" s="1"/>
  <c r="AW194" i="7"/>
  <c r="AE196" i="9" s="1"/>
  <c r="AN197" i="7"/>
  <c r="AP196" i="7" s="1"/>
  <c r="BO196" i="7" s="1"/>
  <c r="BL193" i="7"/>
  <c r="AC197" i="9"/>
  <c r="BI194" i="7"/>
  <c r="AT196" i="7"/>
  <c r="AU196" i="7" s="1"/>
  <c r="AO197" i="7"/>
  <c r="AQ197" i="7" s="1"/>
  <c r="AM199" i="7"/>
  <c r="BB198" i="7"/>
  <c r="BC198" i="7"/>
  <c r="BN198" i="7"/>
  <c r="BK198" i="7"/>
  <c r="BH198" i="7"/>
  <c r="AD201" i="9"/>
  <c r="AB201" i="9"/>
  <c r="AF201" i="9"/>
  <c r="AF199" i="7"/>
  <c r="AE199" i="7"/>
  <c r="AR199" i="7"/>
  <c r="AK200" i="7"/>
  <c r="AW195" i="7"/>
  <c r="BL195" i="7" s="1"/>
  <c r="AZ195" i="7"/>
  <c r="BF195" i="7" s="1"/>
  <c r="AG197" i="9" s="1"/>
  <c r="BM195" i="7"/>
  <c r="BE195" i="7"/>
  <c r="BD195" i="7"/>
  <c r="BD194" i="7"/>
  <c r="BE194" i="7"/>
  <c r="AL200" i="7"/>
  <c r="BJ194" i="7" l="1"/>
  <c r="AY197" i="7"/>
  <c r="BA194" i="7"/>
  <c r="AN198" i="7"/>
  <c r="AP197" i="7" s="1"/>
  <c r="BO197" i="7" s="1"/>
  <c r="BL194" i="7"/>
  <c r="AV196" i="7"/>
  <c r="AO198" i="7"/>
  <c r="AQ198" i="7" s="1"/>
  <c r="AT197" i="7"/>
  <c r="AU197" i="7" s="1"/>
  <c r="AM200" i="7"/>
  <c r="BC199" i="7"/>
  <c r="BB199" i="7"/>
  <c r="AB202" i="9"/>
  <c r="AD202" i="9"/>
  <c r="AF202" i="9"/>
  <c r="AE200" i="7"/>
  <c r="AF200" i="7"/>
  <c r="AR200" i="7"/>
  <c r="AK201" i="7"/>
  <c r="BK199" i="7"/>
  <c r="BN199" i="7"/>
  <c r="BH199" i="7"/>
  <c r="AE197" i="9"/>
  <c r="BA195" i="7"/>
  <c r="BJ195" i="7"/>
  <c r="AW196" i="7"/>
  <c r="BL196" i="7" s="1"/>
  <c r="AZ196" i="7"/>
  <c r="BF196" i="7" s="1"/>
  <c r="AG198" i="9" s="1"/>
  <c r="BM196" i="7"/>
  <c r="BE196" i="7"/>
  <c r="BD196" i="7"/>
  <c r="AL201" i="7"/>
  <c r="AC198" i="9" l="1"/>
  <c r="BG196" i="7"/>
  <c r="AO199" i="7"/>
  <c r="AQ199" i="7" s="1"/>
  <c r="AY198" i="7"/>
  <c r="AV197" i="7"/>
  <c r="BI197" i="7" s="1"/>
  <c r="BI196" i="7"/>
  <c r="AT198" i="7"/>
  <c r="AU198" i="7" s="1"/>
  <c r="AN199" i="7"/>
  <c r="AM201" i="7"/>
  <c r="BC200" i="7"/>
  <c r="BB200" i="7"/>
  <c r="AE198" i="9"/>
  <c r="BA196" i="7"/>
  <c r="BJ196" i="7"/>
  <c r="AW197" i="7"/>
  <c r="BL197" i="7" s="1"/>
  <c r="AZ197" i="7"/>
  <c r="BF197" i="7" s="1"/>
  <c r="AG199" i="9" s="1"/>
  <c r="BM197" i="7"/>
  <c r="BK200" i="7"/>
  <c r="BH200" i="7"/>
  <c r="BN200" i="7"/>
  <c r="AD203" i="9"/>
  <c r="AF203" i="9"/>
  <c r="AB203" i="9"/>
  <c r="AF201" i="7"/>
  <c r="AE201" i="7"/>
  <c r="AR201" i="7"/>
  <c r="AK202" i="7"/>
  <c r="BD197" i="7"/>
  <c r="BE197" i="7"/>
  <c r="AL202" i="7"/>
  <c r="BG197" i="7" l="1"/>
  <c r="AC199" i="9"/>
  <c r="AV198" i="7"/>
  <c r="AY199" i="7"/>
  <c r="AN200" i="7"/>
  <c r="AY200" i="7" s="1"/>
  <c r="AT199" i="7"/>
  <c r="AU199" i="7" s="1"/>
  <c r="AV199" i="7" s="1"/>
  <c r="AP198" i="7"/>
  <c r="BO198" i="7" s="1"/>
  <c r="AO200" i="7"/>
  <c r="AM202" i="7"/>
  <c r="BC201" i="7"/>
  <c r="BB201" i="7"/>
  <c r="BK201" i="7"/>
  <c r="BN201" i="7"/>
  <c r="BH201" i="7"/>
  <c r="BG199" i="7"/>
  <c r="AD204" i="9"/>
  <c r="AB204" i="9"/>
  <c r="AF204" i="9"/>
  <c r="AF202" i="7"/>
  <c r="AR202" i="7"/>
  <c r="AE202" i="7"/>
  <c r="AK203" i="7"/>
  <c r="AE199" i="9"/>
  <c r="BA197" i="7"/>
  <c r="BJ197" i="7"/>
  <c r="AL203" i="7"/>
  <c r="BM198" i="7" l="1"/>
  <c r="BI198" i="7"/>
  <c r="BG198" i="7"/>
  <c r="AC200" i="9"/>
  <c r="BI199" i="7"/>
  <c r="AP199" i="7"/>
  <c r="BO199" i="7" s="1"/>
  <c r="AT200" i="7"/>
  <c r="AU200" i="7" s="1"/>
  <c r="AW198" i="7"/>
  <c r="BA198" i="7" s="1"/>
  <c r="AO201" i="7"/>
  <c r="AQ201" i="7" s="1"/>
  <c r="AC201" i="9"/>
  <c r="AZ198" i="7"/>
  <c r="BF198" i="7" s="1"/>
  <c r="AG200" i="9" s="1"/>
  <c r="AQ200" i="7"/>
  <c r="AN201" i="7"/>
  <c r="AM203" i="7"/>
  <c r="BC202" i="7"/>
  <c r="BB202" i="7"/>
  <c r="AB205" i="9"/>
  <c r="AD205" i="9"/>
  <c r="AF205" i="9"/>
  <c r="AF203" i="7"/>
  <c r="AR203" i="7"/>
  <c r="AE203" i="7"/>
  <c r="AK204" i="7"/>
  <c r="BK202" i="7"/>
  <c r="BN202" i="7"/>
  <c r="BH202" i="7"/>
  <c r="AL204" i="7"/>
  <c r="BD198" i="7"/>
  <c r="BE198" i="7"/>
  <c r="BM199" i="7" l="1"/>
  <c r="BJ198" i="7"/>
  <c r="AZ199" i="7"/>
  <c r="BF199" i="7" s="1"/>
  <c r="AG201" i="9" s="1"/>
  <c r="AE200" i="9"/>
  <c r="AV200" i="7"/>
  <c r="AW199" i="7"/>
  <c r="AE201" i="9" s="1"/>
  <c r="BL198" i="7"/>
  <c r="AT201" i="7"/>
  <c r="AU201" i="7" s="1"/>
  <c r="AP200" i="7"/>
  <c r="BO200" i="7" s="1"/>
  <c r="AN202" i="7"/>
  <c r="AO202" i="7"/>
  <c r="AQ202" i="7" s="1"/>
  <c r="AY201" i="7"/>
  <c r="AM204" i="7"/>
  <c r="BC203" i="7"/>
  <c r="BB203" i="7"/>
  <c r="BA199" i="7"/>
  <c r="BM200" i="7"/>
  <c r="AF206" i="9"/>
  <c r="AD206" i="9"/>
  <c r="AB206" i="9"/>
  <c r="AE204" i="7"/>
  <c r="AF204" i="7"/>
  <c r="AR204" i="7"/>
  <c r="BK203" i="7"/>
  <c r="BN203" i="7"/>
  <c r="BH203" i="7"/>
  <c r="BD199" i="7"/>
  <c r="BE199" i="7"/>
  <c r="AC202" i="9" l="1"/>
  <c r="BG200" i="7"/>
  <c r="BJ199" i="7"/>
  <c r="BL199" i="7"/>
  <c r="AV201" i="7"/>
  <c r="BI200" i="7"/>
  <c r="AY202" i="7"/>
  <c r="AW200" i="7"/>
  <c r="BA200" i="7" s="1"/>
  <c r="AP201" i="7"/>
  <c r="BO201" i="7" s="1"/>
  <c r="AO203" i="7"/>
  <c r="AQ203" i="7" s="1"/>
  <c r="AZ200" i="7"/>
  <c r="BF200" i="7" s="1"/>
  <c r="AG202" i="9" s="1"/>
  <c r="AT202" i="7"/>
  <c r="AU202" i="7" s="1"/>
  <c r="AV202" i="7" s="1"/>
  <c r="BG202" i="7" s="1"/>
  <c r="AN203" i="7"/>
  <c r="BB204" i="7"/>
  <c r="BC204" i="7"/>
  <c r="AE202" i="9"/>
  <c r="BM201" i="7"/>
  <c r="BN204" i="7"/>
  <c r="S33" i="3" s="1"/>
  <c r="L94" i="3" s="1"/>
  <c r="BK204" i="7"/>
  <c r="BH204" i="7"/>
  <c r="L31" i="3" s="1"/>
  <c r="BD200" i="7"/>
  <c r="BE200" i="7"/>
  <c r="AC203" i="9" l="1"/>
  <c r="BG201" i="7"/>
  <c r="BJ200" i="7"/>
  <c r="BI202" i="7"/>
  <c r="BI201" i="7"/>
  <c r="AT203" i="7"/>
  <c r="AU203" i="7" s="1"/>
  <c r="AZ201" i="7"/>
  <c r="BF201" i="7" s="1"/>
  <c r="AG203" i="9" s="1"/>
  <c r="AO204" i="7"/>
  <c r="AQ204" i="7" s="1"/>
  <c r="AY203" i="7"/>
  <c r="AW201" i="7"/>
  <c r="AE203" i="9" s="1"/>
  <c r="AP202" i="7"/>
  <c r="BO202" i="7" s="1"/>
  <c r="AN204" i="7"/>
  <c r="BL200" i="7"/>
  <c r="AC204" i="9"/>
  <c r="F6" i="10"/>
  <c r="F31" i="11"/>
  <c r="L89" i="3"/>
  <c r="L88" i="3"/>
  <c r="L87" i="3"/>
  <c r="L86" i="3"/>
  <c r="BE201" i="7"/>
  <c r="BD201" i="7"/>
  <c r="BJ201" i="7" l="1"/>
  <c r="BM202" i="7"/>
  <c r="AP204" i="7"/>
  <c r="BO204" i="7" s="1"/>
  <c r="AV203" i="7"/>
  <c r="AV204" i="7"/>
  <c r="BI204" i="7" s="1"/>
  <c r="AW202" i="7"/>
  <c r="BA202" i="7" s="1"/>
  <c r="BA201" i="7"/>
  <c r="AC205" i="9"/>
  <c r="AP203" i="7"/>
  <c r="BO203" i="7" s="1"/>
  <c r="AT204" i="7"/>
  <c r="AU204" i="7" s="1"/>
  <c r="AY204" i="7"/>
  <c r="AZ202" i="7"/>
  <c r="BF202" i="7" s="1"/>
  <c r="AG204" i="9" s="1"/>
  <c r="BL201" i="7"/>
  <c r="F22" i="11"/>
  <c r="F24" i="11"/>
  <c r="F25" i="11"/>
  <c r="F26" i="11"/>
  <c r="BE202" i="7"/>
  <c r="BD202" i="7"/>
  <c r="AZ204" i="7" l="1"/>
  <c r="BF204" i="7" s="1"/>
  <c r="AG206" i="9" s="1"/>
  <c r="BM204" i="7"/>
  <c r="BG204" i="7"/>
  <c r="BJ202" i="7"/>
  <c r="O33" i="3"/>
  <c r="H94" i="3" s="1"/>
  <c r="B31" i="11" s="1"/>
  <c r="H31" i="3"/>
  <c r="H87" i="3" s="1"/>
  <c r="AC206" i="9"/>
  <c r="Q33" i="3"/>
  <c r="J94" i="3" s="1"/>
  <c r="D31" i="11" s="1"/>
  <c r="AW204" i="7"/>
  <c r="BL204" i="7" s="1"/>
  <c r="BI203" i="7"/>
  <c r="BG203" i="7"/>
  <c r="BM203" i="7"/>
  <c r="R33" i="3" s="1"/>
  <c r="AE204" i="9"/>
  <c r="AZ203" i="7"/>
  <c r="BF203" i="7" s="1"/>
  <c r="AG205" i="9" s="1"/>
  <c r="AW203" i="7"/>
  <c r="AE205" i="9" s="1"/>
  <c r="BL202" i="7"/>
  <c r="BE204" i="7"/>
  <c r="BD204" i="7"/>
  <c r="BE203" i="7"/>
  <c r="BD203" i="7"/>
  <c r="B6" i="10" l="1"/>
  <c r="H88" i="3"/>
  <c r="B25" i="11" s="1"/>
  <c r="H89" i="3"/>
  <c r="B26" i="11" s="1"/>
  <c r="H86" i="3"/>
  <c r="BJ203" i="7"/>
  <c r="BA204" i="7"/>
  <c r="AE206" i="9"/>
  <c r="BJ204" i="7"/>
  <c r="BA203" i="7"/>
  <c r="BL203" i="7"/>
  <c r="K94" i="3"/>
  <c r="E31" i="11" s="1"/>
  <c r="B22" i="11"/>
  <c r="B24" i="11"/>
</calcChain>
</file>

<file path=xl/sharedStrings.xml><?xml version="1.0" encoding="utf-8"?>
<sst xmlns="http://schemas.openxmlformats.org/spreadsheetml/2006/main" count="833" uniqueCount="564">
  <si>
    <t>Y Values (all)</t>
  </si>
  <si>
    <t>Station (ft)</t>
  </si>
  <si>
    <t>n (manning)</t>
  </si>
  <si>
    <t>n value possible?</t>
  </si>
  <si>
    <t>Right</t>
  </si>
  <si>
    <t>very large</t>
  </si>
  <si>
    <t>medium</t>
  </si>
  <si>
    <t>Tcr (lb/sf)</t>
  </si>
  <si>
    <t>Wp * n^1.5</t>
  </si>
  <si>
    <t>R-3 Stg</t>
  </si>
  <si>
    <t>IB/Low Flow</t>
  </si>
  <si>
    <t>Channel</t>
  </si>
  <si>
    <t>BACKGROUND CALCULATIONS</t>
  </si>
  <si>
    <t>Width (ft)</t>
  </si>
  <si>
    <t>Ratio of Existing Mean Depth to Required Mean Depth</t>
  </si>
  <si>
    <t>Equation</t>
  </si>
  <si>
    <t>Use PSR, if 3 &lt; PSR &lt; 7</t>
  </si>
  <si>
    <r>
      <t xml:space="preserve">     D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=diameter sediment particle (mm)</t>
    </r>
  </si>
  <si>
    <r>
      <t xml:space="preserve">     g=gravitational acceleration (32.2 ft/s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 (9.81 m/s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</t>
    </r>
  </si>
  <si>
    <t>ft/ft</t>
  </si>
  <si>
    <t>mm</t>
  </si>
  <si>
    <t>particle size new</t>
  </si>
  <si>
    <t>Shield's parameter typically in the range of 0.045 to 0.06</t>
  </si>
  <si>
    <t>Shields Chart - Fully Rough</t>
  </si>
  <si>
    <t>English units with grain size in mm</t>
  </si>
  <si>
    <t>Override</t>
  </si>
  <si>
    <t>Refer to right for pebble count data</t>
  </si>
  <si>
    <t>Entrenchment Ratio</t>
  </si>
  <si>
    <t>MS</t>
  </si>
  <si>
    <t>VFS</t>
  </si>
  <si>
    <t>clear water</t>
  </si>
  <si>
    <t>Valid for Rc/Tw between 1 and 7</t>
  </si>
  <si>
    <t>Empirical</t>
  </si>
  <si>
    <t>R-BK</t>
  </si>
  <si>
    <t>n_label_data</t>
  </si>
  <si>
    <t>X Corrected (all)</t>
  </si>
  <si>
    <t>flow area</t>
  </si>
  <si>
    <t>Version 1.0</t>
  </si>
  <si>
    <t>Left EOW</t>
  </si>
  <si>
    <t>n value - running</t>
  </si>
  <si>
    <t>Wp</t>
  </si>
  <si>
    <t>Class</t>
  </si>
  <si>
    <t>small</t>
  </si>
  <si>
    <t>coarse</t>
  </si>
  <si>
    <t>Right 2nd Stage</t>
  </si>
  <si>
    <t>D (inch)</t>
  </si>
  <si>
    <t>Flow Depth (ft)</t>
  </si>
  <si>
    <t>R-2 Stg</t>
  </si>
  <si>
    <t>Permissible Vel</t>
  </si>
  <si>
    <t>n components</t>
  </si>
  <si>
    <t>GEOMETRY AND HYDRAULICS CALCS</t>
  </si>
  <si>
    <t>Starting Flow Depth</t>
  </si>
  <si>
    <t>Proposed Bankfull Water Surface Slope</t>
  </si>
  <si>
    <t>Range for Flow Depth (ft)</t>
  </si>
  <si>
    <t>Range for Dmean bkf (ft)</t>
  </si>
  <si>
    <t xml:space="preserve">     Conversion Constant 304.8 mm/ft or 1000 mm/m</t>
  </si>
  <si>
    <t>size</t>
  </si>
  <si>
    <t>(ft/ft)</t>
  </si>
  <si>
    <t>(mm)</t>
  </si>
  <si>
    <t>conversion</t>
  </si>
  <si>
    <t>m</t>
  </si>
  <si>
    <t>density fluid</t>
  </si>
  <si>
    <t>density sediment</t>
  </si>
  <si>
    <t>Hydraulic Radius (ft) - Existing</t>
  </si>
  <si>
    <t>Insert Shields Parameter Lookup Table</t>
  </si>
  <si>
    <t>LOB Station START</t>
  </si>
  <si>
    <t>LOB Vmax</t>
  </si>
  <si>
    <t>SEDIMENT TRANSPORT - THRESHOLD</t>
  </si>
  <si>
    <t>ft/s</t>
  </si>
  <si>
    <t>Vcr</t>
  </si>
  <si>
    <t>Tcr</t>
  </si>
  <si>
    <t>Manning "n"</t>
  </si>
  <si>
    <t>Elevation</t>
  </si>
  <si>
    <t>Right Limit</t>
  </si>
  <si>
    <t>Right Bound</t>
  </si>
  <si>
    <t>X INTERCEPT</t>
  </si>
  <si>
    <t>Right EOW</t>
  </si>
  <si>
    <t>y</t>
  </si>
  <si>
    <t>n value</t>
  </si>
  <si>
    <t>HYDRAULICS ANALYSIS</t>
  </si>
  <si>
    <t>n^1.5 * Pw</t>
  </si>
  <si>
    <t>Area</t>
  </si>
  <si>
    <t>LC</t>
  </si>
  <si>
    <t>very coarse</t>
  </si>
  <si>
    <t>Left 3rd Stage</t>
  </si>
  <si>
    <t>R</t>
  </si>
  <si>
    <t>n value X</t>
  </si>
  <si>
    <t>IB Present</t>
  </si>
  <si>
    <t>Stage Label Conversion</t>
  </si>
  <si>
    <t>mean depth</t>
  </si>
  <si>
    <t>Sediment Transport Validation</t>
  </si>
  <si>
    <t>QUICK CALCULATOR</t>
  </si>
  <si>
    <t>Flume + Field</t>
  </si>
  <si>
    <r>
      <t>kg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3</t>
    </r>
  </si>
  <si>
    <t>Note</t>
  </si>
  <si>
    <t>Kb Upper Data</t>
  </si>
  <si>
    <t>Andrews EQ. T</t>
  </si>
  <si>
    <t>ID</t>
  </si>
  <si>
    <t>Shear</t>
  </si>
  <si>
    <t>K Segments</t>
  </si>
  <si>
    <t>ROB Tmax</t>
  </si>
  <si>
    <t>Fine Gravel</t>
  </si>
  <si>
    <t>Kb = Maximum Shear to averaged shear stress</t>
  </si>
  <si>
    <t>Threshold</t>
  </si>
  <si>
    <t>stage_points_data</t>
  </si>
  <si>
    <t>Elevation (ft)</t>
  </si>
  <si>
    <t>final upper value</t>
  </si>
  <si>
    <t>W/D Ratio</t>
  </si>
  <si>
    <t>SB</t>
  </si>
  <si>
    <t>VLB</t>
  </si>
  <si>
    <t>D (mm)</t>
  </si>
  <si>
    <t>Station marks upper limit of …</t>
  </si>
  <si>
    <t>LWM D50 Moved (in)</t>
  </si>
  <si>
    <t>Fine Sand</t>
  </si>
  <si>
    <t>Raw Station</t>
  </si>
  <si>
    <t>COMPONENTS</t>
  </si>
  <si>
    <t>COMPONENT CALCULATED VALUES</t>
  </si>
  <si>
    <t>FLOW AREA CALCULATION</t>
  </si>
  <si>
    <t>Flow Depth Interval (ft)</t>
  </si>
  <si>
    <t>Di Upper</t>
  </si>
  <si>
    <t>Variable</t>
  </si>
  <si>
    <t>Definition</t>
  </si>
  <si>
    <r>
      <t>d</t>
    </r>
    <r>
      <rPr>
        <b/>
        <vertAlign val="subscript"/>
        <sz val="12"/>
        <rFont val="Times New Roman"/>
        <family val="1"/>
      </rPr>
      <t>r</t>
    </r>
    <r>
      <rPr>
        <b/>
        <sz val="12"/>
        <rFont val="Times New Roman"/>
        <family val="1"/>
      </rPr>
      <t xml:space="preserve"> (ft)</t>
    </r>
  </si>
  <si>
    <t>Check one:</t>
  </si>
  <si>
    <t>Range for R (ft)</t>
  </si>
  <si>
    <t>Derivation</t>
  </si>
  <si>
    <t>Andrews, Rosgen</t>
  </si>
  <si>
    <r>
      <t>r</t>
    </r>
    <r>
      <rPr>
        <vertAlign val="subscript"/>
        <sz val="10"/>
        <rFont val="Arial"/>
        <family val="2"/>
      </rPr>
      <t>f</t>
    </r>
  </si>
  <si>
    <r>
      <t>lb</t>
    </r>
    <r>
      <rPr>
        <sz val="10"/>
        <rFont val="Arial"/>
        <family val="2"/>
      </rPr>
      <t>/ft</t>
    </r>
    <r>
      <rPr>
        <vertAlign val="superscript"/>
        <sz val="10"/>
        <rFont val="Arial"/>
        <family val="2"/>
      </rPr>
      <t>3</t>
    </r>
  </si>
  <si>
    <t>Andrews</t>
  </si>
  <si>
    <t>Incremental W</t>
  </si>
  <si>
    <t>VDOT DM App 7D-3</t>
  </si>
  <si>
    <t>MOVED PARTICLES</t>
  </si>
  <si>
    <t>Tractive Force</t>
  </si>
  <si>
    <t>n label elevation</t>
  </si>
  <si>
    <t>stage label</t>
  </si>
  <si>
    <t>xs_data</t>
  </si>
  <si>
    <t>L Station</t>
  </si>
  <si>
    <t>y limit</t>
  </si>
  <si>
    <t>n value final</t>
  </si>
  <si>
    <t>Dmean(ft)</t>
  </si>
  <si>
    <t>n composite</t>
  </si>
  <si>
    <t>Increm W</t>
  </si>
  <si>
    <t>Miller 1977</t>
  </si>
  <si>
    <t>STG value X</t>
  </si>
  <si>
    <t>Next change in STG value</t>
  </si>
  <si>
    <t>Sandy Loam</t>
  </si>
  <si>
    <t>Coarse Gravel</t>
  </si>
  <si>
    <t>Width/Depth</t>
  </si>
  <si>
    <t>Existing Bankfull Mean Depth (from riffle cross section)</t>
  </si>
  <si>
    <r>
      <t>t</t>
    </r>
    <r>
      <rPr>
        <b/>
        <vertAlign val="subscript"/>
        <sz val="10"/>
        <rFont val="Arial"/>
        <family val="2"/>
      </rPr>
      <t>ci</t>
    </r>
    <r>
      <rPr>
        <b/>
        <sz val="10"/>
        <rFont val="Arial"/>
        <family val="2"/>
      </rPr>
      <t xml:space="preserve"> = 0.0834(d</t>
    </r>
    <r>
      <rPr>
        <b/>
        <vertAlign val="subscript"/>
        <sz val="10"/>
        <rFont val="Arial"/>
        <family val="2"/>
      </rPr>
      <t>i</t>
    </r>
    <r>
      <rPr>
        <b/>
        <sz val="10"/>
        <rFont val="Arial"/>
        <family val="2"/>
      </rPr>
      <t>/d</t>
    </r>
    <r>
      <rPr>
        <b/>
        <vertAlign val="subscript"/>
        <sz val="10"/>
        <rFont val="Arial"/>
        <family val="2"/>
      </rPr>
      <t>50</t>
    </r>
    <r>
      <rPr>
        <b/>
        <sz val="10"/>
        <rFont val="Arial"/>
        <family val="2"/>
      </rPr>
      <t>)</t>
    </r>
    <r>
      <rPr>
        <b/>
        <vertAlign val="superscript"/>
        <sz val="10"/>
        <rFont val="Arial"/>
        <family val="2"/>
      </rPr>
      <t>-0.872</t>
    </r>
  </si>
  <si>
    <t>BKF Mean Depth (Ft)</t>
  </si>
  <si>
    <t>Largest Particle moved (in)</t>
  </si>
  <si>
    <t>Source</t>
  </si>
  <si>
    <t>NOTE : GARRETT - YOU CAN PROBABLY MOVE THE ENTRAINMENT</t>
  </si>
  <si>
    <t>Step Multiplier</t>
  </si>
  <si>
    <t>LOB Tmax</t>
  </si>
  <si>
    <t>ROB Rmax</t>
  </si>
  <si>
    <t>n</t>
  </si>
  <si>
    <t>V head (ft)</t>
  </si>
  <si>
    <t>Flow Bounds</t>
  </si>
  <si>
    <t>Dmax(ft)</t>
  </si>
  <si>
    <t>CG</t>
  </si>
  <si>
    <t>gravel</t>
  </si>
  <si>
    <t xml:space="preserve">X Lower </t>
  </si>
  <si>
    <t>24" Riprap</t>
  </si>
  <si>
    <t>Kb</t>
  </si>
  <si>
    <t>Avg Vel</t>
  </si>
  <si>
    <t>Guidance</t>
  </si>
  <si>
    <t>Di design (inch)</t>
  </si>
  <si>
    <t>1.65 = submerged specific weight of sediment</t>
  </si>
  <si>
    <t>Bankfull Mean Depth Required to move Largest Particle</t>
  </si>
  <si>
    <r>
      <t>τ</t>
    </r>
    <r>
      <rPr>
        <i/>
        <vertAlign val="subscript"/>
        <sz val="10"/>
        <rFont val="Arial"/>
        <family val="2"/>
      </rPr>
      <t>*c</t>
    </r>
  </si>
  <si>
    <t>Sediment Entrainment and Competency - Tractive Force Calculations</t>
  </si>
  <si>
    <t>Competency = max particle size moved by combination of depth and slope</t>
  </si>
  <si>
    <t>For Flow Distrib</t>
  </si>
  <si>
    <t>Channel Vmax</t>
  </si>
  <si>
    <t>XS Average</t>
  </si>
  <si>
    <t>V*cr</t>
  </si>
  <si>
    <t>Tbend bed /Tstraight bed</t>
  </si>
  <si>
    <t>CSU report for USBR (2012)</t>
  </si>
  <si>
    <t>Max Velocity</t>
  </si>
  <si>
    <t>Incipient Motion Criterion</t>
  </si>
  <si>
    <t>n label station</t>
  </si>
  <si>
    <t>Top Limit</t>
  </si>
  <si>
    <t>left x limit</t>
  </si>
  <si>
    <t>Left bounds</t>
  </si>
  <si>
    <t>upper limit</t>
  </si>
  <si>
    <t>Str Pwr (lb/ft s)</t>
  </si>
  <si>
    <t>Rsgn CR D50 (in)</t>
  </si>
  <si>
    <t>ground surface</t>
  </si>
  <si>
    <t>S</t>
  </si>
  <si>
    <t>large</t>
  </si>
  <si>
    <t>Right 3rd Stage</t>
  </si>
  <si>
    <t>STG Value Line (x)</t>
  </si>
  <si>
    <t>STG value final</t>
  </si>
  <si>
    <t>L-3 Stg</t>
  </si>
  <si>
    <t>1" Gravel</t>
  </si>
  <si>
    <t>Cobbles</t>
  </si>
  <si>
    <t>max depth final</t>
  </si>
  <si>
    <t>Slope interval</t>
  </si>
  <si>
    <r>
      <t>D</t>
    </r>
    <r>
      <rPr>
        <b/>
        <vertAlign val="subscript"/>
        <sz val="12"/>
        <rFont val="Times New Roman"/>
        <family val="1"/>
      </rPr>
      <t xml:space="preserve">i </t>
    </r>
    <r>
      <rPr>
        <b/>
        <sz val="12"/>
        <rFont val="Times New Roman"/>
        <family val="1"/>
      </rPr>
      <t>(ft)</t>
    </r>
  </si>
  <si>
    <r>
      <t>Bankfull Shear Stress</t>
    </r>
    <r>
      <rPr>
        <sz val="10"/>
        <rFont val="GreekC"/>
      </rPr>
      <t xml:space="preserve"> t</t>
    </r>
    <r>
      <rPr>
        <vertAlign val="subscript"/>
        <sz val="10"/>
        <rFont val="Times New Roman"/>
        <family val="1"/>
      </rPr>
      <t>c</t>
    </r>
    <r>
      <rPr>
        <sz val="10"/>
        <rFont val="Times New Roman"/>
        <family val="1"/>
      </rPr>
      <t>=</t>
    </r>
    <r>
      <rPr>
        <sz val="10"/>
        <rFont val="GreekC"/>
      </rPr>
      <t>g</t>
    </r>
    <r>
      <rPr>
        <sz val="10"/>
        <rFont val="Times New Roman"/>
        <family val="1"/>
      </rPr>
      <t>RS (lb/ft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 xml:space="preserve">)   </t>
    </r>
    <r>
      <rPr>
        <sz val="10"/>
        <rFont val="GreekC"/>
      </rPr>
      <t>g</t>
    </r>
    <r>
      <rPr>
        <sz val="10"/>
        <rFont val="Times New Roman"/>
        <family val="1"/>
      </rPr>
      <t xml:space="preserve"> = 62.4   R=Hydraulic Radius   S=Slope</t>
    </r>
  </si>
  <si>
    <t>Moveable particle size (mm) at bankfull shear stress (predicted by the Shields Diagram: Blue field book: p238, Red field book: p190)</t>
  </si>
  <si>
    <t>PAVEMENT TO SUBPAVEMENT RATIO (PSR)</t>
  </si>
  <si>
    <r>
      <t>d</t>
    </r>
    <r>
      <rPr>
        <b/>
        <vertAlign val="subscript"/>
        <sz val="12"/>
        <rFont val="Times New Roman"/>
        <family val="1"/>
      </rPr>
      <t>50,sub bar</t>
    </r>
    <r>
      <rPr>
        <b/>
        <sz val="12"/>
        <rFont val="Times New Roman"/>
        <family val="1"/>
      </rPr>
      <t xml:space="preserve"> (mm)</t>
    </r>
  </si>
  <si>
    <r>
      <t>d</t>
    </r>
    <r>
      <rPr>
        <b/>
        <vertAlign val="subscript"/>
        <sz val="12"/>
        <rFont val="Times New Roman"/>
        <family val="1"/>
      </rPr>
      <t>i</t>
    </r>
    <r>
      <rPr>
        <b/>
        <sz val="12"/>
        <rFont val="Times New Roman"/>
        <family val="1"/>
      </rPr>
      <t xml:space="preserve"> or d</t>
    </r>
    <r>
      <rPr>
        <b/>
        <vertAlign val="subscript"/>
        <sz val="12"/>
        <rFont val="Times New Roman"/>
        <family val="1"/>
      </rPr>
      <t>max</t>
    </r>
    <r>
      <rPr>
        <b/>
        <sz val="12"/>
        <rFont val="Times New Roman"/>
        <family val="1"/>
      </rPr>
      <t xml:space="preserve"> (mm)</t>
    </r>
  </si>
  <si>
    <t>Largest Particle (dmax, di) moved by Bankfull Mean Depth (in)</t>
  </si>
  <si>
    <t>particle</t>
  </si>
  <si>
    <t>Shields Equation with Specified Shields Parameter</t>
  </si>
  <si>
    <t>LWM 1964</t>
  </si>
  <si>
    <t>Flume study using different density substances</t>
  </si>
  <si>
    <t>Compilation of Field and Flume Studies</t>
  </si>
  <si>
    <t>Mathmatical calculations of Shields</t>
  </si>
  <si>
    <t>γ</t>
  </si>
  <si>
    <r>
      <t>N/m</t>
    </r>
    <r>
      <rPr>
        <vertAlign val="superscript"/>
        <sz val="10"/>
        <rFont val="Arial"/>
        <family val="2"/>
      </rPr>
      <t>3</t>
    </r>
  </si>
  <si>
    <t>Use</t>
  </si>
  <si>
    <t>ROB Station START</t>
  </si>
  <si>
    <t>Dir of Thalweg</t>
  </si>
  <si>
    <t>SEDIMENT TRANSPORT - ALLUVIAL</t>
  </si>
  <si>
    <t>Rc/B</t>
  </si>
  <si>
    <t>Alluvial</t>
  </si>
  <si>
    <t>LOB Rmax</t>
  </si>
  <si>
    <t>stage value labels</t>
  </si>
  <si>
    <t>Y Corrected (all)</t>
  </si>
  <si>
    <t>Right bounds</t>
  </si>
  <si>
    <t>n station (ft)</t>
  </si>
  <si>
    <t>Left</t>
  </si>
  <si>
    <t>Manning's n</t>
  </si>
  <si>
    <t>SC</t>
  </si>
  <si>
    <t>Left Inner Berm</t>
  </si>
  <si>
    <t>Rosgen CO</t>
  </si>
  <si>
    <t>X actual (FT)</t>
  </si>
  <si>
    <t>L-2 Stg</t>
  </si>
  <si>
    <t>L-IB</t>
  </si>
  <si>
    <t>D50 Mobilized (in)</t>
  </si>
  <si>
    <t>2" Gravel</t>
  </si>
  <si>
    <t>Q components</t>
  </si>
  <si>
    <t>Raw max depth</t>
  </si>
  <si>
    <t>BASE HYDRAULICS CALCULATIONS</t>
  </si>
  <si>
    <t>Equation Applicability</t>
  </si>
  <si>
    <r>
      <t>d</t>
    </r>
    <r>
      <rPr>
        <b/>
        <vertAlign val="subscript"/>
        <sz val="10"/>
        <rFont val="Times New Roman"/>
        <family val="1"/>
      </rPr>
      <t>r</t>
    </r>
    <r>
      <rPr>
        <b/>
        <sz val="10"/>
        <rFont val="Times New Roman"/>
        <family val="1"/>
      </rPr>
      <t xml:space="preserve"> = (</t>
    </r>
    <r>
      <rPr>
        <b/>
        <sz val="10"/>
        <rFont val="GreekC"/>
      </rPr>
      <t>t</t>
    </r>
    <r>
      <rPr>
        <b/>
        <vertAlign val="subscript"/>
        <sz val="10"/>
        <rFont val="Times New Roman"/>
        <family val="1"/>
      </rPr>
      <t>ci</t>
    </r>
    <r>
      <rPr>
        <b/>
        <sz val="10"/>
        <rFont val="Times New Roman"/>
        <family val="1"/>
      </rPr>
      <t>*1.65*D</t>
    </r>
    <r>
      <rPr>
        <b/>
        <vertAlign val="subscript"/>
        <sz val="10"/>
        <rFont val="Times New Roman"/>
        <family val="1"/>
      </rPr>
      <t>i</t>
    </r>
    <r>
      <rPr>
        <b/>
        <sz val="10"/>
        <rFont val="Times New Roman"/>
        <family val="1"/>
      </rPr>
      <t>)/S</t>
    </r>
    <r>
      <rPr>
        <b/>
        <vertAlign val="subscript"/>
        <sz val="10"/>
        <rFont val="Times New Roman"/>
        <family val="1"/>
      </rPr>
      <t>e</t>
    </r>
  </si>
  <si>
    <t>Largest particle from bar sample</t>
  </si>
  <si>
    <r>
      <t>S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>/S</t>
    </r>
    <r>
      <rPr>
        <b/>
        <vertAlign val="subscript"/>
        <sz val="12"/>
        <rFont val="Times New Roman"/>
        <family val="1"/>
      </rPr>
      <t>r</t>
    </r>
  </si>
  <si>
    <r>
      <t xml:space="preserve">   D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</t>
    </r>
    <r>
      <rPr>
        <sz val="11"/>
        <rFont val="Symbol"/>
        <family val="1"/>
        <charset val="2"/>
      </rPr>
      <t>t</t>
    </r>
    <r>
      <rPr>
        <sz val="11"/>
        <rFont val="Arial"/>
        <family val="2"/>
      </rPr>
      <t xml:space="preserve"> / ((</t>
    </r>
    <r>
      <rPr>
        <sz val="11"/>
        <rFont val="Symbol"/>
        <family val="1"/>
        <charset val="2"/>
      </rPr>
      <t>r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 xml:space="preserve"> - 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) g 0.06)(304.8)</t>
    </r>
  </si>
  <si>
    <t>slope</t>
  </si>
  <si>
    <t>depth</t>
  </si>
  <si>
    <t>particle size (mm)</t>
  </si>
  <si>
    <t>slope ref</t>
  </si>
  <si>
    <t>Similar to Fischenlich, Mathematical Compuations of Shields</t>
  </si>
  <si>
    <t>Shields, 1936</t>
  </si>
  <si>
    <t>Threshold of Motion</t>
  </si>
  <si>
    <t>T max Upper</t>
  </si>
  <si>
    <t>Tbed NRCS - Fig 8-8</t>
  </si>
  <si>
    <t>Ch Station START</t>
  </si>
  <si>
    <t>LOB Start</t>
  </si>
  <si>
    <t>LIST ALL OF THE VARIABLES  WITH THE RANGES ….</t>
  </si>
  <si>
    <t>CS</t>
  </si>
  <si>
    <t>Fishenlich Modified</t>
  </si>
  <si>
    <r>
      <t>S</t>
    </r>
    <r>
      <rPr>
        <vertAlign val="subscript"/>
        <sz val="14"/>
        <color theme="1"/>
        <rFont val="Calibri"/>
        <family val="2"/>
        <scheme val="minor"/>
      </rPr>
      <t xml:space="preserve">rbedtransv </t>
    </r>
    <r>
      <rPr>
        <sz val="11"/>
        <color theme="1"/>
        <rFont val="Calibri"/>
        <family val="2"/>
        <scheme val="minor"/>
      </rPr>
      <t>(ft/ft)</t>
    </r>
  </si>
  <si>
    <t>Functions Based</t>
  </si>
  <si>
    <t>Shear Mobilized Particle</t>
  </si>
  <si>
    <t>Right Bank</t>
  </si>
  <si>
    <t>L-BK</t>
  </si>
  <si>
    <t>velocity station</t>
  </si>
  <si>
    <t>D50 value</t>
  </si>
  <si>
    <t>X values (all)</t>
  </si>
  <si>
    <t>Flow Depth</t>
  </si>
  <si>
    <t>INTERCEPT LOCATION</t>
  </si>
  <si>
    <t>EDGE OF WATER</t>
  </si>
  <si>
    <t>midpoint</t>
  </si>
  <si>
    <t>Bankfull</t>
  </si>
  <si>
    <t>Storm Event</t>
  </si>
  <si>
    <t>Upper Stage Limit</t>
  </si>
  <si>
    <t>VDOT</t>
  </si>
  <si>
    <t>X Upper</t>
  </si>
  <si>
    <t>stg value - running</t>
  </si>
  <si>
    <t>STG value</t>
  </si>
  <si>
    <t>Thalweg Check</t>
  </si>
  <si>
    <t>LOB</t>
  </si>
  <si>
    <t>ROB</t>
  </si>
  <si>
    <t>Main Channel</t>
  </si>
  <si>
    <t>Bed Slope</t>
  </si>
  <si>
    <t>Leopold, Wolman, Miller 1964</t>
  </si>
  <si>
    <r>
      <t>t</t>
    </r>
    <r>
      <rPr>
        <b/>
        <vertAlign val="subscript"/>
        <sz val="10"/>
        <rFont val="Arial"/>
        <family val="2"/>
      </rPr>
      <t>ci</t>
    </r>
    <r>
      <rPr>
        <b/>
        <sz val="10"/>
        <rFont val="Arial"/>
        <family val="2"/>
      </rPr>
      <t xml:space="preserve"> = 0.0384(d</t>
    </r>
    <r>
      <rPr>
        <b/>
        <vertAlign val="subscript"/>
        <sz val="10"/>
        <rFont val="Arial"/>
        <family val="2"/>
      </rPr>
      <t>i</t>
    </r>
    <r>
      <rPr>
        <b/>
        <sz val="10"/>
        <rFont val="Arial"/>
        <family val="2"/>
      </rPr>
      <t>/d</t>
    </r>
    <r>
      <rPr>
        <b/>
        <vertAlign val="subscript"/>
        <sz val="10"/>
        <rFont val="Arial"/>
        <family val="2"/>
      </rPr>
      <t>50</t>
    </r>
    <r>
      <rPr>
        <b/>
        <sz val="10"/>
        <rFont val="Arial"/>
        <family val="2"/>
      </rPr>
      <t>)</t>
    </r>
    <r>
      <rPr>
        <b/>
        <vertAlign val="superscript"/>
        <sz val="10"/>
        <rFont val="Arial"/>
        <family val="2"/>
      </rPr>
      <t>-0.887</t>
    </r>
  </si>
  <si>
    <t>Bankfull Mean Depth Required for Entrainment of Largest Particle in Bar Sample:</t>
  </si>
  <si>
    <t>Moveable particle size (mm) at bankfull shear stress (predicted by Colorodo data from Rosgen Chapter 11, page 11-19)</t>
  </si>
  <si>
    <r>
      <t>d</t>
    </r>
    <r>
      <rPr>
        <b/>
        <vertAlign val="subscript"/>
        <sz val="12"/>
        <rFont val="Times New Roman"/>
        <family val="1"/>
      </rPr>
      <t xml:space="preserve">50,bed </t>
    </r>
    <r>
      <rPr>
        <b/>
        <sz val="12"/>
        <rFont val="Times New Roman"/>
        <family val="1"/>
      </rPr>
      <t>(mm)</t>
    </r>
  </si>
  <si>
    <t>PSR Ratio</t>
  </si>
  <si>
    <t xml:space="preserve">motion is often near in size to the D50 of mobile bed surface material.  </t>
  </si>
  <si>
    <r>
      <t xml:space="preserve">     </t>
    </r>
    <r>
      <rPr>
        <sz val="11"/>
        <rFont val="Symbol"/>
        <family val="1"/>
        <charset val="2"/>
      </rPr>
      <t>r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=density of sediment (5.15 slugs/ft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 or (2560 kg/m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</t>
    </r>
  </si>
  <si>
    <t>ft</t>
  </si>
  <si>
    <t>depth ref</t>
  </si>
  <si>
    <t>g</t>
  </si>
  <si>
    <r>
      <t>ft/sec</t>
    </r>
    <r>
      <rPr>
        <vertAlign val="superscript"/>
        <sz val="10"/>
        <rFont val="Arial"/>
        <family val="2"/>
      </rPr>
      <t>2</t>
    </r>
  </si>
  <si>
    <t>specific weight of water</t>
  </si>
  <si>
    <t>Particle at threshold of motion</t>
  </si>
  <si>
    <r>
      <t>D</t>
    </r>
    <r>
      <rPr>
        <vertAlign val="subscript"/>
        <sz val="10"/>
        <rFont val="Arial"/>
        <family val="2"/>
      </rPr>
      <t>cr</t>
    </r>
  </si>
  <si>
    <t>LWM D50 - Best (in)</t>
  </si>
  <si>
    <t>Tbed</t>
  </si>
  <si>
    <t>Channel Tmax</t>
  </si>
  <si>
    <t>Max Shear (1.5 Rule) - Fischenlich 2001</t>
  </si>
  <si>
    <t>Analog</t>
  </si>
  <si>
    <t>Avg Velocity</t>
  </si>
  <si>
    <t>Process Based</t>
  </si>
  <si>
    <t>n label</t>
  </si>
  <si>
    <t>L Elevation</t>
  </si>
  <si>
    <t>Top Elevation</t>
  </si>
  <si>
    <t>velocity value</t>
  </si>
  <si>
    <t>D50 Mobilized by shear</t>
  </si>
  <si>
    <t>Max shear in Meander</t>
  </si>
  <si>
    <t>X Midpoint</t>
  </si>
  <si>
    <t>12" Gravel</t>
  </si>
  <si>
    <t>Silty loam</t>
  </si>
  <si>
    <r>
      <t>d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>/d</t>
    </r>
    <r>
      <rPr>
        <b/>
        <vertAlign val="subscript"/>
        <sz val="12"/>
        <rFont val="Times New Roman"/>
        <family val="1"/>
      </rPr>
      <t>r</t>
    </r>
  </si>
  <si>
    <t xml:space="preserve"> parameter</t>
  </si>
  <si>
    <t>Shield's Parameter</t>
  </si>
  <si>
    <t>….. NEVERMIND… KEEP IT FOR CALCULATIONS. TO HELP ASSESS STABLE CHANNELS FOR EXISTING</t>
  </si>
  <si>
    <t>ROB Station END</t>
  </si>
  <si>
    <t>T avg (lb/ft^2)</t>
  </si>
  <si>
    <t>Analytical</t>
  </si>
  <si>
    <t>Conveyance Area Limit</t>
  </si>
  <si>
    <t>n elevation</t>
  </si>
  <si>
    <t>stage label station</t>
  </si>
  <si>
    <t>R Station</t>
  </si>
  <si>
    <t>Top Station</t>
  </si>
  <si>
    <t>n_line_data</t>
  </si>
  <si>
    <t>Q (cfs)</t>
  </si>
  <si>
    <t>Sp. Energy (ft)</t>
  </si>
  <si>
    <t>IB</t>
  </si>
  <si>
    <t>R (ft)</t>
  </si>
  <si>
    <t>FG</t>
  </si>
  <si>
    <t>MB</t>
  </si>
  <si>
    <t>cobble</t>
  </si>
  <si>
    <t>Right Inner Berm</t>
  </si>
  <si>
    <t>Leo, Wol, Mill 1964</t>
  </si>
  <si>
    <t>Description</t>
  </si>
  <si>
    <t>STG Value Line Labels</t>
  </si>
  <si>
    <t>18" Riprap</t>
  </si>
  <si>
    <t>VDOT Drainage Manual</t>
  </si>
  <si>
    <t>max</t>
  </si>
  <si>
    <t>Total XS</t>
  </si>
  <si>
    <t>-</t>
  </si>
  <si>
    <r>
      <t>d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 xml:space="preserve"> (ft)</t>
    </r>
  </si>
  <si>
    <t>Bankfull Water Surface Slope Required for Entrainment of Largest Particle in Bar Sample:</t>
  </si>
  <si>
    <t>SURFACE MATERIALS RATIO (SMR)</t>
  </si>
  <si>
    <r>
      <t>D50 Bed Material (D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from riffle pebble count)</t>
    </r>
  </si>
  <si>
    <t>Bankfull Water Surface Slope Required for Entrainment of Largest Particle</t>
  </si>
  <si>
    <t xml:space="preserve">     0.06 = Shield's parameter typically in the range of 0.04 to 0.07</t>
  </si>
  <si>
    <t>slope (ft/ft)</t>
  </si>
  <si>
    <t>depth (ft)</t>
  </si>
  <si>
    <t>metric units</t>
  </si>
  <si>
    <t>diameter sediment</t>
  </si>
  <si>
    <t>gravitational acceleration</t>
  </si>
  <si>
    <r>
      <t>kg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</si>
  <si>
    <t>Rosgen Application of Andrews Equation (competency)</t>
  </si>
  <si>
    <t>2.5 * Channel W</t>
  </si>
  <si>
    <t>Typically 0.045 to 0.06.  0.045 is Miller 1977</t>
  </si>
  <si>
    <t>LOB Flow distribution calcs</t>
  </si>
  <si>
    <t>V max (ft/s)</t>
  </si>
  <si>
    <t>Figure 8-8 -NRCS handbook</t>
  </si>
  <si>
    <t>Left Flow bound</t>
  </si>
  <si>
    <t>Channel Rmax</t>
  </si>
  <si>
    <t>stage station</t>
  </si>
  <si>
    <t>stage points label</t>
  </si>
  <si>
    <t>R Elevation</t>
  </si>
  <si>
    <t>WATER EDGE</t>
  </si>
  <si>
    <t>Line</t>
  </si>
  <si>
    <t>VCG</t>
  </si>
  <si>
    <t>boulder</t>
  </si>
  <si>
    <t>sand</t>
  </si>
  <si>
    <t>Thalweg</t>
  </si>
  <si>
    <t>6" Gravel</t>
  </si>
  <si>
    <t>CROSS-SECTION DATA</t>
  </si>
  <si>
    <t>max depth at transition</t>
  </si>
  <si>
    <t>Sr (ft/ft)</t>
  </si>
  <si>
    <t>Hydraulic Radius (ft)</t>
  </si>
  <si>
    <t>Shields Parameter</t>
  </si>
  <si>
    <t>particle size ref</t>
  </si>
  <si>
    <t>Shields parameter</t>
  </si>
  <si>
    <t>Fischenlich 2001</t>
  </si>
  <si>
    <r>
      <t>d</t>
    </r>
    <r>
      <rPr>
        <vertAlign val="subscript"/>
        <sz val="10"/>
        <rFont val="Arial"/>
        <family val="2"/>
      </rPr>
      <t>s</t>
    </r>
  </si>
  <si>
    <r>
      <t>lb</t>
    </r>
    <r>
      <rPr>
        <sz val="10"/>
        <rFont val="Arial"/>
        <family val="2"/>
      </rPr>
      <t>/ft</t>
    </r>
    <r>
      <rPr>
        <vertAlign val="superscript"/>
        <sz val="10"/>
        <rFont val="Arial"/>
        <family val="2"/>
      </rPr>
      <t>2</t>
    </r>
  </si>
  <si>
    <t>Tmax Best Fit</t>
  </si>
  <si>
    <t>WS slope</t>
  </si>
  <si>
    <t>Thalweg Station</t>
  </si>
  <si>
    <t>Step X</t>
  </si>
  <si>
    <t>ROB vmax</t>
  </si>
  <si>
    <t>d50 (in)</t>
  </si>
  <si>
    <t>FS</t>
  </si>
  <si>
    <t>NRCS</t>
  </si>
  <si>
    <r>
      <t>S</t>
    </r>
    <r>
      <rPr>
        <vertAlign val="subscript"/>
        <sz val="14"/>
        <color theme="1"/>
        <rFont val="Calibri"/>
        <family val="2"/>
        <scheme val="minor"/>
      </rPr>
      <t xml:space="preserve">lbedtransv </t>
    </r>
    <r>
      <rPr>
        <sz val="11"/>
        <color theme="1"/>
        <rFont val="Calibri"/>
        <family val="2"/>
        <scheme val="minor"/>
      </rPr>
      <t>(ft/ft)</t>
    </r>
  </si>
  <si>
    <t>Right flow bound</t>
  </si>
  <si>
    <t>D50 Station</t>
  </si>
  <si>
    <t>Depth (ft)</t>
  </si>
  <si>
    <t>*Note: Outside of XS</t>
  </si>
  <si>
    <t>silts</t>
  </si>
  <si>
    <t>Fishenich 2001</t>
  </si>
  <si>
    <t>USFWS 2008</t>
  </si>
  <si>
    <t>Rc/W</t>
  </si>
  <si>
    <t>K components</t>
  </si>
  <si>
    <t>flow elevation (ft)</t>
  </si>
  <si>
    <t>ENERGY CALCS</t>
  </si>
  <si>
    <t>EDGE OF WATER CALCULATION</t>
  </si>
  <si>
    <t>Shields</t>
  </si>
  <si>
    <r>
      <t>Bar Sample 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Or Subpavement 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(Use Representative)</t>
    </r>
  </si>
  <si>
    <r>
      <t xml:space="preserve">    </t>
    </r>
    <r>
      <rPr>
        <sz val="11"/>
        <rFont val="Symbol"/>
        <family val="1"/>
        <charset val="2"/>
      </rPr>
      <t xml:space="preserve"> t</t>
    </r>
    <r>
      <rPr>
        <sz val="11"/>
        <rFont val="Arial"/>
        <family val="2"/>
      </rPr>
      <t>=shear stress=(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g)(depth)(slope) (lb/ft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  (N/m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</t>
    </r>
  </si>
  <si>
    <t>New Slope From Reference Channel</t>
  </si>
  <si>
    <t>Rosgen modified Andrews Equation and set application limits</t>
  </si>
  <si>
    <t>Flume</t>
  </si>
  <si>
    <t>d</t>
  </si>
  <si>
    <t>m/m</t>
  </si>
  <si>
    <r>
      <t>kg/m</t>
    </r>
    <r>
      <rPr>
        <vertAlign val="superscript"/>
        <sz val="10"/>
        <rFont val="Arial"/>
        <family val="2"/>
      </rPr>
      <t>3</t>
    </r>
  </si>
  <si>
    <r>
      <t>slugs/ft</t>
    </r>
    <r>
      <rPr>
        <vertAlign val="superscript"/>
        <sz val="10"/>
        <rFont val="Arial"/>
        <family val="2"/>
      </rPr>
      <t>3</t>
    </r>
  </si>
  <si>
    <r>
      <t>r</t>
    </r>
    <r>
      <rPr>
        <vertAlign val="subscript"/>
        <sz val="10"/>
        <rFont val="Arial"/>
        <family val="2"/>
      </rPr>
      <t>s</t>
    </r>
  </si>
  <si>
    <t>dimensionless</t>
  </si>
  <si>
    <t>shear stress</t>
  </si>
  <si>
    <t>Kb Best Fit</t>
  </si>
  <si>
    <t>LWM D50 - Upper (in)</t>
  </si>
  <si>
    <t>CSU &amp; USBR 2012</t>
  </si>
  <si>
    <t>Graph D50 by Shear</t>
  </si>
  <si>
    <t>GEOMORPHOLOGY - NCD (REFERENCE REACH APPROACH)</t>
  </si>
  <si>
    <t>VCS</t>
  </si>
  <si>
    <t>Structure Based</t>
  </si>
  <si>
    <t>R max (ft)</t>
  </si>
  <si>
    <t>Particle mobilized by Maximum XS shear</t>
  </si>
  <si>
    <t>n station</t>
  </si>
  <si>
    <t>stage elevation</t>
  </si>
  <si>
    <t>n value labels</t>
  </si>
  <si>
    <t>stage_line_data</t>
  </si>
  <si>
    <t>velocity</t>
  </si>
  <si>
    <t>FLOW AREA</t>
  </si>
  <si>
    <t>Wetted Perimiter</t>
  </si>
  <si>
    <t>label elev</t>
  </si>
  <si>
    <t>Wtop (ft)</t>
  </si>
  <si>
    <t>T*</t>
  </si>
  <si>
    <t>Next change in n value</t>
  </si>
  <si>
    <t>N Value Line Labels</t>
  </si>
  <si>
    <t>N Value Line (x)</t>
  </si>
  <si>
    <t>Left 2nd Stage</t>
  </si>
  <si>
    <t>Defined?</t>
  </si>
  <si>
    <t>Radius of Curve</t>
  </si>
  <si>
    <t>Tc lb/ft^2</t>
  </si>
  <si>
    <t>SEDIMENT COMPETENCY CALCS</t>
  </si>
  <si>
    <t>Value</t>
  </si>
  <si>
    <r>
      <t>t</t>
    </r>
    <r>
      <rPr>
        <b/>
        <vertAlign val="subscript"/>
        <sz val="12"/>
        <rFont val="Times New Roman"/>
        <family val="1"/>
      </rPr>
      <t>ci</t>
    </r>
  </si>
  <si>
    <t>Ratio of Existing Slope to Required Slope</t>
  </si>
  <si>
    <r>
      <t>Largest Particle in Bar Sample D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(mm)</t>
    </r>
  </si>
  <si>
    <t>SMR Ratio</t>
  </si>
  <si>
    <t>Use SMR, if 1.30 &lt; SMR &lt; 3</t>
  </si>
  <si>
    <t>In gravel-bed streams at bankfull flow the particle at the threshold of</t>
  </si>
  <si>
    <t>slope new</t>
  </si>
  <si>
    <t>*There are many more equations and variations of Shields - See Buffington Paper for Summary</t>
  </si>
  <si>
    <t>WSE</t>
  </si>
  <si>
    <t>ROB Start</t>
  </si>
  <si>
    <t>T max (lb/ft^2)</t>
  </si>
  <si>
    <t>INSERT REGIME OR OTHER METHODS FOR RESTORATION</t>
  </si>
  <si>
    <t>Medium Silt</t>
  </si>
  <si>
    <t>Regime Equations</t>
  </si>
  <si>
    <t>RSC</t>
  </si>
  <si>
    <t>Max Shear Stress</t>
  </si>
  <si>
    <t>Avg Shear Stress</t>
  </si>
  <si>
    <t>Sediment Tranport Analysis</t>
  </si>
  <si>
    <t>Station at Limit</t>
  </si>
  <si>
    <t>Station</t>
  </si>
  <si>
    <t>stage value line</t>
  </si>
  <si>
    <t>Left Limit</t>
  </si>
  <si>
    <t>limit_data</t>
  </si>
  <si>
    <t>stage - n offset</t>
  </si>
  <si>
    <t>shear value</t>
  </si>
  <si>
    <t>hydraulics_data</t>
  </si>
  <si>
    <t>right x limit</t>
  </si>
  <si>
    <t>flow depth</t>
  </si>
  <si>
    <t>x</t>
  </si>
  <si>
    <t>Area (ft^2)</t>
  </si>
  <si>
    <t>LB</t>
  </si>
  <si>
    <t>fine</t>
  </si>
  <si>
    <t>very fine</t>
  </si>
  <si>
    <t>Shields 1936</t>
  </si>
  <si>
    <t>stg value</t>
  </si>
  <si>
    <t>NRCS Handbook</t>
  </si>
  <si>
    <t>SUMMED WITHIN COMPONENTS</t>
  </si>
  <si>
    <t>Critical Dimensionless Shear Stress</t>
  </si>
  <si>
    <t xml:space="preserve"> 3 &lt; PSR &lt; 7         OR           1.30 &lt; SMR &lt; 3</t>
  </si>
  <si>
    <t>Wide Channel (Flow Depth)</t>
  </si>
  <si>
    <t>Range of Top Width (ft)</t>
  </si>
  <si>
    <t>Solve for:</t>
  </si>
  <si>
    <t>(ft)</t>
  </si>
  <si>
    <t>depth new</t>
  </si>
  <si>
    <t>Notes</t>
  </si>
  <si>
    <t>Field</t>
  </si>
  <si>
    <t>t</t>
  </si>
  <si>
    <r>
      <t>N/m</t>
    </r>
    <r>
      <rPr>
        <vertAlign val="superscript"/>
        <sz val="10"/>
        <rFont val="Arial"/>
        <family val="2"/>
      </rPr>
      <t>2</t>
    </r>
  </si>
  <si>
    <t>3.2* Channel W</t>
  </si>
  <si>
    <t>AND COMPETENCE SHEET TO THE PROPOSED SCENARIO…?</t>
  </si>
  <si>
    <t>Avg D (in)</t>
  </si>
  <si>
    <t>Slice Y (flow depth)</t>
  </si>
  <si>
    <t>Slice Y (ground surface)</t>
  </si>
  <si>
    <t>Plotted d50 by shear</t>
  </si>
  <si>
    <t>Wfpa</t>
  </si>
  <si>
    <t>METHODOLOGY FOR CALCULATING SHEAR STRESS IN A MEANDERING CHANNEL</t>
  </si>
  <si>
    <t>Geomorphology</t>
  </si>
  <si>
    <t>NCD</t>
  </si>
  <si>
    <t>D50 MOBILIZED BY AVERAGE SHEAR</t>
  </si>
  <si>
    <t>Left Bank</t>
  </si>
  <si>
    <t>stage points elevation</t>
  </si>
  <si>
    <t>stage_label_data</t>
  </si>
  <si>
    <t>shear station</t>
  </si>
  <si>
    <t>Left Bound</t>
  </si>
  <si>
    <t>Flow depth</t>
  </si>
  <si>
    <t>Slope (ft/ft)</t>
  </si>
  <si>
    <t>Froude</t>
  </si>
  <si>
    <t>T (lb/ft^2)</t>
  </si>
  <si>
    <t>Depth</t>
  </si>
  <si>
    <t>Slope</t>
  </si>
  <si>
    <t>VFG</t>
  </si>
  <si>
    <t>MG</t>
  </si>
  <si>
    <t>D (in)</t>
  </si>
  <si>
    <t>Di lower</t>
  </si>
  <si>
    <r>
      <t>S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 xml:space="preserve"> (ft/ft)</t>
    </r>
  </si>
  <si>
    <r>
      <t>S</t>
    </r>
    <r>
      <rPr>
        <b/>
        <vertAlign val="subscript"/>
        <sz val="10"/>
        <rFont val="Times New Roman"/>
        <family val="1"/>
      </rPr>
      <t>r</t>
    </r>
    <r>
      <rPr>
        <b/>
        <sz val="10"/>
        <rFont val="Times New Roman"/>
        <family val="1"/>
      </rPr>
      <t xml:space="preserve"> = (</t>
    </r>
    <r>
      <rPr>
        <b/>
        <sz val="10"/>
        <rFont val="GreekC"/>
      </rPr>
      <t>t</t>
    </r>
    <r>
      <rPr>
        <b/>
        <vertAlign val="subscript"/>
        <sz val="10"/>
        <rFont val="Times New Roman"/>
        <family val="1"/>
      </rPr>
      <t>ci</t>
    </r>
    <r>
      <rPr>
        <b/>
        <sz val="10"/>
        <rFont val="Times New Roman"/>
        <family val="1"/>
      </rPr>
      <t>*1.65*D</t>
    </r>
    <r>
      <rPr>
        <b/>
        <vertAlign val="subscript"/>
        <sz val="10"/>
        <rFont val="Times New Roman"/>
        <family val="1"/>
      </rPr>
      <t>i</t>
    </r>
    <r>
      <rPr>
        <b/>
        <sz val="10"/>
        <rFont val="Times New Roman"/>
        <family val="1"/>
      </rPr>
      <t>)/d</t>
    </r>
    <r>
      <rPr>
        <b/>
        <vertAlign val="subscript"/>
        <sz val="10"/>
        <rFont val="Times New Roman"/>
        <family val="1"/>
      </rPr>
      <t>e</t>
    </r>
  </si>
  <si>
    <t>Largest Particle from Bar Sample or Subpavement Sample</t>
  </si>
  <si>
    <t>Sediment Competency Input Variables and Equation Selection</t>
  </si>
  <si>
    <r>
      <t xml:space="preserve">     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=density of water (1.94 slugs/ft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 (1000 kg/m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</t>
    </r>
  </si>
  <si>
    <t>Set the Basis for Shear Stress Calculations : Flow Depth (Wide Channel) or Hydraulic Radius</t>
  </si>
  <si>
    <r>
      <t>m/sec</t>
    </r>
    <r>
      <rPr>
        <vertAlign val="superscript"/>
        <sz val="10"/>
        <rFont val="Arial"/>
        <family val="2"/>
      </rPr>
      <t>2</t>
    </r>
  </si>
  <si>
    <t>Channel Start check</t>
  </si>
  <si>
    <t>Slice X coordinate</t>
  </si>
  <si>
    <t>V avg (ft/s)</t>
  </si>
  <si>
    <t>Channel Location</t>
  </si>
  <si>
    <t>Silt loam</t>
  </si>
  <si>
    <t>Coarse Silt</t>
  </si>
  <si>
    <t>Davg (in)</t>
  </si>
  <si>
    <t>Fishenlich Raw Values</t>
  </si>
  <si>
    <t>Analytical Design</t>
  </si>
  <si>
    <t>stage label elevation</t>
  </si>
  <si>
    <t>n value line</t>
  </si>
  <si>
    <t>stage points station</t>
  </si>
  <si>
    <t>(n)</t>
  </si>
  <si>
    <t>(identify stage)</t>
  </si>
  <si>
    <t>(identify n)</t>
  </si>
  <si>
    <t>Hydraulics Summary</t>
  </si>
  <si>
    <t>Average Velocity (ft/s)</t>
  </si>
  <si>
    <t>Average Shear Stress (lb/ft^2)</t>
  </si>
  <si>
    <t>D50 Bed</t>
  </si>
  <si>
    <t>D50 Bar</t>
  </si>
  <si>
    <t>D100 Bar</t>
  </si>
  <si>
    <t>Andrews Equation</t>
  </si>
  <si>
    <t>Fischenich 2001</t>
  </si>
  <si>
    <t>Tbed Fischenich 2001</t>
  </si>
  <si>
    <t>USACE, Fischenich 2001</t>
  </si>
  <si>
    <t>Andrews 1983</t>
  </si>
  <si>
    <t>Max Shear Stress (lb/ft^2)</t>
  </si>
  <si>
    <t>Max Velocity (ft/s)</t>
  </si>
  <si>
    <t>Sediment Transport - Incipient Motion (Threshold)</t>
  </si>
  <si>
    <t>Maximum Velocity (ft/s)</t>
  </si>
  <si>
    <t>Maximum Shear Stress (lb/ft^2)</t>
  </si>
  <si>
    <t>Particle Mobilized (in) by Max Shear Stress</t>
  </si>
  <si>
    <t>Particle Mobilized by Max Velocity</t>
  </si>
  <si>
    <t>Particle Mobilized by Average Velocity</t>
  </si>
  <si>
    <t>Particle Mobilized (in) by Average Shear Stress</t>
  </si>
  <si>
    <t>Bottom Elevation</t>
  </si>
  <si>
    <t>wse_data</t>
  </si>
  <si>
    <t>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</si>
</sst>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.00"/>
    <numFmt numFmtId="167" formatCode=".0"/>
    <numFmt numFmtId="168" formatCode="0.0000"/>
    <numFmt numFmtId="169" formatCode="0.00000"/>
  </numFmts>
  <fonts count="5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1"/>
      <name val="Arial"/>
      <family val="2"/>
    </font>
    <font>
      <b/>
      <sz val="10"/>
      <name val="Times New Roman"/>
      <family val="1"/>
    </font>
    <font>
      <sz val="8"/>
      <name val="Times New Roman"/>
      <family val="1"/>
    </font>
    <font>
      <b/>
      <u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Times New Roman"/>
      <family val="1"/>
    </font>
    <font>
      <b/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12"/>
      <name val="GreekC"/>
    </font>
    <font>
      <b/>
      <u/>
      <sz val="11"/>
      <color theme="1"/>
      <name val="Calibri"/>
      <family val="2"/>
      <scheme val="minor"/>
    </font>
    <font>
      <i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Symbol"/>
      <family val="1"/>
      <charset val="2"/>
    </font>
    <font>
      <b/>
      <sz val="10"/>
      <color indexed="9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0"/>
      <color rgb="FFFF0000"/>
      <name val="Arial"/>
      <family val="2"/>
    </font>
    <font>
      <b/>
      <vertAlign val="subscript"/>
      <sz val="12"/>
      <name val="Times New Roman"/>
      <family val="1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vertAlign val="subscript"/>
      <sz val="10"/>
      <name val="Times New Roman"/>
      <family val="1"/>
    </font>
    <font>
      <sz val="11"/>
      <name val="Symbol"/>
      <family val="1"/>
      <charset val="2"/>
    </font>
    <font>
      <b/>
      <vertAlign val="subscript"/>
      <sz val="10"/>
      <name val="Arial"/>
      <family val="2"/>
    </font>
    <font>
      <vertAlign val="subscript"/>
      <sz val="10"/>
      <name val="Arial"/>
      <family val="2"/>
    </font>
    <font>
      <vertAlign val="subscript"/>
      <sz val="11"/>
      <name val="Arial"/>
      <family val="2"/>
    </font>
    <font>
      <sz val="10"/>
      <name val="GreekC"/>
    </font>
    <font>
      <vertAlign val="subscript"/>
      <sz val="12"/>
      <name val="Times New Roman"/>
      <family val="1"/>
    </font>
    <font>
      <vertAlign val="subscript"/>
      <sz val="14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b/>
      <sz val="10"/>
      <name val="GreekC"/>
    </font>
    <font>
      <vertAlign val="subscript"/>
      <sz val="10"/>
      <name val="Times New Roman"/>
      <family val="1"/>
    </font>
    <font>
      <i/>
      <vertAlign val="subscript"/>
      <sz val="10"/>
      <name val="Arial"/>
      <family val="2"/>
    </font>
    <font>
      <vertAlign val="superscript"/>
      <sz val="10"/>
      <name val="Times New Roman"/>
      <family val="1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88555558946501"/>
        <bgColor indexed="64"/>
      </patternFill>
    </fill>
    <fill>
      <patternFill patternType="solid">
        <fgColor theme="0" tint="-0.2498550370799890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 tint="-0.349894711142307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8">
    <xf numFmtId="0" fontId="0" fillId="0" borderId="0"/>
    <xf numFmtId="0" fontId="6" fillId="2" borderId="0" applyNumberFormat="0" applyBorder="0" applyAlignment="0" applyProtection="0"/>
    <xf numFmtId="0" fontId="7" fillId="0" borderId="0"/>
    <xf numFmtId="0" fontId="5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7" fillId="0" borderId="0"/>
  </cellStyleXfs>
  <cellXfs count="433">
    <xf numFmtId="0" fontId="0" fillId="0" borderId="0" xfId="0"/>
    <xf numFmtId="0" fontId="7" fillId="0" borderId="0" xfId="2"/>
    <xf numFmtId="0" fontId="0" fillId="0" borderId="1" xfId="0" applyBorder="1" applyAlignment="1">
      <alignment horizontal="center"/>
    </xf>
    <xf numFmtId="2" fontId="7" fillId="0" borderId="1" xfId="2" applyNumberFormat="1" applyBorder="1" applyAlignment="1">
      <alignment horizontal="center"/>
    </xf>
    <xf numFmtId="164" fontId="7" fillId="0" borderId="0" xfId="2" applyNumberFormat="1"/>
    <xf numFmtId="0" fontId="0" fillId="0" borderId="0" xfId="3" applyFont="1" applyAlignment="1">
      <alignment horizontal="center"/>
    </xf>
    <xf numFmtId="0" fontId="7" fillId="0" borderId="1" xfId="8" applyBorder="1" applyAlignment="1">
      <alignment horizontal="center"/>
    </xf>
    <xf numFmtId="0" fontId="7" fillId="0" borderId="0" xfId="8"/>
    <xf numFmtId="2" fontId="7" fillId="3" borderId="1" xfId="8" applyNumberFormat="1" applyFill="1" applyBorder="1" applyAlignment="1">
      <alignment horizontal="center"/>
    </xf>
    <xf numFmtId="0" fontId="51" fillId="0" borderId="0" xfId="3" applyAlignment="1">
      <alignment horizontal="center"/>
    </xf>
    <xf numFmtId="0" fontId="0" fillId="0" borderId="0" xfId="3" applyFont="1"/>
    <xf numFmtId="0" fontId="51" fillId="0" borderId="0" xfId="3"/>
    <xf numFmtId="0" fontId="10" fillId="4" borderId="1" xfId="2" applyFont="1" applyFill="1" applyBorder="1" applyAlignment="1">
      <alignment horizontal="center"/>
    </xf>
    <xf numFmtId="0" fontId="0" fillId="5" borderId="0" xfId="0" applyFill="1"/>
    <xf numFmtId="2" fontId="7" fillId="0" borderId="0" xfId="8" applyNumberFormat="1" applyAlignment="1">
      <alignment horizontal="center"/>
    </xf>
    <xf numFmtId="0" fontId="10" fillId="0" borderId="0" xfId="2" applyFont="1" applyAlignment="1">
      <alignment horizontal="center"/>
    </xf>
    <xf numFmtId="0" fontId="7" fillId="0" borderId="0" xfId="2" applyAlignment="1">
      <alignment horizontal="center"/>
    </xf>
    <xf numFmtId="2" fontId="7" fillId="0" borderId="1" xfId="8" applyNumberFormat="1" applyBorder="1" applyAlignment="1">
      <alignment horizontal="center"/>
    </xf>
    <xf numFmtId="2" fontId="51" fillId="0" borderId="1" xfId="3" applyNumberFormat="1" applyBorder="1" applyAlignment="1">
      <alignment horizontal="center"/>
    </xf>
    <xf numFmtId="0" fontId="7" fillId="0" borderId="3" xfId="8" applyBorder="1" applyAlignment="1">
      <alignment horizontal="center"/>
    </xf>
    <xf numFmtId="2" fontId="51" fillId="0" borderId="0" xfId="3" applyNumberFormat="1" applyAlignment="1">
      <alignment horizontal="center"/>
    </xf>
    <xf numFmtId="0" fontId="7" fillId="0" borderId="0" xfId="8" applyAlignment="1">
      <alignment horizontal="center"/>
    </xf>
    <xf numFmtId="0" fontId="10" fillId="6" borderId="1" xfId="2" applyFont="1" applyFill="1" applyBorder="1" applyAlignment="1">
      <alignment horizontal="center"/>
    </xf>
    <xf numFmtId="2" fontId="7" fillId="0" borderId="0" xfId="8" applyNumberFormat="1"/>
    <xf numFmtId="0" fontId="10" fillId="0" borderId="1" xfId="2" applyFont="1" applyBorder="1" applyAlignment="1">
      <alignment horizontal="center"/>
    </xf>
    <xf numFmtId="0" fontId="0" fillId="0" borderId="1" xfId="3" applyFont="1" applyBorder="1" applyAlignment="1">
      <alignment horizontal="center"/>
    </xf>
    <xf numFmtId="0" fontId="51" fillId="0" borderId="1" xfId="3" applyBorder="1"/>
    <xf numFmtId="0" fontId="7" fillId="0" borderId="0" xfId="6"/>
    <xf numFmtId="165" fontId="7" fillId="3" borderId="1" xfId="8" applyNumberFormat="1" applyFill="1" applyBorder="1" applyAlignment="1">
      <alignment horizontal="center"/>
    </xf>
    <xf numFmtId="0" fontId="0" fillId="0" borderId="1" xfId="0" applyBorder="1"/>
    <xf numFmtId="0" fontId="0" fillId="0" borderId="0" xfId="17" applyFont="1"/>
    <xf numFmtId="0" fontId="51" fillId="3" borderId="0" xfId="3" applyFill="1"/>
    <xf numFmtId="0" fontId="51" fillId="0" borderId="1" xfId="3" applyBorder="1" applyAlignment="1">
      <alignment horizontal="center"/>
    </xf>
    <xf numFmtId="0" fontId="13" fillId="5" borderId="0" xfId="0" applyFont="1" applyFill="1"/>
    <xf numFmtId="2" fontId="0" fillId="0" borderId="1" xfId="0" applyNumberFormat="1" applyBorder="1" applyAlignment="1">
      <alignment horizontal="center"/>
    </xf>
    <xf numFmtId="0" fontId="0" fillId="0" borderId="1" xfId="17" applyFont="1" applyBorder="1" applyAlignment="1">
      <alignment horizontal="center"/>
    </xf>
    <xf numFmtId="165" fontId="0" fillId="0" borderId="0" xfId="0" applyNumberFormat="1" applyAlignment="1">
      <alignment horizontal="center"/>
    </xf>
    <xf numFmtId="2" fontId="7" fillId="3" borderId="9" xfId="8" applyNumberFormat="1" applyFill="1" applyBorder="1" applyAlignment="1">
      <alignment horizontal="center"/>
    </xf>
    <xf numFmtId="164" fontId="51" fillId="0" borderId="1" xfId="3" applyNumberFormat="1" applyBorder="1" applyAlignment="1">
      <alignment horizontal="center"/>
    </xf>
    <xf numFmtId="0" fontId="0" fillId="5" borderId="3" xfId="0" applyFill="1" applyBorder="1"/>
    <xf numFmtId="0" fontId="7" fillId="0" borderId="3" xfId="8" applyBorder="1"/>
    <xf numFmtId="0" fontId="19" fillId="0" borderId="0" xfId="0" applyFont="1"/>
    <xf numFmtId="0" fontId="10" fillId="0" borderId="1" xfId="2" applyFont="1" applyBorder="1" applyAlignment="1">
      <alignment horizontal="center" wrapText="1"/>
    </xf>
    <xf numFmtId="0" fontId="0" fillId="5" borderId="0" xfId="0" applyFill="1" applyAlignment="1">
      <alignment horizontal="center"/>
    </xf>
    <xf numFmtId="0" fontId="0" fillId="0" borderId="12" xfId="0" applyBorder="1" applyAlignment="1">
      <alignment horizontal="center"/>
    </xf>
    <xf numFmtId="0" fontId="0" fillId="5" borderId="0" xfId="0" applyFill="1" applyAlignment="1">
      <alignment horizontal="right"/>
    </xf>
    <xf numFmtId="165" fontId="0" fillId="0" borderId="0" xfId="3" applyNumberFormat="1" applyFont="1" applyAlignment="1">
      <alignment horizontal="center"/>
    </xf>
    <xf numFmtId="0" fontId="0" fillId="5" borderId="0" xfId="0" applyFill="1" applyAlignment="1">
      <alignment horizontal="left"/>
    </xf>
    <xf numFmtId="2" fontId="0" fillId="0" borderId="1" xfId="0" applyNumberFormat="1" applyBorder="1"/>
    <xf numFmtId="0" fontId="7" fillId="0" borderId="1" xfId="2" applyBorder="1" applyAlignment="1">
      <alignment horizontal="center"/>
    </xf>
    <xf numFmtId="0" fontId="0" fillId="0" borderId="3" xfId="3" applyFont="1" applyBorder="1" applyAlignment="1">
      <alignment horizontal="center"/>
    </xf>
    <xf numFmtId="0" fontId="22" fillId="0" borderId="0" xfId="2" applyFont="1"/>
    <xf numFmtId="0" fontId="11" fillId="0" borderId="0" xfId="0" applyFont="1"/>
    <xf numFmtId="165" fontId="0" fillId="0" borderId="1" xfId="3" applyNumberFormat="1" applyFont="1" applyBorder="1" applyAlignment="1">
      <alignment horizontal="center"/>
    </xf>
    <xf numFmtId="0" fontId="10" fillId="0" borderId="0" xfId="2" applyFont="1"/>
    <xf numFmtId="0" fontId="0" fillId="0" borderId="0" xfId="0" applyAlignment="1">
      <alignment horizontal="center"/>
    </xf>
    <xf numFmtId="2" fontId="0" fillId="0" borderId="0" xfId="0" applyNumberFormat="1"/>
    <xf numFmtId="0" fontId="7" fillId="0" borderId="1" xfId="8" applyBorder="1"/>
    <xf numFmtId="0" fontId="0" fillId="0" borderId="12" xfId="0" applyBorder="1"/>
    <xf numFmtId="0" fontId="7" fillId="8" borderId="1" xfId="8" applyFill="1" applyBorder="1" applyAlignment="1">
      <alignment horizontal="center"/>
    </xf>
    <xf numFmtId="0" fontId="7" fillId="0" borderId="1" xfId="2" applyBorder="1" applyAlignment="1">
      <alignment horizontal="center" vertical="center"/>
    </xf>
    <xf numFmtId="2" fontId="0" fillId="0" borderId="12" xfId="0" applyNumberFormat="1" applyBorder="1" applyAlignment="1">
      <alignment horizontal="center"/>
    </xf>
    <xf numFmtId="0" fontId="51" fillId="3" borderId="0" xfId="3" applyFill="1" applyAlignment="1">
      <alignment horizontal="center"/>
    </xf>
    <xf numFmtId="165" fontId="7" fillId="0" borderId="0" xfId="8" applyNumberFormat="1" applyAlignment="1">
      <alignment horizontal="center"/>
    </xf>
    <xf numFmtId="166" fontId="0" fillId="0" borderId="0" xfId="3" applyNumberFormat="1" applyFont="1" applyAlignment="1">
      <alignment horizontal="center"/>
    </xf>
    <xf numFmtId="0" fontId="12" fillId="0" borderId="1" xfId="0" applyFont="1" applyBorder="1" applyAlignment="1">
      <alignment horizontal="center"/>
    </xf>
    <xf numFmtId="164" fontId="0" fillId="5" borderId="0" xfId="0" applyNumberFormat="1" applyFill="1" applyAlignment="1">
      <alignment horizontal="right"/>
    </xf>
    <xf numFmtId="0" fontId="7" fillId="3" borderId="1" xfId="8" applyFill="1" applyBorder="1" applyAlignment="1">
      <alignment horizontal="center"/>
    </xf>
    <xf numFmtId="0" fontId="0" fillId="0" borderId="0" xfId="3" applyFont="1" applyAlignment="1">
      <alignment horizontal="right"/>
    </xf>
    <xf numFmtId="0" fontId="0" fillId="0" borderId="1" xfId="3" applyFont="1" applyBorder="1"/>
    <xf numFmtId="0" fontId="11" fillId="6" borderId="18" xfId="0" applyFont="1" applyFill="1" applyBorder="1" applyAlignment="1" applyProtection="1">
      <alignment horizontal="center"/>
      <protection locked="0"/>
    </xf>
    <xf numFmtId="165" fontId="51" fillId="0" borderId="0" xfId="3" applyNumberFormat="1"/>
    <xf numFmtId="0" fontId="0" fillId="0" borderId="1" xfId="3" applyFont="1" applyBorder="1" applyAlignment="1">
      <alignment horizontal="center" wrapText="1"/>
    </xf>
    <xf numFmtId="2" fontId="7" fillId="8" borderId="1" xfId="8" applyNumberFormat="1" applyFill="1" applyBorder="1" applyAlignment="1">
      <alignment horizontal="center"/>
    </xf>
    <xf numFmtId="165" fontId="51" fillId="0" borderId="0" xfId="3" applyNumberFormat="1" applyAlignment="1">
      <alignment horizontal="center"/>
    </xf>
    <xf numFmtId="164" fontId="51" fillId="0" borderId="0" xfId="3" applyNumberFormat="1"/>
    <xf numFmtId="168" fontId="7" fillId="0" borderId="0" xfId="8" applyNumberFormat="1" applyAlignment="1">
      <alignment horizontal="center"/>
    </xf>
    <xf numFmtId="165" fontId="11" fillId="6" borderId="18" xfId="0" applyNumberFormat="1" applyFont="1" applyFill="1" applyBorder="1" applyAlignment="1">
      <alignment horizontal="center"/>
    </xf>
    <xf numFmtId="0" fontId="0" fillId="7" borderId="8" xfId="0" applyFill="1" applyBorder="1" applyAlignment="1">
      <alignment horizontal="right"/>
    </xf>
    <xf numFmtId="0" fontId="10" fillId="0" borderId="1" xfId="2" applyFont="1" applyBorder="1"/>
    <xf numFmtId="0" fontId="12" fillId="0" borderId="1" xfId="3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0" fillId="0" borderId="0" xfId="3" applyFont="1" applyAlignment="1">
      <alignment vertical="center" wrapText="1"/>
    </xf>
    <xf numFmtId="2" fontId="0" fillId="5" borderId="0" xfId="0" applyNumberFormat="1" applyFill="1"/>
    <xf numFmtId="168" fontId="7" fillId="0" borderId="1" xfId="8" applyNumberFormat="1" applyBorder="1" applyAlignment="1">
      <alignment horizontal="center"/>
    </xf>
    <xf numFmtId="0" fontId="7" fillId="0" borderId="8" xfId="8" applyBorder="1"/>
    <xf numFmtId="0" fontId="7" fillId="0" borderId="1" xfId="2" applyBorder="1"/>
    <xf numFmtId="0" fontId="25" fillId="5" borderId="0" xfId="0" applyFont="1" applyFill="1" applyAlignment="1">
      <alignment horizontal="center"/>
    </xf>
    <xf numFmtId="0" fontId="51" fillId="0" borderId="0" xfId="3" applyAlignment="1" applyProtection="1">
      <alignment horizontal="center"/>
      <protection locked="0"/>
    </xf>
    <xf numFmtId="0" fontId="0" fillId="7" borderId="3" xfId="0" applyFill="1" applyBorder="1" applyAlignment="1">
      <alignment horizontal="right"/>
    </xf>
    <xf numFmtId="2" fontId="26" fillId="0" borderId="1" xfId="8" applyNumberFormat="1" applyFont="1" applyBorder="1" applyAlignment="1">
      <alignment horizontal="center"/>
    </xf>
    <xf numFmtId="165" fontId="0" fillId="5" borderId="0" xfId="0" applyNumberFormat="1" applyFill="1"/>
    <xf numFmtId="0" fontId="0" fillId="0" borderId="1" xfId="17" applyFont="1" applyBorder="1"/>
    <xf numFmtId="164" fontId="0" fillId="0" borderId="1" xfId="3" applyNumberFormat="1" applyFont="1" applyBorder="1" applyAlignment="1">
      <alignment horizontal="center"/>
    </xf>
    <xf numFmtId="0" fontId="11" fillId="3" borderId="18" xfId="3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/>
    </xf>
    <xf numFmtId="168" fontId="51" fillId="0" borderId="0" xfId="3" applyNumberFormat="1" applyAlignment="1">
      <alignment horizontal="center"/>
    </xf>
    <xf numFmtId="164" fontId="11" fillId="6" borderId="18" xfId="0" applyNumberFormat="1" applyFont="1" applyFill="1" applyBorder="1" applyAlignment="1">
      <alignment horizontal="center"/>
    </xf>
    <xf numFmtId="0" fontId="10" fillId="4" borderId="1" xfId="2" applyFont="1" applyFill="1" applyBorder="1"/>
    <xf numFmtId="0" fontId="10" fillId="0" borderId="0" xfId="8" applyFont="1"/>
    <xf numFmtId="2" fontId="51" fillId="0" borderId="1" xfId="3" applyNumberFormat="1" applyBorder="1"/>
    <xf numFmtId="0" fontId="7" fillId="9" borderId="1" xfId="2" applyFill="1" applyBorder="1" applyAlignment="1">
      <alignment horizontal="center"/>
    </xf>
    <xf numFmtId="164" fontId="51" fillId="0" borderId="0" xfId="3" applyNumberFormat="1" applyAlignment="1">
      <alignment horizontal="center"/>
    </xf>
    <xf numFmtId="0" fontId="22" fillId="4" borderId="1" xfId="0" applyFont="1" applyFill="1" applyBorder="1"/>
    <xf numFmtId="0" fontId="19" fillId="5" borderId="0" xfId="0" applyFont="1" applyFill="1"/>
    <xf numFmtId="1" fontId="0" fillId="5" borderId="0" xfId="0" applyNumberFormat="1" applyFill="1"/>
    <xf numFmtId="0" fontId="12" fillId="0" borderId="24" xfId="0" applyFont="1" applyBorder="1" applyAlignment="1">
      <alignment horizontal="center"/>
    </xf>
    <xf numFmtId="0" fontId="0" fillId="7" borderId="8" xfId="0" applyFill="1" applyBorder="1" applyAlignment="1">
      <alignment horizontal="center"/>
    </xf>
    <xf numFmtId="1" fontId="0" fillId="5" borderId="0" xfId="0" applyNumberFormat="1" applyFill="1" applyAlignment="1">
      <alignment horizontal="right"/>
    </xf>
    <xf numFmtId="0" fontId="7" fillId="0" borderId="1" xfId="8" applyBorder="1" applyAlignment="1">
      <alignment horizontal="center" wrapText="1"/>
    </xf>
    <xf numFmtId="0" fontId="7" fillId="0" borderId="1" xfId="9" applyBorder="1" applyAlignment="1">
      <alignment horizontal="center"/>
    </xf>
    <xf numFmtId="0" fontId="7" fillId="0" borderId="1" xfId="7" applyBorder="1"/>
    <xf numFmtId="2" fontId="11" fillId="6" borderId="18" xfId="0" applyNumberFormat="1" applyFont="1" applyFill="1" applyBorder="1" applyAlignment="1">
      <alignment horizontal="center"/>
    </xf>
    <xf numFmtId="0" fontId="7" fillId="0" borderId="26" xfId="2" applyBorder="1" applyAlignment="1">
      <alignment horizontal="center"/>
    </xf>
    <xf numFmtId="165" fontId="25" fillId="0" borderId="1" xfId="3" applyNumberFormat="1" applyFont="1" applyBorder="1" applyAlignment="1">
      <alignment horizontal="center"/>
    </xf>
    <xf numFmtId="168" fontId="22" fillId="6" borderId="1" xfId="0" applyNumberFormat="1" applyFont="1" applyFill="1" applyBorder="1"/>
    <xf numFmtId="0" fontId="7" fillId="3" borderId="1" xfId="8" applyFill="1" applyBorder="1"/>
    <xf numFmtId="0" fontId="23" fillId="0" borderId="1" xfId="0" applyFont="1" applyBorder="1" applyAlignment="1">
      <alignment horizontal="center"/>
    </xf>
    <xf numFmtId="165" fontId="51" fillId="8" borderId="0" xfId="3" applyNumberFormat="1" applyFill="1" applyAlignment="1">
      <alignment horizontal="center"/>
    </xf>
    <xf numFmtId="0" fontId="51" fillId="0" borderId="0" xfId="3" applyAlignment="1">
      <alignment horizontal="center" wrapText="1"/>
    </xf>
    <xf numFmtId="0" fontId="51" fillId="0" borderId="15" xfId="3" applyBorder="1" applyAlignment="1">
      <alignment horizontal="center"/>
    </xf>
    <xf numFmtId="165" fontId="22" fillId="0" borderId="1" xfId="3" applyNumberFormat="1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165" fontId="7" fillId="0" borderId="1" xfId="8" applyNumberFormat="1" applyBorder="1" applyAlignment="1">
      <alignment horizontal="center"/>
    </xf>
    <xf numFmtId="0" fontId="27" fillId="5" borderId="0" xfId="0" applyFont="1" applyFill="1" applyAlignment="1">
      <alignment horizontal="center"/>
    </xf>
    <xf numFmtId="0" fontId="0" fillId="7" borderId="3" xfId="0" applyFill="1" applyBorder="1" applyAlignment="1">
      <alignment horizontal="center"/>
    </xf>
    <xf numFmtId="0" fontId="51" fillId="3" borderId="1" xfId="3" applyFill="1" applyBorder="1"/>
    <xf numFmtId="2" fontId="0" fillId="0" borderId="0" xfId="0" applyNumberFormat="1" applyAlignment="1">
      <alignment horizontal="right"/>
    </xf>
    <xf numFmtId="164" fontId="11" fillId="3" borderId="18" xfId="3" applyNumberFormat="1" applyFont="1" applyFill="1" applyBorder="1" applyAlignment="1" applyProtection="1">
      <alignment horizontal="center"/>
      <protection locked="0"/>
    </xf>
    <xf numFmtId="165" fontId="11" fillId="6" borderId="18" xfId="0" applyNumberFormat="1" applyFont="1" applyFill="1" applyBorder="1" applyAlignment="1" applyProtection="1">
      <alignment horizontal="center"/>
      <protection locked="0"/>
    </xf>
    <xf numFmtId="0" fontId="0" fillId="5" borderId="34" xfId="0" applyFill="1" applyBorder="1"/>
    <xf numFmtId="0" fontId="0" fillId="5" borderId="35" xfId="0" applyFill="1" applyBorder="1"/>
    <xf numFmtId="2" fontId="51" fillId="0" borderId="0" xfId="3" applyNumberFormat="1"/>
    <xf numFmtId="0" fontId="28" fillId="11" borderId="1" xfId="0" applyFont="1" applyFill="1" applyBorder="1" applyAlignment="1">
      <alignment horizontal="right"/>
    </xf>
    <xf numFmtId="0" fontId="22" fillId="5" borderId="1" xfId="0" applyFont="1" applyFill="1" applyBorder="1" applyAlignment="1">
      <alignment horizontal="right"/>
    </xf>
    <xf numFmtId="0" fontId="51" fillId="0" borderId="14" xfId="3" applyBorder="1"/>
    <xf numFmtId="0" fontId="7" fillId="0" borderId="9" xfId="8" applyBorder="1" applyAlignment="1">
      <alignment horizontal="center"/>
    </xf>
    <xf numFmtId="164" fontId="11" fillId="6" borderId="18" xfId="0" applyNumberFormat="1" applyFont="1" applyFill="1" applyBorder="1" applyAlignment="1" applyProtection="1">
      <alignment horizontal="center"/>
      <protection locked="0"/>
    </xf>
    <xf numFmtId="0" fontId="7" fillId="0" borderId="37" xfId="8" applyBorder="1"/>
    <xf numFmtId="0" fontId="23" fillId="0" borderId="38" xfId="3" applyFont="1" applyBorder="1" applyAlignment="1">
      <alignment horizontal="center"/>
    </xf>
    <xf numFmtId="164" fontId="51" fillId="0" borderId="1" xfId="3" applyNumberFormat="1" applyBorder="1"/>
    <xf numFmtId="0" fontId="0" fillId="5" borderId="26" xfId="0" applyFill="1" applyBorder="1"/>
    <xf numFmtId="168" fontId="26" fillId="0" borderId="1" xfId="8" applyNumberFormat="1" applyFont="1" applyBorder="1" applyAlignment="1">
      <alignment horizontal="center"/>
    </xf>
    <xf numFmtId="2" fontId="22" fillId="10" borderId="1" xfId="3" applyNumberFormat="1" applyFont="1" applyFill="1" applyBorder="1" applyAlignment="1">
      <alignment horizontal="center"/>
    </xf>
    <xf numFmtId="0" fontId="7" fillId="0" borderId="0" xfId="8" applyAlignment="1">
      <alignment horizontal="left"/>
    </xf>
    <xf numFmtId="0" fontId="17" fillId="0" borderId="1" xfId="0" applyFont="1" applyBorder="1"/>
    <xf numFmtId="0" fontId="0" fillId="7" borderId="39" xfId="0" applyFill="1" applyBorder="1" applyAlignment="1">
      <alignment horizontal="center"/>
    </xf>
    <xf numFmtId="0" fontId="51" fillId="8" borderId="1" xfId="3" applyFill="1" applyBorder="1" applyAlignment="1">
      <alignment horizontal="center"/>
    </xf>
    <xf numFmtId="165" fontId="0" fillId="5" borderId="0" xfId="0" applyNumberFormat="1" applyFill="1" applyAlignment="1">
      <alignment horizontal="center"/>
    </xf>
    <xf numFmtId="0" fontId="28" fillId="11" borderId="12" xfId="0" applyFont="1" applyFill="1" applyBorder="1" applyAlignment="1">
      <alignment horizontal="right"/>
    </xf>
    <xf numFmtId="0" fontId="17" fillId="0" borderId="0" xfId="0" applyFont="1"/>
    <xf numFmtId="0" fontId="17" fillId="7" borderId="30" xfId="0" applyFont="1" applyFill="1" applyBorder="1"/>
    <xf numFmtId="0" fontId="11" fillId="10" borderId="18" xfId="0" applyFont="1" applyFill="1" applyBorder="1" applyAlignment="1" applyProtection="1">
      <alignment horizontal="center"/>
      <protection locked="0"/>
    </xf>
    <xf numFmtId="0" fontId="7" fillId="0" borderId="3" xfId="8" applyBorder="1" applyAlignment="1">
      <alignment horizontal="left"/>
    </xf>
    <xf numFmtId="165" fontId="11" fillId="3" borderId="41" xfId="3" applyNumberFormat="1" applyFont="1" applyFill="1" applyBorder="1" applyAlignment="1">
      <alignment horizontal="center"/>
    </xf>
    <xf numFmtId="0" fontId="7" fillId="0" borderId="26" xfId="8" applyBorder="1"/>
    <xf numFmtId="0" fontId="22" fillId="0" borderId="1" xfId="0" applyFont="1" applyBorder="1"/>
    <xf numFmtId="168" fontId="51" fillId="0" borderId="0" xfId="3" applyNumberFormat="1"/>
    <xf numFmtId="0" fontId="12" fillId="0" borderId="18" xfId="0" applyFont="1" applyBorder="1" applyAlignment="1">
      <alignment horizontal="center"/>
    </xf>
    <xf numFmtId="169" fontId="51" fillId="0" borderId="0" xfId="3" applyNumberFormat="1"/>
    <xf numFmtId="0" fontId="7" fillId="0" borderId="30" xfId="8" applyBorder="1"/>
    <xf numFmtId="0" fontId="51" fillId="10" borderId="1" xfId="3" applyFill="1" applyBorder="1"/>
    <xf numFmtId="2" fontId="0" fillId="0" borderId="1" xfId="3" applyNumberFormat="1" applyFont="1" applyBorder="1"/>
    <xf numFmtId="0" fontId="10" fillId="0" borderId="0" xfId="2" applyFont="1" applyAlignment="1">
      <alignment horizontal="left"/>
    </xf>
    <xf numFmtId="0" fontId="29" fillId="0" borderId="0" xfId="3" applyFont="1"/>
    <xf numFmtId="0" fontId="7" fillId="0" borderId="39" xfId="8" applyBorder="1"/>
    <xf numFmtId="0" fontId="0" fillId="0" borderId="0" xfId="3" applyFont="1" applyAlignment="1" applyProtection="1">
      <alignment horizontal="center"/>
      <protection locked="0"/>
    </xf>
    <xf numFmtId="0" fontId="24" fillId="0" borderId="0" xfId="2" applyFont="1" applyAlignment="1">
      <alignment vertical="center"/>
    </xf>
    <xf numFmtId="0" fontId="12" fillId="0" borderId="18" xfId="3" applyFont="1" applyBorder="1" applyAlignment="1">
      <alignment horizontal="center"/>
    </xf>
    <xf numFmtId="169" fontId="0" fillId="5" borderId="0" xfId="0" applyNumberFormat="1" applyFill="1" applyAlignment="1">
      <alignment horizontal="center"/>
    </xf>
    <xf numFmtId="0" fontId="30" fillId="11" borderId="1" xfId="0" applyFont="1" applyFill="1" applyBorder="1" applyAlignment="1">
      <alignment horizontal="right"/>
    </xf>
    <xf numFmtId="0" fontId="7" fillId="0" borderId="14" xfId="8" applyBorder="1" applyAlignment="1">
      <alignment horizontal="center" wrapText="1"/>
    </xf>
    <xf numFmtId="0" fontId="7" fillId="0" borderId="34" xfId="8" applyBorder="1"/>
    <xf numFmtId="0" fontId="24" fillId="0" borderId="0" xfId="8" applyFont="1"/>
    <xf numFmtId="167" fontId="0" fillId="0" borderId="0" xfId="3" applyNumberFormat="1" applyFont="1" applyAlignment="1">
      <alignment horizontal="center"/>
    </xf>
    <xf numFmtId="0" fontId="8" fillId="0" borderId="0" xfId="2" applyFont="1"/>
    <xf numFmtId="0" fontId="7" fillId="0" borderId="35" xfId="8" applyBorder="1"/>
    <xf numFmtId="1" fontId="7" fillId="3" borderId="1" xfId="8" applyNumberFormat="1" applyFill="1" applyBorder="1" applyAlignment="1">
      <alignment horizontal="center"/>
    </xf>
    <xf numFmtId="0" fontId="23" fillId="0" borderId="38" xfId="0" applyFont="1" applyBorder="1" applyAlignment="1">
      <alignment horizontal="center"/>
    </xf>
    <xf numFmtId="0" fontId="11" fillId="6" borderId="24" xfId="0" applyFont="1" applyFill="1" applyBorder="1" applyAlignment="1" applyProtection="1">
      <alignment horizontal="center"/>
      <protection locked="0"/>
    </xf>
    <xf numFmtId="0" fontId="7" fillId="4" borderId="1" xfId="2" applyFill="1" applyBorder="1" applyAlignment="1">
      <alignment horizontal="center"/>
    </xf>
    <xf numFmtId="165" fontId="11" fillId="10" borderId="18" xfId="0" applyNumberFormat="1" applyFont="1" applyFill="1" applyBorder="1" applyAlignment="1" applyProtection="1">
      <alignment horizontal="center"/>
      <protection locked="0"/>
    </xf>
    <xf numFmtId="2" fontId="0" fillId="0" borderId="1" xfId="3" applyNumberFormat="1" applyFont="1" applyBorder="1" applyAlignment="1">
      <alignment horizontal="center"/>
    </xf>
    <xf numFmtId="0" fontId="0" fillId="0" borderId="15" xfId="3" applyFont="1" applyBorder="1" applyAlignment="1">
      <alignment horizontal="center"/>
    </xf>
    <xf numFmtId="0" fontId="7" fillId="10" borderId="1" xfId="8" applyFill="1" applyBorder="1" applyAlignment="1">
      <alignment horizontal="center"/>
    </xf>
    <xf numFmtId="0" fontId="7" fillId="0" borderId="0" xfId="2" applyAlignment="1">
      <alignment wrapText="1"/>
    </xf>
    <xf numFmtId="164" fontId="11" fillId="10" borderId="18" xfId="0" applyNumberFormat="1" applyFont="1" applyFill="1" applyBorder="1" applyAlignment="1" applyProtection="1">
      <alignment horizontal="center"/>
      <protection locked="0"/>
    </xf>
    <xf numFmtId="164" fontId="7" fillId="0" borderId="0" xfId="8" applyNumberFormat="1" applyAlignment="1">
      <alignment horizontal="center"/>
    </xf>
    <xf numFmtId="0" fontId="0" fillId="7" borderId="37" xfId="0" applyFill="1" applyBorder="1" applyAlignment="1">
      <alignment horizontal="center"/>
    </xf>
    <xf numFmtId="164" fontId="51" fillId="12" borderId="0" xfId="3" applyNumberFormat="1" applyFill="1" applyAlignment="1">
      <alignment horizontal="center"/>
    </xf>
    <xf numFmtId="0" fontId="0" fillId="7" borderId="34" xfId="0" applyFill="1" applyBorder="1"/>
    <xf numFmtId="0" fontId="31" fillId="0" borderId="0" xfId="3" applyFont="1" applyAlignment="1">
      <alignment horizontal="right"/>
    </xf>
    <xf numFmtId="0" fontId="0" fillId="5" borderId="37" xfId="0" applyFill="1" applyBorder="1"/>
    <xf numFmtId="168" fontId="0" fillId="0" borderId="0" xfId="3" applyNumberFormat="1" applyFont="1" applyAlignment="1">
      <alignment horizontal="center"/>
    </xf>
    <xf numFmtId="165" fontId="7" fillId="3" borderId="9" xfId="8" applyNumberFormat="1" applyFill="1" applyBorder="1" applyAlignment="1">
      <alignment horizontal="center"/>
    </xf>
    <xf numFmtId="0" fontId="7" fillId="4" borderId="1" xfId="8" applyFill="1" applyBorder="1" applyAlignment="1">
      <alignment horizontal="center"/>
    </xf>
    <xf numFmtId="0" fontId="17" fillId="0" borderId="1" xfId="3" applyFont="1" applyBorder="1" applyAlignment="1">
      <alignment horizontal="center"/>
    </xf>
    <xf numFmtId="165" fontId="0" fillId="5" borderId="0" xfId="0" applyNumberFormat="1" applyFill="1" applyAlignment="1">
      <alignment horizontal="right"/>
    </xf>
    <xf numFmtId="165" fontId="51" fillId="0" borderId="1" xfId="3" applyNumberFormat="1" applyBorder="1"/>
    <xf numFmtId="0" fontId="32" fillId="0" borderId="0" xfId="8" applyFont="1" applyAlignment="1">
      <alignment horizontal="center"/>
    </xf>
    <xf numFmtId="165" fontId="11" fillId="6" borderId="41" xfId="0" applyNumberFormat="1" applyFont="1" applyFill="1" applyBorder="1" applyAlignment="1">
      <alignment horizontal="center"/>
    </xf>
    <xf numFmtId="2" fontId="33" fillId="0" borderId="0" xfId="3" applyNumberFormat="1" applyFont="1" applyAlignment="1">
      <alignment horizontal="center"/>
    </xf>
    <xf numFmtId="2" fontId="22" fillId="3" borderId="1" xfId="8" applyNumberFormat="1" applyFont="1" applyFill="1" applyBorder="1" applyAlignment="1">
      <alignment horizontal="center"/>
    </xf>
    <xf numFmtId="164" fontId="34" fillId="0" borderId="0" xfId="0" applyNumberFormat="1" applyFont="1"/>
    <xf numFmtId="0" fontId="0" fillId="4" borderId="1" xfId="0" applyFill="1" applyBorder="1"/>
    <xf numFmtId="0" fontId="10" fillId="0" borderId="0" xfId="8" applyFont="1" applyAlignment="1">
      <alignment horizontal="center"/>
    </xf>
    <xf numFmtId="0" fontId="30" fillId="11" borderId="1" xfId="0" applyFont="1" applyFill="1" applyBorder="1"/>
    <xf numFmtId="0" fontId="0" fillId="0" borderId="9" xfId="3" applyFont="1" applyBorder="1"/>
    <xf numFmtId="0" fontId="0" fillId="0" borderId="2" xfId="3" applyFont="1" applyBorder="1"/>
    <xf numFmtId="0" fontId="0" fillId="0" borderId="10" xfId="3" applyFont="1" applyBorder="1"/>
    <xf numFmtId="0" fontId="51" fillId="0" borderId="26" xfId="3" applyBorder="1"/>
    <xf numFmtId="0" fontId="51" fillId="0" borderId="35" xfId="3" applyBorder="1" applyAlignment="1">
      <alignment horizontal="center"/>
    </xf>
    <xf numFmtId="0" fontId="0" fillId="0" borderId="34" xfId="3" applyFont="1" applyBorder="1" applyAlignment="1">
      <alignment horizontal="center"/>
    </xf>
    <xf numFmtId="0" fontId="51" fillId="0" borderId="37" xfId="3" applyBorder="1" applyAlignment="1">
      <alignment horizontal="center"/>
    </xf>
    <xf numFmtId="0" fontId="0" fillId="13" borderId="0" xfId="0" applyFill="1"/>
    <xf numFmtId="0" fontId="7" fillId="13" borderId="0" xfId="9" applyFill="1" applyAlignment="1">
      <alignment horizontal="center"/>
    </xf>
    <xf numFmtId="0" fontId="5" fillId="0" borderId="1" xfId="8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51" fillId="0" borderId="1" xfId="17" applyFont="1" applyBorder="1" applyAlignment="1">
      <alignment horizontal="center"/>
    </xf>
    <xf numFmtId="0" fontId="4" fillId="0" borderId="1" xfId="8" applyFont="1" applyBorder="1" applyAlignment="1">
      <alignment horizontal="center"/>
    </xf>
    <xf numFmtId="0" fontId="17" fillId="13" borderId="45" xfId="0" applyFont="1" applyFill="1" applyBorder="1"/>
    <xf numFmtId="0" fontId="3" fillId="0" borderId="1" xfId="8" applyFont="1" applyBorder="1" applyAlignment="1">
      <alignment horizontal="center"/>
    </xf>
    <xf numFmtId="0" fontId="51" fillId="13" borderId="0" xfId="0" applyFont="1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51" fillId="13" borderId="45" xfId="0" applyFont="1" applyFill="1" applyBorder="1" applyAlignment="1">
      <alignment horizontal="center"/>
    </xf>
    <xf numFmtId="0" fontId="51" fillId="13" borderId="22" xfId="0" applyFont="1" applyFill="1" applyBorder="1" applyAlignment="1">
      <alignment horizontal="center"/>
    </xf>
    <xf numFmtId="0" fontId="51" fillId="13" borderId="0" xfId="0" applyFont="1" applyFill="1" applyAlignment="1">
      <alignment horizontal="center"/>
    </xf>
    <xf numFmtId="0" fontId="51" fillId="13" borderId="19" xfId="0" applyFont="1" applyFill="1" applyBorder="1" applyAlignment="1">
      <alignment horizontal="center"/>
    </xf>
    <xf numFmtId="0" fontId="51" fillId="13" borderId="1" xfId="0" applyFont="1" applyFill="1" applyBorder="1" applyAlignment="1">
      <alignment horizontal="center"/>
    </xf>
    <xf numFmtId="0" fontId="51" fillId="13" borderId="51" xfId="0" applyFont="1" applyFill="1" applyBorder="1" applyAlignment="1">
      <alignment horizontal="center"/>
    </xf>
    <xf numFmtId="0" fontId="51" fillId="13" borderId="38" xfId="0" applyFont="1" applyFill="1" applyBorder="1" applyAlignment="1">
      <alignment horizontal="center"/>
    </xf>
    <xf numFmtId="0" fontId="51" fillId="13" borderId="52" xfId="0" applyFont="1" applyFill="1" applyBorder="1" applyAlignment="1">
      <alignment horizontal="center"/>
    </xf>
    <xf numFmtId="0" fontId="19" fillId="14" borderId="46" xfId="0" applyFont="1" applyFill="1" applyBorder="1" applyAlignment="1">
      <alignment horizontal="center"/>
    </xf>
    <xf numFmtId="0" fontId="19" fillId="14" borderId="47" xfId="0" applyFont="1" applyFill="1" applyBorder="1" applyAlignment="1">
      <alignment horizontal="center"/>
    </xf>
    <xf numFmtId="0" fontId="53" fillId="14" borderId="46" xfId="9" applyFont="1" applyFill="1" applyBorder="1" applyAlignment="1">
      <alignment horizontal="center"/>
    </xf>
    <xf numFmtId="0" fontId="53" fillId="14" borderId="47" xfId="9" applyFont="1" applyFill="1" applyBorder="1" applyAlignment="1">
      <alignment horizontal="center"/>
    </xf>
    <xf numFmtId="0" fontId="2" fillId="0" borderId="1" xfId="8" applyFont="1" applyBorder="1" applyAlignment="1">
      <alignment horizontal="center"/>
    </xf>
    <xf numFmtId="2" fontId="52" fillId="13" borderId="48" xfId="9" applyNumberFormat="1" applyFont="1" applyFill="1" applyBorder="1" applyAlignment="1">
      <alignment horizontal="center"/>
    </xf>
    <xf numFmtId="2" fontId="52" fillId="13" borderId="49" xfId="9" applyNumberFormat="1" applyFont="1" applyFill="1" applyBorder="1" applyAlignment="1">
      <alignment horizontal="center"/>
    </xf>
    <xf numFmtId="2" fontId="52" fillId="13" borderId="50" xfId="9" applyNumberFormat="1" applyFont="1" applyFill="1" applyBorder="1" applyAlignment="1">
      <alignment horizontal="center"/>
    </xf>
    <xf numFmtId="2" fontId="52" fillId="13" borderId="18" xfId="9" applyNumberFormat="1" applyFont="1" applyFill="1" applyBorder="1" applyAlignment="1">
      <alignment horizontal="center"/>
    </xf>
    <xf numFmtId="2" fontId="52" fillId="13" borderId="1" xfId="9" applyNumberFormat="1" applyFont="1" applyFill="1" applyBorder="1" applyAlignment="1">
      <alignment horizontal="center"/>
    </xf>
    <xf numFmtId="2" fontId="52" fillId="13" borderId="51" xfId="9" applyNumberFormat="1" applyFont="1" applyFill="1" applyBorder="1" applyAlignment="1">
      <alignment horizontal="center"/>
    </xf>
    <xf numFmtId="2" fontId="52" fillId="13" borderId="41" xfId="9" applyNumberFormat="1" applyFont="1" applyFill="1" applyBorder="1" applyAlignment="1">
      <alignment horizontal="center"/>
    </xf>
    <xf numFmtId="2" fontId="52" fillId="13" borderId="38" xfId="9" applyNumberFormat="1" applyFont="1" applyFill="1" applyBorder="1" applyAlignment="1">
      <alignment horizontal="center"/>
    </xf>
    <xf numFmtId="2" fontId="52" fillId="13" borderId="52" xfId="9" applyNumberFormat="1" applyFont="1" applyFill="1" applyBorder="1" applyAlignment="1">
      <alignment horizontal="center"/>
    </xf>
    <xf numFmtId="2" fontId="51" fillId="13" borderId="1" xfId="0" applyNumberFormat="1" applyFont="1" applyFill="1" applyBorder="1" applyAlignment="1">
      <alignment horizontal="center"/>
    </xf>
    <xf numFmtId="2" fontId="51" fillId="13" borderId="51" xfId="0" applyNumberFormat="1" applyFont="1" applyFill="1" applyBorder="1" applyAlignment="1">
      <alignment horizontal="center"/>
    </xf>
    <xf numFmtId="2" fontId="51" fillId="13" borderId="38" xfId="0" applyNumberFormat="1" applyFont="1" applyFill="1" applyBorder="1" applyAlignment="1">
      <alignment horizontal="center"/>
    </xf>
    <xf numFmtId="2" fontId="51" fillId="13" borderId="52" xfId="0" applyNumberFormat="1" applyFont="1" applyFill="1" applyBorder="1" applyAlignment="1">
      <alignment horizontal="center"/>
    </xf>
    <xf numFmtId="2" fontId="51" fillId="14" borderId="46" xfId="0" applyNumberFormat="1" applyFont="1" applyFill="1" applyBorder="1" applyAlignment="1">
      <alignment horizontal="center"/>
    </xf>
    <xf numFmtId="2" fontId="51" fillId="14" borderId="47" xfId="0" applyNumberFormat="1" applyFont="1" applyFill="1" applyBorder="1" applyAlignment="1">
      <alignment horizontal="center"/>
    </xf>
    <xf numFmtId="0" fontId="7" fillId="15" borderId="1" xfId="8" applyFill="1" applyBorder="1" applyAlignment="1">
      <alignment horizontal="center"/>
    </xf>
    <xf numFmtId="0" fontId="11" fillId="15" borderId="24" xfId="3" applyFont="1" applyFill="1" applyBorder="1" applyAlignment="1" applyProtection="1">
      <alignment horizontal="center"/>
      <protection locked="0"/>
    </xf>
    <xf numFmtId="0" fontId="11" fillId="15" borderId="18" xfId="3" applyFont="1" applyFill="1" applyBorder="1" applyAlignment="1" applyProtection="1">
      <alignment horizontal="center"/>
      <protection locked="0"/>
    </xf>
    <xf numFmtId="0" fontId="51" fillId="0" borderId="45" xfId="0" applyFont="1" applyBorder="1" applyAlignment="1">
      <alignment horizontal="center"/>
    </xf>
    <xf numFmtId="0" fontId="0" fillId="0" borderId="22" xfId="0" applyBorder="1"/>
    <xf numFmtId="0" fontId="51" fillId="13" borderId="20" xfId="0" applyFont="1" applyFill="1" applyBorder="1" applyAlignment="1">
      <alignment horizontal="center"/>
    </xf>
    <xf numFmtId="0" fontId="51" fillId="13" borderId="7" xfId="0" applyFont="1" applyFill="1" applyBorder="1" applyAlignment="1">
      <alignment horizontal="center"/>
    </xf>
    <xf numFmtId="0" fontId="51" fillId="13" borderId="23" xfId="0" applyFont="1" applyFill="1" applyBorder="1" applyAlignment="1">
      <alignment horizontal="center"/>
    </xf>
    <xf numFmtId="0" fontId="25" fillId="14" borderId="18" xfId="0" applyFont="1" applyFill="1" applyBorder="1" applyAlignment="1">
      <alignment horizontal="center"/>
    </xf>
    <xf numFmtId="0" fontId="25" fillId="14" borderId="41" xfId="0" applyFont="1" applyFill="1" applyBorder="1" applyAlignment="1">
      <alignment horizontal="center"/>
    </xf>
    <xf numFmtId="0" fontId="0" fillId="0" borderId="10" xfId="17" applyFont="1" applyBorder="1" applyAlignment="1">
      <alignment horizontal="center"/>
    </xf>
    <xf numFmtId="0" fontId="51" fillId="0" borderId="1" xfId="17" applyFont="1" applyBorder="1"/>
    <xf numFmtId="0" fontId="51" fillId="0" borderId="0" xfId="0" applyFont="1" applyAlignment="1">
      <alignment horizontal="center"/>
    </xf>
    <xf numFmtId="2" fontId="0" fillId="0" borderId="10" xfId="0" applyNumberFormat="1" applyBorder="1" applyAlignment="1">
      <alignment horizontal="center"/>
    </xf>
    <xf numFmtId="2" fontId="52" fillId="13" borderId="18" xfId="9" applyNumberFormat="1" applyFont="1" applyFill="1" applyBorder="1" applyAlignment="1">
      <alignment horizontal="center"/>
    </xf>
    <xf numFmtId="2" fontId="52" fillId="13" borderId="1" xfId="9" applyNumberFormat="1" applyFont="1" applyFill="1" applyBorder="1" applyAlignment="1">
      <alignment horizontal="center"/>
    </xf>
    <xf numFmtId="2" fontId="52" fillId="13" borderId="51" xfId="9" applyNumberFormat="1" applyFont="1" applyFill="1" applyBorder="1" applyAlignment="1">
      <alignment horizontal="center"/>
    </xf>
    <xf numFmtId="0" fontId="21" fillId="13" borderId="0" xfId="0" applyFont="1" applyFill="1" applyAlignment="1">
      <alignment horizontal="center" vertical="center"/>
    </xf>
    <xf numFmtId="2" fontId="52" fillId="13" borderId="36" xfId="9" applyNumberFormat="1" applyFont="1" applyFill="1" applyBorder="1" applyAlignment="1">
      <alignment horizontal="center"/>
    </xf>
    <xf numFmtId="2" fontId="52" fillId="13" borderId="2" xfId="9" applyNumberFormat="1" applyFont="1" applyFill="1" applyBorder="1" applyAlignment="1">
      <alignment horizontal="center"/>
    </xf>
    <xf numFmtId="2" fontId="52" fillId="13" borderId="17" xfId="9" applyNumberFormat="1" applyFont="1" applyFill="1" applyBorder="1" applyAlignment="1">
      <alignment horizontal="center"/>
    </xf>
    <xf numFmtId="0" fontId="51" fillId="13" borderId="0" xfId="0" applyFont="1" applyFill="1" applyAlignment="1">
      <alignment horizontal="center"/>
    </xf>
    <xf numFmtId="0" fontId="51" fillId="13" borderId="19" xfId="0" applyFont="1" applyFill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9" xfId="0" applyFont="1" applyBorder="1" applyAlignment="1">
      <alignment horizontal="center"/>
    </xf>
    <xf numFmtId="0" fontId="5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3" fillId="0" borderId="36" xfId="3" applyFont="1" applyBorder="1" applyAlignment="1">
      <alignment horizontal="center"/>
    </xf>
    <xf numFmtId="0" fontId="23" fillId="0" borderId="2" xfId="3" applyFont="1" applyBorder="1" applyAlignment="1">
      <alignment horizontal="center"/>
    </xf>
    <xf numFmtId="0" fontId="23" fillId="0" borderId="10" xfId="3" applyFont="1" applyBorder="1" applyAlignment="1">
      <alignment horizontal="center"/>
    </xf>
    <xf numFmtId="0" fontId="23" fillId="0" borderId="9" xfId="3" applyFont="1" applyBorder="1" applyAlignment="1">
      <alignment horizontal="center"/>
    </xf>
    <xf numFmtId="0" fontId="23" fillId="0" borderId="17" xfId="3" applyFont="1" applyBorder="1" applyAlignment="1">
      <alignment horizontal="center"/>
    </xf>
    <xf numFmtId="0" fontId="11" fillId="0" borderId="9" xfId="3" applyFont="1" applyBorder="1" applyAlignment="1">
      <alignment horizontal="center"/>
    </xf>
    <xf numFmtId="0" fontId="11" fillId="0" borderId="2" xfId="3" applyFont="1" applyBorder="1" applyAlignment="1">
      <alignment horizontal="center"/>
    </xf>
    <xf numFmtId="0" fontId="11" fillId="0" borderId="17" xfId="3" applyFont="1" applyBorder="1" applyAlignment="1">
      <alignment horizontal="center"/>
    </xf>
    <xf numFmtId="0" fontId="12" fillId="0" borderId="40" xfId="3" applyFont="1" applyBorder="1" applyAlignment="1">
      <alignment horizontal="center"/>
    </xf>
    <xf numFmtId="0" fontId="12" fillId="0" borderId="6" xfId="3" applyFont="1" applyBorder="1" applyAlignment="1">
      <alignment horizontal="center"/>
    </xf>
    <xf numFmtId="0" fontId="12" fillId="0" borderId="28" xfId="3" applyFont="1" applyBorder="1" applyAlignment="1">
      <alignment horizontal="center"/>
    </xf>
    <xf numFmtId="0" fontId="7" fillId="0" borderId="3" xfId="8" applyBorder="1" applyAlignment="1">
      <alignment horizontal="center"/>
    </xf>
    <xf numFmtId="0" fontId="11" fillId="0" borderId="9" xfId="3" applyFont="1" applyBorder="1" applyAlignment="1">
      <alignment horizontal="left"/>
    </xf>
    <xf numFmtId="0" fontId="11" fillId="0" borderId="2" xfId="3" applyFont="1" applyBorder="1" applyAlignment="1">
      <alignment horizontal="left"/>
    </xf>
    <xf numFmtId="0" fontId="11" fillId="0" borderId="17" xfId="3" applyFont="1" applyBorder="1" applyAlignment="1">
      <alignment horizontal="left"/>
    </xf>
    <xf numFmtId="0" fontId="11" fillId="0" borderId="36" xfId="3" applyFont="1" applyBorder="1" applyAlignment="1" applyProtection="1">
      <alignment horizontal="center"/>
      <protection locked="0"/>
    </xf>
    <xf numFmtId="0" fontId="11" fillId="0" borderId="2" xfId="3" applyFont="1" applyBorder="1" applyAlignment="1" applyProtection="1">
      <alignment horizontal="center"/>
      <protection locked="0"/>
    </xf>
    <xf numFmtId="0" fontId="11" fillId="0" borderId="17" xfId="3" applyFont="1" applyBorder="1" applyAlignment="1" applyProtection="1">
      <alignment horizontal="center"/>
      <protection locked="0"/>
    </xf>
    <xf numFmtId="0" fontId="12" fillId="0" borderId="36" xfId="3" applyFont="1" applyBorder="1" applyAlignment="1">
      <alignment horizontal="center"/>
    </xf>
    <xf numFmtId="0" fontId="12" fillId="0" borderId="2" xfId="3" applyFont="1" applyBorder="1" applyAlignment="1">
      <alignment horizontal="center"/>
    </xf>
    <xf numFmtId="0" fontId="12" fillId="0" borderId="10" xfId="3" applyFont="1" applyBorder="1" applyAlignment="1">
      <alignment horizontal="center"/>
    </xf>
    <xf numFmtId="0" fontId="12" fillId="0" borderId="9" xfId="3" applyFont="1" applyBorder="1" applyAlignment="1">
      <alignment horizontal="center"/>
    </xf>
    <xf numFmtId="0" fontId="12" fillId="0" borderId="17" xfId="3" applyFont="1" applyBorder="1" applyAlignment="1">
      <alignment horizontal="center"/>
    </xf>
    <xf numFmtId="164" fontId="11" fillId="0" borderId="36" xfId="3" applyNumberFormat="1" applyFont="1" applyBorder="1" applyAlignment="1" applyProtection="1">
      <alignment horizontal="center"/>
      <protection locked="0"/>
    </xf>
    <xf numFmtId="164" fontId="11" fillId="0" borderId="2" xfId="3" applyNumberFormat="1" applyFont="1" applyBorder="1" applyAlignment="1" applyProtection="1">
      <alignment horizontal="center"/>
      <protection locked="0"/>
    </xf>
    <xf numFmtId="164" fontId="11" fillId="0" borderId="17" xfId="3" applyNumberFormat="1" applyFont="1" applyBorder="1" applyAlignment="1" applyProtection="1">
      <alignment horizontal="center"/>
      <protection locked="0"/>
    </xf>
    <xf numFmtId="0" fontId="10" fillId="0" borderId="13" xfId="8" applyFont="1" applyBorder="1" applyAlignment="1">
      <alignment horizontal="center"/>
    </xf>
    <xf numFmtId="0" fontId="10" fillId="0" borderId="4" xfId="8" applyFont="1" applyBorder="1" applyAlignment="1">
      <alignment horizontal="center"/>
    </xf>
    <xf numFmtId="0" fontId="10" fillId="0" borderId="11" xfId="8" applyFont="1" applyBorder="1" applyAlignment="1">
      <alignment horizontal="center"/>
    </xf>
    <xf numFmtId="0" fontId="0" fillId="0" borderId="3" xfId="3" applyFont="1" applyBorder="1" applyAlignment="1">
      <alignment horizontal="center"/>
    </xf>
    <xf numFmtId="0" fontId="7" fillId="0" borderId="9" xfId="8" applyBorder="1" applyAlignment="1">
      <alignment horizontal="center"/>
    </xf>
    <xf numFmtId="0" fontId="7" fillId="0" borderId="2" xfId="8" applyBorder="1" applyAlignment="1">
      <alignment horizontal="center"/>
    </xf>
    <xf numFmtId="0" fontId="7" fillId="0" borderId="10" xfId="8" applyBorder="1" applyAlignment="1">
      <alignment horizontal="center"/>
    </xf>
    <xf numFmtId="0" fontId="12" fillId="0" borderId="25" xfId="3" applyFont="1" applyBorder="1" applyAlignment="1">
      <alignment horizontal="center"/>
    </xf>
    <xf numFmtId="0" fontId="12" fillId="0" borderId="5" xfId="3" applyFont="1" applyBorder="1" applyAlignment="1">
      <alignment horizontal="center"/>
    </xf>
    <xf numFmtId="0" fontId="12" fillId="0" borderId="27" xfId="3" applyFont="1" applyBorder="1" applyAlignment="1">
      <alignment horizontal="center"/>
    </xf>
    <xf numFmtId="0" fontId="24" fillId="0" borderId="0" xfId="6" applyFont="1" applyAlignment="1">
      <alignment horizontal="center"/>
    </xf>
    <xf numFmtId="0" fontId="7" fillId="0" borderId="0" xfId="6" applyAlignment="1">
      <alignment horizontal="center"/>
    </xf>
    <xf numFmtId="0" fontId="0" fillId="0" borderId="0" xfId="3" applyFont="1" applyAlignment="1">
      <alignment horizontal="center"/>
    </xf>
    <xf numFmtId="0" fontId="7" fillId="0" borderId="9" xfId="2" applyBorder="1" applyAlignment="1">
      <alignment horizontal="center"/>
    </xf>
    <xf numFmtId="0" fontId="7" fillId="0" borderId="10" xfId="2" applyBorder="1" applyAlignment="1">
      <alignment horizontal="center"/>
    </xf>
    <xf numFmtId="0" fontId="7" fillId="0" borderId="15" xfId="2" applyBorder="1" applyAlignment="1">
      <alignment horizontal="center" vertical="center" wrapText="1"/>
    </xf>
    <xf numFmtId="0" fontId="7" fillId="0" borderId="14" xfId="2" applyBorder="1" applyAlignment="1">
      <alignment horizontal="center" vertical="center" wrapText="1"/>
    </xf>
    <xf numFmtId="0" fontId="7" fillId="0" borderId="12" xfId="2" applyBorder="1" applyAlignment="1">
      <alignment horizontal="center" vertical="center" wrapText="1"/>
    </xf>
    <xf numFmtId="0" fontId="7" fillId="0" borderId="15" xfId="2" applyBorder="1" applyAlignment="1">
      <alignment horizontal="center" vertical="center"/>
    </xf>
    <xf numFmtId="0" fontId="7" fillId="0" borderId="12" xfId="2" applyBorder="1" applyAlignment="1">
      <alignment horizontal="center" vertical="center"/>
    </xf>
    <xf numFmtId="0" fontId="7" fillId="0" borderId="14" xfId="2" applyBorder="1" applyAlignment="1">
      <alignment horizontal="center" vertical="center"/>
    </xf>
    <xf numFmtId="0" fontId="8" fillId="0" borderId="3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0" fontId="9" fillId="0" borderId="10" xfId="2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0" fillId="0" borderId="9" xfId="2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7" borderId="8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17" fillId="0" borderId="9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8" fillId="0" borderId="9" xfId="0" applyFont="1" applyBorder="1" applyAlignment="1">
      <alignment horizontal="left"/>
    </xf>
    <xf numFmtId="0" fontId="18" fillId="0" borderId="2" xfId="0" applyFont="1" applyBorder="1" applyAlignment="1">
      <alignment horizontal="left"/>
    </xf>
    <xf numFmtId="0" fontId="18" fillId="0" borderId="17" xfId="0" applyFont="1" applyBorder="1" applyAlignment="1">
      <alignment horizontal="left"/>
    </xf>
    <xf numFmtId="2" fontId="11" fillId="6" borderId="33" xfId="0" applyNumberFormat="1" applyFont="1" applyFill="1" applyBorder="1" applyAlignment="1" applyProtection="1">
      <alignment horizontal="center"/>
      <protection locked="0"/>
    </xf>
    <xf numFmtId="2" fontId="11" fillId="6" borderId="24" xfId="0" applyNumberFormat="1" applyFont="1" applyFill="1" applyBorder="1" applyAlignment="1" applyProtection="1">
      <alignment horizontal="center"/>
      <protection locked="0"/>
    </xf>
    <xf numFmtId="0" fontId="18" fillId="0" borderId="30" xfId="0" applyFont="1" applyBorder="1" applyAlignment="1">
      <alignment horizontal="left" wrapText="1"/>
    </xf>
    <xf numFmtId="0" fontId="18" fillId="0" borderId="8" xfId="0" applyFont="1" applyBorder="1" applyAlignment="1">
      <alignment horizontal="left" wrapText="1"/>
    </xf>
    <xf numFmtId="0" fontId="18" fillId="0" borderId="29" xfId="0" applyFont="1" applyBorder="1" applyAlignment="1">
      <alignment horizontal="left" wrapText="1"/>
    </xf>
    <xf numFmtId="0" fontId="18" fillId="0" borderId="34" xfId="0" applyFont="1" applyBorder="1" applyAlignment="1">
      <alignment horizontal="left" wrapText="1"/>
    </xf>
    <xf numFmtId="0" fontId="18" fillId="0" borderId="3" xfId="0" applyFont="1" applyBorder="1" applyAlignment="1">
      <alignment horizontal="left" wrapText="1"/>
    </xf>
    <xf numFmtId="0" fontId="18" fillId="0" borderId="21" xfId="0" applyFont="1" applyBorder="1" applyAlignment="1">
      <alignment horizontal="left" wrapText="1"/>
    </xf>
    <xf numFmtId="2" fontId="11" fillId="6" borderId="43" xfId="0" applyNumberFormat="1" applyFont="1" applyFill="1" applyBorder="1" applyAlignment="1" applyProtection="1">
      <alignment horizontal="center"/>
      <protection locked="0"/>
    </xf>
    <xf numFmtId="0" fontId="18" fillId="0" borderId="42" xfId="0" applyFont="1" applyBorder="1" applyAlignment="1">
      <alignment horizontal="left" wrapText="1"/>
    </xf>
    <xf numFmtId="0" fontId="18" fillId="0" borderId="16" xfId="0" applyFont="1" applyBorder="1" applyAlignment="1">
      <alignment horizontal="left" wrapText="1"/>
    </xf>
    <xf numFmtId="0" fontId="18" fillId="0" borderId="44" xfId="0" applyFont="1" applyBorder="1" applyAlignment="1">
      <alignment horizontal="left" wrapText="1"/>
    </xf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17" xfId="0" applyFont="1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4" xfId="0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0" borderId="9" xfId="0" applyFont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12" fillId="0" borderId="17" xfId="0" applyFont="1" applyBorder="1" applyAlignment="1">
      <alignment horizontal="left"/>
    </xf>
    <xf numFmtId="0" fontId="12" fillId="0" borderId="20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15" fillId="0" borderId="32" xfId="0" applyFont="1" applyBorder="1" applyAlignment="1">
      <alignment horizontal="right"/>
    </xf>
    <xf numFmtId="0" fontId="15" fillId="0" borderId="3" xfId="0" applyFont="1" applyBorder="1" applyAlignment="1">
      <alignment horizontal="right"/>
    </xf>
    <xf numFmtId="0" fontId="15" fillId="0" borderId="21" xfId="0" applyFont="1" applyBorder="1" applyAlignment="1">
      <alignment horizontal="right"/>
    </xf>
    <xf numFmtId="164" fontId="11" fillId="0" borderId="36" xfId="0" applyNumberFormat="1" applyFont="1" applyBorder="1" applyAlignment="1" applyProtection="1">
      <alignment horizontal="center"/>
      <protection locked="0"/>
    </xf>
    <xf numFmtId="164" fontId="11" fillId="0" borderId="2" xfId="0" applyNumberFormat="1" applyFont="1" applyBorder="1" applyAlignment="1" applyProtection="1">
      <alignment horizontal="center"/>
      <protection locked="0"/>
    </xf>
    <xf numFmtId="164" fontId="11" fillId="0" borderId="17" xfId="0" applyNumberFormat="1" applyFont="1" applyBorder="1" applyAlignment="1" applyProtection="1">
      <alignment horizontal="center"/>
      <protection locked="0"/>
    </xf>
    <xf numFmtId="0" fontId="11" fillId="0" borderId="36" xfId="0" applyFont="1" applyBorder="1" applyAlignment="1" applyProtection="1">
      <alignment horizontal="center"/>
      <protection locked="0"/>
    </xf>
    <xf numFmtId="0" fontId="11" fillId="0" borderId="2" xfId="0" applyFont="1" applyBorder="1" applyAlignment="1" applyProtection="1">
      <alignment horizontal="center"/>
      <protection locked="0"/>
    </xf>
    <xf numFmtId="0" fontId="11" fillId="0" borderId="17" xfId="0" applyFont="1" applyBorder="1" applyAlignment="1" applyProtection="1">
      <alignment horizontal="center"/>
      <protection locked="0"/>
    </xf>
    <xf numFmtId="0" fontId="12" fillId="0" borderId="36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23" fillId="0" borderId="36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2" fillId="0" borderId="40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8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8" fillId="0" borderId="9" xfId="2" applyFont="1" applyBorder="1" applyAlignment="1">
      <alignment horizontal="center"/>
    </xf>
    <xf numFmtId="0" fontId="8" fillId="0" borderId="2" xfId="2" applyFont="1" applyBorder="1" applyAlignment="1">
      <alignment horizontal="center"/>
    </xf>
    <xf numFmtId="0" fontId="8" fillId="0" borderId="10" xfId="2" applyFont="1" applyBorder="1" applyAlignment="1">
      <alignment horizontal="center"/>
    </xf>
    <xf numFmtId="0" fontId="19" fillId="6" borderId="9" xfId="0" applyFont="1" applyFill="1" applyBorder="1" applyAlignment="1">
      <alignment horizontal="center"/>
    </xf>
    <xf numFmtId="0" fontId="19" fillId="6" borderId="2" xfId="0" applyFont="1" applyFill="1" applyBorder="1" applyAlignment="1">
      <alignment horizontal="center"/>
    </xf>
    <xf numFmtId="0" fontId="19" fillId="6" borderId="10" xfId="0" applyFont="1" applyFill="1" applyBorder="1" applyAlignment="1">
      <alignment horizontal="center"/>
    </xf>
    <xf numFmtId="0" fontId="16" fillId="0" borderId="0" xfId="2" applyFont="1" applyAlignment="1">
      <alignment horizontal="center" vertical="center"/>
    </xf>
    <xf numFmtId="0" fontId="10" fillId="0" borderId="3" xfId="2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4" borderId="9" xfId="0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21" fillId="4" borderId="10" xfId="0" applyFont="1" applyFill="1" applyBorder="1" applyAlignment="1">
      <alignment horizontal="center"/>
    </xf>
    <xf numFmtId="0" fontId="7" fillId="0" borderId="9" xfId="7" applyBorder="1" applyAlignment="1">
      <alignment horizontal="center"/>
    </xf>
    <xf numFmtId="0" fontId="7" fillId="0" borderId="10" xfId="7" applyBorder="1" applyAlignment="1">
      <alignment horizontal="center"/>
    </xf>
    <xf numFmtId="0" fontId="0" fillId="0" borderId="37" xfId="3" applyFont="1" applyBorder="1" applyAlignment="1">
      <alignment horizontal="center"/>
    </xf>
    <xf numFmtId="0" fontId="0" fillId="0" borderId="9" xfId="3" applyFont="1" applyBorder="1" applyAlignment="1">
      <alignment horizontal="center"/>
    </xf>
    <xf numFmtId="0" fontId="0" fillId="0" borderId="2" xfId="3" applyFont="1" applyBorder="1" applyAlignment="1">
      <alignment horizontal="center"/>
    </xf>
    <xf numFmtId="0" fontId="0" fillId="0" borderId="10" xfId="3" applyFont="1" applyBorder="1" applyAlignment="1">
      <alignment horizontal="center"/>
    </xf>
    <xf numFmtId="0" fontId="7" fillId="0" borderId="0" xfId="8" applyAlignment="1">
      <alignment horizontal="center"/>
    </xf>
    <xf numFmtId="0" fontId="0" fillId="0" borderId="34" xfId="3" applyFont="1" applyBorder="1" applyAlignment="1">
      <alignment horizontal="center"/>
    </xf>
    <xf numFmtId="0" fontId="51" fillId="0" borderId="30" xfId="3" applyBorder="1" applyAlignment="1">
      <alignment horizontal="center"/>
    </xf>
    <xf numFmtId="0" fontId="51" fillId="0" borderId="39" xfId="3" applyBorder="1" applyAlignment="1">
      <alignment horizontal="center"/>
    </xf>
    <xf numFmtId="0" fontId="0" fillId="0" borderId="8" xfId="3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8">
    <cellStyle name="Neutral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2 3" xfId="4" xr:uid="{00000000-0005-0000-0000-000004000000}"/>
    <cellStyle name="Normal 2 4" xfId="5" xr:uid="{00000000-0005-0000-0000-000005000000}"/>
    <cellStyle name="Normal 2 5" xfId="6" xr:uid="{00000000-0005-0000-0000-000006000000}"/>
    <cellStyle name="Normal 2 6" xfId="7" xr:uid="{00000000-0005-0000-0000-000007000000}"/>
    <cellStyle name="Normal 2 7" xfId="8" xr:uid="{00000000-0005-0000-0000-000008000000}"/>
    <cellStyle name="Normal 2 7_Data" xfId="9" xr:uid="{00000000-0005-0000-0000-000009000000}"/>
    <cellStyle name="Normal 3" xfId="10" xr:uid="{00000000-0005-0000-0000-00000A000000}"/>
    <cellStyle name="Normal 4" xfId="11" xr:uid="{00000000-0005-0000-0000-00000B000000}"/>
    <cellStyle name="Normal 4 2" xfId="12" xr:uid="{00000000-0005-0000-0000-00000C000000}"/>
    <cellStyle name="Normal 5" xfId="13" xr:uid="{00000000-0005-0000-0000-00000D000000}"/>
    <cellStyle name="Normal 5 2" xfId="14" xr:uid="{00000000-0005-0000-0000-00000E000000}"/>
    <cellStyle name="Normal 6" xfId="15" xr:uid="{00000000-0005-0000-0000-00000F000000}"/>
    <cellStyle name="Normal 7" xfId="16" xr:uid="{00000000-0005-0000-0000-000010000000}"/>
    <cellStyle name="Normal_Data" xfId="17" xr:uid="{00000000-0005-0000-0000-000011000000}"/>
  </cellStyles>
  <dxfs count="4"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269742</xdr:colOff>
      <xdr:row>89</xdr:row>
      <xdr:rowOff>78442</xdr:rowOff>
    </xdr:from>
    <xdr:to>
      <xdr:col>45</xdr:col>
      <xdr:colOff>330175</xdr:colOff>
      <xdr:row>127</xdr:row>
      <xdr:rowOff>26099</xdr:rowOff>
    </xdr:to>
    <xdr:pic>
      <xdr:nvPicPr>
        <xdr:cNvPr id="12" name="Picture 11" descr="http://slideplayer.com/slide/3877048/13/images/5/Smooth+Transitional+Rough+Motion+No+Motion+(Miller+et+al.,+1977).jp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98914" y="17942262"/>
          <a:ext cx="9709815" cy="74908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45</xdr:col>
      <xdr:colOff>560075</xdr:colOff>
      <xdr:row>85</xdr:row>
      <xdr:rowOff>49626</xdr:rowOff>
    </xdr:from>
    <xdr:to>
      <xdr:col>53</xdr:col>
      <xdr:colOff>428609</xdr:colOff>
      <xdr:row>99</xdr:row>
      <xdr:rowOff>112492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38629" y="17143191"/>
          <a:ext cx="5014871" cy="29356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193701</xdr:colOff>
      <xdr:row>24</xdr:row>
      <xdr:rowOff>37620</xdr:rowOff>
    </xdr:from>
    <xdr:to>
      <xdr:col>23</xdr:col>
      <xdr:colOff>146155</xdr:colOff>
      <xdr:row>37</xdr:row>
      <xdr:rowOff>108426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69187" y="4863620"/>
          <a:ext cx="6918990" cy="2539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198104</xdr:colOff>
      <xdr:row>39</xdr:row>
      <xdr:rowOff>80843</xdr:rowOff>
    </xdr:from>
    <xdr:to>
      <xdr:col>36</xdr:col>
      <xdr:colOff>300836</xdr:colOff>
      <xdr:row>96</xdr:row>
      <xdr:rowOff>44553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40126" y="7754818"/>
          <a:ext cx="8549635" cy="11657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260459</xdr:colOff>
      <xdr:row>39</xdr:row>
      <xdr:rowOff>142875</xdr:rowOff>
    </xdr:from>
    <xdr:to>
      <xdr:col>49</xdr:col>
      <xdr:colOff>137498</xdr:colOff>
      <xdr:row>73</xdr:row>
      <xdr:rowOff>122510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35968" y="7816850"/>
          <a:ext cx="6953252" cy="70738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329044</xdr:colOff>
      <xdr:row>86</xdr:row>
      <xdr:rowOff>69271</xdr:rowOff>
    </xdr:from>
    <xdr:to>
      <xdr:col>45</xdr:col>
      <xdr:colOff>554181</xdr:colOff>
      <xdr:row>128</xdr:row>
      <xdr:rowOff>28097</xdr:rowOff>
    </xdr:to>
    <xdr:pic>
      <xdr:nvPicPr>
        <xdr:cNvPr id="22" name="Picture 21" descr="http://apo.sdsu.edu/cive530_lecture_17_sediment_figure_15-06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4924" y="17353336"/>
          <a:ext cx="10517811" cy="827161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23</xdr:row>
      <xdr:rowOff>142876</xdr:rowOff>
    </xdr:from>
    <xdr:to>
      <xdr:col>13</xdr:col>
      <xdr:colOff>3064</xdr:colOff>
      <xdr:row>39</xdr:row>
      <xdr:rowOff>146686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2693" y="4700906"/>
          <a:ext cx="6960437" cy="30568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581025</xdr:colOff>
      <xdr:row>28</xdr:row>
      <xdr:rowOff>169686</xdr:rowOff>
    </xdr:from>
    <xdr:to>
      <xdr:col>19</xdr:col>
      <xdr:colOff>156517</xdr:colOff>
      <xdr:row>33</xdr:row>
      <xdr:rowOff>81240</xdr:rowOff>
    </xdr:to>
    <xdr:pic>
      <xdr:nvPicPr>
        <xdr:cNvPr id="3" name="Picture 2" descr="http://www.professorpatel.com/uploads/7/6/5/6/7656897/2081876.jpg?570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9381" y="5692281"/>
          <a:ext cx="3970564" cy="8608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387003</xdr:colOff>
      <xdr:row>34</xdr:row>
      <xdr:rowOff>133350</xdr:rowOff>
    </xdr:from>
    <xdr:to>
      <xdr:col>22</xdr:col>
      <xdr:colOff>648707</xdr:colOff>
      <xdr:row>51</xdr:row>
      <xdr:rowOff>20236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5359" y="6795135"/>
          <a:ext cx="7212612" cy="311459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CF65-1BCE-4D15-9DEE-28999C5D269E}">
  <sheetPr codeName="Sheet3"/>
  <dimension ref="A1:G37"/>
  <sheetViews>
    <sheetView zoomScale="85" zoomScaleNormal="85" workbookViewId="0">
      <pane ySplit="2" topLeftCell="A3" activePane="bottomLeft" state="frozen"/>
      <selection pane="bottomLeft" sqref="A1:F1"/>
    </sheetView>
  </sheetViews>
  <sheetFormatPr defaultRowHeight="12.75"/>
  <cols>
    <col min="1" max="1" width="16.42578125" customWidth="1"/>
    <col min="2" max="2" width="14.140625" bestFit="1" customWidth="1"/>
    <col min="3" max="3" width="14.85546875" bestFit="1" customWidth="1"/>
    <col min="4" max="4" width="14.7109375" bestFit="1" customWidth="1"/>
    <col min="5" max="6" width="9.42578125" bestFit="1" customWidth="1"/>
  </cols>
  <sheetData>
    <row r="1" spans="1:7" ht="24.75" customHeight="1" thickBot="1">
      <c r="A1" s="269" t="s">
        <v>541</v>
      </c>
      <c r="B1" s="269"/>
      <c r="C1" s="269"/>
      <c r="D1" s="269"/>
      <c r="E1" s="269"/>
      <c r="F1" s="269"/>
      <c r="G1" s="214"/>
    </row>
    <row r="2" spans="1:7" ht="15.75" thickBot="1">
      <c r="A2" s="220"/>
      <c r="B2" s="234" t="str">
        <f>XS_Analyzer!H27</f>
        <v>XS Average</v>
      </c>
      <c r="C2" s="234" t="str">
        <f>XS_Analyzer!I27</f>
        <v>IB/Low Flow</v>
      </c>
      <c r="D2" s="234" t="str">
        <f>XS_Analyzer!J27</f>
        <v>Main Channel</v>
      </c>
      <c r="E2" s="234" t="str">
        <f>XS_Analyzer!K27</f>
        <v>LOB</v>
      </c>
      <c r="F2" s="235" t="str">
        <f>XS_Analyzer!L27</f>
        <v>ROB</v>
      </c>
      <c r="G2" s="214"/>
    </row>
    <row r="3" spans="1:7" ht="14.25">
      <c r="A3" s="237" t="str">
        <f>XS_Analyzer!G28</f>
        <v>Q (cfs)</v>
      </c>
      <c r="B3" s="238">
        <f>XS_Analyzer!H28</f>
        <v>85.185134720495341</v>
      </c>
      <c r="C3" s="238">
        <f>XS_Analyzer!I28</f>
        <v>0</v>
      </c>
      <c r="D3" s="238">
        <f>XS_Analyzer!J28</f>
        <v>85.185134720495341</v>
      </c>
      <c r="E3" s="238">
        <f>XS_Analyzer!K28</f>
        <v>0</v>
      </c>
      <c r="F3" s="239">
        <f>XS_Analyzer!L28</f>
        <v>0</v>
      </c>
      <c r="G3" s="214"/>
    </row>
    <row r="4" spans="1:7" ht="14.25">
      <c r="A4" s="240" t="str">
        <f>XS_Analyzer!G29</f>
        <v>n composite</v>
      </c>
      <c r="B4" s="241">
        <f>XS_Analyzer!H29</f>
        <v>0.10000000000000002</v>
      </c>
      <c r="C4" s="241">
        <f>XS_Analyzer!I29</f>
        <v>0</v>
      </c>
      <c r="D4" s="241">
        <f>XS_Analyzer!J29</f>
        <v>0.10000000000000002</v>
      </c>
      <c r="E4" s="241">
        <f>XS_Analyzer!K29</f>
        <v>0</v>
      </c>
      <c r="F4" s="242">
        <f>XS_Analyzer!L29</f>
        <v>0</v>
      </c>
      <c r="G4" s="214"/>
    </row>
    <row r="5" spans="1:7" ht="14.25">
      <c r="A5" s="240" t="str">
        <f>XS_Analyzer!G30</f>
        <v>V avg (ft/s)</v>
      </c>
      <c r="B5" s="241">
        <f>XS_Analyzer!H30</f>
        <v>2.7042899911268363</v>
      </c>
      <c r="C5" s="241">
        <f>XS_Analyzer!I30</f>
        <v>0</v>
      </c>
      <c r="D5" s="241">
        <f>XS_Analyzer!J30</f>
        <v>2.7042899911268363</v>
      </c>
      <c r="E5" s="241">
        <f>XS_Analyzer!K30</f>
        <v>0</v>
      </c>
      <c r="F5" s="242">
        <f>XS_Analyzer!L30</f>
        <v>0</v>
      </c>
      <c r="G5" s="214"/>
    </row>
    <row r="6" spans="1:7" ht="14.25">
      <c r="A6" s="240" t="str">
        <f>XS_Analyzer!G31</f>
        <v>V max (ft/s)</v>
      </c>
      <c r="B6" s="241">
        <f>XS_Analyzer!H31</f>
        <v>3.9131708978825612</v>
      </c>
      <c r="C6" s="241">
        <f>XS_Analyzer!I31</f>
        <v>0</v>
      </c>
      <c r="D6" s="241">
        <f>XS_Analyzer!J31</f>
        <v>3.9131708978825612</v>
      </c>
      <c r="E6" s="241">
        <f>XS_Analyzer!K31</f>
        <v>0</v>
      </c>
      <c r="F6" s="242">
        <f>XS_Analyzer!L31</f>
        <v>0</v>
      </c>
      <c r="G6" s="214"/>
    </row>
    <row r="7" spans="1:7" ht="14.25">
      <c r="A7" s="266"/>
      <c r="B7" s="267"/>
      <c r="C7" s="267"/>
      <c r="D7" s="267"/>
      <c r="E7" s="267"/>
      <c r="F7" s="268"/>
      <c r="G7" s="214"/>
    </row>
    <row r="8" spans="1:7" ht="14.25">
      <c r="A8" s="240" t="str">
        <f>XS_Analyzer!G33</f>
        <v>Wp</v>
      </c>
      <c r="B8" s="241">
        <f>XS_Analyzer!H33</f>
        <v>12.830951894845301</v>
      </c>
      <c r="C8" s="241">
        <f>XS_Analyzer!I33</f>
        <v>0</v>
      </c>
      <c r="D8" s="241">
        <f>XS_Analyzer!J33</f>
        <v>12.830951894845301</v>
      </c>
      <c r="E8" s="241">
        <f>XS_Analyzer!K33</f>
        <v>0</v>
      </c>
      <c r="F8" s="242">
        <f>XS_Analyzer!L33</f>
        <v>0</v>
      </c>
      <c r="G8" s="214"/>
    </row>
    <row r="9" spans="1:7" ht="14.25">
      <c r="A9" s="240" t="str">
        <f>XS_Analyzer!G34</f>
        <v>Area (ft^2)</v>
      </c>
      <c r="B9" s="241">
        <f>XS_Analyzer!H34</f>
        <v>31.5</v>
      </c>
      <c r="C9" s="241">
        <f>XS_Analyzer!I34</f>
        <v>0</v>
      </c>
      <c r="D9" s="241">
        <f>XS_Analyzer!J34</f>
        <v>31.5</v>
      </c>
      <c r="E9" s="241">
        <f>XS_Analyzer!K34</f>
        <v>0</v>
      </c>
      <c r="F9" s="242">
        <f>XS_Analyzer!L34</f>
        <v>0</v>
      </c>
      <c r="G9" s="214"/>
    </row>
    <row r="10" spans="1:7" ht="14.25">
      <c r="A10" s="240" t="str">
        <f>XS_Analyzer!G35</f>
        <v>R (ft)</v>
      </c>
      <c r="B10" s="241">
        <f>XS_Analyzer!H35</f>
        <v>2.4550010208248692</v>
      </c>
      <c r="C10" s="241">
        <f>XS_Analyzer!I35</f>
        <v>0</v>
      </c>
      <c r="D10" s="241">
        <f>XS_Analyzer!J35</f>
        <v>2.4550010208248692</v>
      </c>
      <c r="E10" s="241">
        <f>XS_Analyzer!K35</f>
        <v>0</v>
      </c>
      <c r="F10" s="242">
        <f>XS_Analyzer!L35</f>
        <v>0</v>
      </c>
      <c r="G10" s="214"/>
    </row>
    <row r="11" spans="1:7" ht="14.25">
      <c r="A11" s="240" t="str">
        <f>XS_Analyzer!G36</f>
        <v>Wtop (ft)</v>
      </c>
      <c r="B11" s="241">
        <f>XS_Analyzer!H36</f>
        <v>9</v>
      </c>
      <c r="C11" s="241">
        <f>XS_Analyzer!I36</f>
        <v>0</v>
      </c>
      <c r="D11" s="241">
        <f>XS_Analyzer!J36</f>
        <v>9</v>
      </c>
      <c r="E11" s="241">
        <f>XS_Analyzer!K36</f>
        <v>0</v>
      </c>
      <c r="F11" s="242">
        <f>XS_Analyzer!L36</f>
        <v>0</v>
      </c>
      <c r="G11" s="214"/>
    </row>
    <row r="12" spans="1:7" ht="14.25">
      <c r="A12" s="240" t="str">
        <f>XS_Analyzer!G37</f>
        <v>Dmean(ft)</v>
      </c>
      <c r="B12" s="241">
        <f>XS_Analyzer!H37</f>
        <v>3.5</v>
      </c>
      <c r="C12" s="241">
        <f>XS_Analyzer!I37</f>
        <v>0</v>
      </c>
      <c r="D12" s="241">
        <f>XS_Analyzer!J37</f>
        <v>3.5</v>
      </c>
      <c r="E12" s="241">
        <f>XS_Analyzer!K37</f>
        <v>0</v>
      </c>
      <c r="F12" s="242">
        <f>XS_Analyzer!L37</f>
        <v>0</v>
      </c>
      <c r="G12" s="214"/>
    </row>
    <row r="13" spans="1:7" ht="14.25">
      <c r="A13" s="240" t="str">
        <f>XS_Analyzer!G38</f>
        <v>Dmax(ft)</v>
      </c>
      <c r="B13" s="241">
        <f>XS_Analyzer!H38</f>
        <v>5</v>
      </c>
      <c r="C13" s="241">
        <f>XS_Analyzer!I38</f>
        <v>5</v>
      </c>
      <c r="D13" s="241">
        <f>XS_Analyzer!J38</f>
        <v>5</v>
      </c>
      <c r="E13" s="241">
        <f>XS_Analyzer!K38</f>
        <v>2</v>
      </c>
      <c r="F13" s="242">
        <f>XS_Analyzer!L38</f>
        <v>0</v>
      </c>
      <c r="G13" s="214"/>
    </row>
    <row r="14" spans="1:7" ht="14.25">
      <c r="A14" s="270"/>
      <c r="B14" s="271"/>
      <c r="C14" s="271"/>
      <c r="D14" s="271"/>
      <c r="E14" s="271"/>
      <c r="F14" s="272"/>
      <c r="G14" s="214"/>
    </row>
    <row r="15" spans="1:7" ht="14.25">
      <c r="A15" s="240" t="str">
        <f>XS_Analyzer!G40</f>
        <v>T avg (lb/ft^2)</v>
      </c>
      <c r="B15" s="241">
        <f>XS_Analyzer!H40</f>
        <v>1.5319206369947185</v>
      </c>
      <c r="C15" s="241">
        <f>XS_Analyzer!I40</f>
        <v>0</v>
      </c>
      <c r="D15" s="241">
        <f>XS_Analyzer!J40</f>
        <v>1.5319206369947185</v>
      </c>
      <c r="E15" s="241">
        <f>XS_Analyzer!K40</f>
        <v>0</v>
      </c>
      <c r="F15" s="242">
        <f>XS_Analyzer!L40</f>
        <v>0</v>
      </c>
      <c r="G15" s="214"/>
    </row>
    <row r="16" spans="1:7" ht="14.25">
      <c r="A16" s="240" t="str">
        <f>XS_Analyzer!G41</f>
        <v>T max (lb/ft^2)</v>
      </c>
      <c r="B16" s="241">
        <f>XS_Analyzer!H41</f>
        <v>2.6665491810600259</v>
      </c>
      <c r="C16" s="241">
        <f>XS_Analyzer!I41</f>
        <v>0</v>
      </c>
      <c r="D16" s="241">
        <f>XS_Analyzer!J41</f>
        <v>2.6665491810600259</v>
      </c>
      <c r="E16" s="241">
        <f>XS_Analyzer!K41</f>
        <v>0</v>
      </c>
      <c r="F16" s="242">
        <f>XS_Analyzer!L41</f>
        <v>0</v>
      </c>
      <c r="G16" s="214"/>
    </row>
    <row r="17" spans="1:7" ht="14.25">
      <c r="A17" s="240" t="str">
        <f>XS_Analyzer!G42</f>
        <v>Str Pwr (lb/ft s)</v>
      </c>
      <c r="B17" s="241">
        <f>XS_Analyzer!H42</f>
        <v>53.155524065589091</v>
      </c>
      <c r="C17" s="241">
        <f>XS_Analyzer!I42</f>
        <v>0</v>
      </c>
      <c r="D17" s="241">
        <f>XS_Analyzer!J42</f>
        <v>53.155524065589091</v>
      </c>
      <c r="E17" s="241">
        <f>XS_Analyzer!K42</f>
        <v>0</v>
      </c>
      <c r="F17" s="242">
        <f>XS_Analyzer!L42</f>
        <v>0</v>
      </c>
      <c r="G17" s="214"/>
    </row>
    <row r="18" spans="1:7" ht="14.25">
      <c r="A18" s="266"/>
      <c r="B18" s="267"/>
      <c r="C18" s="267"/>
      <c r="D18" s="267"/>
      <c r="E18" s="267"/>
      <c r="F18" s="268"/>
      <c r="G18" s="214"/>
    </row>
    <row r="19" spans="1:7" ht="14.25">
      <c r="A19" s="240" t="str">
        <f>XS_Analyzer!G44</f>
        <v>Froude</v>
      </c>
      <c r="B19" s="241">
        <f>XS_Analyzer!H44</f>
        <v>0.25473657350695739</v>
      </c>
      <c r="C19" s="241">
        <f>XS_Analyzer!I44</f>
        <v>0</v>
      </c>
      <c r="D19" s="241">
        <f>XS_Analyzer!J44</f>
        <v>0.25473657350695739</v>
      </c>
      <c r="E19" s="241">
        <f>XS_Analyzer!K44</f>
        <v>0</v>
      </c>
      <c r="F19" s="242">
        <f>XS_Analyzer!L44</f>
        <v>0</v>
      </c>
      <c r="G19" s="214"/>
    </row>
    <row r="20" spans="1:7" ht="14.25">
      <c r="A20" s="240" t="str">
        <f>XS_Analyzer!G45</f>
        <v>V head (ft)</v>
      </c>
      <c r="B20" s="241">
        <f>XS_Analyzer!H45</f>
        <v>0.11355876329361467</v>
      </c>
      <c r="C20" s="241">
        <f>XS_Analyzer!I45</f>
        <v>0</v>
      </c>
      <c r="D20" s="241">
        <f>XS_Analyzer!J45</f>
        <v>0.11355876329361467</v>
      </c>
      <c r="E20" s="241">
        <f>XS_Analyzer!K45</f>
        <v>0</v>
      </c>
      <c r="F20" s="242">
        <f>XS_Analyzer!L45</f>
        <v>0</v>
      </c>
      <c r="G20" s="214"/>
    </row>
    <row r="21" spans="1:7" ht="15" thickBot="1">
      <c r="A21" s="243" t="str">
        <f>XS_Analyzer!G46</f>
        <v>Sp. Energy (ft)</v>
      </c>
      <c r="B21" s="244">
        <f>XS_Analyzer!H46</f>
        <v>5.1135587632936144</v>
      </c>
      <c r="C21" s="244">
        <f>XS_Analyzer!I46</f>
        <v>5</v>
      </c>
      <c r="D21" s="244">
        <f>XS_Analyzer!J46</f>
        <v>5.1135587632936144</v>
      </c>
      <c r="E21" s="244">
        <f>XS_Analyzer!K46</f>
        <v>5</v>
      </c>
      <c r="F21" s="245">
        <f>XS_Analyzer!L46</f>
        <v>5</v>
      </c>
      <c r="G21" s="214"/>
    </row>
    <row r="22" spans="1:7" ht="15">
      <c r="A22" s="215"/>
      <c r="B22" s="215"/>
      <c r="C22" s="215"/>
      <c r="D22" s="215"/>
      <c r="E22" s="215"/>
      <c r="F22" s="215"/>
      <c r="G22" s="214"/>
    </row>
    <row r="23" spans="1:7" ht="15">
      <c r="A23" s="215"/>
      <c r="B23" s="215"/>
      <c r="C23" s="215"/>
      <c r="D23" s="215"/>
      <c r="E23" s="215"/>
      <c r="F23" s="215"/>
      <c r="G23" s="214"/>
    </row>
    <row r="24" spans="1:7" ht="15">
      <c r="A24" s="215"/>
      <c r="B24" s="215"/>
      <c r="C24" s="215"/>
      <c r="D24" s="215"/>
      <c r="E24" s="215"/>
      <c r="F24" s="215"/>
      <c r="G24" s="214"/>
    </row>
    <row r="25" spans="1:7" ht="15">
      <c r="A25" s="215"/>
      <c r="B25" s="215"/>
      <c r="C25" s="215"/>
      <c r="D25" s="215"/>
      <c r="E25" s="215"/>
      <c r="F25" s="215"/>
      <c r="G25" s="214"/>
    </row>
    <row r="26" spans="1:7" ht="15">
      <c r="A26" s="215"/>
      <c r="B26" s="215"/>
      <c r="C26" s="215"/>
      <c r="D26" s="215"/>
      <c r="E26" s="215"/>
      <c r="F26" s="215"/>
      <c r="G26" s="214"/>
    </row>
    <row r="27" spans="1:7" ht="15">
      <c r="A27" s="215"/>
      <c r="B27" s="215"/>
      <c r="C27" s="215"/>
      <c r="D27" s="215"/>
      <c r="E27" s="215"/>
      <c r="F27" s="215"/>
      <c r="G27" s="214"/>
    </row>
    <row r="28" spans="1:7" ht="15">
      <c r="A28" s="215"/>
      <c r="B28" s="215"/>
      <c r="C28" s="215"/>
      <c r="D28" s="215"/>
      <c r="E28" s="215"/>
      <c r="F28" s="215"/>
      <c r="G28" s="214"/>
    </row>
    <row r="29" spans="1:7">
      <c r="A29" s="214"/>
      <c r="B29" s="214"/>
      <c r="C29" s="214"/>
      <c r="D29" s="214"/>
      <c r="E29" s="214"/>
      <c r="F29" s="214"/>
      <c r="G29" s="214"/>
    </row>
    <row r="30" spans="1:7">
      <c r="A30" s="214"/>
      <c r="B30" s="214"/>
      <c r="C30" s="214"/>
      <c r="D30" s="214"/>
      <c r="E30" s="214"/>
      <c r="F30" s="214"/>
      <c r="G30" s="214"/>
    </row>
    <row r="31" spans="1:7">
      <c r="A31" s="214"/>
      <c r="B31" s="214"/>
      <c r="C31" s="214"/>
      <c r="D31" s="214"/>
      <c r="E31" s="214"/>
      <c r="F31" s="214"/>
      <c r="G31" s="214"/>
    </row>
    <row r="32" spans="1:7">
      <c r="A32" s="214"/>
      <c r="B32" s="214"/>
      <c r="C32" s="214"/>
      <c r="D32" s="214"/>
      <c r="E32" s="214"/>
      <c r="F32" s="214"/>
      <c r="G32" s="214"/>
    </row>
    <row r="33" spans="1:7">
      <c r="A33" s="214"/>
      <c r="B33" s="214"/>
      <c r="C33" s="214"/>
      <c r="D33" s="214"/>
      <c r="E33" s="214"/>
      <c r="F33" s="214"/>
      <c r="G33" s="214"/>
    </row>
    <row r="34" spans="1:7">
      <c r="A34" s="214"/>
      <c r="B34" s="214"/>
      <c r="C34" s="214"/>
      <c r="D34" s="214"/>
      <c r="E34" s="214"/>
      <c r="F34" s="214"/>
      <c r="G34" s="214"/>
    </row>
    <row r="35" spans="1:7">
      <c r="A35" s="214"/>
      <c r="B35" s="214"/>
      <c r="C35" s="214"/>
      <c r="D35" s="214"/>
      <c r="E35" s="214"/>
      <c r="F35" s="214"/>
      <c r="G35" s="214"/>
    </row>
    <row r="36" spans="1:7">
      <c r="A36" s="214"/>
      <c r="B36" s="214"/>
      <c r="C36" s="214"/>
      <c r="D36" s="214"/>
      <c r="E36" s="214"/>
      <c r="F36" s="214"/>
      <c r="G36" s="214"/>
    </row>
    <row r="37" spans="1:7">
      <c r="A37" s="214"/>
      <c r="B37" s="214"/>
      <c r="C37" s="214"/>
      <c r="D37" s="214"/>
      <c r="E37" s="214"/>
      <c r="F37" s="214"/>
      <c r="G37" s="214"/>
    </row>
  </sheetData>
  <mergeCells count="4">
    <mergeCell ref="A7:F7"/>
    <mergeCell ref="A18:F18"/>
    <mergeCell ref="A1:F1"/>
    <mergeCell ref="A14:F14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5519-7FAF-4D83-AE2E-C14AD0CEC70B}">
  <sheetPr codeName="Sheet5">
    <pageSetUpPr fitToPage="1"/>
  </sheetPr>
  <dimension ref="A1:H44"/>
  <sheetViews>
    <sheetView workbookViewId="0">
      <pane ySplit="2" topLeftCell="A3" activePane="bottomLeft" state="frozen"/>
      <selection pane="bottomLeft" activeCell="D52" sqref="D52"/>
    </sheetView>
  </sheetViews>
  <sheetFormatPr defaultRowHeight="12.75"/>
  <cols>
    <col min="1" max="1" width="26.28515625" customWidth="1"/>
    <col min="2" max="6" width="15.7109375" customWidth="1"/>
  </cols>
  <sheetData>
    <row r="1" spans="1:8" ht="24" customHeight="1" thickBot="1">
      <c r="A1" s="269" t="s">
        <v>554</v>
      </c>
      <c r="B1" s="269"/>
      <c r="C1" s="269"/>
      <c r="D1" s="269"/>
      <c r="E1" s="269"/>
      <c r="F1" s="269"/>
      <c r="G1" s="214"/>
      <c r="H1" s="214"/>
    </row>
    <row r="2" spans="1:8" ht="15.75" thickBot="1">
      <c r="A2" s="224"/>
      <c r="B2" s="232" t="str">
        <f>XS_Analyzer!H70</f>
        <v>XS Average</v>
      </c>
      <c r="C2" s="232" t="str">
        <f>XS_Analyzer!I70</f>
        <v>IB/Low Flow</v>
      </c>
      <c r="D2" s="232" t="str">
        <f>XS_Analyzer!J70</f>
        <v>Main Channel</v>
      </c>
      <c r="E2" s="232" t="str">
        <f>XS_Analyzer!K70</f>
        <v>LOB</v>
      </c>
      <c r="F2" s="233" t="str">
        <f>XS_Analyzer!L70</f>
        <v>ROB</v>
      </c>
      <c r="G2" s="214"/>
      <c r="H2" s="214"/>
    </row>
    <row r="3" spans="1:8">
      <c r="A3" s="257"/>
      <c r="B3" s="258"/>
      <c r="C3" s="258"/>
      <c r="D3" s="258"/>
      <c r="E3" s="258"/>
      <c r="F3" s="259"/>
      <c r="G3" s="214"/>
      <c r="H3" s="214"/>
    </row>
    <row r="4" spans="1:8" ht="15.75" thickBot="1">
      <c r="A4" s="275" t="s">
        <v>543</v>
      </c>
      <c r="B4" s="276"/>
      <c r="C4" s="276"/>
      <c r="D4" s="276"/>
      <c r="E4" s="276"/>
      <c r="F4" s="277"/>
      <c r="G4" s="214"/>
      <c r="H4" s="214"/>
    </row>
    <row r="5" spans="1:8" ht="12.75" customHeight="1" thickBot="1">
      <c r="A5" s="255"/>
      <c r="B5" s="250">
        <f>XS_Analyzer!H71</f>
        <v>1.5319206369947185</v>
      </c>
      <c r="C5" s="250">
        <f>XS_Analyzer!I71</f>
        <v>0</v>
      </c>
      <c r="D5" s="250">
        <f>XS_Analyzer!J71</f>
        <v>1.5319206369947185</v>
      </c>
      <c r="E5" s="250">
        <f>XS_Analyzer!K71</f>
        <v>0</v>
      </c>
      <c r="F5" s="251">
        <f>XS_Analyzer!L71</f>
        <v>0</v>
      </c>
      <c r="G5" s="222"/>
      <c r="H5" s="214"/>
    </row>
    <row r="6" spans="1:8" ht="18.75" customHeight="1">
      <c r="A6" s="256"/>
      <c r="B6" s="273" t="s">
        <v>560</v>
      </c>
      <c r="C6" s="273"/>
      <c r="D6" s="273"/>
      <c r="E6" s="273"/>
      <c r="F6" s="274"/>
      <c r="G6" s="222"/>
      <c r="H6" s="214"/>
    </row>
    <row r="7" spans="1:8">
      <c r="A7" s="260" t="str">
        <f>XS_Analyzer!G72</f>
        <v>Andrews 1983</v>
      </c>
      <c r="B7" s="246">
        <f>XS_Analyzer!H72</f>
        <v>7.0545965090897429</v>
      </c>
      <c r="C7" s="246">
        <f>XS_Analyzer!I72</f>
        <v>0</v>
      </c>
      <c r="D7" s="246">
        <f>XS_Analyzer!J72</f>
        <v>7.0545965090897429</v>
      </c>
      <c r="E7" s="246">
        <f>XS_Analyzer!K72</f>
        <v>0</v>
      </c>
      <c r="F7" s="247">
        <f>XS_Analyzer!L72</f>
        <v>0</v>
      </c>
      <c r="G7" s="223"/>
      <c r="H7" s="214"/>
    </row>
    <row r="8" spans="1:8">
      <c r="A8" s="260" t="str">
        <f>XS_Analyzer!G73</f>
        <v>Shields 1936</v>
      </c>
      <c r="B8" s="246">
        <f>XS_Analyzer!H73</f>
        <v>3.967678417494739</v>
      </c>
      <c r="C8" s="246">
        <f>XS_Analyzer!I73</f>
        <v>0</v>
      </c>
      <c r="D8" s="246">
        <f>XS_Analyzer!J73</f>
        <v>3.967678417494739</v>
      </c>
      <c r="E8" s="246">
        <f>XS_Analyzer!K73</f>
        <v>0</v>
      </c>
      <c r="F8" s="247">
        <f>XS_Analyzer!L73</f>
        <v>0</v>
      </c>
      <c r="G8" s="223"/>
      <c r="H8" s="214"/>
    </row>
    <row r="9" spans="1:8">
      <c r="A9" s="260" t="str">
        <f>XS_Analyzer!G74</f>
        <v>Leo, Wol, Mill 1964</v>
      </c>
      <c r="B9" s="246">
        <f>XS_Analyzer!H74</f>
        <v>6.9274438788656623</v>
      </c>
      <c r="C9" s="246">
        <f>XS_Analyzer!I74</f>
        <v>0</v>
      </c>
      <c r="D9" s="246">
        <f>XS_Analyzer!J74</f>
        <v>6.9274438788656623</v>
      </c>
      <c r="E9" s="246">
        <f>XS_Analyzer!K74</f>
        <v>0</v>
      </c>
      <c r="F9" s="247">
        <f>XS_Analyzer!L74</f>
        <v>0</v>
      </c>
      <c r="G9" s="223"/>
      <c r="H9" s="214"/>
    </row>
    <row r="10" spans="1:8">
      <c r="A10" s="260" t="str">
        <f>XS_Analyzer!G75</f>
        <v>Rosgen CO</v>
      </c>
      <c r="B10" s="246">
        <f>XS_Analyzer!H75</f>
        <v>10.631329006682227</v>
      </c>
      <c r="C10" s="246">
        <f>XS_Analyzer!I75</f>
        <v>0</v>
      </c>
      <c r="D10" s="246">
        <f>XS_Analyzer!J75</f>
        <v>10.631329006682227</v>
      </c>
      <c r="E10" s="246">
        <f>XS_Analyzer!K75</f>
        <v>0</v>
      </c>
      <c r="F10" s="247">
        <f>XS_Analyzer!L75</f>
        <v>0</v>
      </c>
      <c r="G10" s="223"/>
      <c r="H10" s="214"/>
    </row>
    <row r="11" spans="1:8">
      <c r="A11" s="260" t="str">
        <f>XS_Analyzer!G76</f>
        <v>USFWS 2008</v>
      </c>
      <c r="B11" s="246">
        <f>XS_Analyzer!H76</f>
        <v>5.0349574136621662</v>
      </c>
      <c r="C11" s="246">
        <f>XS_Analyzer!I76</f>
        <v>0</v>
      </c>
      <c r="D11" s="246">
        <f>XS_Analyzer!J76</f>
        <v>5.0349574136621662</v>
      </c>
      <c r="E11" s="246">
        <f>XS_Analyzer!K76</f>
        <v>0</v>
      </c>
      <c r="F11" s="247">
        <f>XS_Analyzer!L76</f>
        <v>0</v>
      </c>
      <c r="G11" s="223"/>
      <c r="H11" s="214"/>
    </row>
    <row r="12" spans="1:8" ht="13.5" thickBot="1">
      <c r="A12" s="261" t="str">
        <f>XS_Analyzer!G77</f>
        <v>Fischenich 2001</v>
      </c>
      <c r="B12" s="248">
        <f>XS_Analyzer!H77</f>
        <v>5.0997519906084952</v>
      </c>
      <c r="C12" s="248">
        <f>XS_Analyzer!I77</f>
        <v>1.5E-3</v>
      </c>
      <c r="D12" s="248">
        <f>XS_Analyzer!J77</f>
        <v>5.0997519906084952</v>
      </c>
      <c r="E12" s="248">
        <f>XS_Analyzer!K77</f>
        <v>1.5E-3</v>
      </c>
      <c r="F12" s="249">
        <f>XS_Analyzer!L77</f>
        <v>1.5E-3</v>
      </c>
      <c r="G12" s="223"/>
      <c r="H12" s="214"/>
    </row>
    <row r="13" spans="1:8">
      <c r="A13" s="225"/>
      <c r="B13" s="226"/>
      <c r="C13" s="226"/>
      <c r="D13" s="226"/>
      <c r="E13" s="226"/>
      <c r="F13" s="227"/>
      <c r="G13" s="214"/>
      <c r="H13" s="214"/>
    </row>
    <row r="14" spans="1:8" ht="15.75" thickBot="1">
      <c r="A14" s="275" t="s">
        <v>542</v>
      </c>
      <c r="B14" s="276"/>
      <c r="C14" s="276"/>
      <c r="D14" s="276"/>
      <c r="E14" s="276"/>
      <c r="F14" s="277"/>
      <c r="G14" s="214"/>
      <c r="H14" s="214"/>
    </row>
    <row r="15" spans="1:8" ht="13.5" thickBot="1">
      <c r="A15" s="255"/>
      <c r="B15" s="250">
        <f>XS_Analyzer!H80</f>
        <v>2.7042899911268363</v>
      </c>
      <c r="C15" s="250">
        <f>XS_Analyzer!I80</f>
        <v>0</v>
      </c>
      <c r="D15" s="250">
        <f>XS_Analyzer!J80</f>
        <v>2.7042899911268363</v>
      </c>
      <c r="E15" s="250">
        <f>XS_Analyzer!K80</f>
        <v>0</v>
      </c>
      <c r="F15" s="251">
        <f>XS_Analyzer!L80</f>
        <v>0</v>
      </c>
      <c r="G15" s="214"/>
      <c r="H15" s="214"/>
    </row>
    <row r="16" spans="1:8" ht="18" customHeight="1">
      <c r="A16" s="256"/>
      <c r="B16" s="273" t="s">
        <v>559</v>
      </c>
      <c r="C16" s="273"/>
      <c r="D16" s="273"/>
      <c r="E16" s="273"/>
      <c r="F16" s="274"/>
      <c r="G16" s="214"/>
      <c r="H16" s="214"/>
    </row>
    <row r="17" spans="1:8">
      <c r="A17" s="260" t="str">
        <f>XS_Analyzer!G81</f>
        <v>NRCS Handbook</v>
      </c>
      <c r="B17" s="228" t="str">
        <f>XS_Analyzer!H81</f>
        <v>Fine Gravel</v>
      </c>
      <c r="C17" s="228" t="str">
        <f>XS_Analyzer!I81</f>
        <v>Fine Sand</v>
      </c>
      <c r="D17" s="228" t="str">
        <f>XS_Analyzer!J81</f>
        <v>Fine Gravel</v>
      </c>
      <c r="E17" s="228" t="str">
        <f>XS_Analyzer!K81</f>
        <v>Fine Sand</v>
      </c>
      <c r="F17" s="229" t="str">
        <f>XS_Analyzer!L81</f>
        <v>Fine Sand</v>
      </c>
      <c r="G17" s="214"/>
      <c r="H17" s="214"/>
    </row>
    <row r="18" spans="1:8">
      <c r="A18" s="260" t="str">
        <f>XS_Analyzer!G82</f>
        <v>Fischenich 2001</v>
      </c>
      <c r="B18" s="228" t="str">
        <f>XS_Analyzer!H82</f>
        <v>1" Gravel</v>
      </c>
      <c r="C18" s="228" t="str">
        <f>XS_Analyzer!I82</f>
        <v>Fine Sand</v>
      </c>
      <c r="D18" s="228" t="str">
        <f>XS_Analyzer!J82</f>
        <v>1" Gravel</v>
      </c>
      <c r="E18" s="228" t="str">
        <f>XS_Analyzer!K82</f>
        <v>Fine Sand</v>
      </c>
      <c r="F18" s="229" t="str">
        <f>XS_Analyzer!L82</f>
        <v>Fine Sand</v>
      </c>
      <c r="G18" s="214"/>
      <c r="H18" s="214"/>
    </row>
    <row r="19" spans="1:8" ht="13.5" thickBot="1">
      <c r="A19" s="261" t="str">
        <f>XS_Analyzer!G83</f>
        <v>VDOT</v>
      </c>
      <c r="B19" s="230" t="str">
        <f>XS_Analyzer!H83</f>
        <v>Fine Gravel</v>
      </c>
      <c r="C19" s="230" t="str">
        <f>XS_Analyzer!I83</f>
        <v>Fine Sand</v>
      </c>
      <c r="D19" s="230" t="str">
        <f>XS_Analyzer!J83</f>
        <v>Fine Gravel</v>
      </c>
      <c r="E19" s="230" t="str">
        <f>XS_Analyzer!K83</f>
        <v>Fine Sand</v>
      </c>
      <c r="F19" s="231" t="str">
        <f>XS_Analyzer!L83</f>
        <v>Fine Sand</v>
      </c>
      <c r="G19" s="214"/>
      <c r="H19" s="214"/>
    </row>
    <row r="20" spans="1:8">
      <c r="A20" s="225"/>
      <c r="B20" s="226"/>
      <c r="C20" s="226"/>
      <c r="D20" s="226"/>
      <c r="E20" s="226"/>
      <c r="F20" s="227"/>
      <c r="G20" s="214"/>
      <c r="H20" s="214"/>
    </row>
    <row r="21" spans="1:8" ht="15.75" thickBot="1">
      <c r="A21" s="275" t="s">
        <v>555</v>
      </c>
      <c r="B21" s="276"/>
      <c r="C21" s="276"/>
      <c r="D21" s="276"/>
      <c r="E21" s="276"/>
      <c r="F21" s="277"/>
      <c r="G21" s="214"/>
      <c r="H21" s="214"/>
    </row>
    <row r="22" spans="1:8" ht="13.5" thickBot="1">
      <c r="A22" s="255"/>
      <c r="B22" s="250">
        <f>XS_Analyzer!H86</f>
        <v>3.9131708978825612</v>
      </c>
      <c r="C22" s="250">
        <f>XS_Analyzer!I86</f>
        <v>0</v>
      </c>
      <c r="D22" s="250">
        <f>XS_Analyzer!J86</f>
        <v>3.9131708978825612</v>
      </c>
      <c r="E22" s="250">
        <f>XS_Analyzer!K86</f>
        <v>0</v>
      </c>
      <c r="F22" s="251">
        <f>XS_Analyzer!L86</f>
        <v>0</v>
      </c>
      <c r="G22" s="214"/>
      <c r="H22" s="214"/>
    </row>
    <row r="23" spans="1:8" ht="18" customHeight="1">
      <c r="A23" s="256"/>
      <c r="B23" s="273" t="s">
        <v>558</v>
      </c>
      <c r="C23" s="273"/>
      <c r="D23" s="273"/>
      <c r="E23" s="273"/>
      <c r="F23" s="274"/>
      <c r="G23" s="214"/>
      <c r="H23" s="214"/>
    </row>
    <row r="24" spans="1:8">
      <c r="A24" s="260" t="str">
        <f>XS_Analyzer!G87</f>
        <v>NRCS Handbook</v>
      </c>
      <c r="B24" s="228" t="str">
        <f>XS_Analyzer!H87</f>
        <v>Fine Gravel</v>
      </c>
      <c r="C24" s="228" t="str">
        <f>XS_Analyzer!I87</f>
        <v>Fine Sand</v>
      </c>
      <c r="D24" s="228" t="str">
        <f>XS_Analyzer!J87</f>
        <v>Fine Gravel</v>
      </c>
      <c r="E24" s="228" t="str">
        <f>XS_Analyzer!K87</f>
        <v>Fine Sand</v>
      </c>
      <c r="F24" s="229" t="str">
        <f>XS_Analyzer!L87</f>
        <v>Fine Sand</v>
      </c>
      <c r="G24" s="214"/>
      <c r="H24" s="214"/>
    </row>
    <row r="25" spans="1:8">
      <c r="A25" s="260" t="str">
        <f>XS_Analyzer!G88</f>
        <v>Fischenich 2001</v>
      </c>
      <c r="B25" s="228" t="str">
        <f>XS_Analyzer!H88</f>
        <v>1" Gravel</v>
      </c>
      <c r="C25" s="228" t="str">
        <f>XS_Analyzer!I88</f>
        <v>Fine Sand</v>
      </c>
      <c r="D25" s="228" t="str">
        <f>XS_Analyzer!J88</f>
        <v>1" Gravel</v>
      </c>
      <c r="E25" s="228" t="str">
        <f>XS_Analyzer!K88</f>
        <v>Fine Sand</v>
      </c>
      <c r="F25" s="229" t="str">
        <f>XS_Analyzer!L88</f>
        <v>Fine Sand</v>
      </c>
      <c r="G25" s="214"/>
      <c r="H25" s="214"/>
    </row>
    <row r="26" spans="1:8" ht="13.5" thickBot="1">
      <c r="A26" s="261" t="str">
        <f>XS_Analyzer!G89</f>
        <v>VDOT</v>
      </c>
      <c r="B26" s="230" t="str">
        <f>XS_Analyzer!H89</f>
        <v>Fine Gravel</v>
      </c>
      <c r="C26" s="230" t="str">
        <f>XS_Analyzer!I89</f>
        <v>Fine Sand</v>
      </c>
      <c r="D26" s="230" t="str">
        <f>XS_Analyzer!J89</f>
        <v>Fine Gravel</v>
      </c>
      <c r="E26" s="230" t="str">
        <f>XS_Analyzer!K89</f>
        <v>Fine Sand</v>
      </c>
      <c r="F26" s="231" t="str">
        <f>XS_Analyzer!L89</f>
        <v>Fine Sand</v>
      </c>
      <c r="G26" s="214"/>
      <c r="H26" s="214"/>
    </row>
    <row r="27" spans="1:8">
      <c r="A27" s="225"/>
      <c r="B27" s="226"/>
      <c r="C27" s="226"/>
      <c r="D27" s="226"/>
      <c r="E27" s="226"/>
      <c r="F27" s="227"/>
      <c r="G27" s="214"/>
      <c r="H27" s="214"/>
    </row>
    <row r="28" spans="1:8" ht="15.75" thickBot="1">
      <c r="A28" s="275" t="s">
        <v>556</v>
      </c>
      <c r="B28" s="276"/>
      <c r="C28" s="276"/>
      <c r="D28" s="276"/>
      <c r="E28" s="276"/>
      <c r="F28" s="277"/>
      <c r="G28" s="214"/>
      <c r="H28" s="214"/>
    </row>
    <row r="29" spans="1:8" ht="13.5" thickBot="1">
      <c r="A29" s="255"/>
      <c r="B29" s="250">
        <f>XS_Analyzer!H93</f>
        <v>2.6665491810600259</v>
      </c>
      <c r="C29" s="250">
        <f>XS_Analyzer!I93</f>
        <v>0</v>
      </c>
      <c r="D29" s="250">
        <f>XS_Analyzer!J93</f>
        <v>2.6665491810600259</v>
      </c>
      <c r="E29" s="250">
        <f>XS_Analyzer!K93</f>
        <v>0</v>
      </c>
      <c r="F29" s="251">
        <f>XS_Analyzer!L93</f>
        <v>0</v>
      </c>
      <c r="G29" s="214"/>
      <c r="H29" s="214"/>
    </row>
    <row r="30" spans="1:8" ht="18.75" customHeight="1">
      <c r="A30" s="256"/>
      <c r="B30" s="273" t="s">
        <v>557</v>
      </c>
      <c r="C30" s="273"/>
      <c r="D30" s="273"/>
      <c r="E30" s="273"/>
      <c r="F30" s="274"/>
      <c r="G30" s="214"/>
      <c r="H30" s="214"/>
    </row>
    <row r="31" spans="1:8">
      <c r="A31" s="260" t="str">
        <f>XS_Analyzer!G94</f>
        <v>Andrews 1983</v>
      </c>
      <c r="B31" s="246">
        <f>XS_Analyzer!H94</f>
        <v>12.279636483601355</v>
      </c>
      <c r="C31" s="246">
        <f>XS_Analyzer!I94</f>
        <v>0</v>
      </c>
      <c r="D31" s="246">
        <f>XS_Analyzer!J94</f>
        <v>12.279636483601355</v>
      </c>
      <c r="E31" s="246">
        <f>XS_Analyzer!K94</f>
        <v>0</v>
      </c>
      <c r="F31" s="247">
        <f>XS_Analyzer!L94</f>
        <v>0</v>
      </c>
      <c r="G31" s="214"/>
      <c r="H31" s="214"/>
    </row>
    <row r="32" spans="1:8">
      <c r="A32" s="260" t="str">
        <f>XS_Analyzer!G95</f>
        <v>Shields 1936</v>
      </c>
      <c r="B32" s="246">
        <f>XS_Analyzer!H95</f>
        <v>6.9063692853147529</v>
      </c>
      <c r="C32" s="246">
        <f>XS_Analyzer!I95</f>
        <v>0</v>
      </c>
      <c r="D32" s="246">
        <f>XS_Analyzer!J95</f>
        <v>6.9063692853147529</v>
      </c>
      <c r="E32" s="246">
        <f>XS_Analyzer!K95</f>
        <v>0</v>
      </c>
      <c r="F32" s="247">
        <f>XS_Analyzer!L95</f>
        <v>0</v>
      </c>
      <c r="G32" s="214"/>
      <c r="H32" s="214"/>
    </row>
    <row r="33" spans="1:8">
      <c r="A33" s="260" t="str">
        <f>XS_Analyzer!G96</f>
        <v>Leo, Wol, Mill 1964</v>
      </c>
      <c r="B33" s="246">
        <f>XS_Analyzer!H96</f>
        <v>10.045715127288357</v>
      </c>
      <c r="C33" s="246">
        <f>XS_Analyzer!I96</f>
        <v>10.045715127288357</v>
      </c>
      <c r="D33" s="246">
        <f>XS_Analyzer!J96</f>
        <v>10.045715127288357</v>
      </c>
      <c r="E33" s="246">
        <f>XS_Analyzer!K96</f>
        <v>3.8665832869163288</v>
      </c>
      <c r="F33" s="247">
        <f>XS_Analyzer!L96</f>
        <v>0</v>
      </c>
      <c r="G33" s="214"/>
      <c r="H33" s="214"/>
    </row>
    <row r="34" spans="1:8">
      <c r="A34" s="260" t="str">
        <f>XS_Analyzer!G97</f>
        <v>Rosgen CO</v>
      </c>
      <c r="B34" s="246">
        <f>XS_Analyzer!H97</f>
        <v>13.820315260092515</v>
      </c>
      <c r="C34" s="246">
        <f>XS_Analyzer!I97</f>
        <v>13.820315260092515</v>
      </c>
      <c r="D34" s="246">
        <f>XS_Analyzer!J97</f>
        <v>13.820315260092515</v>
      </c>
      <c r="E34" s="246">
        <f>XS_Analyzer!K97</f>
        <v>7.0442226363618587</v>
      </c>
      <c r="F34" s="247">
        <f>XS_Analyzer!L97</f>
        <v>0</v>
      </c>
      <c r="G34" s="214"/>
      <c r="H34" s="214"/>
    </row>
    <row r="35" spans="1:8">
      <c r="A35" s="260" t="str">
        <f>XS_Analyzer!G98</f>
        <v>USFWS 2008</v>
      </c>
      <c r="B35" s="246">
        <f>XS_Analyzer!H98</f>
        <v>8.6184556581988616</v>
      </c>
      <c r="C35" s="246">
        <f>XS_Analyzer!I98</f>
        <v>0</v>
      </c>
      <c r="D35" s="246">
        <f>XS_Analyzer!J98</f>
        <v>8.6184556581988616</v>
      </c>
      <c r="E35" s="246">
        <f>XS_Analyzer!K98</f>
        <v>0</v>
      </c>
      <c r="F35" s="247">
        <f>XS_Analyzer!L98</f>
        <v>0</v>
      </c>
      <c r="G35" s="214"/>
      <c r="H35" s="214"/>
    </row>
    <row r="36" spans="1:8" ht="13.5" thickBot="1">
      <c r="A36" s="261" t="str">
        <f>XS_Analyzer!G99</f>
        <v>Fischenich 2001</v>
      </c>
      <c r="B36" s="248">
        <f>XS_Analyzer!H99</f>
        <v>8.6454661908125807</v>
      </c>
      <c r="C36" s="248">
        <f>XS_Analyzer!I99</f>
        <v>1.5E-3</v>
      </c>
      <c r="D36" s="248">
        <f>XS_Analyzer!J99</f>
        <v>8.6454661908125807</v>
      </c>
      <c r="E36" s="248">
        <f>XS_Analyzer!K99</f>
        <v>1.5E-3</v>
      </c>
      <c r="F36" s="249">
        <f>XS_Analyzer!L99</f>
        <v>1.5E-3</v>
      </c>
      <c r="G36" s="214"/>
      <c r="H36" s="214"/>
    </row>
    <row r="37" spans="1:8">
      <c r="A37" s="214"/>
      <c r="B37" s="214"/>
      <c r="C37" s="214"/>
      <c r="D37" s="214"/>
      <c r="E37" s="214"/>
      <c r="F37" s="214"/>
      <c r="G37" s="214"/>
      <c r="H37" s="214"/>
    </row>
    <row r="38" spans="1:8">
      <c r="A38" s="214"/>
      <c r="B38" s="214"/>
      <c r="C38" s="214"/>
      <c r="D38" s="214"/>
      <c r="E38" s="214"/>
      <c r="F38" s="214"/>
      <c r="G38" s="214"/>
      <c r="H38" s="214"/>
    </row>
    <row r="39" spans="1:8">
      <c r="A39" s="214"/>
      <c r="B39" s="214"/>
      <c r="C39" s="214"/>
      <c r="D39" s="214"/>
      <c r="E39" s="214"/>
      <c r="F39" s="214"/>
      <c r="G39" s="214"/>
      <c r="H39" s="214"/>
    </row>
    <row r="40" spans="1:8">
      <c r="A40" s="214"/>
      <c r="B40" s="214"/>
      <c r="C40" s="214"/>
      <c r="D40" s="214"/>
      <c r="E40" s="214"/>
      <c r="F40" s="214"/>
      <c r="G40" s="214"/>
      <c r="H40" s="214"/>
    </row>
    <row r="41" spans="1:8">
      <c r="A41" s="214"/>
      <c r="B41" s="214"/>
      <c r="C41" s="214"/>
      <c r="D41" s="214"/>
      <c r="E41" s="214"/>
      <c r="F41" s="214"/>
    </row>
    <row r="42" spans="1:8">
      <c r="A42" s="214"/>
      <c r="B42" s="214"/>
      <c r="C42" s="214"/>
      <c r="D42" s="214"/>
      <c r="E42" s="214"/>
      <c r="F42" s="214"/>
    </row>
    <row r="43" spans="1:8">
      <c r="A43" s="214"/>
      <c r="B43" s="214"/>
      <c r="C43" s="214"/>
      <c r="D43" s="214"/>
      <c r="E43" s="214"/>
      <c r="F43" s="214"/>
    </row>
    <row r="44" spans="1:8">
      <c r="A44" s="214"/>
      <c r="B44" s="214"/>
      <c r="C44" s="214"/>
      <c r="D44" s="214"/>
      <c r="E44" s="214"/>
      <c r="F44" s="214"/>
    </row>
  </sheetData>
  <mergeCells count="9">
    <mergeCell ref="B30:F30"/>
    <mergeCell ref="A21:F21"/>
    <mergeCell ref="A28:F28"/>
    <mergeCell ref="A1:F1"/>
    <mergeCell ref="A4:F4"/>
    <mergeCell ref="A14:F14"/>
    <mergeCell ref="B6:F6"/>
    <mergeCell ref="B16:F16"/>
    <mergeCell ref="B23:F23"/>
  </mergeCells>
  <pageMargins left="0.7" right="0.7" top="0.75" bottom="0.75" header="0.3" footer="0.3"/>
  <pageSetup scale="88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R101"/>
  <sheetViews>
    <sheetView zoomScaleNormal="100" workbookViewId="0"/>
  </sheetViews>
  <sheetFormatPr defaultRowHeight="12.75"/>
  <cols>
    <col min="1" max="1" width="10.5703125" bestFit="1" customWidth="1"/>
    <col min="2" max="2" width="12.5703125" bestFit="1" customWidth="1"/>
    <col min="3" max="3" width="11.85546875" customWidth="1"/>
    <col min="4" max="4" width="10.140625" bestFit="1" customWidth="1"/>
    <col min="7" max="7" width="8.28515625" customWidth="1"/>
    <col min="8" max="8" width="13.7109375" bestFit="1" customWidth="1"/>
    <col min="9" max="9" width="20.28515625" bestFit="1" customWidth="1"/>
    <col min="11" max="11" width="20.140625" customWidth="1"/>
    <col min="14" max="14" width="24.28515625" bestFit="1" customWidth="1"/>
    <col min="17" max="17" width="15.140625" bestFit="1" customWidth="1"/>
    <col min="18" max="18" width="16.28515625" bestFit="1" customWidth="1"/>
    <col min="19" max="19" width="14.5703125" bestFit="1" customWidth="1"/>
    <col min="20" max="20" width="16.140625" bestFit="1" customWidth="1"/>
    <col min="21" max="21" width="17" customWidth="1"/>
    <col min="22" max="22" width="15.5703125" bestFit="1" customWidth="1"/>
    <col min="23" max="23" width="14.5703125" bestFit="1" customWidth="1"/>
    <col min="26" max="26" width="13.85546875" bestFit="1" customWidth="1"/>
    <col min="27" max="27" width="15.42578125" customWidth="1"/>
  </cols>
  <sheetData>
    <row r="1" spans="1:44" ht="15">
      <c r="A1" s="110" t="s">
        <v>1</v>
      </c>
      <c r="B1" s="110" t="s">
        <v>105</v>
      </c>
      <c r="C1" s="35" t="s">
        <v>71</v>
      </c>
      <c r="D1" s="263" t="s">
        <v>563</v>
      </c>
      <c r="E1" s="30" t="s">
        <v>160</v>
      </c>
      <c r="F1" s="30"/>
      <c r="G1" s="30"/>
      <c r="H1" s="30"/>
      <c r="N1" t="s">
        <v>462</v>
      </c>
      <c r="O1" t="s">
        <v>103</v>
      </c>
      <c r="Q1" t="s">
        <v>103</v>
      </c>
      <c r="R1" t="s">
        <v>303</v>
      </c>
      <c r="T1" t="s">
        <v>221</v>
      </c>
      <c r="U1" t="s">
        <v>458</v>
      </c>
      <c r="W1" t="s">
        <v>423</v>
      </c>
      <c r="X1" t="s">
        <v>502</v>
      </c>
      <c r="Z1" t="s">
        <v>304</v>
      </c>
      <c r="AA1" t="s">
        <v>320</v>
      </c>
    </row>
    <row r="2" spans="1:44">
      <c r="A2" s="92">
        <v>1</v>
      </c>
      <c r="B2" s="92">
        <v>3</v>
      </c>
      <c r="C2" s="92">
        <v>0.1</v>
      </c>
      <c r="D2" s="92" t="str">
        <f>IFERROR(INDEX($I$3:$I$11,MATCH(A2,$H$3:$H$11,0),1),NA())</f>
        <v>Left Bank</v>
      </c>
      <c r="E2" s="262" t="s">
        <v>227</v>
      </c>
      <c r="F2" s="35" t="s">
        <v>4</v>
      </c>
      <c r="G2" s="30"/>
      <c r="H2" s="35" t="s">
        <v>463</v>
      </c>
      <c r="I2" s="35" t="s">
        <v>321</v>
      </c>
      <c r="K2" s="2" t="s">
        <v>182</v>
      </c>
      <c r="O2" t="s">
        <v>221</v>
      </c>
      <c r="R2" t="s">
        <v>181</v>
      </c>
      <c r="X2" t="s">
        <v>459</v>
      </c>
      <c r="AG2" t="s">
        <v>423</v>
      </c>
      <c r="AK2" t="s">
        <v>260</v>
      </c>
      <c r="AN2" t="s">
        <v>302</v>
      </c>
      <c r="AP2" t="s">
        <v>32</v>
      </c>
      <c r="AR2" t="s">
        <v>320</v>
      </c>
    </row>
    <row r="3" spans="1:44">
      <c r="A3" s="92">
        <v>5</v>
      </c>
      <c r="B3" s="92">
        <v>0</v>
      </c>
      <c r="C3" s="92" t="e">
        <f t="shared" ref="C3:C101" si="0">NA()</f>
        <v>#N/A</v>
      </c>
      <c r="D3" s="92" t="str">
        <f t="shared" ref="D3:D66" si="1">IFERROR(INDEX($I$3:$I$11,MATCH(A3,$H$3:$H$11,0),1),NA())</f>
        <v>Thalweg</v>
      </c>
      <c r="E3" s="262">
        <v>0</v>
      </c>
      <c r="F3" s="35">
        <v>90</v>
      </c>
      <c r="G3" s="30"/>
      <c r="H3" s="35"/>
      <c r="I3" s="35" t="s">
        <v>84</v>
      </c>
      <c r="K3" s="2" t="s">
        <v>181</v>
      </c>
      <c r="R3" t="s">
        <v>461</v>
      </c>
      <c r="AF3" t="s">
        <v>502</v>
      </c>
      <c r="AG3" t="s">
        <v>459</v>
      </c>
      <c r="AJ3" t="s">
        <v>534</v>
      </c>
    </row>
    <row r="4" spans="1:44">
      <c r="A4" s="92">
        <v>10</v>
      </c>
      <c r="B4" s="92">
        <v>3</v>
      </c>
      <c r="C4" s="92" t="e">
        <f t="shared" ref="A4:C101" si="2">NA()</f>
        <v>#N/A</v>
      </c>
      <c r="D4" s="92" t="str">
        <f t="shared" si="1"/>
        <v>Right Bank</v>
      </c>
      <c r="E4" s="30"/>
      <c r="F4" s="30"/>
      <c r="G4" s="30"/>
      <c r="H4" s="35"/>
      <c r="I4" s="35" t="s">
        <v>439</v>
      </c>
      <c r="K4" s="30"/>
      <c r="R4" t="s">
        <v>460</v>
      </c>
    </row>
    <row r="5" spans="1:44">
      <c r="A5" s="92" t="e">
        <f>NA()</f>
        <v>#N/A</v>
      </c>
      <c r="B5" s="92" t="e">
        <f t="shared" si="2"/>
        <v>#N/A</v>
      </c>
      <c r="C5" s="92" t="e">
        <f t="shared" si="0"/>
        <v>#N/A</v>
      </c>
      <c r="D5" s="92" t="e">
        <f t="shared" si="1"/>
        <v>#N/A</v>
      </c>
      <c r="E5" s="30"/>
      <c r="F5" s="30"/>
      <c r="G5" s="30"/>
      <c r="H5" s="35">
        <v>1</v>
      </c>
      <c r="I5" s="35" t="s">
        <v>504</v>
      </c>
      <c r="R5" t="s">
        <v>133</v>
      </c>
    </row>
    <row r="6" spans="1:44">
      <c r="A6" s="92" t="e">
        <f t="shared" si="2"/>
        <v>#N/A</v>
      </c>
      <c r="B6" s="92" t="e">
        <f t="shared" si="2"/>
        <v>#N/A</v>
      </c>
      <c r="C6" s="92" t="e">
        <f t="shared" si="0"/>
        <v>#N/A</v>
      </c>
      <c r="D6" s="92" t="e">
        <f t="shared" si="1"/>
        <v>#N/A</v>
      </c>
      <c r="E6" s="262" t="s">
        <v>514</v>
      </c>
      <c r="F6" s="30"/>
      <c r="G6" s="30"/>
      <c r="H6" s="2"/>
      <c r="I6" s="35" t="s">
        <v>230</v>
      </c>
    </row>
    <row r="7" spans="1:44">
      <c r="A7" s="92" t="e">
        <f t="shared" si="2"/>
        <v>#N/A</v>
      </c>
      <c r="B7" s="92" t="e">
        <f t="shared" si="2"/>
        <v>#N/A</v>
      </c>
      <c r="C7" s="92" t="e">
        <f t="shared" si="0"/>
        <v>#N/A</v>
      </c>
      <c r="D7" s="92" t="e">
        <f t="shared" si="1"/>
        <v>#N/A</v>
      </c>
      <c r="E7" s="262">
        <v>0.01</v>
      </c>
      <c r="F7" s="30"/>
      <c r="G7" s="30"/>
      <c r="H7" s="35">
        <v>5</v>
      </c>
      <c r="I7" s="35" t="s">
        <v>371</v>
      </c>
    </row>
    <row r="8" spans="1:44">
      <c r="A8" s="92" t="e">
        <f t="shared" si="2"/>
        <v>#N/A</v>
      </c>
      <c r="B8" s="92" t="e">
        <f t="shared" si="2"/>
        <v>#N/A</v>
      </c>
      <c r="C8" s="92" t="e">
        <f t="shared" si="0"/>
        <v>#N/A</v>
      </c>
      <c r="D8" s="92" t="e">
        <f t="shared" si="1"/>
        <v>#N/A</v>
      </c>
      <c r="E8" s="30"/>
      <c r="F8" s="30"/>
      <c r="G8" s="30"/>
      <c r="H8" s="35"/>
      <c r="I8" s="35" t="s">
        <v>334</v>
      </c>
    </row>
    <row r="9" spans="1:44">
      <c r="A9" s="92" t="e">
        <f t="shared" si="2"/>
        <v>#N/A</v>
      </c>
      <c r="B9" s="92" t="e">
        <f t="shared" si="2"/>
        <v>#N/A</v>
      </c>
      <c r="C9" s="92" t="e">
        <f t="shared" si="0"/>
        <v>#N/A</v>
      </c>
      <c r="D9" s="92" t="e">
        <f t="shared" si="1"/>
        <v>#N/A</v>
      </c>
      <c r="E9" s="262" t="s">
        <v>453</v>
      </c>
      <c r="F9" s="30"/>
      <c r="G9" s="30"/>
      <c r="H9" s="2">
        <v>10</v>
      </c>
      <c r="I9" s="35" t="s">
        <v>262</v>
      </c>
      <c r="Q9" t="s">
        <v>303</v>
      </c>
      <c r="R9" t="s">
        <v>480</v>
      </c>
    </row>
    <row r="10" spans="1:44">
      <c r="A10" s="92" t="e">
        <f t="shared" si="2"/>
        <v>#N/A</v>
      </c>
      <c r="B10" s="92" t="e">
        <f t="shared" si="2"/>
        <v>#N/A</v>
      </c>
      <c r="C10" s="92" t="e">
        <f t="shared" si="0"/>
        <v>#N/A</v>
      </c>
      <c r="D10" s="92" t="e">
        <f t="shared" si="1"/>
        <v>#N/A</v>
      </c>
      <c r="E10" s="262">
        <v>5</v>
      </c>
      <c r="F10" s="30"/>
      <c r="G10" s="30"/>
      <c r="H10" s="35"/>
      <c r="I10" s="35" t="s">
        <v>44</v>
      </c>
      <c r="R10" t="s">
        <v>397</v>
      </c>
    </row>
    <row r="11" spans="1:44">
      <c r="A11" s="92" t="e">
        <f t="shared" si="2"/>
        <v>#N/A</v>
      </c>
      <c r="B11" s="92" t="e">
        <f t="shared" si="2"/>
        <v>#N/A</v>
      </c>
      <c r="C11" s="92" t="e">
        <f t="shared" si="0"/>
        <v>#N/A</v>
      </c>
      <c r="D11" s="92" t="e">
        <f t="shared" si="1"/>
        <v>#N/A</v>
      </c>
      <c r="E11" s="30"/>
      <c r="F11" s="30"/>
      <c r="G11" s="30"/>
      <c r="H11" s="35"/>
      <c r="I11" s="35" t="s">
        <v>193</v>
      </c>
      <c r="R11" t="s">
        <v>274</v>
      </c>
    </row>
    <row r="12" spans="1:44">
      <c r="A12" s="92" t="e">
        <f t="shared" si="2"/>
        <v>#N/A</v>
      </c>
      <c r="B12" s="92" t="e">
        <f t="shared" si="2"/>
        <v>#N/A</v>
      </c>
      <c r="C12" s="92" t="e">
        <f t="shared" si="0"/>
        <v>#N/A</v>
      </c>
      <c r="D12" s="92" t="e">
        <f t="shared" si="1"/>
        <v>#N/A</v>
      </c>
      <c r="E12" s="30"/>
      <c r="F12" s="30"/>
      <c r="G12" s="30"/>
      <c r="H12" s="30"/>
    </row>
    <row r="13" spans="1:44">
      <c r="A13" s="92" t="e">
        <f t="shared" si="2"/>
        <v>#N/A</v>
      </c>
      <c r="B13" s="92" t="e">
        <f t="shared" si="2"/>
        <v>#N/A</v>
      </c>
      <c r="C13" s="92" t="e">
        <f t="shared" si="0"/>
        <v>#N/A</v>
      </c>
      <c r="D13" s="92" t="e">
        <f t="shared" si="1"/>
        <v>#N/A</v>
      </c>
      <c r="H13" s="30"/>
      <c r="I13" s="35" t="s">
        <v>261</v>
      </c>
    </row>
    <row r="14" spans="1:44">
      <c r="A14" s="92" t="e">
        <f t="shared" si="2"/>
        <v>#N/A</v>
      </c>
      <c r="B14" s="92" t="e">
        <f t="shared" si="2"/>
        <v>#N/A</v>
      </c>
      <c r="C14" s="92" t="e">
        <f t="shared" si="0"/>
        <v>#N/A</v>
      </c>
      <c r="D14" s="92" t="e">
        <f t="shared" si="1"/>
        <v>#N/A</v>
      </c>
      <c r="H14" s="30"/>
      <c r="I14" s="218" t="s">
        <v>335</v>
      </c>
    </row>
    <row r="15" spans="1:44">
      <c r="A15" s="92" t="e">
        <f t="shared" si="2"/>
        <v>#N/A</v>
      </c>
      <c r="B15" s="92" t="e">
        <f t="shared" si="2"/>
        <v>#N/A</v>
      </c>
      <c r="C15" s="92" t="e">
        <f t="shared" si="0"/>
        <v>#N/A</v>
      </c>
      <c r="D15" s="92" t="e">
        <f t="shared" si="1"/>
        <v>#N/A</v>
      </c>
      <c r="H15" s="30"/>
      <c r="Q15" t="s">
        <v>181</v>
      </c>
      <c r="R15" t="s">
        <v>480</v>
      </c>
    </row>
    <row r="16" spans="1:44">
      <c r="A16" s="92" t="e">
        <f t="shared" si="2"/>
        <v>#N/A</v>
      </c>
      <c r="B16" s="92" t="e">
        <f t="shared" si="2"/>
        <v>#N/A</v>
      </c>
      <c r="C16" s="92" t="e">
        <f t="shared" si="0"/>
        <v>#N/A</v>
      </c>
      <c r="D16" s="92" t="e">
        <f t="shared" si="1"/>
        <v>#N/A</v>
      </c>
      <c r="H16" s="30"/>
      <c r="R16" t="s">
        <v>397</v>
      </c>
    </row>
    <row r="17" spans="1:18">
      <c r="A17" s="92" t="e">
        <f t="shared" si="2"/>
        <v>#N/A</v>
      </c>
      <c r="B17" s="92" t="e">
        <f t="shared" si="2"/>
        <v>#N/A</v>
      </c>
      <c r="C17" s="92" t="e">
        <f t="shared" si="0"/>
        <v>#N/A</v>
      </c>
      <c r="D17" s="92" t="e">
        <f t="shared" si="1"/>
        <v>#N/A</v>
      </c>
      <c r="H17" s="30"/>
      <c r="I17" s="278" t="s">
        <v>547</v>
      </c>
      <c r="J17" s="279"/>
      <c r="K17" s="279"/>
      <c r="R17" t="s">
        <v>274</v>
      </c>
    </row>
    <row r="18" spans="1:18">
      <c r="A18" s="92" t="e">
        <f t="shared" si="2"/>
        <v>#N/A</v>
      </c>
      <c r="B18" s="92" t="e">
        <f t="shared" si="2"/>
        <v>#N/A</v>
      </c>
      <c r="C18" s="92" t="e">
        <f t="shared" si="0"/>
        <v>#N/A</v>
      </c>
      <c r="D18" s="92" t="e">
        <f t="shared" si="1"/>
        <v>#N/A</v>
      </c>
      <c r="H18" s="30"/>
      <c r="I18" s="217" t="s">
        <v>544</v>
      </c>
      <c r="J18" s="217" t="s">
        <v>545</v>
      </c>
      <c r="K18" s="217" t="s">
        <v>546</v>
      </c>
    </row>
    <row r="19" spans="1:18">
      <c r="A19" s="92" t="e">
        <f t="shared" si="2"/>
        <v>#N/A</v>
      </c>
      <c r="B19" s="92" t="e">
        <f t="shared" si="2"/>
        <v>#N/A</v>
      </c>
      <c r="C19" s="92" t="e">
        <f t="shared" si="0"/>
        <v>#N/A</v>
      </c>
      <c r="D19" s="92" t="e">
        <f t="shared" si="1"/>
        <v>#N/A</v>
      </c>
      <c r="H19" s="30"/>
      <c r="I19" s="2">
        <v>150</v>
      </c>
      <c r="J19" s="29">
        <v>16</v>
      </c>
      <c r="K19" s="29">
        <v>240</v>
      </c>
    </row>
    <row r="20" spans="1:18">
      <c r="A20" s="92" t="e">
        <f t="shared" si="2"/>
        <v>#N/A</v>
      </c>
      <c r="B20" s="92" t="e">
        <f t="shared" si="2"/>
        <v>#N/A</v>
      </c>
      <c r="C20" s="92" t="e">
        <f t="shared" si="0"/>
        <v>#N/A</v>
      </c>
      <c r="D20" s="92" t="e">
        <f t="shared" si="1"/>
        <v>#N/A</v>
      </c>
      <c r="H20" s="30"/>
    </row>
    <row r="21" spans="1:18">
      <c r="A21" s="92" t="e">
        <f t="shared" si="2"/>
        <v>#N/A</v>
      </c>
      <c r="B21" s="92" t="e">
        <f t="shared" si="2"/>
        <v>#N/A</v>
      </c>
      <c r="C21" s="92" t="e">
        <f t="shared" si="0"/>
        <v>#N/A</v>
      </c>
      <c r="D21" s="92" t="e">
        <f t="shared" si="1"/>
        <v>#N/A</v>
      </c>
      <c r="E21" s="30"/>
      <c r="F21" s="30"/>
      <c r="G21" s="30"/>
      <c r="H21" s="30"/>
      <c r="I21" s="217" t="s">
        <v>377</v>
      </c>
      <c r="Q21" t="s">
        <v>461</v>
      </c>
      <c r="R21" t="s">
        <v>129</v>
      </c>
    </row>
    <row r="22" spans="1:18">
      <c r="A22" s="92" t="e">
        <f t="shared" si="2"/>
        <v>#N/A</v>
      </c>
      <c r="B22" s="92" t="e">
        <f t="shared" si="2"/>
        <v>#N/A</v>
      </c>
      <c r="C22" s="92" t="e">
        <f t="shared" si="0"/>
        <v>#N/A</v>
      </c>
      <c r="D22" s="92" t="e">
        <f t="shared" si="1"/>
        <v>#N/A</v>
      </c>
      <c r="E22" s="30"/>
      <c r="F22" s="30"/>
      <c r="G22" s="30"/>
      <c r="H22" s="30"/>
      <c r="I22" s="2">
        <v>4.4999999999999998E-2</v>
      </c>
      <c r="R22" t="s">
        <v>478</v>
      </c>
    </row>
    <row r="23" spans="1:18">
      <c r="A23" s="92" t="e">
        <f t="shared" si="2"/>
        <v>#N/A</v>
      </c>
      <c r="B23" s="92" t="e">
        <f t="shared" si="2"/>
        <v>#N/A</v>
      </c>
      <c r="C23" s="92" t="e">
        <f t="shared" si="0"/>
        <v>#N/A</v>
      </c>
      <c r="D23" s="92" t="e">
        <f t="shared" si="1"/>
        <v>#N/A</v>
      </c>
      <c r="E23" s="30"/>
      <c r="F23" s="30"/>
      <c r="G23" s="30"/>
      <c r="H23" s="30"/>
      <c r="I23" s="55"/>
      <c r="R23" t="s">
        <v>335</v>
      </c>
    </row>
    <row r="24" spans="1:18">
      <c r="A24" s="92" t="e">
        <f t="shared" si="2"/>
        <v>#N/A</v>
      </c>
      <c r="B24" s="92" t="e">
        <f t="shared" si="2"/>
        <v>#N/A</v>
      </c>
      <c r="C24" s="92" t="e">
        <f t="shared" si="0"/>
        <v>#N/A</v>
      </c>
      <c r="D24" s="92" t="e">
        <f t="shared" si="1"/>
        <v>#N/A</v>
      </c>
      <c r="E24" s="30"/>
      <c r="F24" s="30"/>
      <c r="G24" s="30"/>
      <c r="H24" s="30"/>
      <c r="R24" t="s">
        <v>231</v>
      </c>
    </row>
    <row r="25" spans="1:18">
      <c r="A25" s="92" t="e">
        <f t="shared" si="2"/>
        <v>#N/A</v>
      </c>
      <c r="B25" s="92" t="e">
        <f t="shared" si="2"/>
        <v>#N/A</v>
      </c>
      <c r="C25" s="92" t="e">
        <f t="shared" si="0"/>
        <v>#N/A</v>
      </c>
      <c r="D25" s="92" t="e">
        <f t="shared" si="1"/>
        <v>#N/A</v>
      </c>
      <c r="E25" s="30"/>
      <c r="F25" s="30"/>
      <c r="G25" s="30"/>
      <c r="H25" s="30"/>
      <c r="R25" t="s">
        <v>398</v>
      </c>
    </row>
    <row r="26" spans="1:18">
      <c r="A26" s="92" t="e">
        <f t="shared" si="2"/>
        <v>#N/A</v>
      </c>
      <c r="B26" s="92" t="e">
        <f t="shared" si="2"/>
        <v>#N/A</v>
      </c>
      <c r="C26" s="92" t="e">
        <f t="shared" si="0"/>
        <v>#N/A</v>
      </c>
      <c r="D26" s="92" t="e">
        <f t="shared" si="1"/>
        <v>#N/A</v>
      </c>
      <c r="E26" s="30"/>
      <c r="F26" s="30"/>
      <c r="G26" s="30"/>
      <c r="H26" s="30"/>
      <c r="R26" t="s">
        <v>397</v>
      </c>
    </row>
    <row r="27" spans="1:18">
      <c r="A27" s="92" t="e">
        <f t="shared" si="2"/>
        <v>#N/A</v>
      </c>
      <c r="B27" s="92" t="e">
        <f t="shared" si="2"/>
        <v>#N/A</v>
      </c>
      <c r="C27" s="92" t="e">
        <f t="shared" si="0"/>
        <v>#N/A</v>
      </c>
      <c r="D27" s="92" t="e">
        <f t="shared" si="1"/>
        <v>#N/A</v>
      </c>
      <c r="E27" s="30"/>
      <c r="F27" s="30"/>
      <c r="G27" s="30"/>
      <c r="H27" s="30"/>
    </row>
    <row r="28" spans="1:18">
      <c r="A28" s="92" t="e">
        <f t="shared" si="2"/>
        <v>#N/A</v>
      </c>
      <c r="B28" s="92" t="e">
        <f t="shared" si="2"/>
        <v>#N/A</v>
      </c>
      <c r="C28" s="92" t="e">
        <f t="shared" si="0"/>
        <v>#N/A</v>
      </c>
      <c r="D28" s="92" t="e">
        <f t="shared" si="1"/>
        <v>#N/A</v>
      </c>
      <c r="E28" s="30"/>
      <c r="F28" s="30"/>
      <c r="G28" s="30"/>
      <c r="H28" s="30"/>
    </row>
    <row r="29" spans="1:18">
      <c r="A29" s="92" t="e">
        <f t="shared" si="2"/>
        <v>#N/A</v>
      </c>
      <c r="B29" s="92" t="e">
        <f t="shared" si="2"/>
        <v>#N/A</v>
      </c>
      <c r="C29" s="92" t="e">
        <f t="shared" si="0"/>
        <v>#N/A</v>
      </c>
      <c r="D29" s="92" t="e">
        <f t="shared" si="1"/>
        <v>#N/A</v>
      </c>
      <c r="E29" s="30"/>
      <c r="F29" s="30"/>
      <c r="G29" s="30"/>
      <c r="H29" s="30"/>
    </row>
    <row r="30" spans="1:18">
      <c r="A30" s="92" t="e">
        <f t="shared" si="2"/>
        <v>#N/A</v>
      </c>
      <c r="B30" s="92" t="e">
        <f t="shared" si="2"/>
        <v>#N/A</v>
      </c>
      <c r="C30" s="92" t="e">
        <f t="shared" si="0"/>
        <v>#N/A</v>
      </c>
      <c r="D30" s="92" t="e">
        <f t="shared" si="1"/>
        <v>#N/A</v>
      </c>
      <c r="E30" s="30"/>
      <c r="F30" s="30"/>
      <c r="G30" s="30"/>
      <c r="H30" s="30"/>
      <c r="Q30" t="s">
        <v>460</v>
      </c>
      <c r="R30" t="s">
        <v>129</v>
      </c>
    </row>
    <row r="31" spans="1:18">
      <c r="A31" s="92" t="e">
        <f t="shared" si="2"/>
        <v>#N/A</v>
      </c>
      <c r="B31" s="92" t="e">
        <f t="shared" si="2"/>
        <v>#N/A</v>
      </c>
      <c r="C31" s="92" t="e">
        <f t="shared" si="0"/>
        <v>#N/A</v>
      </c>
      <c r="D31" s="92" t="e">
        <f t="shared" si="1"/>
        <v>#N/A</v>
      </c>
      <c r="E31" s="30"/>
      <c r="F31" s="30"/>
      <c r="G31" s="30"/>
      <c r="H31" s="30"/>
      <c r="R31" t="s">
        <v>478</v>
      </c>
    </row>
    <row r="32" spans="1:18">
      <c r="A32" s="92" t="e">
        <f t="shared" si="2"/>
        <v>#N/A</v>
      </c>
      <c r="B32" s="92" t="e">
        <f t="shared" si="2"/>
        <v>#N/A</v>
      </c>
      <c r="C32" s="92" t="e">
        <f t="shared" si="0"/>
        <v>#N/A</v>
      </c>
      <c r="D32" s="92" t="e">
        <f t="shared" si="1"/>
        <v>#N/A</v>
      </c>
      <c r="E32" s="30"/>
      <c r="F32" s="30"/>
      <c r="G32" s="30"/>
      <c r="H32" s="30"/>
      <c r="R32" t="s">
        <v>335</v>
      </c>
    </row>
    <row r="33" spans="1:18">
      <c r="A33" s="92" t="e">
        <f t="shared" si="2"/>
        <v>#N/A</v>
      </c>
      <c r="B33" s="92" t="e">
        <f t="shared" si="2"/>
        <v>#N/A</v>
      </c>
      <c r="C33" s="92" t="e">
        <f t="shared" si="0"/>
        <v>#N/A</v>
      </c>
      <c r="D33" s="92" t="e">
        <f t="shared" si="1"/>
        <v>#N/A</v>
      </c>
      <c r="E33" s="30"/>
      <c r="F33" s="30"/>
      <c r="G33" s="30"/>
      <c r="H33" s="30"/>
      <c r="R33" t="s">
        <v>231</v>
      </c>
    </row>
    <row r="34" spans="1:18">
      <c r="A34" s="92" t="e">
        <f t="shared" si="2"/>
        <v>#N/A</v>
      </c>
      <c r="B34" s="92" t="e">
        <f t="shared" si="2"/>
        <v>#N/A</v>
      </c>
      <c r="C34" s="92" t="e">
        <f t="shared" si="0"/>
        <v>#N/A</v>
      </c>
      <c r="D34" s="92" t="e">
        <f t="shared" si="1"/>
        <v>#N/A</v>
      </c>
      <c r="E34" s="30"/>
      <c r="F34" s="30"/>
      <c r="G34" s="30"/>
      <c r="H34" s="30"/>
      <c r="R34" t="s">
        <v>398</v>
      </c>
    </row>
    <row r="35" spans="1:18">
      <c r="A35" s="92" t="e">
        <f t="shared" si="2"/>
        <v>#N/A</v>
      </c>
      <c r="B35" s="92" t="e">
        <f t="shared" si="2"/>
        <v>#N/A</v>
      </c>
      <c r="C35" s="92" t="e">
        <f t="shared" si="0"/>
        <v>#N/A</v>
      </c>
      <c r="D35" s="92" t="e">
        <f t="shared" si="1"/>
        <v>#N/A</v>
      </c>
      <c r="E35" s="30"/>
      <c r="F35" s="30"/>
      <c r="G35" s="30"/>
      <c r="H35" s="30"/>
      <c r="R35" t="s">
        <v>397</v>
      </c>
    </row>
    <row r="36" spans="1:18">
      <c r="A36" s="92" t="e">
        <f t="shared" si="2"/>
        <v>#N/A</v>
      </c>
      <c r="B36" s="92" t="e">
        <f t="shared" si="2"/>
        <v>#N/A</v>
      </c>
      <c r="C36" s="92" t="e">
        <f t="shared" si="0"/>
        <v>#N/A</v>
      </c>
      <c r="D36" s="92" t="e">
        <f t="shared" si="1"/>
        <v>#N/A</v>
      </c>
      <c r="E36" s="30"/>
      <c r="F36" s="30"/>
      <c r="G36" s="30"/>
      <c r="H36" s="30"/>
    </row>
    <row r="37" spans="1:18">
      <c r="A37" s="92" t="e">
        <f t="shared" si="2"/>
        <v>#N/A</v>
      </c>
      <c r="B37" s="92" t="e">
        <f t="shared" si="2"/>
        <v>#N/A</v>
      </c>
      <c r="C37" s="92" t="e">
        <f t="shared" si="0"/>
        <v>#N/A</v>
      </c>
      <c r="D37" s="92" t="e">
        <f t="shared" si="1"/>
        <v>#N/A</v>
      </c>
      <c r="E37" s="30"/>
      <c r="F37" s="30"/>
      <c r="G37" s="30"/>
      <c r="H37" s="30"/>
    </row>
    <row r="38" spans="1:18">
      <c r="A38" s="92" t="e">
        <f t="shared" si="2"/>
        <v>#N/A</v>
      </c>
      <c r="B38" s="92" t="e">
        <f t="shared" si="2"/>
        <v>#N/A</v>
      </c>
      <c r="C38" s="92" t="e">
        <f t="shared" si="0"/>
        <v>#N/A</v>
      </c>
      <c r="D38" s="92" t="e">
        <f t="shared" si="1"/>
        <v>#N/A</v>
      </c>
      <c r="E38" s="30"/>
      <c r="F38" s="30"/>
      <c r="G38" s="30"/>
      <c r="H38" s="30"/>
    </row>
    <row r="39" spans="1:18">
      <c r="A39" s="92" t="e">
        <f t="shared" si="2"/>
        <v>#N/A</v>
      </c>
      <c r="B39" s="92" t="e">
        <f t="shared" si="2"/>
        <v>#N/A</v>
      </c>
      <c r="C39" s="92" t="e">
        <f t="shared" si="0"/>
        <v>#N/A</v>
      </c>
      <c r="D39" s="92" t="e">
        <f t="shared" si="1"/>
        <v>#N/A</v>
      </c>
      <c r="E39" s="30"/>
      <c r="F39" s="30"/>
      <c r="G39" s="30"/>
      <c r="H39" s="30"/>
      <c r="Q39" t="s">
        <v>133</v>
      </c>
    </row>
    <row r="40" spans="1:18">
      <c r="A40" s="92" t="e">
        <f t="shared" si="2"/>
        <v>#N/A</v>
      </c>
      <c r="B40" s="92" t="e">
        <f t="shared" si="2"/>
        <v>#N/A</v>
      </c>
      <c r="C40" s="92" t="e">
        <f t="shared" si="0"/>
        <v>#N/A</v>
      </c>
      <c r="D40" s="92" t="e">
        <f t="shared" si="1"/>
        <v>#N/A</v>
      </c>
      <c r="E40" s="30"/>
      <c r="F40" s="30"/>
      <c r="G40" s="30"/>
      <c r="H40" s="30"/>
    </row>
    <row r="41" spans="1:18">
      <c r="A41" s="92" t="e">
        <f t="shared" si="2"/>
        <v>#N/A</v>
      </c>
      <c r="B41" s="92" t="e">
        <f t="shared" si="2"/>
        <v>#N/A</v>
      </c>
      <c r="C41" s="92" t="e">
        <f t="shared" si="0"/>
        <v>#N/A</v>
      </c>
      <c r="D41" s="92" t="e">
        <f t="shared" si="1"/>
        <v>#N/A</v>
      </c>
      <c r="E41" s="30"/>
      <c r="F41" s="30"/>
      <c r="G41" s="30"/>
      <c r="H41" s="30"/>
    </row>
    <row r="42" spans="1:18">
      <c r="A42" s="92" t="e">
        <f t="shared" si="2"/>
        <v>#N/A</v>
      </c>
      <c r="B42" s="92" t="e">
        <f t="shared" si="2"/>
        <v>#N/A</v>
      </c>
      <c r="C42" s="92" t="e">
        <f t="shared" si="0"/>
        <v>#N/A</v>
      </c>
      <c r="D42" s="92" t="e">
        <f t="shared" si="1"/>
        <v>#N/A</v>
      </c>
      <c r="E42" s="30"/>
      <c r="F42" s="30"/>
      <c r="G42" s="30"/>
      <c r="H42" s="30"/>
    </row>
    <row r="43" spans="1:18">
      <c r="A43" s="92" t="e">
        <f t="shared" si="2"/>
        <v>#N/A</v>
      </c>
      <c r="B43" s="92" t="e">
        <f t="shared" si="2"/>
        <v>#N/A</v>
      </c>
      <c r="C43" s="92" t="e">
        <f t="shared" si="0"/>
        <v>#N/A</v>
      </c>
      <c r="D43" s="92" t="e">
        <f t="shared" si="1"/>
        <v>#N/A</v>
      </c>
      <c r="E43" s="30"/>
      <c r="F43" s="30"/>
      <c r="G43" s="30"/>
      <c r="H43" s="30"/>
    </row>
    <row r="44" spans="1:18">
      <c r="A44" s="92" t="e">
        <f t="shared" si="2"/>
        <v>#N/A</v>
      </c>
      <c r="B44" s="92" t="e">
        <f t="shared" si="2"/>
        <v>#N/A</v>
      </c>
      <c r="C44" s="92" t="e">
        <f t="shared" si="0"/>
        <v>#N/A</v>
      </c>
      <c r="D44" s="92" t="e">
        <f t="shared" si="1"/>
        <v>#N/A</v>
      </c>
      <c r="E44" s="30"/>
      <c r="F44" s="30"/>
      <c r="G44" s="30"/>
      <c r="H44" s="30"/>
    </row>
    <row r="45" spans="1:18">
      <c r="A45" s="92" t="e">
        <f t="shared" si="2"/>
        <v>#N/A</v>
      </c>
      <c r="B45" s="92" t="e">
        <f t="shared" si="2"/>
        <v>#N/A</v>
      </c>
      <c r="C45" s="92" t="e">
        <f t="shared" si="0"/>
        <v>#N/A</v>
      </c>
      <c r="D45" s="92" t="e">
        <f t="shared" si="1"/>
        <v>#N/A</v>
      </c>
      <c r="E45" s="30"/>
      <c r="F45" s="30"/>
      <c r="G45" s="30"/>
      <c r="H45" s="30"/>
    </row>
    <row r="46" spans="1:18">
      <c r="A46" s="92" t="e">
        <f t="shared" si="2"/>
        <v>#N/A</v>
      </c>
      <c r="B46" s="92" t="e">
        <f t="shared" si="2"/>
        <v>#N/A</v>
      </c>
      <c r="C46" s="92" t="e">
        <f t="shared" si="0"/>
        <v>#N/A</v>
      </c>
      <c r="D46" s="92" t="e">
        <f t="shared" si="1"/>
        <v>#N/A</v>
      </c>
      <c r="E46" s="30"/>
      <c r="F46" s="30"/>
      <c r="G46" s="30"/>
      <c r="H46" s="30"/>
    </row>
    <row r="47" spans="1:18">
      <c r="A47" s="92" t="e">
        <f t="shared" si="2"/>
        <v>#N/A</v>
      </c>
      <c r="B47" s="92" t="e">
        <f t="shared" si="2"/>
        <v>#N/A</v>
      </c>
      <c r="C47" s="92" t="e">
        <f t="shared" si="0"/>
        <v>#N/A</v>
      </c>
      <c r="D47" s="92" t="e">
        <f t="shared" si="1"/>
        <v>#N/A</v>
      </c>
      <c r="E47" s="30"/>
      <c r="F47" s="30"/>
      <c r="G47" s="30"/>
      <c r="H47" s="30"/>
    </row>
    <row r="48" spans="1:18">
      <c r="A48" s="92" t="e">
        <f t="shared" si="2"/>
        <v>#N/A</v>
      </c>
      <c r="B48" s="92" t="e">
        <f t="shared" si="2"/>
        <v>#N/A</v>
      </c>
      <c r="C48" s="92" t="e">
        <f t="shared" si="0"/>
        <v>#N/A</v>
      </c>
      <c r="D48" s="92" t="e">
        <f t="shared" si="1"/>
        <v>#N/A</v>
      </c>
      <c r="E48" s="30"/>
      <c r="F48" s="30"/>
      <c r="G48" s="30"/>
      <c r="H48" s="30"/>
    </row>
    <row r="49" spans="1:8">
      <c r="A49" s="92" t="e">
        <f t="shared" si="2"/>
        <v>#N/A</v>
      </c>
      <c r="B49" s="92" t="e">
        <f t="shared" si="2"/>
        <v>#N/A</v>
      </c>
      <c r="C49" s="92" t="e">
        <f t="shared" si="0"/>
        <v>#N/A</v>
      </c>
      <c r="D49" s="92" t="e">
        <f t="shared" si="1"/>
        <v>#N/A</v>
      </c>
      <c r="E49" s="30"/>
      <c r="F49" s="30"/>
      <c r="G49" s="30"/>
      <c r="H49" s="30"/>
    </row>
    <row r="50" spans="1:8">
      <c r="A50" s="92" t="e">
        <f t="shared" si="2"/>
        <v>#N/A</v>
      </c>
      <c r="B50" s="92" t="e">
        <f t="shared" si="2"/>
        <v>#N/A</v>
      </c>
      <c r="C50" s="92" t="e">
        <f t="shared" si="0"/>
        <v>#N/A</v>
      </c>
      <c r="D50" s="92" t="e">
        <f t="shared" si="1"/>
        <v>#N/A</v>
      </c>
      <c r="E50" s="30"/>
      <c r="F50" s="30"/>
      <c r="G50" s="30"/>
      <c r="H50" s="30"/>
    </row>
    <row r="51" spans="1:8">
      <c r="A51" s="92" t="e">
        <f t="shared" si="2"/>
        <v>#N/A</v>
      </c>
      <c r="B51" s="92" t="e">
        <f t="shared" si="2"/>
        <v>#N/A</v>
      </c>
      <c r="C51" s="92" t="e">
        <f t="shared" si="0"/>
        <v>#N/A</v>
      </c>
      <c r="D51" s="92" t="e">
        <f t="shared" si="1"/>
        <v>#N/A</v>
      </c>
      <c r="E51" s="30"/>
      <c r="F51" s="30"/>
      <c r="G51" s="30"/>
      <c r="H51" s="30"/>
    </row>
    <row r="52" spans="1:8">
      <c r="A52" s="92" t="e">
        <f t="shared" si="2"/>
        <v>#N/A</v>
      </c>
      <c r="B52" s="92" t="e">
        <f t="shared" si="2"/>
        <v>#N/A</v>
      </c>
      <c r="C52" s="92" t="e">
        <f t="shared" si="0"/>
        <v>#N/A</v>
      </c>
      <c r="D52" s="92" t="e">
        <f t="shared" si="1"/>
        <v>#N/A</v>
      </c>
      <c r="E52" s="30"/>
      <c r="F52" s="30"/>
      <c r="G52" s="30"/>
      <c r="H52" s="30"/>
    </row>
    <row r="53" spans="1:8">
      <c r="A53" s="92" t="e">
        <f t="shared" si="2"/>
        <v>#N/A</v>
      </c>
      <c r="B53" s="92" t="e">
        <f t="shared" si="2"/>
        <v>#N/A</v>
      </c>
      <c r="C53" s="92" t="e">
        <f t="shared" si="0"/>
        <v>#N/A</v>
      </c>
      <c r="D53" s="92" t="e">
        <f t="shared" si="1"/>
        <v>#N/A</v>
      </c>
      <c r="E53" s="30"/>
      <c r="F53" s="30"/>
      <c r="G53" s="30"/>
      <c r="H53" s="30"/>
    </row>
    <row r="54" spans="1:8">
      <c r="A54" s="92" t="e">
        <f t="shared" si="2"/>
        <v>#N/A</v>
      </c>
      <c r="B54" s="92" t="e">
        <f t="shared" si="2"/>
        <v>#N/A</v>
      </c>
      <c r="C54" s="92" t="e">
        <f t="shared" si="0"/>
        <v>#N/A</v>
      </c>
      <c r="D54" s="92" t="e">
        <f t="shared" si="1"/>
        <v>#N/A</v>
      </c>
      <c r="E54" s="30"/>
      <c r="F54" s="30"/>
      <c r="G54" s="30"/>
      <c r="H54" s="30"/>
    </row>
    <row r="55" spans="1:8">
      <c r="A55" s="92" t="e">
        <f t="shared" si="2"/>
        <v>#N/A</v>
      </c>
      <c r="B55" s="92" t="e">
        <f t="shared" si="2"/>
        <v>#N/A</v>
      </c>
      <c r="C55" s="92" t="e">
        <f t="shared" si="0"/>
        <v>#N/A</v>
      </c>
      <c r="D55" s="92" t="e">
        <f t="shared" si="1"/>
        <v>#N/A</v>
      </c>
      <c r="E55" s="30"/>
      <c r="F55" s="30"/>
      <c r="G55" s="30"/>
      <c r="H55" s="30"/>
    </row>
    <row r="56" spans="1:8">
      <c r="A56" s="92" t="e">
        <f t="shared" si="2"/>
        <v>#N/A</v>
      </c>
      <c r="B56" s="92" t="e">
        <f t="shared" si="2"/>
        <v>#N/A</v>
      </c>
      <c r="C56" s="92" t="e">
        <f t="shared" si="0"/>
        <v>#N/A</v>
      </c>
      <c r="D56" s="92" t="e">
        <f t="shared" si="1"/>
        <v>#N/A</v>
      </c>
      <c r="E56" s="30"/>
      <c r="F56" s="30"/>
      <c r="G56" s="30"/>
      <c r="H56" s="30"/>
    </row>
    <row r="57" spans="1:8">
      <c r="A57" s="92" t="e">
        <f t="shared" si="2"/>
        <v>#N/A</v>
      </c>
      <c r="B57" s="92" t="e">
        <f t="shared" si="2"/>
        <v>#N/A</v>
      </c>
      <c r="C57" s="92" t="e">
        <f t="shared" si="0"/>
        <v>#N/A</v>
      </c>
      <c r="D57" s="92" t="e">
        <f t="shared" si="1"/>
        <v>#N/A</v>
      </c>
      <c r="E57" s="30"/>
      <c r="F57" s="30"/>
      <c r="G57" s="30"/>
      <c r="H57" s="30"/>
    </row>
    <row r="58" spans="1:8">
      <c r="A58" s="92" t="e">
        <f t="shared" si="2"/>
        <v>#N/A</v>
      </c>
      <c r="B58" s="92" t="e">
        <f t="shared" si="2"/>
        <v>#N/A</v>
      </c>
      <c r="C58" s="92" t="e">
        <f t="shared" si="0"/>
        <v>#N/A</v>
      </c>
      <c r="D58" s="92" t="e">
        <f t="shared" si="1"/>
        <v>#N/A</v>
      </c>
      <c r="E58" s="30"/>
      <c r="F58" s="30"/>
      <c r="G58" s="30"/>
      <c r="H58" s="30"/>
    </row>
    <row r="59" spans="1:8">
      <c r="A59" s="92" t="e">
        <f t="shared" si="2"/>
        <v>#N/A</v>
      </c>
      <c r="B59" s="92" t="e">
        <f t="shared" si="2"/>
        <v>#N/A</v>
      </c>
      <c r="C59" s="92" t="e">
        <f t="shared" si="0"/>
        <v>#N/A</v>
      </c>
      <c r="D59" s="92" t="e">
        <f t="shared" si="1"/>
        <v>#N/A</v>
      </c>
      <c r="E59" s="30"/>
      <c r="F59" s="30"/>
      <c r="G59" s="30"/>
      <c r="H59" s="30"/>
    </row>
    <row r="60" spans="1:8">
      <c r="A60" s="92" t="e">
        <f t="shared" si="2"/>
        <v>#N/A</v>
      </c>
      <c r="B60" s="92" t="e">
        <f t="shared" si="2"/>
        <v>#N/A</v>
      </c>
      <c r="C60" s="92" t="e">
        <f t="shared" si="0"/>
        <v>#N/A</v>
      </c>
      <c r="D60" s="92" t="e">
        <f t="shared" si="1"/>
        <v>#N/A</v>
      </c>
      <c r="E60" s="30"/>
      <c r="F60" s="30"/>
      <c r="G60" s="30"/>
      <c r="H60" s="30"/>
    </row>
    <row r="61" spans="1:8">
      <c r="A61" s="92" t="e">
        <f t="shared" si="2"/>
        <v>#N/A</v>
      </c>
      <c r="B61" s="92" t="e">
        <f t="shared" si="2"/>
        <v>#N/A</v>
      </c>
      <c r="C61" s="92" t="e">
        <f t="shared" si="0"/>
        <v>#N/A</v>
      </c>
      <c r="D61" s="92" t="e">
        <f t="shared" si="1"/>
        <v>#N/A</v>
      </c>
      <c r="E61" s="30"/>
      <c r="F61" s="30"/>
      <c r="G61" s="30"/>
      <c r="H61" s="30"/>
    </row>
    <row r="62" spans="1:8">
      <c r="A62" s="92" t="e">
        <f t="shared" si="2"/>
        <v>#N/A</v>
      </c>
      <c r="B62" s="92" t="e">
        <f t="shared" si="2"/>
        <v>#N/A</v>
      </c>
      <c r="C62" s="92" t="e">
        <f t="shared" si="0"/>
        <v>#N/A</v>
      </c>
      <c r="D62" s="92" t="e">
        <f t="shared" si="1"/>
        <v>#N/A</v>
      </c>
      <c r="E62" s="30"/>
      <c r="F62" s="30"/>
      <c r="G62" s="30"/>
      <c r="H62" s="30"/>
    </row>
    <row r="63" spans="1:8">
      <c r="A63" s="92" t="e">
        <f t="shared" si="2"/>
        <v>#N/A</v>
      </c>
      <c r="B63" s="92" t="e">
        <f t="shared" si="2"/>
        <v>#N/A</v>
      </c>
      <c r="C63" s="92" t="e">
        <f t="shared" si="0"/>
        <v>#N/A</v>
      </c>
      <c r="D63" s="92" t="e">
        <f t="shared" si="1"/>
        <v>#N/A</v>
      </c>
      <c r="E63" s="30"/>
      <c r="F63" s="30"/>
      <c r="G63" s="30"/>
      <c r="H63" s="30"/>
    </row>
    <row r="64" spans="1:8">
      <c r="A64" s="92" t="e">
        <f t="shared" si="2"/>
        <v>#N/A</v>
      </c>
      <c r="B64" s="92" t="e">
        <f t="shared" si="2"/>
        <v>#N/A</v>
      </c>
      <c r="C64" s="92" t="e">
        <f t="shared" si="0"/>
        <v>#N/A</v>
      </c>
      <c r="D64" s="92" t="e">
        <f t="shared" si="1"/>
        <v>#N/A</v>
      </c>
      <c r="E64" s="30"/>
      <c r="F64" s="30"/>
      <c r="G64" s="30"/>
      <c r="H64" s="30"/>
    </row>
    <row r="65" spans="1:8">
      <c r="A65" s="92" t="e">
        <f t="shared" si="2"/>
        <v>#N/A</v>
      </c>
      <c r="B65" s="92" t="e">
        <f t="shared" si="2"/>
        <v>#N/A</v>
      </c>
      <c r="C65" s="92" t="e">
        <f t="shared" si="0"/>
        <v>#N/A</v>
      </c>
      <c r="D65" s="92" t="e">
        <f t="shared" si="1"/>
        <v>#N/A</v>
      </c>
      <c r="E65" s="30"/>
      <c r="F65" s="30"/>
      <c r="G65" s="30"/>
      <c r="H65" s="30"/>
    </row>
    <row r="66" spans="1:8">
      <c r="A66" s="92" t="e">
        <f t="shared" si="2"/>
        <v>#N/A</v>
      </c>
      <c r="B66" s="92" t="e">
        <f t="shared" si="2"/>
        <v>#N/A</v>
      </c>
      <c r="C66" s="92" t="e">
        <f t="shared" si="0"/>
        <v>#N/A</v>
      </c>
      <c r="D66" s="92" t="e">
        <f t="shared" si="1"/>
        <v>#N/A</v>
      </c>
      <c r="E66" s="30"/>
      <c r="F66" s="30"/>
      <c r="G66" s="30"/>
      <c r="H66" s="30"/>
    </row>
    <row r="67" spans="1:8">
      <c r="A67" s="92" t="e">
        <f t="shared" si="2"/>
        <v>#N/A</v>
      </c>
      <c r="B67" s="92" t="e">
        <f t="shared" si="2"/>
        <v>#N/A</v>
      </c>
      <c r="C67" s="92" t="e">
        <f t="shared" si="0"/>
        <v>#N/A</v>
      </c>
      <c r="D67" s="92" t="e">
        <f t="shared" ref="D67:D101" si="3">IFERROR(INDEX($I$3:$I$11,MATCH(A67,$H$3:$H$11,0),1),NA())</f>
        <v>#N/A</v>
      </c>
      <c r="E67" s="30"/>
      <c r="F67" s="30"/>
      <c r="G67" s="30"/>
      <c r="H67" s="30"/>
    </row>
    <row r="68" spans="1:8">
      <c r="A68" s="92" t="e">
        <f t="shared" si="2"/>
        <v>#N/A</v>
      </c>
      <c r="B68" s="92" t="e">
        <f t="shared" si="2"/>
        <v>#N/A</v>
      </c>
      <c r="C68" s="92" t="e">
        <f t="shared" si="0"/>
        <v>#N/A</v>
      </c>
      <c r="D68" s="92" t="e">
        <f t="shared" si="3"/>
        <v>#N/A</v>
      </c>
      <c r="E68" s="30"/>
      <c r="F68" s="30"/>
      <c r="G68" s="30"/>
      <c r="H68" s="30"/>
    </row>
    <row r="69" spans="1:8">
      <c r="A69" s="92" t="e">
        <f t="shared" si="2"/>
        <v>#N/A</v>
      </c>
      <c r="B69" s="92" t="e">
        <f t="shared" si="2"/>
        <v>#N/A</v>
      </c>
      <c r="C69" s="92" t="e">
        <f t="shared" si="0"/>
        <v>#N/A</v>
      </c>
      <c r="D69" s="92" t="e">
        <f t="shared" si="3"/>
        <v>#N/A</v>
      </c>
      <c r="E69" s="30"/>
      <c r="F69" s="30"/>
      <c r="G69" s="30"/>
      <c r="H69" s="30"/>
    </row>
    <row r="70" spans="1:8">
      <c r="A70" s="92" t="e">
        <f t="shared" si="2"/>
        <v>#N/A</v>
      </c>
      <c r="B70" s="92" t="e">
        <f t="shared" si="2"/>
        <v>#N/A</v>
      </c>
      <c r="C70" s="92" t="e">
        <f t="shared" si="0"/>
        <v>#N/A</v>
      </c>
      <c r="D70" s="92" t="e">
        <f t="shared" si="3"/>
        <v>#N/A</v>
      </c>
      <c r="E70" s="30"/>
      <c r="F70" s="30"/>
      <c r="G70" s="30"/>
      <c r="H70" s="30"/>
    </row>
    <row r="71" spans="1:8">
      <c r="A71" s="92" t="e">
        <f t="shared" si="2"/>
        <v>#N/A</v>
      </c>
      <c r="B71" s="92" t="e">
        <f t="shared" si="2"/>
        <v>#N/A</v>
      </c>
      <c r="C71" s="92" t="e">
        <f t="shared" si="0"/>
        <v>#N/A</v>
      </c>
      <c r="D71" s="92" t="e">
        <f t="shared" si="3"/>
        <v>#N/A</v>
      </c>
      <c r="E71" s="30"/>
      <c r="F71" s="30"/>
      <c r="G71" s="30"/>
      <c r="H71" s="30"/>
    </row>
    <row r="72" spans="1:8">
      <c r="A72" s="92" t="e">
        <f t="shared" si="2"/>
        <v>#N/A</v>
      </c>
      <c r="B72" s="92" t="e">
        <f t="shared" si="2"/>
        <v>#N/A</v>
      </c>
      <c r="C72" s="92" t="e">
        <f t="shared" si="0"/>
        <v>#N/A</v>
      </c>
      <c r="D72" s="92" t="e">
        <f t="shared" si="3"/>
        <v>#N/A</v>
      </c>
      <c r="E72" s="30"/>
      <c r="F72" s="30"/>
      <c r="G72" s="30"/>
      <c r="H72" s="30"/>
    </row>
    <row r="73" spans="1:8">
      <c r="A73" s="92" t="e">
        <f t="shared" si="2"/>
        <v>#N/A</v>
      </c>
      <c r="B73" s="92" t="e">
        <f t="shared" si="2"/>
        <v>#N/A</v>
      </c>
      <c r="C73" s="92" t="e">
        <f t="shared" si="0"/>
        <v>#N/A</v>
      </c>
      <c r="D73" s="92" t="e">
        <f t="shared" si="3"/>
        <v>#N/A</v>
      </c>
      <c r="E73" s="30"/>
      <c r="F73" s="30"/>
      <c r="G73" s="30"/>
      <c r="H73" s="30"/>
    </row>
    <row r="74" spans="1:8">
      <c r="A74" s="92" t="e">
        <f t="shared" si="2"/>
        <v>#N/A</v>
      </c>
      <c r="B74" s="92" t="e">
        <f t="shared" si="2"/>
        <v>#N/A</v>
      </c>
      <c r="C74" s="92" t="e">
        <f t="shared" si="0"/>
        <v>#N/A</v>
      </c>
      <c r="D74" s="92" t="e">
        <f t="shared" si="3"/>
        <v>#N/A</v>
      </c>
      <c r="E74" s="30"/>
      <c r="F74" s="30"/>
      <c r="G74" s="30"/>
      <c r="H74" s="30"/>
    </row>
    <row r="75" spans="1:8">
      <c r="A75" s="92" t="e">
        <f t="shared" si="2"/>
        <v>#N/A</v>
      </c>
      <c r="B75" s="92" t="e">
        <f t="shared" si="2"/>
        <v>#N/A</v>
      </c>
      <c r="C75" s="92" t="e">
        <f t="shared" si="0"/>
        <v>#N/A</v>
      </c>
      <c r="D75" s="92" t="e">
        <f t="shared" si="3"/>
        <v>#N/A</v>
      </c>
      <c r="E75" s="30"/>
      <c r="F75" s="30"/>
      <c r="G75" s="30"/>
      <c r="H75" s="30"/>
    </row>
    <row r="76" spans="1:8">
      <c r="A76" s="92" t="e">
        <f t="shared" si="2"/>
        <v>#N/A</v>
      </c>
      <c r="B76" s="92" t="e">
        <f t="shared" si="2"/>
        <v>#N/A</v>
      </c>
      <c r="C76" s="92" t="e">
        <f t="shared" si="0"/>
        <v>#N/A</v>
      </c>
      <c r="D76" s="92" t="e">
        <f t="shared" si="3"/>
        <v>#N/A</v>
      </c>
      <c r="E76" s="30"/>
      <c r="F76" s="30"/>
      <c r="G76" s="30"/>
      <c r="H76" s="30"/>
    </row>
    <row r="77" spans="1:8">
      <c r="A77" s="92" t="e">
        <f t="shared" si="2"/>
        <v>#N/A</v>
      </c>
      <c r="B77" s="92" t="e">
        <f t="shared" si="2"/>
        <v>#N/A</v>
      </c>
      <c r="C77" s="92" t="e">
        <f t="shared" si="0"/>
        <v>#N/A</v>
      </c>
      <c r="D77" s="92" t="e">
        <f t="shared" si="3"/>
        <v>#N/A</v>
      </c>
      <c r="E77" s="30"/>
      <c r="F77" s="30"/>
      <c r="G77" s="30"/>
      <c r="H77" s="30"/>
    </row>
    <row r="78" spans="1:8">
      <c r="A78" s="92" t="e">
        <f t="shared" si="2"/>
        <v>#N/A</v>
      </c>
      <c r="B78" s="92" t="e">
        <f t="shared" si="2"/>
        <v>#N/A</v>
      </c>
      <c r="C78" s="92" t="e">
        <f t="shared" si="0"/>
        <v>#N/A</v>
      </c>
      <c r="D78" s="92" t="e">
        <f t="shared" si="3"/>
        <v>#N/A</v>
      </c>
      <c r="E78" s="30"/>
      <c r="F78" s="30"/>
      <c r="G78" s="30"/>
      <c r="H78" s="30"/>
    </row>
    <row r="79" spans="1:8">
      <c r="A79" s="92" t="e">
        <f t="shared" si="2"/>
        <v>#N/A</v>
      </c>
      <c r="B79" s="92" t="e">
        <f t="shared" si="2"/>
        <v>#N/A</v>
      </c>
      <c r="C79" s="92" t="e">
        <f t="shared" si="0"/>
        <v>#N/A</v>
      </c>
      <c r="D79" s="92" t="e">
        <f t="shared" si="3"/>
        <v>#N/A</v>
      </c>
      <c r="E79" s="30"/>
      <c r="F79" s="30"/>
      <c r="G79" s="30"/>
      <c r="H79" s="30"/>
    </row>
    <row r="80" spans="1:8">
      <c r="A80" s="92" t="e">
        <f t="shared" si="2"/>
        <v>#N/A</v>
      </c>
      <c r="B80" s="92" t="e">
        <f t="shared" si="2"/>
        <v>#N/A</v>
      </c>
      <c r="C80" s="92" t="e">
        <f t="shared" si="0"/>
        <v>#N/A</v>
      </c>
      <c r="D80" s="92" t="e">
        <f t="shared" si="3"/>
        <v>#N/A</v>
      </c>
      <c r="E80" s="30"/>
      <c r="F80" s="30"/>
      <c r="G80" s="30"/>
      <c r="H80" s="30"/>
    </row>
    <row r="81" spans="1:8">
      <c r="A81" s="92" t="e">
        <f t="shared" si="2"/>
        <v>#N/A</v>
      </c>
      <c r="B81" s="92" t="e">
        <f t="shared" si="2"/>
        <v>#N/A</v>
      </c>
      <c r="C81" s="92" t="e">
        <f t="shared" si="0"/>
        <v>#N/A</v>
      </c>
      <c r="D81" s="92" t="e">
        <f t="shared" si="3"/>
        <v>#N/A</v>
      </c>
      <c r="E81" s="30"/>
      <c r="F81" s="30"/>
      <c r="G81" s="30"/>
      <c r="H81" s="30"/>
    </row>
    <row r="82" spans="1:8">
      <c r="A82" s="92" t="e">
        <f t="shared" si="2"/>
        <v>#N/A</v>
      </c>
      <c r="B82" s="92" t="e">
        <f t="shared" si="2"/>
        <v>#N/A</v>
      </c>
      <c r="C82" s="92" t="e">
        <f t="shared" si="0"/>
        <v>#N/A</v>
      </c>
      <c r="D82" s="92" t="e">
        <f t="shared" si="3"/>
        <v>#N/A</v>
      </c>
      <c r="E82" s="30"/>
      <c r="F82" s="30"/>
      <c r="G82" s="30"/>
      <c r="H82" s="30"/>
    </row>
    <row r="83" spans="1:8">
      <c r="A83" s="92" t="e">
        <f t="shared" si="2"/>
        <v>#N/A</v>
      </c>
      <c r="B83" s="92" t="e">
        <f t="shared" si="2"/>
        <v>#N/A</v>
      </c>
      <c r="C83" s="92" t="e">
        <f t="shared" si="0"/>
        <v>#N/A</v>
      </c>
      <c r="D83" s="92" t="e">
        <f t="shared" si="3"/>
        <v>#N/A</v>
      </c>
      <c r="E83" s="30"/>
      <c r="F83" s="30"/>
      <c r="G83" s="30"/>
      <c r="H83" s="30"/>
    </row>
    <row r="84" spans="1:8">
      <c r="A84" s="92" t="e">
        <f t="shared" si="2"/>
        <v>#N/A</v>
      </c>
      <c r="B84" s="92" t="e">
        <f t="shared" si="2"/>
        <v>#N/A</v>
      </c>
      <c r="C84" s="92" t="e">
        <f t="shared" si="0"/>
        <v>#N/A</v>
      </c>
      <c r="D84" s="92" t="e">
        <f t="shared" si="3"/>
        <v>#N/A</v>
      </c>
      <c r="E84" s="30"/>
      <c r="F84" s="30"/>
      <c r="G84" s="30"/>
      <c r="H84" s="30"/>
    </row>
    <row r="85" spans="1:8">
      <c r="A85" s="92" t="e">
        <f t="shared" si="2"/>
        <v>#N/A</v>
      </c>
      <c r="B85" s="92" t="e">
        <f t="shared" si="2"/>
        <v>#N/A</v>
      </c>
      <c r="C85" s="92" t="e">
        <f t="shared" si="0"/>
        <v>#N/A</v>
      </c>
      <c r="D85" s="92" t="e">
        <f t="shared" si="3"/>
        <v>#N/A</v>
      </c>
      <c r="E85" s="30"/>
      <c r="F85" s="30"/>
      <c r="G85" s="30"/>
      <c r="H85" s="30"/>
    </row>
    <row r="86" spans="1:8">
      <c r="A86" s="92" t="e">
        <f t="shared" si="2"/>
        <v>#N/A</v>
      </c>
      <c r="B86" s="92" t="e">
        <f t="shared" si="2"/>
        <v>#N/A</v>
      </c>
      <c r="C86" s="92" t="e">
        <f t="shared" si="0"/>
        <v>#N/A</v>
      </c>
      <c r="D86" s="92" t="e">
        <f t="shared" si="3"/>
        <v>#N/A</v>
      </c>
      <c r="E86" s="30"/>
      <c r="F86" s="30"/>
      <c r="G86" s="30"/>
      <c r="H86" s="30"/>
    </row>
    <row r="87" spans="1:8">
      <c r="A87" s="92" t="e">
        <f t="shared" si="2"/>
        <v>#N/A</v>
      </c>
      <c r="B87" s="92" t="e">
        <f t="shared" si="2"/>
        <v>#N/A</v>
      </c>
      <c r="C87" s="92" t="e">
        <f t="shared" si="0"/>
        <v>#N/A</v>
      </c>
      <c r="D87" s="92" t="e">
        <f t="shared" si="3"/>
        <v>#N/A</v>
      </c>
      <c r="E87" s="30"/>
      <c r="F87" s="30"/>
      <c r="G87" s="30"/>
      <c r="H87" s="30"/>
    </row>
    <row r="88" spans="1:8">
      <c r="A88" s="92" t="e">
        <f t="shared" si="2"/>
        <v>#N/A</v>
      </c>
      <c r="B88" s="92" t="e">
        <f t="shared" si="2"/>
        <v>#N/A</v>
      </c>
      <c r="C88" s="92" t="e">
        <f t="shared" si="0"/>
        <v>#N/A</v>
      </c>
      <c r="D88" s="92" t="e">
        <f t="shared" si="3"/>
        <v>#N/A</v>
      </c>
      <c r="E88" s="30"/>
      <c r="F88" s="30"/>
      <c r="G88" s="30"/>
      <c r="H88" s="30"/>
    </row>
    <row r="89" spans="1:8">
      <c r="A89" s="92" t="e">
        <f t="shared" si="2"/>
        <v>#N/A</v>
      </c>
      <c r="B89" s="92" t="e">
        <f t="shared" si="2"/>
        <v>#N/A</v>
      </c>
      <c r="C89" s="92" t="e">
        <f t="shared" si="0"/>
        <v>#N/A</v>
      </c>
      <c r="D89" s="92" t="e">
        <f t="shared" si="3"/>
        <v>#N/A</v>
      </c>
      <c r="E89" s="30"/>
      <c r="F89" s="30"/>
      <c r="G89" s="30"/>
      <c r="H89" s="30"/>
    </row>
    <row r="90" spans="1:8">
      <c r="A90" s="92" t="e">
        <f t="shared" si="2"/>
        <v>#N/A</v>
      </c>
      <c r="B90" s="92" t="e">
        <f t="shared" si="2"/>
        <v>#N/A</v>
      </c>
      <c r="C90" s="92" t="e">
        <f t="shared" si="0"/>
        <v>#N/A</v>
      </c>
      <c r="D90" s="92" t="e">
        <f t="shared" si="3"/>
        <v>#N/A</v>
      </c>
      <c r="E90" s="30"/>
      <c r="F90" s="30"/>
      <c r="G90" s="30"/>
      <c r="H90" s="30"/>
    </row>
    <row r="91" spans="1:8">
      <c r="A91" s="92" t="e">
        <f t="shared" si="2"/>
        <v>#N/A</v>
      </c>
      <c r="B91" s="92" t="e">
        <f t="shared" si="2"/>
        <v>#N/A</v>
      </c>
      <c r="C91" s="92" t="e">
        <f t="shared" si="0"/>
        <v>#N/A</v>
      </c>
      <c r="D91" s="92" t="e">
        <f t="shared" si="3"/>
        <v>#N/A</v>
      </c>
      <c r="E91" s="30"/>
      <c r="F91" s="30"/>
      <c r="G91" s="30"/>
      <c r="H91" s="30"/>
    </row>
    <row r="92" spans="1:8">
      <c r="A92" s="92" t="e">
        <f t="shared" si="2"/>
        <v>#N/A</v>
      </c>
      <c r="B92" s="92" t="e">
        <f t="shared" si="2"/>
        <v>#N/A</v>
      </c>
      <c r="C92" s="92" t="e">
        <f t="shared" si="0"/>
        <v>#N/A</v>
      </c>
      <c r="D92" s="92" t="e">
        <f t="shared" si="3"/>
        <v>#N/A</v>
      </c>
      <c r="E92" s="30"/>
      <c r="F92" s="30"/>
      <c r="G92" s="30"/>
      <c r="H92" s="30"/>
    </row>
    <row r="93" spans="1:8">
      <c r="A93" s="92" t="e">
        <f t="shared" si="2"/>
        <v>#N/A</v>
      </c>
      <c r="B93" s="92" t="e">
        <f t="shared" si="2"/>
        <v>#N/A</v>
      </c>
      <c r="C93" s="92" t="e">
        <f t="shared" si="0"/>
        <v>#N/A</v>
      </c>
      <c r="D93" s="92" t="e">
        <f t="shared" si="3"/>
        <v>#N/A</v>
      </c>
      <c r="E93" s="30"/>
      <c r="F93" s="30"/>
      <c r="G93" s="30"/>
      <c r="H93" s="30"/>
    </row>
    <row r="94" spans="1:8">
      <c r="A94" s="92" t="e">
        <f t="shared" si="2"/>
        <v>#N/A</v>
      </c>
      <c r="B94" s="92" t="e">
        <f t="shared" si="2"/>
        <v>#N/A</v>
      </c>
      <c r="C94" s="92" t="e">
        <f t="shared" si="0"/>
        <v>#N/A</v>
      </c>
      <c r="D94" s="92" t="e">
        <f t="shared" si="3"/>
        <v>#N/A</v>
      </c>
      <c r="E94" s="30"/>
      <c r="F94" s="30"/>
      <c r="G94" s="30"/>
      <c r="H94" s="30"/>
    </row>
    <row r="95" spans="1:8">
      <c r="A95" s="92" t="e">
        <f t="shared" si="2"/>
        <v>#N/A</v>
      </c>
      <c r="B95" s="92" t="e">
        <f t="shared" si="2"/>
        <v>#N/A</v>
      </c>
      <c r="C95" s="92" t="e">
        <f t="shared" si="0"/>
        <v>#N/A</v>
      </c>
      <c r="D95" s="92" t="e">
        <f t="shared" si="3"/>
        <v>#N/A</v>
      </c>
      <c r="E95" s="30"/>
      <c r="F95" s="30"/>
      <c r="G95" s="30"/>
      <c r="H95" s="30"/>
    </row>
    <row r="96" spans="1:8">
      <c r="A96" s="92" t="e">
        <f t="shared" si="2"/>
        <v>#N/A</v>
      </c>
      <c r="B96" s="92" t="e">
        <f t="shared" si="2"/>
        <v>#N/A</v>
      </c>
      <c r="C96" s="92" t="e">
        <f t="shared" si="0"/>
        <v>#N/A</v>
      </c>
      <c r="D96" s="92" t="e">
        <f t="shared" si="3"/>
        <v>#N/A</v>
      </c>
      <c r="E96" s="30"/>
      <c r="F96" s="30"/>
      <c r="G96" s="30"/>
      <c r="H96" s="30"/>
    </row>
    <row r="97" spans="1:8">
      <c r="A97" s="92" t="e">
        <f t="shared" si="2"/>
        <v>#N/A</v>
      </c>
      <c r="B97" s="92" t="e">
        <f t="shared" si="2"/>
        <v>#N/A</v>
      </c>
      <c r="C97" s="92" t="e">
        <f t="shared" si="0"/>
        <v>#N/A</v>
      </c>
      <c r="D97" s="92" t="e">
        <f t="shared" si="3"/>
        <v>#N/A</v>
      </c>
      <c r="E97" s="30"/>
      <c r="F97" s="30"/>
      <c r="G97" s="30"/>
      <c r="H97" s="30"/>
    </row>
    <row r="98" spans="1:8">
      <c r="A98" s="92" t="e">
        <f t="shared" si="2"/>
        <v>#N/A</v>
      </c>
      <c r="B98" s="92" t="e">
        <f t="shared" si="2"/>
        <v>#N/A</v>
      </c>
      <c r="C98" s="92" t="e">
        <f t="shared" si="0"/>
        <v>#N/A</v>
      </c>
      <c r="D98" s="92" t="e">
        <f t="shared" si="3"/>
        <v>#N/A</v>
      </c>
      <c r="E98" s="30"/>
      <c r="F98" s="30"/>
      <c r="G98" s="30"/>
      <c r="H98" s="30"/>
    </row>
    <row r="99" spans="1:8">
      <c r="A99" s="92" t="e">
        <f t="shared" si="2"/>
        <v>#N/A</v>
      </c>
      <c r="B99" s="92" t="e">
        <f t="shared" si="2"/>
        <v>#N/A</v>
      </c>
      <c r="C99" s="92" t="e">
        <f t="shared" si="0"/>
        <v>#N/A</v>
      </c>
      <c r="D99" s="92" t="e">
        <f t="shared" si="3"/>
        <v>#N/A</v>
      </c>
      <c r="E99" s="30"/>
      <c r="F99" s="30"/>
      <c r="G99" s="30"/>
      <c r="H99" s="30"/>
    </row>
    <row r="100" spans="1:8">
      <c r="A100" s="92" t="e">
        <f t="shared" si="2"/>
        <v>#N/A</v>
      </c>
      <c r="B100" s="92" t="e">
        <f t="shared" si="2"/>
        <v>#N/A</v>
      </c>
      <c r="C100" s="92" t="e">
        <f t="shared" si="0"/>
        <v>#N/A</v>
      </c>
      <c r="D100" s="92" t="e">
        <f t="shared" si="3"/>
        <v>#N/A</v>
      </c>
      <c r="E100" s="30"/>
      <c r="F100" s="30"/>
      <c r="G100" s="30"/>
      <c r="H100" s="30"/>
    </row>
    <row r="101" spans="1:8">
      <c r="A101" s="92" t="e">
        <f t="shared" si="2"/>
        <v>#N/A</v>
      </c>
      <c r="B101" s="92" t="e">
        <f t="shared" si="2"/>
        <v>#N/A</v>
      </c>
      <c r="C101" s="92" t="e">
        <f t="shared" si="0"/>
        <v>#N/A</v>
      </c>
      <c r="D101" s="92" t="e">
        <f t="shared" si="3"/>
        <v>#N/A</v>
      </c>
      <c r="E101" s="30"/>
      <c r="F101" s="30"/>
      <c r="G101" s="30"/>
      <c r="H101" s="30"/>
    </row>
  </sheetData>
  <mergeCells count="1">
    <mergeCell ref="I17:K17"/>
  </mergeCells>
  <dataValidations disablePrompts="1" count="1">
    <dataValidation type="list" allowBlank="1" showInputMessage="1" showErrorMessage="1" sqref="K3" xr:uid="{00000000-0002-0000-0100-000001000000}">
      <formula1>Threshold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pageSetUpPr autoPageBreaks="0"/>
  </sheetPr>
  <dimension ref="A1:AF150"/>
  <sheetViews>
    <sheetView tabSelected="1" topLeftCell="B3" zoomScaleNormal="100" workbookViewId="0">
      <selection activeCell="B5" sqref="B5"/>
    </sheetView>
  </sheetViews>
  <sheetFormatPr defaultRowHeight="15"/>
  <cols>
    <col min="1" max="1" width="5.5703125" style="7" customWidth="1"/>
    <col min="2" max="2" width="14.42578125" style="7" customWidth="1"/>
    <col min="3" max="3" width="17.28515625" style="7" bestFit="1" customWidth="1"/>
    <col min="4" max="4" width="28.42578125" style="7" customWidth="1"/>
    <col min="5" max="5" width="11.5703125" style="7" bestFit="1" customWidth="1"/>
    <col min="6" max="6" width="11.5703125" style="7" customWidth="1"/>
    <col min="7" max="7" width="26.7109375" style="7" customWidth="1"/>
    <col min="8" max="8" width="11.140625" style="7" customWidth="1"/>
    <col min="9" max="9" width="12.42578125" style="7" bestFit="1" customWidth="1"/>
    <col min="10" max="10" width="16.28515625" style="7" bestFit="1" customWidth="1"/>
    <col min="11" max="11" width="12.140625" style="7" customWidth="1"/>
    <col min="12" max="12" width="9.28515625" style="7" customWidth="1"/>
    <col min="13" max="13" width="17.7109375" style="7" customWidth="1"/>
    <col min="14" max="14" width="12.85546875" style="7" customWidth="1"/>
    <col min="15" max="15" width="9.140625" style="7" customWidth="1"/>
    <col min="16" max="16" width="16.5703125" style="7" bestFit="1" customWidth="1"/>
    <col min="17" max="17" width="19.7109375" style="7" customWidth="1"/>
    <col min="18" max="18" width="8" style="7" customWidth="1"/>
    <col min="19" max="19" width="19.5703125" style="7" customWidth="1"/>
    <col min="20" max="20" width="18.85546875" style="7" customWidth="1"/>
    <col min="21" max="21" width="9.140625" style="7"/>
    <col min="22" max="22" width="18" style="7" customWidth="1"/>
    <col min="23" max="23" width="9.140625" style="7"/>
    <col min="24" max="24" width="9.7109375" style="7" bestFit="1" customWidth="1"/>
    <col min="25" max="25" width="9.7109375" style="7" customWidth="1"/>
    <col min="26" max="27" width="9.140625" style="7"/>
    <col min="28" max="28" width="15.7109375" style="7" customWidth="1"/>
    <col min="29" max="29" width="10.42578125" style="7" customWidth="1"/>
    <col min="30" max="30" width="19.85546875" style="7" customWidth="1"/>
    <col min="31" max="31" width="12.5703125" style="7" customWidth="1"/>
    <col min="32" max="16384" width="9.140625" style="7"/>
  </cols>
  <sheetData>
    <row r="1" spans="1:32" ht="22.5" customHeight="1" thickBot="1">
      <c r="B1" s="306" t="s">
        <v>373</v>
      </c>
      <c r="C1" s="307"/>
      <c r="D1" s="307"/>
      <c r="E1" s="308"/>
      <c r="F1" s="205"/>
      <c r="G1" s="306" t="s">
        <v>79</v>
      </c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8"/>
      <c r="Y1" s="309" t="s">
        <v>25</v>
      </c>
      <c r="Z1" s="309"/>
    </row>
    <row r="2" spans="1:32">
      <c r="V2" s="6" t="s">
        <v>272</v>
      </c>
      <c r="W2" s="6" t="s">
        <v>327</v>
      </c>
      <c r="X2" s="6" t="s">
        <v>394</v>
      </c>
      <c r="Y2" s="25" t="s">
        <v>508</v>
      </c>
      <c r="Z2" s="69" t="s">
        <v>74</v>
      </c>
      <c r="AB2" s="17"/>
      <c r="AC2" s="17"/>
      <c r="AD2" s="136" t="s">
        <v>273</v>
      </c>
      <c r="AF2" s="21"/>
    </row>
    <row r="3" spans="1:32">
      <c r="B3" s="40"/>
      <c r="C3" s="40"/>
      <c r="D3" s="40"/>
      <c r="E3" s="40"/>
      <c r="M3" s="310" t="s">
        <v>160</v>
      </c>
      <c r="N3" s="311"/>
      <c r="O3" s="312"/>
      <c r="V3" s="67">
        <v>1</v>
      </c>
      <c r="W3" s="195">
        <v>50</v>
      </c>
      <c r="X3" s="202">
        <v>160.64762107848546</v>
      </c>
      <c r="Y3" s="143"/>
      <c r="Z3" s="161"/>
      <c r="AB3" s="126" t="e">
        <f>IF(Data!H3="",NA(),Data!H3)</f>
        <v>#N/A</v>
      </c>
      <c r="AC3" s="126" t="e">
        <f t="shared" ref="AC3:AC11" si="0">IFERROR(VLOOKUP(AB3,$B$5:$C$104,2,FALSE),NA())</f>
        <v>#N/A</v>
      </c>
      <c r="AD3" s="37" t="str">
        <f>Data!I3</f>
        <v>Left 3rd Stage</v>
      </c>
      <c r="AF3" s="14"/>
    </row>
    <row r="4" spans="1:32">
      <c r="B4" s="6" t="s">
        <v>1</v>
      </c>
      <c r="C4" s="6" t="s">
        <v>105</v>
      </c>
      <c r="D4" s="6" t="s">
        <v>111</v>
      </c>
      <c r="E4" s="6" t="s">
        <v>228</v>
      </c>
      <c r="F4" s="21"/>
      <c r="G4" s="173"/>
      <c r="M4" s="6" t="s">
        <v>227</v>
      </c>
      <c r="N4" s="6" t="s">
        <v>4</v>
      </c>
      <c r="O4" s="6" t="s">
        <v>453</v>
      </c>
      <c r="Q4" s="6" t="s">
        <v>514</v>
      </c>
      <c r="S4" s="6" t="s">
        <v>420</v>
      </c>
      <c r="V4" s="67" t="s">
        <v>271</v>
      </c>
      <c r="W4" s="195">
        <v>100</v>
      </c>
      <c r="X4" s="202">
        <v>160.97426085006458</v>
      </c>
      <c r="Y4" s="143"/>
      <c r="Z4" s="161"/>
      <c r="AB4" s="126" t="e">
        <f>IF(Data!H4="",NA(),Data!H4)</f>
        <v>#N/A</v>
      </c>
      <c r="AC4" s="126" t="e">
        <f t="shared" si="0"/>
        <v>#N/A</v>
      </c>
      <c r="AD4" s="37" t="str">
        <f>Data!I4</f>
        <v>Left 2nd Stage</v>
      </c>
      <c r="AF4" s="14"/>
    </row>
    <row r="5" spans="1:32">
      <c r="A5" s="21">
        <v>1</v>
      </c>
      <c r="B5" s="73">
        <f>IF(ISBLANK(Data!A2),"",Data!A2)</f>
        <v>1</v>
      </c>
      <c r="C5" s="73">
        <f>IF(ISBLANK(Data!B2),"",Data!B2)</f>
        <v>3</v>
      </c>
      <c r="D5" s="73" t="str">
        <f>IF(OR(ISERROR(VLOOKUP(B5,Data!$H$3:$I$11,2,FALSE)),B5=""),"",VLOOKUP(B5,Data!$H$3:$I$11,2,FALSE))</f>
        <v>Left Bank</v>
      </c>
      <c r="E5" s="59">
        <f>IF(ISBLANK(Data!C2),"",Data!C2)</f>
        <v>0.1</v>
      </c>
      <c r="F5" s="21"/>
      <c r="M5" s="59">
        <f>Data!E3</f>
        <v>0</v>
      </c>
      <c r="N5" s="59">
        <f>Data!F3</f>
        <v>90</v>
      </c>
      <c r="O5" s="73">
        <f>Data!E10</f>
        <v>5</v>
      </c>
      <c r="Q5" s="59">
        <f>Data!E7</f>
        <v>0.01</v>
      </c>
      <c r="S5" s="59" t="str">
        <f>Data!I14</f>
        <v>Leo, Wol, Mill 1964</v>
      </c>
      <c r="V5" s="67">
        <v>2</v>
      </c>
      <c r="W5" s="195">
        <v>110</v>
      </c>
      <c r="X5" s="202">
        <v>161.03766088045765</v>
      </c>
      <c r="Y5" s="143"/>
      <c r="Z5" s="161"/>
      <c r="AB5" s="126">
        <f>IF(Data!H5="",NA(),Data!H5)</f>
        <v>1</v>
      </c>
      <c r="AC5" s="126">
        <f t="shared" si="0"/>
        <v>3</v>
      </c>
      <c r="AD5" s="37" t="str">
        <f>Data!I5</f>
        <v>Left Bank</v>
      </c>
      <c r="AF5" s="14"/>
    </row>
    <row r="6" spans="1:32">
      <c r="A6" s="21">
        <v>2</v>
      </c>
      <c r="B6" s="73">
        <f>IF(ISBLANK(Data!A3),"",Data!A3)</f>
        <v>5</v>
      </c>
      <c r="C6" s="73">
        <f>IF(ISBLANK(Data!B3),"",Data!B3)</f>
        <v>0</v>
      </c>
      <c r="D6" s="73" t="str">
        <f>IF(OR(ISERROR(VLOOKUP(B6,Data!$H$3:$I$11,2,FALSE)),B6=""),"",VLOOKUP(B6,Data!$H$3:$I$11,2,FALSE))</f>
        <v>Thalweg</v>
      </c>
      <c r="E6" s="59" t="e">
        <f>IF(ISBLANK(Data!C3),"",Data!C3)</f>
        <v>#N/A</v>
      </c>
      <c r="F6" s="21"/>
      <c r="V6" s="67">
        <v>5</v>
      </c>
      <c r="W6" s="195">
        <v>120</v>
      </c>
      <c r="X6" s="202">
        <v>161.07882912576804</v>
      </c>
      <c r="Y6" s="143"/>
      <c r="Z6" s="161"/>
      <c r="AB6" s="126" t="e">
        <f>IF(Data!H6="",NA(),Data!H6)</f>
        <v>#N/A</v>
      </c>
      <c r="AC6" s="126" t="e">
        <f t="shared" si="0"/>
        <v>#N/A</v>
      </c>
      <c r="AD6" s="37" t="str">
        <f>Data!I6</f>
        <v>Left Inner Berm</v>
      </c>
      <c r="AE6" s="11"/>
      <c r="AF6" s="14"/>
    </row>
    <row r="7" spans="1:32">
      <c r="A7" s="21">
        <v>3</v>
      </c>
      <c r="B7" s="73">
        <f>IF(ISBLANK(Data!A4),"",Data!A4)</f>
        <v>10</v>
      </c>
      <c r="C7" s="73">
        <f>IF(ISBLANK(Data!B4),"",Data!B4)</f>
        <v>3</v>
      </c>
      <c r="D7" s="73" t="str">
        <f>IF(OR(ISERROR(VLOOKUP(B7,Data!$H$3:$I$11,2,FALSE)),B7=""),"",VLOOKUP(B7,Data!$H$3:$I$11,2,FALSE))</f>
        <v>Right Bank</v>
      </c>
      <c r="E7" s="59" t="e">
        <f>IF(ISBLANK(Data!C4),"",Data!C4)</f>
        <v>#N/A</v>
      </c>
      <c r="F7" s="21"/>
      <c r="V7" s="67">
        <v>10</v>
      </c>
      <c r="W7" s="195">
        <v>130</v>
      </c>
      <c r="X7" s="202">
        <v>161.11826048651858</v>
      </c>
      <c r="Y7" s="143"/>
      <c r="Z7" s="161"/>
      <c r="AB7" s="126">
        <f>IF(Data!H7="",NA(),Data!H7)</f>
        <v>5</v>
      </c>
      <c r="AC7" s="126">
        <f t="shared" si="0"/>
        <v>0</v>
      </c>
      <c r="AD7" s="37" t="str">
        <f>Data!I7</f>
        <v>Thalweg</v>
      </c>
      <c r="AF7" s="14"/>
    </row>
    <row r="8" spans="1:32">
      <c r="A8" s="21">
        <v>4</v>
      </c>
      <c r="B8" s="73" t="e">
        <f>IF(ISBLANK(Data!A5),"",Data!A5)</f>
        <v>#N/A</v>
      </c>
      <c r="C8" s="73" t="e">
        <f>IF(ISBLANK(Data!B5),"",Data!B5)</f>
        <v>#N/A</v>
      </c>
      <c r="D8" s="73" t="e">
        <f>IF(OR(ISERROR(VLOOKUP(B8,Data!$H$3:$I$11,2,FALSE)),B8=""),"",VLOOKUP(B8,Data!$H$3:$I$11,2,FALSE))</f>
        <v>#N/A</v>
      </c>
      <c r="E8" s="59" t="e">
        <f>IF(ISBLANK(Data!C5),"",Data!C5)</f>
        <v>#N/A</v>
      </c>
      <c r="F8" s="21"/>
      <c r="V8" s="67">
        <v>20</v>
      </c>
      <c r="W8" s="195">
        <v>140</v>
      </c>
      <c r="X8" s="202">
        <v>161.15622043234606</v>
      </c>
      <c r="Y8" s="143"/>
      <c r="Z8" s="161"/>
      <c r="AB8" s="126" t="e">
        <f>IF(Data!H8="",NA(),Data!H8)</f>
        <v>#N/A</v>
      </c>
      <c r="AC8" s="126" t="e">
        <f t="shared" si="0"/>
        <v>#N/A</v>
      </c>
      <c r="AD8" s="37" t="s">
        <v>334</v>
      </c>
      <c r="AF8" s="14"/>
    </row>
    <row r="9" spans="1:32">
      <c r="A9" s="21">
        <v>5</v>
      </c>
      <c r="B9" s="73" t="e">
        <f>IF(ISBLANK(Data!A6),"",Data!A6)</f>
        <v>#N/A</v>
      </c>
      <c r="C9" s="73" t="e">
        <f>IF(ISBLANK(Data!B6),"",Data!B6)</f>
        <v>#N/A</v>
      </c>
      <c r="D9" s="73" t="e">
        <f>IF(OR(ISERROR(VLOOKUP(B9,Data!$H$3:$I$11,2,FALSE)),B9=""),"",VLOOKUP(B9,Data!$H$3:$I$11,2,FALSE))</f>
        <v>#N/A</v>
      </c>
      <c r="E9" s="59" t="e">
        <f>IF(ISBLANK(Data!C6),"",Data!C6)</f>
        <v>#N/A</v>
      </c>
      <c r="F9" s="21"/>
      <c r="V9" s="67">
        <v>50</v>
      </c>
      <c r="W9" s="195">
        <v>150</v>
      </c>
      <c r="X9" s="202">
        <v>161.19288865497813</v>
      </c>
      <c r="Y9" s="143"/>
      <c r="Z9" s="161"/>
      <c r="AB9" s="126">
        <f>IF(Data!H9="",NA(),Data!H9)</f>
        <v>10</v>
      </c>
      <c r="AC9" s="126">
        <f t="shared" si="0"/>
        <v>3</v>
      </c>
      <c r="AD9" s="37" t="s">
        <v>262</v>
      </c>
      <c r="AF9" s="14"/>
    </row>
    <row r="10" spans="1:32">
      <c r="A10" s="21">
        <v>6</v>
      </c>
      <c r="B10" s="73" t="e">
        <f>IF(ISBLANK(Data!A7),"",Data!A7)</f>
        <v>#N/A</v>
      </c>
      <c r="C10" s="73" t="e">
        <f>IF(ISBLANK(Data!B7),"",Data!B7)</f>
        <v>#N/A</v>
      </c>
      <c r="D10" s="73" t="e">
        <f>IF(OR(ISERROR(VLOOKUP(B10,Data!$H$3:$I$11,2,FALSE)),B10=""),"",VLOOKUP(B10,Data!$H$3:$I$11,2,FALSE))</f>
        <v>#N/A</v>
      </c>
      <c r="E10" s="59" t="e">
        <f>IF(ISBLANK(Data!C7),"",Data!C7)</f>
        <v>#N/A</v>
      </c>
      <c r="F10" s="21"/>
      <c r="V10" s="67">
        <v>100</v>
      </c>
      <c r="W10" s="195">
        <v>200</v>
      </c>
      <c r="X10" s="202">
        <v>161.36103755740757</v>
      </c>
      <c r="Y10" s="143"/>
      <c r="Z10" s="161"/>
      <c r="AB10" s="126" t="e">
        <f>IF(Data!H10="",NA(),Data!H10)</f>
        <v>#N/A</v>
      </c>
      <c r="AC10" s="126" t="e">
        <f t="shared" si="0"/>
        <v>#N/A</v>
      </c>
      <c r="AD10" s="37" t="str">
        <f>Data!I10</f>
        <v>Right 2nd Stage</v>
      </c>
      <c r="AF10" s="14"/>
    </row>
    <row r="11" spans="1:32">
      <c r="A11" s="21">
        <v>7</v>
      </c>
      <c r="B11" s="73" t="e">
        <f>IF(ISBLANK(Data!A8),"",Data!A8)</f>
        <v>#N/A</v>
      </c>
      <c r="C11" s="73" t="e">
        <f>IF(ISBLANK(Data!B8),"",Data!B8)</f>
        <v>#N/A</v>
      </c>
      <c r="D11" s="73" t="e">
        <f>IF(OR(ISERROR(VLOOKUP(B11,Data!$H$3:$I$11,2,FALSE)),B11=""),"",VLOOKUP(B11,Data!$H$3:$I$11,2,FALSE))</f>
        <v>#N/A</v>
      </c>
      <c r="E11" s="59" t="e">
        <f>IF(ISBLANK(Data!C8),"",Data!C8)</f>
        <v>#N/A</v>
      </c>
      <c r="F11" s="21"/>
      <c r="V11" s="67">
        <v>500</v>
      </c>
      <c r="W11" s="195">
        <v>210</v>
      </c>
      <c r="X11" s="202">
        <v>161.39218527308535</v>
      </c>
      <c r="Y11" s="143"/>
      <c r="Z11" s="161"/>
      <c r="AB11" s="126" t="e">
        <f>IF(Data!H11="",NA(),Data!H11)</f>
        <v>#N/A</v>
      </c>
      <c r="AC11" s="126" t="e">
        <f t="shared" si="0"/>
        <v>#N/A</v>
      </c>
      <c r="AD11" s="37" t="str">
        <f>Data!I11</f>
        <v>Right 3rd Stage</v>
      </c>
      <c r="AF11" s="14"/>
    </row>
    <row r="12" spans="1:32">
      <c r="A12" s="21">
        <v>8</v>
      </c>
      <c r="B12" s="73" t="e">
        <f>IF(ISBLANK(Data!A9),"",Data!A9)</f>
        <v>#N/A</v>
      </c>
      <c r="C12" s="73" t="e">
        <f>IF(ISBLANK(Data!B9),"",Data!B9)</f>
        <v>#N/A</v>
      </c>
      <c r="D12" s="73" t="e">
        <f>IF(OR(ISERROR(VLOOKUP(B12,Data!$H$3:$I$11,2,FALSE)),B12=""),"",VLOOKUP(B12,Data!$H$3:$I$11,2,FALSE))</f>
        <v>#N/A</v>
      </c>
      <c r="E12" s="59" t="e">
        <f>IF(ISBLANK(Data!C9),"",Data!C9)</f>
        <v>#N/A</v>
      </c>
      <c r="F12" s="21"/>
      <c r="V12" s="144" t="s">
        <v>395</v>
      </c>
      <c r="W12" s="21"/>
    </row>
    <row r="13" spans="1:32">
      <c r="A13" s="21">
        <v>9</v>
      </c>
      <c r="B13" s="73" t="e">
        <f>IF(ISBLANK(Data!A10),"",Data!A10)</f>
        <v>#N/A</v>
      </c>
      <c r="C13" s="73" t="e">
        <f>IF(ISBLANK(Data!B10),"",Data!B10)</f>
        <v>#N/A</v>
      </c>
      <c r="D13" s="73" t="e">
        <f>IF(OR(ISERROR(VLOOKUP(B13,Data!$H$3:$I$11,2,FALSE)),B13=""),"",VLOOKUP(B13,Data!$H$3:$I$11,2,FALSE))</f>
        <v>#N/A</v>
      </c>
      <c r="E13" s="59" t="e">
        <f>IF(ISBLANK(Data!C10),"",Data!C10)</f>
        <v>#N/A</v>
      </c>
      <c r="F13" s="21"/>
      <c r="V13" s="21"/>
      <c r="W13" s="21"/>
    </row>
    <row r="14" spans="1:32">
      <c r="A14" s="21">
        <v>10</v>
      </c>
      <c r="B14" s="73" t="e">
        <f>IF(ISBLANK(Data!A11),"",Data!A11)</f>
        <v>#N/A</v>
      </c>
      <c r="C14" s="73" t="e">
        <f>IF(ISBLANK(Data!B11),"",Data!B11)</f>
        <v>#N/A</v>
      </c>
      <c r="D14" s="73" t="e">
        <f>IF(OR(ISERROR(VLOOKUP(B14,Data!$H$3:$I$11,2,FALSE)),B14=""),"",VLOOKUP(B14,Data!$H$3:$I$11,2,FALSE))</f>
        <v>#N/A</v>
      </c>
      <c r="E14" s="59" t="e">
        <f>IF(ISBLANK(Data!C11),"",Data!C11)</f>
        <v>#N/A</v>
      </c>
      <c r="F14" s="21"/>
    </row>
    <row r="15" spans="1:32">
      <c r="A15" s="21">
        <v>11</v>
      </c>
      <c r="B15" s="73" t="e">
        <f>IF(ISBLANK(Data!A12),"",Data!A12)</f>
        <v>#N/A</v>
      </c>
      <c r="C15" s="73" t="e">
        <f>IF(ISBLANK(Data!B12),"",Data!B12)</f>
        <v>#N/A</v>
      </c>
      <c r="D15" s="73" t="e">
        <f>IF(OR(ISERROR(VLOOKUP(B15,Data!$H$3:$I$11,2,FALSE)),B15=""),"",VLOOKUP(B15,Data!$H$3:$I$11,2,FALSE))</f>
        <v>#N/A</v>
      </c>
      <c r="E15" s="59" t="e">
        <f>IF(ISBLANK(Data!C12),"",Data!C12)</f>
        <v>#N/A</v>
      </c>
      <c r="F15" s="21"/>
    </row>
    <row r="16" spans="1:32">
      <c r="A16" s="21">
        <v>12</v>
      </c>
      <c r="B16" s="73" t="e">
        <f>IF(ISBLANK(Data!A13),"",Data!A13)</f>
        <v>#N/A</v>
      </c>
      <c r="C16" s="73" t="e">
        <f>IF(ISBLANK(Data!B13),"",Data!B13)</f>
        <v>#N/A</v>
      </c>
      <c r="D16" s="73" t="e">
        <f>IF(OR(ISERROR(VLOOKUP(B16,Data!$H$3:$I$11,2,FALSE)),B16=""),"",VLOOKUP(B16,Data!$H$3:$I$11,2,FALSE))</f>
        <v>#N/A</v>
      </c>
      <c r="E16" s="59" t="e">
        <f>IF(ISBLANK(Data!C13),"",Data!C13)</f>
        <v>#N/A</v>
      </c>
      <c r="F16" s="21"/>
    </row>
    <row r="17" spans="1:23">
      <c r="A17" s="21">
        <v>13</v>
      </c>
      <c r="B17" s="73" t="e">
        <f>IF(ISBLANK(Data!A14),"",Data!A14)</f>
        <v>#N/A</v>
      </c>
      <c r="C17" s="73" t="e">
        <f>IF(ISBLANK(Data!B14),"",Data!B14)</f>
        <v>#N/A</v>
      </c>
      <c r="D17" s="73" t="e">
        <f>IF(OR(ISERROR(VLOOKUP(B17,Data!$H$3:$I$11,2,FALSE)),B17=""),"",VLOOKUP(B17,Data!$H$3:$I$11,2,FALSE))</f>
        <v>#N/A</v>
      </c>
      <c r="E17" s="59" t="e">
        <f>IF(ISBLANK(Data!C14),"",Data!C14)</f>
        <v>#N/A</v>
      </c>
      <c r="F17" s="21"/>
    </row>
    <row r="18" spans="1:23">
      <c r="A18" s="21">
        <v>14</v>
      </c>
      <c r="B18" s="73" t="e">
        <f>IF(ISBLANK(Data!A15),"",Data!A15)</f>
        <v>#N/A</v>
      </c>
      <c r="C18" s="73" t="e">
        <f>IF(ISBLANK(Data!B15),"",Data!B15)</f>
        <v>#N/A</v>
      </c>
      <c r="D18" s="73" t="e">
        <f>IF(OR(ISERROR(VLOOKUP(B18,Data!$H$3:$I$11,2,FALSE)),B18=""),"",VLOOKUP(B18,Data!$H$3:$I$11,2,FALSE))</f>
        <v>#N/A</v>
      </c>
      <c r="E18" s="59" t="e">
        <f>IF(ISBLANK(Data!C15),"",Data!C15)</f>
        <v>#N/A</v>
      </c>
      <c r="F18" s="21"/>
    </row>
    <row r="19" spans="1:23">
      <c r="A19" s="21">
        <v>15</v>
      </c>
      <c r="B19" s="73" t="e">
        <f>IF(ISBLANK(Data!A16),"",Data!A16)</f>
        <v>#N/A</v>
      </c>
      <c r="C19" s="73" t="e">
        <f>IF(ISBLANK(Data!B16),"",Data!B16)</f>
        <v>#N/A</v>
      </c>
      <c r="D19" s="73" t="e">
        <f>IF(OR(ISERROR(VLOOKUP(B19,Data!$H$3:$I$11,2,FALSE)),B19=""),"",VLOOKUP(B19,Data!$H$3:$I$11,2,FALSE))</f>
        <v>#N/A</v>
      </c>
      <c r="E19" s="59" t="e">
        <f>IF(ISBLANK(Data!C16),"",Data!C16)</f>
        <v>#N/A</v>
      </c>
      <c r="F19" s="21"/>
    </row>
    <row r="20" spans="1:23">
      <c r="A20" s="21">
        <v>16</v>
      </c>
      <c r="B20" s="73" t="e">
        <f>IF(ISBLANK(Data!A17),"",Data!A17)</f>
        <v>#N/A</v>
      </c>
      <c r="C20" s="73" t="e">
        <f>IF(ISBLANK(Data!B17),"",Data!B17)</f>
        <v>#N/A</v>
      </c>
      <c r="D20" s="73" t="e">
        <f>IF(OR(ISERROR(VLOOKUP(B20,Data!$H$3:$I$11,2,FALSE)),B20=""),"",VLOOKUP(B20,Data!$H$3:$I$11,2,FALSE))</f>
        <v>#N/A</v>
      </c>
      <c r="E20" s="59" t="e">
        <f>IF(ISBLANK(Data!C17),"",Data!C17)</f>
        <v>#N/A</v>
      </c>
      <c r="F20" s="21"/>
    </row>
    <row r="21" spans="1:23">
      <c r="A21" s="21">
        <v>17</v>
      </c>
      <c r="B21" s="73" t="e">
        <f>IF(ISBLANK(Data!A18),"",Data!A18)</f>
        <v>#N/A</v>
      </c>
      <c r="C21" s="73" t="e">
        <f>IF(ISBLANK(Data!B18),"",Data!B18)</f>
        <v>#N/A</v>
      </c>
      <c r="D21" s="73" t="e">
        <f>IF(OR(ISERROR(VLOOKUP(B21,Data!$H$3:$I$11,2,FALSE)),B21=""),"",VLOOKUP(B21,Data!$H$3:$I$11,2,FALSE))</f>
        <v>#N/A</v>
      </c>
      <c r="E21" s="59" t="e">
        <f>IF(ISBLANK(Data!C18),"",Data!C18)</f>
        <v>#N/A</v>
      </c>
      <c r="F21" s="21"/>
    </row>
    <row r="22" spans="1:23">
      <c r="A22" s="21">
        <v>18</v>
      </c>
      <c r="B22" s="73" t="e">
        <f>IF(ISBLANK(Data!A19),"",Data!A19)</f>
        <v>#N/A</v>
      </c>
      <c r="C22" s="73" t="e">
        <f>IF(ISBLANK(Data!B19),"",Data!B19)</f>
        <v>#N/A</v>
      </c>
      <c r="D22" s="73" t="e">
        <f>IF(OR(ISERROR(VLOOKUP(B22,Data!$H$3:$I$11,2,FALSE)),B22=""),"",VLOOKUP(B22,Data!$H$3:$I$11,2,FALSE))</f>
        <v>#N/A</v>
      </c>
      <c r="E22" s="59" t="e">
        <f>IF(ISBLANK(Data!C19),"",Data!C19)</f>
        <v>#N/A</v>
      </c>
      <c r="F22" s="21"/>
    </row>
    <row r="23" spans="1:23">
      <c r="A23" s="21">
        <v>19</v>
      </c>
      <c r="B23" s="73" t="e">
        <f>IF(ISBLANK(Data!A20),"",Data!A20)</f>
        <v>#N/A</v>
      </c>
      <c r="C23" s="73" t="e">
        <f>IF(ISBLANK(Data!B20),"",Data!B20)</f>
        <v>#N/A</v>
      </c>
      <c r="D23" s="73" t="e">
        <f>IF(OR(ISERROR(VLOOKUP(B23,Data!$H$3:$I$11,2,FALSE)),B23=""),"",VLOOKUP(B23,Data!$H$3:$I$11,2,FALSE))</f>
        <v>#N/A</v>
      </c>
      <c r="E23" s="59" t="e">
        <f>IF(ISBLANK(Data!C20),"",Data!C20)</f>
        <v>#N/A</v>
      </c>
      <c r="F23" s="21"/>
    </row>
    <row r="24" spans="1:23">
      <c r="A24" s="21">
        <v>20</v>
      </c>
      <c r="B24" s="73" t="e">
        <f>IF(ISBLANK(Data!A21),"",Data!A21)</f>
        <v>#N/A</v>
      </c>
      <c r="C24" s="73" t="e">
        <f>IF(ISBLANK(Data!B21),"",Data!B21)</f>
        <v>#N/A</v>
      </c>
      <c r="D24" s="73" t="e">
        <f>IF(OR(ISERROR(VLOOKUP(B24,Data!$H$3:$I$11,2,FALSE)),B24=""),"",VLOOKUP(B24,Data!$H$3:$I$11,2,FALSE))</f>
        <v>#N/A</v>
      </c>
      <c r="E24" s="59" t="e">
        <f>IF(ISBLANK(Data!C21),"",Data!C21)</f>
        <v>#N/A</v>
      </c>
    </row>
    <row r="25" spans="1:23">
      <c r="A25" s="21">
        <v>21</v>
      </c>
      <c r="B25" s="73" t="e">
        <f>IF(ISBLANK(Data!A22),"",Data!A22)</f>
        <v>#N/A</v>
      </c>
      <c r="C25" s="73" t="e">
        <f>IF(ISBLANK(Data!B22),"",Data!B22)</f>
        <v>#N/A</v>
      </c>
      <c r="D25" s="73" t="e">
        <f>IF(OR(ISERROR(VLOOKUP(B25,Data!$H$3:$I$11,2,FALSE)),B25=""),"",VLOOKUP(B25,Data!$H$3:$I$11,2,FALSE))</f>
        <v>#N/A</v>
      </c>
      <c r="E25" s="59" t="e">
        <f>IF(ISBLANK(Data!C22),"",Data!C22)</f>
        <v>#N/A</v>
      </c>
    </row>
    <row r="26" spans="1:23">
      <c r="A26" s="21">
        <v>22</v>
      </c>
      <c r="B26" s="73" t="e">
        <f>IF(ISBLANK(Data!A23),"",Data!A23)</f>
        <v>#N/A</v>
      </c>
      <c r="C26" s="73" t="e">
        <f>IF(ISBLANK(Data!B23),"",Data!B23)</f>
        <v>#N/A</v>
      </c>
      <c r="D26" s="73" t="e">
        <f>IF(OR(ISERROR(VLOOKUP(B26,Data!$H$3:$I$11,2,FALSE)),B26=""),"",VLOOKUP(B26,Data!$H$3:$I$11,2,FALSE))</f>
        <v>#N/A</v>
      </c>
      <c r="E26" s="59" t="e">
        <f>IF(ISBLANK(Data!C23),"",Data!C23)</f>
        <v>#N/A</v>
      </c>
    </row>
    <row r="27" spans="1:23">
      <c r="A27" s="21">
        <v>23</v>
      </c>
      <c r="B27" s="73" t="e">
        <f>IF(ISBLANK(Data!A24),"",Data!A24)</f>
        <v>#N/A</v>
      </c>
      <c r="C27" s="73" t="e">
        <f>IF(ISBLANK(Data!B24),"",Data!B24)</f>
        <v>#N/A</v>
      </c>
      <c r="D27" s="73" t="e">
        <f>IF(OR(ISERROR(VLOOKUP(B27,Data!$H$3:$I$11,2,FALSE)),B27=""),"",VLOOKUP(B27,Data!$H$3:$I$11,2,FALSE))</f>
        <v>#N/A</v>
      </c>
      <c r="E27" s="59" t="e">
        <f>IF(ISBLANK(Data!C24),"",Data!C24)</f>
        <v>#N/A</v>
      </c>
      <c r="F27" s="99"/>
      <c r="H27" s="19" t="s">
        <v>177</v>
      </c>
      <c r="I27" s="19" t="s">
        <v>10</v>
      </c>
      <c r="J27" s="19" t="s">
        <v>281</v>
      </c>
      <c r="K27" s="19" t="s">
        <v>279</v>
      </c>
      <c r="L27" s="19" t="s">
        <v>280</v>
      </c>
      <c r="T27" s="40"/>
    </row>
    <row r="28" spans="1:23">
      <c r="A28" s="21">
        <v>24</v>
      </c>
      <c r="B28" s="73" t="e">
        <f>IF(ISBLANK(Data!A25),"",Data!A25)</f>
        <v>#N/A</v>
      </c>
      <c r="C28" s="73" t="e">
        <f>IF(ISBLANK(Data!B25),"",Data!B25)</f>
        <v>#N/A</v>
      </c>
      <c r="D28" s="73" t="e">
        <f>IF(OR(ISERROR(VLOOKUP(B28,Data!$H$3:$I$11,2,FALSE)),B28=""),"",VLOOKUP(B28,Data!$H$3:$I$11,2,FALSE))</f>
        <v>#N/A</v>
      </c>
      <c r="E28" s="59" t="e">
        <f>IF(ISBLANK(Data!C25),"",Data!C25)</f>
        <v>#N/A</v>
      </c>
      <c r="G28" s="32" t="s">
        <v>327</v>
      </c>
      <c r="H28" s="8">
        <f>XS_AnalyzerSummary!$L19</f>
        <v>85.185134720495341</v>
      </c>
      <c r="I28" s="8">
        <f>XS_AnalyzerSummary!$L13</f>
        <v>0</v>
      </c>
      <c r="J28" s="37">
        <f>XS_AnalyzerSummary!$L15</f>
        <v>85.185134720495341</v>
      </c>
      <c r="K28" s="8">
        <f>XS_AnalyzerSummary!$L16</f>
        <v>0</v>
      </c>
      <c r="L28" s="8">
        <f>XS_AnalyzerSummary!$L17</f>
        <v>0</v>
      </c>
      <c r="M28" s="9"/>
      <c r="P28" s="9"/>
      <c r="S28" s="9"/>
      <c r="U28" s="23"/>
      <c r="V28" s="23"/>
    </row>
    <row r="29" spans="1:23">
      <c r="A29" s="21">
        <v>25</v>
      </c>
      <c r="B29" s="73" t="e">
        <f>IF(ISBLANK(Data!A26),"",Data!A26)</f>
        <v>#N/A</v>
      </c>
      <c r="C29" s="73" t="e">
        <f>IF(ISBLANK(Data!B26),"",Data!B26)</f>
        <v>#N/A</v>
      </c>
      <c r="D29" s="73" t="e">
        <f>IF(OR(ISERROR(VLOOKUP(B29,Data!$H$3:$I$11,2,FALSE)),B29=""),"",VLOOKUP(B29,Data!$H$3:$I$11,2,FALSE))</f>
        <v>#N/A</v>
      </c>
      <c r="E29" s="59" t="e">
        <f>IF(ISBLANK(Data!C26),"",Data!C26)</f>
        <v>#N/A</v>
      </c>
      <c r="G29" s="32" t="s">
        <v>141</v>
      </c>
      <c r="H29" s="28">
        <f>XS_AnalyzerSummary!$I19</f>
        <v>0.10000000000000002</v>
      </c>
      <c r="I29" s="28">
        <f>XS_AnalyzerSummary!$I13</f>
        <v>0</v>
      </c>
      <c r="J29" s="194">
        <f>XS_AnalyzerSummary!$I15</f>
        <v>0.10000000000000002</v>
      </c>
      <c r="K29" s="28">
        <f>XS_AnalyzerSummary!$I16</f>
        <v>0</v>
      </c>
      <c r="L29" s="8">
        <f>XS_AnalyzerSummary!$I17</f>
        <v>0</v>
      </c>
      <c r="M29" s="9"/>
      <c r="P29" s="9"/>
      <c r="S29" s="9"/>
      <c r="W29" s="7" t="s">
        <v>154</v>
      </c>
    </row>
    <row r="30" spans="1:23">
      <c r="A30" s="21">
        <v>26</v>
      </c>
      <c r="B30" s="73" t="e">
        <f>IF(ISBLANK(Data!A27),"",Data!A27)</f>
        <v>#N/A</v>
      </c>
      <c r="C30" s="73" t="e">
        <f>IF(ISBLANK(Data!B27),"",Data!B27)</f>
        <v>#N/A</v>
      </c>
      <c r="D30" s="73" t="e">
        <f>IF(OR(ISERROR(VLOOKUP(B30,Data!$H$3:$I$11,2,FALSE)),B30=""),"",VLOOKUP(B30,Data!$H$3:$I$11,2,FALSE))</f>
        <v>#N/A</v>
      </c>
      <c r="E30" s="59" t="e">
        <f>IF(ISBLANK(Data!C27),"",Data!C27)</f>
        <v>#N/A</v>
      </c>
      <c r="G30" s="32" t="s">
        <v>528</v>
      </c>
      <c r="H30" s="8">
        <f>XS_AnalyzerSummary!$M19</f>
        <v>2.7042899911268363</v>
      </c>
      <c r="I30" s="8">
        <f>XS_AnalyzerSummary!$M13</f>
        <v>0</v>
      </c>
      <c r="J30" s="37">
        <f>XS_AnalyzerSummary!$M15</f>
        <v>2.7042899911268363</v>
      </c>
      <c r="K30" s="8">
        <f>XS_AnalyzerSummary!$M16</f>
        <v>0</v>
      </c>
      <c r="L30" s="8">
        <f>XS_AnalyzerSummary!$M17</f>
        <v>0</v>
      </c>
      <c r="M30" s="9"/>
      <c r="P30" s="9"/>
      <c r="S30" s="9"/>
      <c r="W30" s="7" t="s">
        <v>494</v>
      </c>
    </row>
    <row r="31" spans="1:23">
      <c r="A31" s="21">
        <v>27</v>
      </c>
      <c r="B31" s="73" t="e">
        <f>IF(ISBLANK(Data!A28),"",Data!A28)</f>
        <v>#N/A</v>
      </c>
      <c r="C31" s="73" t="e">
        <f>IF(ISBLANK(Data!B28),"",Data!B28)</f>
        <v>#N/A</v>
      </c>
      <c r="D31" s="73" t="e">
        <f>IF(OR(ISERROR(VLOOKUP(B31,Data!$H$3:$I$11,2,FALSE)),B31=""),"",VLOOKUP(B31,Data!$H$3:$I$11,2,FALSE))</f>
        <v>#N/A</v>
      </c>
      <c r="E31" s="59" t="e">
        <f>IF(ISBLANK(Data!C28),"",Data!C28)</f>
        <v>#N/A</v>
      </c>
      <c r="G31" s="32" t="s">
        <v>359</v>
      </c>
      <c r="H31" s="8">
        <f>MAX(XS_AnalyzerSummary!AV3:AV204)</f>
        <v>3.9131708978825612</v>
      </c>
      <c r="I31" s="8">
        <f>IF(XS_AnalyzerSummary!A6="Yes",(XS_AnalyzerSummary!$BI$3:$BI$104),0)</f>
        <v>0</v>
      </c>
      <c r="J31" s="37">
        <f>MAX(XS_AnalyzerSummary!$BI$3:$BI$104)</f>
        <v>3.9131708978825612</v>
      </c>
      <c r="K31" s="8">
        <f>MAX(XS_AnalyzerSummary!$BG$3:$BG$104)</f>
        <v>0</v>
      </c>
      <c r="L31" s="8">
        <f>MAX(XS_AnalyzerSummary!BH3:BH204)</f>
        <v>0</v>
      </c>
      <c r="M31" s="9"/>
      <c r="P31" s="9"/>
      <c r="R31" s="21"/>
      <c r="S31" s="9"/>
      <c r="W31" s="7" t="s">
        <v>317</v>
      </c>
    </row>
    <row r="32" spans="1:23">
      <c r="A32" s="21">
        <v>28</v>
      </c>
      <c r="B32" s="73" t="e">
        <f>IF(ISBLANK(Data!A29),"",Data!A29)</f>
        <v>#N/A</v>
      </c>
      <c r="C32" s="73" t="e">
        <f>IF(ISBLANK(Data!B29),"",Data!B29)</f>
        <v>#N/A</v>
      </c>
      <c r="D32" s="73" t="e">
        <f>IF(OR(ISERROR(VLOOKUP(B32,Data!$H$3:$I$11,2,FALSE)),B32=""),"",VLOOKUP(B32,Data!$H$3:$I$11,2,FALSE))</f>
        <v>#N/A</v>
      </c>
      <c r="E32" s="59" t="e">
        <f>IF(ISBLANK(Data!C29),"",Data!C29)</f>
        <v>#N/A</v>
      </c>
      <c r="K32" s="57"/>
      <c r="L32" s="57"/>
      <c r="O32" s="19" t="s">
        <v>177</v>
      </c>
      <c r="P32" s="19" t="s">
        <v>10</v>
      </c>
      <c r="Q32" s="19" t="s">
        <v>281</v>
      </c>
      <c r="R32" s="19" t="s">
        <v>279</v>
      </c>
      <c r="S32" s="19" t="s">
        <v>280</v>
      </c>
    </row>
    <row r="33" spans="1:19">
      <c r="A33" s="21">
        <v>29</v>
      </c>
      <c r="B33" s="73" t="e">
        <f>IF(ISBLANK(Data!A30),"",Data!A30)</f>
        <v>#N/A</v>
      </c>
      <c r="C33" s="73" t="e">
        <f>IF(ISBLANK(Data!B30),"",Data!B30)</f>
        <v>#N/A</v>
      </c>
      <c r="D33" s="73" t="e">
        <f>IF(OR(ISERROR(VLOOKUP(B33,Data!$H$3:$I$11,2,FALSE)),B33=""),"",VLOOKUP(B33,Data!$H$3:$I$11,2,FALSE))</f>
        <v>#N/A</v>
      </c>
      <c r="E33" s="59" t="e">
        <f>IF(ISBLANK(Data!C30),"",Data!C30)</f>
        <v>#N/A</v>
      </c>
      <c r="G33" s="6" t="s">
        <v>40</v>
      </c>
      <c r="H33" s="8">
        <f>XS_AnalyzerSummary!$F19</f>
        <v>12.830951894845301</v>
      </c>
      <c r="I33" s="8">
        <f>XS_AnalyzerSummary!$F13</f>
        <v>0</v>
      </c>
      <c r="J33" s="37">
        <f>XS_AnalyzerSummary!$F15</f>
        <v>12.830951894845301</v>
      </c>
      <c r="K33" s="8">
        <f>XS_AnalyzerSummary!$F16</f>
        <v>0</v>
      </c>
      <c r="L33" s="8">
        <f>XS_AnalyzerSummary!$F17</f>
        <v>0</v>
      </c>
      <c r="M33" s="21"/>
      <c r="N33" s="6" t="s">
        <v>424</v>
      </c>
      <c r="O33" s="8">
        <f>MAX(XS_AnalyzerSummary!AP3:AP204)</f>
        <v>4.2733159952885034</v>
      </c>
      <c r="P33" s="8">
        <f>IF(XS_AnalyzerSummary!H8="Yes",(XS_AnalyzerSummary!$BO$3:$BO$204),0)</f>
        <v>0</v>
      </c>
      <c r="Q33" s="37">
        <f>MAX(XS_AnalyzerSummary!$BO$3:$BO$204)</f>
        <v>4.2733159952885034</v>
      </c>
      <c r="R33" s="8">
        <f>MAX(XS_AnalyzerSummary!BM3:BM204)</f>
        <v>0</v>
      </c>
      <c r="S33" s="8">
        <f>MAX(XS_AnalyzerSummary!$BN$3:$BN$204)</f>
        <v>0</v>
      </c>
    </row>
    <row r="34" spans="1:19">
      <c r="A34" s="21">
        <v>30</v>
      </c>
      <c r="B34" s="73" t="e">
        <f>IF(ISBLANK(Data!A31),"",Data!A31)</f>
        <v>#N/A</v>
      </c>
      <c r="C34" s="73" t="e">
        <f>IF(ISBLANK(Data!B31),"",Data!B31)</f>
        <v>#N/A</v>
      </c>
      <c r="D34" s="73" t="e">
        <f>IF(OR(ISERROR(VLOOKUP(B34,Data!$H$3:$I$11,2,FALSE)),B34=""),"",VLOOKUP(B34,Data!$H$3:$I$11,2,FALSE))</f>
        <v>#N/A</v>
      </c>
      <c r="E34" s="59" t="e">
        <f>IF(ISBLANK(Data!C31),"",Data!C31)</f>
        <v>#N/A</v>
      </c>
      <c r="G34" s="6" t="s">
        <v>474</v>
      </c>
      <c r="H34" s="8">
        <f>XS_AnalyzerSummary!$E19</f>
        <v>31.5</v>
      </c>
      <c r="I34" s="8">
        <f>XS_AnalyzerSummary!$E13</f>
        <v>0</v>
      </c>
      <c r="J34" s="37">
        <f>XS_AnalyzerSummary!$E15</f>
        <v>31.5</v>
      </c>
      <c r="K34" s="8">
        <f>XS_AnalyzerSummary!$E16</f>
        <v>0</v>
      </c>
      <c r="L34" s="8">
        <f>XS_AnalyzerSummary!$E17</f>
        <v>0</v>
      </c>
      <c r="M34" s="21"/>
      <c r="P34" s="21"/>
      <c r="R34" s="76"/>
      <c r="S34" s="21"/>
    </row>
    <row r="35" spans="1:19">
      <c r="A35" s="21">
        <v>31</v>
      </c>
      <c r="B35" s="73" t="e">
        <f>IF(ISBLANK(Data!A32),"",Data!A32)</f>
        <v>#N/A</v>
      </c>
      <c r="C35" s="73" t="e">
        <f>IF(ISBLANK(Data!B32),"",Data!B32)</f>
        <v>#N/A</v>
      </c>
      <c r="D35" s="73" t="e">
        <f>IF(OR(ISERROR(VLOOKUP(B35,Data!$H$3:$I$11,2,FALSE)),B35=""),"",VLOOKUP(B35,Data!$H$3:$I$11,2,FALSE))</f>
        <v>#N/A</v>
      </c>
      <c r="E35" s="59" t="e">
        <f>IF(ISBLANK(Data!C32),"",Data!C32)</f>
        <v>#N/A</v>
      </c>
      <c r="G35" s="6" t="s">
        <v>330</v>
      </c>
      <c r="H35" s="8">
        <f>XS_AnalyzerSummary!$G19</f>
        <v>2.4550010208248692</v>
      </c>
      <c r="I35" s="8">
        <f>XS_AnalyzerSummary!$G13</f>
        <v>0</v>
      </c>
      <c r="J35" s="37">
        <f>XS_AnalyzerSummary!$G15</f>
        <v>2.4550010208248692</v>
      </c>
      <c r="K35" s="8">
        <f>XS_AnalyzerSummary!$G16</f>
        <v>0</v>
      </c>
      <c r="L35" s="8">
        <f>XS_AnalyzerSummary!$G17</f>
        <v>0</v>
      </c>
      <c r="M35" s="21"/>
      <c r="P35" s="21"/>
      <c r="S35" s="21"/>
    </row>
    <row r="36" spans="1:19">
      <c r="A36" s="21">
        <v>32</v>
      </c>
      <c r="B36" s="73" t="e">
        <f>IF(ISBLANK(Data!A33),"",Data!A33)</f>
        <v>#N/A</v>
      </c>
      <c r="C36" s="73" t="e">
        <f>IF(ISBLANK(Data!B33),"",Data!B33)</f>
        <v>#N/A</v>
      </c>
      <c r="D36" s="73" t="e">
        <f>IF(OR(ISERROR(VLOOKUP(B36,Data!$H$3:$I$11,2,FALSE)),B36=""),"",VLOOKUP(B36,Data!$H$3:$I$11,2,FALSE))</f>
        <v>#N/A</v>
      </c>
      <c r="E36" s="59" t="e">
        <f>IF(ISBLANK(Data!C33),"",Data!C33)</f>
        <v>#N/A</v>
      </c>
      <c r="G36" s="6" t="s">
        <v>434</v>
      </c>
      <c r="H36" s="8">
        <f>XS_AnalyzerSummary!$O19</f>
        <v>9</v>
      </c>
      <c r="I36" s="8">
        <f>XS_AnalyzerSummary!$O13</f>
        <v>0</v>
      </c>
      <c r="J36" s="37">
        <f>XS_AnalyzerSummary!$O15</f>
        <v>9</v>
      </c>
      <c r="K36" s="8">
        <f>XS_AnalyzerSummary!$O16</f>
        <v>0</v>
      </c>
      <c r="L36" s="8">
        <f>XS_AnalyzerSummary!$O17</f>
        <v>0</v>
      </c>
      <c r="M36" s="21"/>
      <c r="P36" s="21"/>
      <c r="R36" s="63"/>
      <c r="S36" s="21"/>
    </row>
    <row r="37" spans="1:19">
      <c r="A37" s="21">
        <v>33</v>
      </c>
      <c r="B37" s="73" t="e">
        <f>IF(ISBLANK(Data!A34),"",Data!A34)</f>
        <v>#N/A</v>
      </c>
      <c r="C37" s="73" t="e">
        <f>IF(ISBLANK(Data!B34),"",Data!B34)</f>
        <v>#N/A</v>
      </c>
      <c r="D37" s="73" t="e">
        <f>IF(OR(ISERROR(VLOOKUP(B37,Data!$H$3:$I$11,2,FALSE)),B37=""),"",VLOOKUP(B37,Data!$H$3:$I$11,2,FALSE))</f>
        <v>#N/A</v>
      </c>
      <c r="E37" s="59" t="e">
        <f>IF(ISBLANK(Data!C34),"",Data!C34)</f>
        <v>#N/A</v>
      </c>
      <c r="G37" s="6" t="s">
        <v>140</v>
      </c>
      <c r="H37" s="8">
        <f>XS_AnalyzerSummary!$S19</f>
        <v>3.5</v>
      </c>
      <c r="I37" s="8">
        <f>XS_AnalyzerSummary!$S13</f>
        <v>0</v>
      </c>
      <c r="J37" s="37">
        <f>XS_AnalyzerSummary!$S15</f>
        <v>3.5</v>
      </c>
      <c r="K37" s="8">
        <f>XS_AnalyzerSummary!$S16</f>
        <v>0</v>
      </c>
      <c r="L37" s="8">
        <f>XS_AnalyzerSummary!$S17</f>
        <v>0</v>
      </c>
      <c r="M37" s="21"/>
      <c r="P37" s="21"/>
      <c r="S37" s="21"/>
    </row>
    <row r="38" spans="1:19">
      <c r="A38" s="21">
        <v>34</v>
      </c>
      <c r="B38" s="73" t="e">
        <f>IF(ISBLANK(Data!A35),"",Data!A35)</f>
        <v>#N/A</v>
      </c>
      <c r="C38" s="73" t="e">
        <f>IF(ISBLANK(Data!B35),"",Data!B35)</f>
        <v>#N/A</v>
      </c>
      <c r="D38" s="73" t="e">
        <f>IF(OR(ISERROR(VLOOKUP(B38,Data!$H$3:$I$11,2,FALSE)),B38=""),"",VLOOKUP(B38,Data!$H$3:$I$11,2,FALSE))</f>
        <v>#N/A</v>
      </c>
      <c r="E38" s="59" t="e">
        <f>IF(ISBLANK(Data!C35),"",Data!C35)</f>
        <v>#N/A</v>
      </c>
      <c r="G38" s="6" t="s">
        <v>161</v>
      </c>
      <c r="H38" s="8">
        <f>XS_AnalyzerSummary!$R19</f>
        <v>5</v>
      </c>
      <c r="I38" s="8">
        <f>XS_AnalyzerSummary!$R13</f>
        <v>5</v>
      </c>
      <c r="J38" s="37">
        <f>XS_AnalyzerSummary!$R15</f>
        <v>5</v>
      </c>
      <c r="K38" s="8">
        <f>XS_AnalyzerSummary!$R16</f>
        <v>2</v>
      </c>
      <c r="L38" s="8">
        <f>XS_AnalyzerSummary!$R17</f>
        <v>0</v>
      </c>
      <c r="M38" s="21"/>
      <c r="P38" s="21"/>
      <c r="S38" s="21"/>
    </row>
    <row r="39" spans="1:19">
      <c r="A39" s="21">
        <v>35</v>
      </c>
      <c r="B39" s="73" t="e">
        <f>IF(ISBLANK(Data!A36),"",Data!A36)</f>
        <v>#N/A</v>
      </c>
      <c r="C39" s="73" t="e">
        <f>IF(ISBLANK(Data!B36),"",Data!B36)</f>
        <v>#N/A</v>
      </c>
      <c r="D39" s="73" t="e">
        <f>IF(OR(ISERROR(VLOOKUP(B39,Data!$H$3:$I$11,2,FALSE)),B39=""),"",VLOOKUP(B39,Data!$H$3:$I$11,2,FALSE))</f>
        <v>#N/A</v>
      </c>
      <c r="E39" s="59" t="e">
        <f>IF(ISBLANK(Data!C36),"",Data!C36)</f>
        <v>#N/A</v>
      </c>
      <c r="K39" s="57"/>
      <c r="L39" s="57"/>
    </row>
    <row r="40" spans="1:19">
      <c r="A40" s="21">
        <v>36</v>
      </c>
      <c r="B40" s="73" t="e">
        <f>IF(ISBLANK(Data!A37),"",Data!A37)</f>
        <v>#N/A</v>
      </c>
      <c r="C40" s="73" t="e">
        <f>IF(ISBLANK(Data!B37),"",Data!B37)</f>
        <v>#N/A</v>
      </c>
      <c r="D40" s="73" t="e">
        <f>IF(OR(ISERROR(VLOOKUP(B40,Data!$H$3:$I$11,2,FALSE)),B40=""),"",VLOOKUP(B40,Data!$H$3:$I$11,2,FALSE))</f>
        <v>#N/A</v>
      </c>
      <c r="E40" s="59" t="e">
        <f>IF(ISBLANK(Data!C37),"",Data!C37)</f>
        <v>#N/A</v>
      </c>
      <c r="G40" s="25" t="s">
        <v>319</v>
      </c>
      <c r="H40" s="8">
        <f>XS_AnalyzerSummary!$U19</f>
        <v>1.5319206369947185</v>
      </c>
      <c r="I40" s="8">
        <f>XS_AnalyzerSummary!$U13</f>
        <v>0</v>
      </c>
      <c r="J40" s="37">
        <f>XS_AnalyzerSummary!$U15</f>
        <v>1.5319206369947185</v>
      </c>
      <c r="K40" s="8">
        <f>XS_AnalyzerSummary!$U16</f>
        <v>0</v>
      </c>
      <c r="L40" s="8">
        <f>XS_AnalyzerSummary!$U17</f>
        <v>0</v>
      </c>
      <c r="M40" s="5"/>
      <c r="P40" s="5"/>
      <c r="S40" s="5"/>
    </row>
    <row r="41" spans="1:19">
      <c r="A41" s="21">
        <v>37</v>
      </c>
      <c r="B41" s="73" t="e">
        <f>IF(ISBLANK(Data!A38),"",Data!A38)</f>
        <v>#N/A</v>
      </c>
      <c r="C41" s="73" t="e">
        <f>IF(ISBLANK(Data!B38),"",Data!B38)</f>
        <v>#N/A</v>
      </c>
      <c r="D41" s="73" t="e">
        <f>IF(OR(ISERROR(VLOOKUP(B41,Data!$H$3:$I$11,2,FALSE)),B41=""),"",VLOOKUP(B41,Data!$H$3:$I$11,2,FALSE))</f>
        <v>#N/A</v>
      </c>
      <c r="E41" s="59" t="e">
        <f>IF(ISBLANK(Data!C38),"",Data!C38)</f>
        <v>#N/A</v>
      </c>
      <c r="G41" s="25" t="s">
        <v>455</v>
      </c>
      <c r="H41" s="8">
        <f>MAX(XS_AnalyzerSummary!$AW3:$AW104)</f>
        <v>2.6665491810600259</v>
      </c>
      <c r="I41" s="8">
        <f>IF(XS_AnalyzerSummary!A6="Yes",MAX(XS_AnalyzerSummary!$BL$3:$BL$104),0)</f>
        <v>0</v>
      </c>
      <c r="J41" s="37">
        <f>MAX(XS_AnalyzerSummary!$BL$3:$BL$104)</f>
        <v>2.6665491810600259</v>
      </c>
      <c r="K41" s="8">
        <f>MAX(XS_AnalyzerSummary!$BJ$3:$BJ$104)</f>
        <v>0</v>
      </c>
      <c r="L41" s="8">
        <f>MAX(XS_AnalyzerSummary!$BK$3:$BK$104)</f>
        <v>0</v>
      </c>
      <c r="M41" s="5"/>
      <c r="P41" s="5"/>
      <c r="S41" s="5"/>
    </row>
    <row r="42" spans="1:19">
      <c r="A42" s="21">
        <v>38</v>
      </c>
      <c r="B42" s="73" t="e">
        <f>IF(ISBLANK(Data!A39),"",Data!A39)</f>
        <v>#N/A</v>
      </c>
      <c r="C42" s="73" t="e">
        <f>IF(ISBLANK(Data!B39),"",Data!B39)</f>
        <v>#N/A</v>
      </c>
      <c r="D42" s="73" t="e">
        <f>IF(OR(ISERROR(VLOOKUP(B42,Data!$H$3:$I$11,2,FALSE)),B42=""),"",VLOOKUP(B42,Data!$H$3:$I$11,2,FALSE))</f>
        <v>#N/A</v>
      </c>
      <c r="E42" s="59" t="e">
        <f>IF(ISBLANK(Data!C39),"",Data!C39)</f>
        <v>#N/A</v>
      </c>
      <c r="G42" s="32" t="s">
        <v>188</v>
      </c>
      <c r="H42" s="8">
        <f>XS_AnalyzerSummary!$X19</f>
        <v>53.155524065589091</v>
      </c>
      <c r="I42" s="8">
        <f>XS_AnalyzerSummary!$X13</f>
        <v>0</v>
      </c>
      <c r="J42" s="37">
        <f>XS_AnalyzerSummary!$X15</f>
        <v>53.155524065589091</v>
      </c>
      <c r="K42" s="8">
        <f>XS_AnalyzerSummary!$X16</f>
        <v>0</v>
      </c>
      <c r="L42" s="8">
        <f>XS_AnalyzerSummary!$X17</f>
        <v>0</v>
      </c>
      <c r="M42" s="9"/>
      <c r="P42" s="9"/>
      <c r="S42" s="9"/>
    </row>
    <row r="43" spans="1:19">
      <c r="A43" s="21">
        <v>39</v>
      </c>
      <c r="B43" s="73" t="e">
        <f>IF(ISBLANK(Data!A40),"",Data!A40)</f>
        <v>#N/A</v>
      </c>
      <c r="C43" s="73" t="e">
        <f>IF(ISBLANK(Data!B40),"",Data!B40)</f>
        <v>#N/A</v>
      </c>
      <c r="D43" s="73" t="e">
        <f>IF(OR(ISERROR(VLOOKUP(B43,Data!$H$3:$I$11,2,FALSE)),B43=""),"",VLOOKUP(B43,Data!$H$3:$I$11,2,FALSE))</f>
        <v>#N/A</v>
      </c>
      <c r="E43" s="59" t="e">
        <f>IF(ISBLANK(Data!C40),"",Data!C40)</f>
        <v>#N/A</v>
      </c>
      <c r="K43" s="57"/>
      <c r="L43" s="57"/>
    </row>
    <row r="44" spans="1:19">
      <c r="A44" s="21">
        <v>40</v>
      </c>
      <c r="B44" s="73" t="e">
        <f>IF(ISBLANK(Data!A41),"",Data!A41)</f>
        <v>#N/A</v>
      </c>
      <c r="C44" s="73" t="e">
        <f>IF(ISBLANK(Data!B41),"",Data!B41)</f>
        <v>#N/A</v>
      </c>
      <c r="D44" s="73" t="e">
        <f>IF(OR(ISERROR(VLOOKUP(B44,Data!$H$3:$I$11,2,FALSE)),B44=""),"",VLOOKUP(B44,Data!$H$3:$I$11,2,FALSE))</f>
        <v>#N/A</v>
      </c>
      <c r="E44" s="59" t="e">
        <f>IF(ISBLANK(Data!C41),"",Data!C41)</f>
        <v>#N/A</v>
      </c>
      <c r="G44" s="25" t="s">
        <v>511</v>
      </c>
      <c r="H44" s="8">
        <f>XS_AnalyzerSummary!$Z19</f>
        <v>0.25473657350695739</v>
      </c>
      <c r="I44" s="8">
        <f>XS_AnalyzerSummary!$Z13</f>
        <v>0</v>
      </c>
      <c r="J44" s="37">
        <f>XS_AnalyzerSummary!$Z15</f>
        <v>0.25473657350695739</v>
      </c>
      <c r="K44" s="8">
        <f>XS_AnalyzerSummary!$Z16</f>
        <v>0</v>
      </c>
      <c r="L44" s="8">
        <f>XS_AnalyzerSummary!$Z17</f>
        <v>0</v>
      </c>
      <c r="M44" s="5"/>
      <c r="P44" s="5"/>
      <c r="S44" s="5"/>
    </row>
    <row r="45" spans="1:19">
      <c r="A45" s="21">
        <v>41</v>
      </c>
      <c r="B45" s="73" t="e">
        <f>IF(ISBLANK(Data!A42),"",Data!A42)</f>
        <v>#N/A</v>
      </c>
      <c r="C45" s="73" t="e">
        <f>IF(ISBLANK(Data!B42),"",Data!B42)</f>
        <v>#N/A</v>
      </c>
      <c r="D45" s="73" t="e">
        <f>IF(OR(ISERROR(VLOOKUP(B45,Data!$H$3:$I$11,2,FALSE)),B45=""),"",VLOOKUP(B45,Data!$H$3:$I$11,2,FALSE))</f>
        <v>#N/A</v>
      </c>
      <c r="E45" s="59" t="e">
        <f>IF(ISBLANK(Data!C42),"",Data!C42)</f>
        <v>#N/A</v>
      </c>
      <c r="G45" s="32" t="s">
        <v>159</v>
      </c>
      <c r="H45" s="8">
        <f>XS_AnalyzerSummary!$AA19</f>
        <v>0.11355876329361467</v>
      </c>
      <c r="I45" s="8">
        <f>XS_AnalyzerSummary!$AA13</f>
        <v>0</v>
      </c>
      <c r="J45" s="37">
        <f>XS_AnalyzerSummary!$AA15</f>
        <v>0.11355876329361467</v>
      </c>
      <c r="K45" s="8">
        <f>XS_AnalyzerSummary!$AA16</f>
        <v>0</v>
      </c>
      <c r="L45" s="8">
        <f>XS_AnalyzerSummary!$AA17</f>
        <v>0</v>
      </c>
      <c r="M45" s="9"/>
      <c r="P45" s="9"/>
      <c r="S45" s="9"/>
    </row>
    <row r="46" spans="1:19">
      <c r="A46" s="21">
        <v>42</v>
      </c>
      <c r="B46" s="73" t="e">
        <f>IF(ISBLANK(Data!A43),"",Data!A43)</f>
        <v>#N/A</v>
      </c>
      <c r="C46" s="73" t="e">
        <f>IF(ISBLANK(Data!B43),"",Data!B43)</f>
        <v>#N/A</v>
      </c>
      <c r="D46" s="73" t="e">
        <f>IF(OR(ISERROR(VLOOKUP(B46,Data!$H$3:$I$11,2,FALSE)),B46=""),"",VLOOKUP(B46,Data!$H$3:$I$11,2,FALSE))</f>
        <v>#N/A</v>
      </c>
      <c r="E46" s="59" t="e">
        <f>IF(ISBLANK(Data!C43),"",Data!C43)</f>
        <v>#N/A</v>
      </c>
      <c r="G46" s="32" t="s">
        <v>328</v>
      </c>
      <c r="H46" s="8">
        <f>XS_AnalyzerSummary!$AB19</f>
        <v>5.1135587632936144</v>
      </c>
      <c r="I46" s="8">
        <f>XS_AnalyzerSummary!$AB13</f>
        <v>5</v>
      </c>
      <c r="J46" s="37">
        <f>XS_AnalyzerSummary!$AB15</f>
        <v>5.1135587632936144</v>
      </c>
      <c r="K46" s="8">
        <f>XS_AnalyzerSummary!$AB16</f>
        <v>5</v>
      </c>
      <c r="L46" s="8">
        <f>XS_AnalyzerSummary!$AB17</f>
        <v>5</v>
      </c>
      <c r="M46" s="9"/>
      <c r="P46" s="9"/>
      <c r="S46" s="9"/>
    </row>
    <row r="47" spans="1:19">
      <c r="A47" s="21">
        <v>43</v>
      </c>
      <c r="B47" s="73" t="e">
        <f>IF(ISBLANK(Data!A44),"",Data!A44)</f>
        <v>#N/A</v>
      </c>
      <c r="C47" s="73" t="e">
        <f>IF(ISBLANK(Data!B44),"",Data!B44)</f>
        <v>#N/A</v>
      </c>
      <c r="D47" s="73" t="e">
        <f>IF(OR(ISERROR(VLOOKUP(B47,Data!$H$3:$I$11,2,FALSE)),B47=""),"",VLOOKUP(B47,Data!$H$3:$I$11,2,FALSE))</f>
        <v>#N/A</v>
      </c>
      <c r="E47" s="59" t="e">
        <f>IF(ISBLANK(Data!C44),"",Data!C44)</f>
        <v>#N/A</v>
      </c>
    </row>
    <row r="48" spans="1:19">
      <c r="A48" s="21">
        <v>44</v>
      </c>
      <c r="B48" s="73" t="e">
        <f>IF(ISBLANK(Data!A45),"",Data!A45)</f>
        <v>#N/A</v>
      </c>
      <c r="C48" s="73" t="e">
        <f>IF(ISBLANK(Data!B45),"",Data!B45)</f>
        <v>#N/A</v>
      </c>
      <c r="D48" s="73" t="e">
        <f>IF(OR(ISERROR(VLOOKUP(B48,Data!$H$3:$I$11,2,FALSE)),B48=""),"",VLOOKUP(B48,Data!$H$3:$I$11,2,FALSE))</f>
        <v>#N/A</v>
      </c>
      <c r="E48" s="59" t="e">
        <f>IF(ISBLANK(Data!C45),"",Data!C45)</f>
        <v>#N/A</v>
      </c>
      <c r="H48" s="21"/>
    </row>
    <row r="49" spans="1:19">
      <c r="A49" s="21">
        <v>45</v>
      </c>
      <c r="B49" s="73" t="e">
        <f>IF(ISBLANK(Data!A46),"",Data!A46)</f>
        <v>#N/A</v>
      </c>
      <c r="C49" s="73" t="e">
        <f>IF(ISBLANK(Data!B46),"",Data!B46)</f>
        <v>#N/A</v>
      </c>
      <c r="D49" s="73" t="e">
        <f>IF(OR(ISERROR(VLOOKUP(B49,Data!$H$3:$I$11,2,FALSE)),B49=""),"",VLOOKUP(B49,Data!$H$3:$I$11,2,FALSE))</f>
        <v>#N/A</v>
      </c>
      <c r="E49" s="59" t="e">
        <f>IF(ISBLANK(Data!C46),"",Data!C46)</f>
        <v>#N/A</v>
      </c>
      <c r="G49" s="7" t="s">
        <v>501</v>
      </c>
      <c r="Q49" s="23"/>
    </row>
    <row r="50" spans="1:19">
      <c r="A50" s="21">
        <v>46</v>
      </c>
      <c r="B50" s="73" t="e">
        <f>IF(ISBLANK(Data!A47),"",Data!A47)</f>
        <v>#N/A</v>
      </c>
      <c r="C50" s="73" t="e">
        <f>IF(ISBLANK(Data!B47),"",Data!B47)</f>
        <v>#N/A</v>
      </c>
      <c r="D50" s="73" t="e">
        <f>IF(OR(ISERROR(VLOOKUP(B50,Data!$H$3:$I$11,2,FALSE)),B50=""),"",VLOOKUP(B50,Data!$H$3:$I$11,2,FALSE))</f>
        <v>#N/A</v>
      </c>
      <c r="E50" s="59" t="e">
        <f>IF(ISBLANK(Data!C47),"",Data!C47)</f>
        <v>#N/A</v>
      </c>
      <c r="G50" s="6" t="s">
        <v>107</v>
      </c>
      <c r="H50" s="8">
        <f>J36/J37</f>
        <v>2.5714285714285716</v>
      </c>
    </row>
    <row r="51" spans="1:19">
      <c r="A51" s="21">
        <v>47</v>
      </c>
      <c r="B51" s="73" t="e">
        <f>IF(ISBLANK(Data!A48),"",Data!A48)</f>
        <v>#N/A</v>
      </c>
      <c r="C51" s="73" t="e">
        <f>IF(ISBLANK(Data!B48),"",Data!B48)</f>
        <v>#N/A</v>
      </c>
      <c r="D51" s="73" t="e">
        <f>IF(OR(ISERROR(VLOOKUP(B51,Data!$H$3:$I$11,2,FALSE)),B51=""),"",VLOOKUP(B51,Data!$H$3:$I$11,2,FALSE))</f>
        <v>#N/A</v>
      </c>
      <c r="E51" s="59" t="e">
        <f>IF(ISBLANK(Data!C48),"",Data!C48)</f>
        <v>#N/A</v>
      </c>
      <c r="J51" s="1" t="s">
        <v>456</v>
      </c>
    </row>
    <row r="52" spans="1:19">
      <c r="A52" s="21">
        <v>48</v>
      </c>
      <c r="B52" s="73" t="e">
        <f>IF(ISBLANK(Data!A49),"",Data!A49)</f>
        <v>#N/A</v>
      </c>
      <c r="C52" s="73" t="e">
        <f>IF(ISBLANK(Data!B49),"",Data!B49)</f>
        <v>#N/A</v>
      </c>
      <c r="D52" s="73" t="e">
        <f>IF(OR(ISERROR(VLOOKUP(B52,Data!$H$3:$I$11,2,FALSE)),B52=""),"",VLOOKUP(B52,Data!$H$3:$I$11,2,FALSE))</f>
        <v>#N/A</v>
      </c>
      <c r="E52" s="59" t="e">
        <f>IF(ISBLANK(Data!C49),"",Data!C49)</f>
        <v>#N/A</v>
      </c>
      <c r="G52" s="49" t="s">
        <v>499</v>
      </c>
      <c r="H52" s="86"/>
      <c r="M52" s="21"/>
      <c r="P52" s="21"/>
      <c r="S52" s="21"/>
    </row>
    <row r="53" spans="1:19">
      <c r="A53" s="21">
        <v>49</v>
      </c>
      <c r="B53" s="73" t="e">
        <f>IF(ISBLANK(Data!A50),"",Data!A50)</f>
        <v>#N/A</v>
      </c>
      <c r="C53" s="73" t="e">
        <f>IF(ISBLANK(Data!B50),"",Data!B50)</f>
        <v>#N/A</v>
      </c>
      <c r="D53" s="73" t="e">
        <f>IF(OR(ISERROR(VLOOKUP(B53,Data!$H$3:$I$11,2,FALSE)),B53=""),"",VLOOKUP(B53,Data!$H$3:$I$11,2,FALSE))</f>
        <v>#N/A</v>
      </c>
      <c r="E53" s="59" t="e">
        <f>IF(ISBLANK(Data!C50),"",Data!C50)</f>
        <v>#N/A</v>
      </c>
      <c r="G53" s="49" t="s">
        <v>27</v>
      </c>
      <c r="H53" s="86"/>
      <c r="M53" s="21"/>
      <c r="P53" s="21"/>
      <c r="S53" s="21"/>
    </row>
    <row r="54" spans="1:19">
      <c r="A54" s="21">
        <v>50</v>
      </c>
      <c r="B54" s="73" t="e">
        <f>IF(ISBLANK(Data!A51),"",Data!A51)</f>
        <v>#N/A</v>
      </c>
      <c r="C54" s="73" t="e">
        <f>IF(ISBLANK(Data!B51),"",Data!B51)</f>
        <v>#N/A</v>
      </c>
      <c r="D54" s="73" t="e">
        <f>IF(OR(ISERROR(VLOOKUP(B54,Data!$H$3:$I$11,2,FALSE)),B54=""),"",VLOOKUP(B54,Data!$H$3:$I$11,2,FALSE))</f>
        <v>#N/A</v>
      </c>
      <c r="E54" s="59" t="e">
        <f>IF(ISBLANK(Data!C51),"",Data!C51)</f>
        <v>#N/A</v>
      </c>
      <c r="M54" s="21"/>
      <c r="P54" s="21"/>
      <c r="S54" s="21"/>
    </row>
    <row r="55" spans="1:19" ht="20.25">
      <c r="A55" s="21">
        <v>51</v>
      </c>
      <c r="B55" s="73" t="e">
        <f>IF(ISBLANK(Data!A52),"",Data!A52)</f>
        <v>#N/A</v>
      </c>
      <c r="C55" s="73" t="e">
        <f>IF(ISBLANK(Data!B52),"",Data!B52)</f>
        <v>#N/A</v>
      </c>
      <c r="D55" s="73" t="e">
        <f>IF(OR(ISERROR(VLOOKUP(B55,Data!$H$3:$I$11,2,FALSE)),B55=""),"",VLOOKUP(B55,Data!$H$3:$I$11,2,FALSE))</f>
        <v>#N/A</v>
      </c>
      <c r="E55" s="59" t="e">
        <f>IF(ISBLANK(Data!C52),"",Data!C52)</f>
        <v>#N/A</v>
      </c>
      <c r="G55" s="6" t="s">
        <v>259</v>
      </c>
      <c r="H55" s="8" t="s">
        <v>342</v>
      </c>
      <c r="M55" s="21"/>
      <c r="P55" s="21"/>
      <c r="S55" s="21"/>
    </row>
    <row r="56" spans="1:19" ht="20.25">
      <c r="A56" s="21">
        <v>52</v>
      </c>
      <c r="B56" s="73" t="e">
        <f>IF(ISBLANK(Data!A53),"",Data!A53)</f>
        <v>#N/A</v>
      </c>
      <c r="C56" s="73" t="e">
        <f>IF(ISBLANK(Data!B53),"",Data!B53)</f>
        <v>#N/A</v>
      </c>
      <c r="D56" s="73" t="e">
        <f>IF(OR(ISERROR(VLOOKUP(B56,Data!$H$3:$I$11,2,FALSE)),B56=""),"",VLOOKUP(B56,Data!$H$3:$I$11,2,FALSE))</f>
        <v>#N/A</v>
      </c>
      <c r="E56" s="59" t="e">
        <f>IF(ISBLANK(Data!C53),"",Data!C53)</f>
        <v>#N/A</v>
      </c>
      <c r="G56" s="6" t="s">
        <v>391</v>
      </c>
      <c r="H56" s="8" t="s">
        <v>342</v>
      </c>
      <c r="M56" s="21"/>
      <c r="P56" s="21"/>
      <c r="S56" s="21"/>
    </row>
    <row r="57" spans="1:19">
      <c r="A57" s="21">
        <v>53</v>
      </c>
      <c r="B57" s="73" t="e">
        <f>IF(ISBLANK(Data!A54),"",Data!A54)</f>
        <v>#N/A</v>
      </c>
      <c r="C57" s="73" t="e">
        <f>IF(ISBLANK(Data!B54),"",Data!B54)</f>
        <v>#N/A</v>
      </c>
      <c r="D57" s="73" t="e">
        <f>IF(OR(ISERROR(VLOOKUP(B57,Data!$H$3:$I$11,2,FALSE)),B57=""),"",VLOOKUP(B57,Data!$H$3:$I$11,2,FALSE))</f>
        <v>#N/A</v>
      </c>
      <c r="E57" s="59" t="e">
        <f>IF(ISBLANK(Data!C54),"",Data!C54)</f>
        <v>#N/A</v>
      </c>
      <c r="M57" s="21"/>
      <c r="P57" s="21"/>
      <c r="S57" s="21"/>
    </row>
    <row r="58" spans="1:19">
      <c r="A58" s="21">
        <v>54</v>
      </c>
      <c r="B58" s="73" t="e">
        <f>IF(ISBLANK(Data!A55),"",Data!A55)</f>
        <v>#N/A</v>
      </c>
      <c r="C58" s="73" t="e">
        <f>IF(ISBLANK(Data!B55),"",Data!B55)</f>
        <v>#N/A</v>
      </c>
      <c r="D58" s="73" t="e">
        <f>IF(OR(ISERROR(VLOOKUP(B58,Data!$H$3:$I$11,2,FALSE)),B58=""),"",VLOOKUP(B58,Data!$H$3:$I$11,2,FALSE))</f>
        <v>#N/A</v>
      </c>
      <c r="E58" s="59" t="e">
        <f>IF(ISBLANK(Data!C55),"",Data!C55)</f>
        <v>#N/A</v>
      </c>
    </row>
    <row r="59" spans="1:19">
      <c r="A59" s="21">
        <v>55</v>
      </c>
      <c r="B59" s="73" t="e">
        <f>IF(ISBLANK(Data!A56),"",Data!A56)</f>
        <v>#N/A</v>
      </c>
      <c r="C59" s="73" t="e">
        <f>IF(ISBLANK(Data!B56),"",Data!B56)</f>
        <v>#N/A</v>
      </c>
      <c r="D59" s="73" t="e">
        <f>IF(OR(ISERROR(VLOOKUP(B59,Data!$H$3:$I$11,2,FALSE)),B59=""),"",VLOOKUP(B59,Data!$H$3:$I$11,2,FALSE))</f>
        <v>#N/A</v>
      </c>
      <c r="E59" s="59" t="e">
        <f>IF(ISBLANK(Data!C56),"",Data!C56)</f>
        <v>#N/A</v>
      </c>
      <c r="G59" s="1" t="s">
        <v>421</v>
      </c>
    </row>
    <row r="60" spans="1:19">
      <c r="A60" s="21">
        <v>56</v>
      </c>
      <c r="B60" s="73" t="e">
        <f>IF(ISBLANK(Data!A57),"",Data!A57)</f>
        <v>#N/A</v>
      </c>
      <c r="C60" s="73" t="e">
        <f>IF(ISBLANK(Data!B57),"",Data!B57)</f>
        <v>#N/A</v>
      </c>
      <c r="D60" s="73" t="e">
        <f>IF(OR(ISERROR(VLOOKUP(B60,Data!$H$3:$I$11,2,FALSE)),B60=""),"",VLOOKUP(B60,Data!$H$3:$I$11,2,FALSE))</f>
        <v>#N/A</v>
      </c>
      <c r="E60" s="59" t="e">
        <f>IF(ISBLANK(Data!C57),"",Data!C57)</f>
        <v>#N/A</v>
      </c>
      <c r="G60" s="1" t="s">
        <v>256</v>
      </c>
    </row>
    <row r="61" spans="1:19">
      <c r="A61" s="21">
        <v>57</v>
      </c>
      <c r="B61" s="73" t="e">
        <f>IF(ISBLANK(Data!A58),"",Data!A58)</f>
        <v>#N/A</v>
      </c>
      <c r="C61" s="73" t="e">
        <f>IF(ISBLANK(Data!B58),"",Data!B58)</f>
        <v>#N/A</v>
      </c>
      <c r="D61" s="73" t="e">
        <f>IF(OR(ISERROR(VLOOKUP(B61,Data!$H$3:$I$11,2,FALSE)),B61=""),"",VLOOKUP(B61,Data!$H$3:$I$11,2,FALSE))</f>
        <v>#N/A</v>
      </c>
      <c r="E61" s="59" t="e">
        <f>IF(ISBLANK(Data!C58),"",Data!C58)</f>
        <v>#N/A</v>
      </c>
    </row>
    <row r="62" spans="1:19">
      <c r="A62" s="21">
        <v>58</v>
      </c>
      <c r="B62" s="73" t="e">
        <f>IF(ISBLANK(Data!A59),"",Data!A59)</f>
        <v>#N/A</v>
      </c>
      <c r="C62" s="73" t="e">
        <f>IF(ISBLANK(Data!B59),"",Data!B59)</f>
        <v>#N/A</v>
      </c>
      <c r="D62" s="73" t="e">
        <f>IF(OR(ISERROR(VLOOKUP(B62,Data!$H$3:$I$11,2,FALSE)),B62=""),"",VLOOKUP(B62,Data!$H$3:$I$11,2,FALSE))</f>
        <v>#N/A</v>
      </c>
      <c r="E62" s="59" t="e">
        <f>IF(ISBLANK(Data!C59),"",Data!C59)</f>
        <v>#N/A</v>
      </c>
    </row>
    <row r="63" spans="1:19">
      <c r="A63" s="21">
        <v>59</v>
      </c>
      <c r="B63" s="73" t="e">
        <f>IF(ISBLANK(Data!A60),"",Data!A60)</f>
        <v>#N/A</v>
      </c>
      <c r="C63" s="73" t="e">
        <f>IF(ISBLANK(Data!B60),"",Data!B60)</f>
        <v>#N/A</v>
      </c>
      <c r="D63" s="73" t="e">
        <f>IF(OR(ISERROR(VLOOKUP(B63,Data!$H$3:$I$11,2,FALSE)),B63=""),"",VLOOKUP(B63,Data!$H$3:$I$11,2,FALSE))</f>
        <v>#N/A</v>
      </c>
      <c r="E63" s="59" t="e">
        <f>IF(ISBLANK(Data!C60),"",Data!C60)</f>
        <v>#N/A</v>
      </c>
    </row>
    <row r="64" spans="1:19">
      <c r="A64" s="21">
        <v>60</v>
      </c>
      <c r="B64" s="73" t="e">
        <f>IF(ISBLANK(Data!A61),"",Data!A61)</f>
        <v>#N/A</v>
      </c>
      <c r="C64" s="73" t="e">
        <f>IF(ISBLANK(Data!B61),"",Data!B61)</f>
        <v>#N/A</v>
      </c>
      <c r="D64" s="73" t="e">
        <f>IF(OR(ISERROR(VLOOKUP(B64,Data!$H$3:$I$11,2,FALSE)),B64=""),"",VLOOKUP(B64,Data!$H$3:$I$11,2,FALSE))</f>
        <v>#N/A</v>
      </c>
      <c r="E64" s="59" t="e">
        <f>IF(ISBLANK(Data!C61),"",Data!C61)</f>
        <v>#N/A</v>
      </c>
    </row>
    <row r="65" spans="1:23">
      <c r="A65" s="21">
        <v>61</v>
      </c>
      <c r="B65" s="73" t="e">
        <f>IF(ISBLANK(Data!A62),"",Data!A62)</f>
        <v>#N/A</v>
      </c>
      <c r="C65" s="73" t="e">
        <f>IF(ISBLANK(Data!B62),"",Data!B62)</f>
        <v>#N/A</v>
      </c>
      <c r="D65" s="73" t="e">
        <f>IF(OR(ISERROR(VLOOKUP(B65,Data!$H$3:$I$11,2,FALSE)),B65=""),"",VLOOKUP(B65,Data!$H$3:$I$11,2,FALSE))</f>
        <v>#N/A</v>
      </c>
      <c r="E65" s="59" t="e">
        <f>IF(ISBLANK(Data!C62),"",Data!C62)</f>
        <v>#N/A</v>
      </c>
      <c r="G65" s="1"/>
    </row>
    <row r="66" spans="1:23">
      <c r="A66" s="21">
        <v>62</v>
      </c>
      <c r="B66" s="73" t="e">
        <f>IF(ISBLANK(Data!A63),"",Data!A63)</f>
        <v>#N/A</v>
      </c>
      <c r="C66" s="73" t="e">
        <f>IF(ISBLANK(Data!B63),"",Data!B63)</f>
        <v>#N/A</v>
      </c>
      <c r="D66" s="73" t="e">
        <f>IF(OR(ISERROR(VLOOKUP(B66,Data!$H$3:$I$11,2,FALSE)),B66=""),"",VLOOKUP(B66,Data!$H$3:$I$11,2,FALSE))</f>
        <v>#N/A</v>
      </c>
      <c r="E66" s="59" t="e">
        <f>IF(ISBLANK(Data!C63),"",Data!C63)</f>
        <v>#N/A</v>
      </c>
      <c r="G66" s="1"/>
    </row>
    <row r="67" spans="1:23">
      <c r="A67" s="21">
        <v>63</v>
      </c>
      <c r="B67" s="73" t="e">
        <f>IF(ISBLANK(Data!A64),"",Data!A64)</f>
        <v>#N/A</v>
      </c>
      <c r="C67" s="73" t="e">
        <f>IF(ISBLANK(Data!B64),"",Data!B64)</f>
        <v>#N/A</v>
      </c>
      <c r="D67" s="73" t="e">
        <f>IF(OR(ISERROR(VLOOKUP(B67,Data!$H$3:$I$11,2,FALSE)),B67=""),"",VLOOKUP(B67,Data!$H$3:$I$11,2,FALSE))</f>
        <v>#N/A</v>
      </c>
      <c r="E67" s="59" t="e">
        <f>IF(ISBLANK(Data!C64),"",Data!C64)</f>
        <v>#N/A</v>
      </c>
      <c r="G67" s="1"/>
    </row>
    <row r="68" spans="1:23">
      <c r="A68" s="21">
        <v>64</v>
      </c>
      <c r="B68" s="73" t="e">
        <f>IF(ISBLANK(Data!A65),"",Data!A65)</f>
        <v>#N/A</v>
      </c>
      <c r="C68" s="73" t="e">
        <f>IF(ISBLANK(Data!B65),"",Data!B65)</f>
        <v>#N/A</v>
      </c>
      <c r="D68" s="73" t="e">
        <f>IF(OR(ISERROR(VLOOKUP(B68,Data!$H$3:$I$11,2,FALSE)),B68=""),"",VLOOKUP(B68,Data!$H$3:$I$11,2,FALSE))</f>
        <v>#N/A</v>
      </c>
      <c r="E68" s="59" t="e">
        <f>IF(ISBLANK(Data!C65),"",Data!C65)</f>
        <v>#N/A</v>
      </c>
      <c r="G68" s="1"/>
    </row>
    <row r="69" spans="1:23">
      <c r="A69" s="21">
        <v>65</v>
      </c>
      <c r="B69" s="73" t="e">
        <f>IF(ISBLANK(Data!A66),"",Data!A66)</f>
        <v>#N/A</v>
      </c>
      <c r="C69" s="73" t="e">
        <f>IF(ISBLANK(Data!B66),"",Data!B66)</f>
        <v>#N/A</v>
      </c>
      <c r="D69" s="73" t="e">
        <f>IF(OR(ISERROR(VLOOKUP(B69,Data!$H$3:$I$11,2,FALSE)),B69=""),"",VLOOKUP(B69,Data!$H$3:$I$11,2,FALSE))</f>
        <v>#N/A</v>
      </c>
      <c r="E69" s="59" t="e">
        <f>IF(ISBLANK(Data!C66),"",Data!C66)</f>
        <v>#N/A</v>
      </c>
      <c r="G69" s="1" t="s">
        <v>67</v>
      </c>
    </row>
    <row r="70" spans="1:23">
      <c r="A70" s="21">
        <v>66</v>
      </c>
      <c r="B70" s="73" t="e">
        <f>IF(ISBLANK(Data!A67),"",Data!A67)</f>
        <v>#N/A</v>
      </c>
      <c r="C70" s="73" t="e">
        <f>IF(ISBLANK(Data!B67),"",Data!B67)</f>
        <v>#N/A</v>
      </c>
      <c r="D70" s="73" t="e">
        <f>IF(OR(ISERROR(VLOOKUP(B70,Data!$H$3:$I$11,2,FALSE)),B70=""),"",VLOOKUP(B70,Data!$H$3:$I$11,2,FALSE))</f>
        <v>#N/A</v>
      </c>
      <c r="E70" s="59" t="e">
        <f>IF(ISBLANK(Data!C67),"",Data!C67)</f>
        <v>#N/A</v>
      </c>
      <c r="G70" s="40"/>
      <c r="H70" s="19" t="s">
        <v>177</v>
      </c>
      <c r="I70" s="19" t="s">
        <v>10</v>
      </c>
      <c r="J70" s="19" t="s">
        <v>281</v>
      </c>
      <c r="K70" s="19" t="s">
        <v>279</v>
      </c>
      <c r="L70" s="19" t="s">
        <v>280</v>
      </c>
    </row>
    <row r="71" spans="1:23">
      <c r="A71" s="21">
        <v>67</v>
      </c>
      <c r="B71" s="73" t="e">
        <f>IF(ISBLANK(Data!A68),"",Data!A68)</f>
        <v>#N/A</v>
      </c>
      <c r="C71" s="73" t="e">
        <f>IF(ISBLANK(Data!B68),"",Data!B68)</f>
        <v>#N/A</v>
      </c>
      <c r="D71" s="73" t="e">
        <f>IF(OR(ISERROR(VLOOKUP(B71,Data!$H$3:$I$11,2,FALSE)),B71=""),"",VLOOKUP(B71,Data!$H$3:$I$11,2,FALSE))</f>
        <v>#N/A</v>
      </c>
      <c r="E71" s="59" t="e">
        <f>IF(ISBLANK(Data!C68),"",Data!C68)</f>
        <v>#N/A</v>
      </c>
      <c r="G71" s="216" t="s">
        <v>543</v>
      </c>
      <c r="H71" s="8">
        <f>H40</f>
        <v>1.5319206369947185</v>
      </c>
      <c r="I71" s="8">
        <f t="shared" ref="I71:L71" si="1">I40</f>
        <v>0</v>
      </c>
      <c r="J71" s="8">
        <f t="shared" si="1"/>
        <v>1.5319206369947185</v>
      </c>
      <c r="K71" s="8">
        <f t="shared" si="1"/>
        <v>0</v>
      </c>
      <c r="L71" s="8">
        <f t="shared" si="1"/>
        <v>0</v>
      </c>
      <c r="M71" s="21"/>
      <c r="R71" s="7" t="s">
        <v>94</v>
      </c>
    </row>
    <row r="72" spans="1:23">
      <c r="A72" s="21">
        <v>68</v>
      </c>
      <c r="B72" s="73" t="e">
        <f>IF(ISBLANK(Data!A69),"",Data!A69)</f>
        <v>#N/A</v>
      </c>
      <c r="C72" s="73" t="e">
        <f>IF(ISBLANK(Data!B69),"",Data!B69)</f>
        <v>#N/A</v>
      </c>
      <c r="D72" s="73" t="e">
        <f>IF(OR(ISERROR(VLOOKUP(B72,Data!$H$3:$I$11,2,FALSE)),B72=""),"",VLOOKUP(B72,Data!$H$3:$I$11,2,FALSE))</f>
        <v>#N/A</v>
      </c>
      <c r="E72" s="59" t="e">
        <f>IF(ISBLANK(Data!C69),"",Data!C69)</f>
        <v>#N/A</v>
      </c>
      <c r="G72" s="219" t="s">
        <v>551</v>
      </c>
      <c r="H72" s="8">
        <f>_xlfn.IFNA((($Q$5*H$35)/(1.65*XS_Analyzer!$Q$72))*12,"-")</f>
        <v>7.0545965090897429</v>
      </c>
      <c r="I72" s="8">
        <f>_xlfn.IFNA((($Q$5*I$35)/(1.65*XS_Analyzer!$Q$72))*12,"-")</f>
        <v>0</v>
      </c>
      <c r="J72" s="8">
        <f>_xlfn.IFNA((($Q$5*J$35)/(1.65*XS_Analyzer!$Q$72))*12,"-")</f>
        <v>7.0545965090897429</v>
      </c>
      <c r="K72" s="8">
        <f>_xlfn.IFNA((($Q$5*K$35)/(1.65*XS_Analyzer!$Q$72))*12,"-")</f>
        <v>0</v>
      </c>
      <c r="L72" s="8">
        <f>_xlfn.IFNA((($Q$5*L$35)/(1.65*XS_Analyzer!$Q$72))*12,"-")</f>
        <v>0</v>
      </c>
      <c r="M72" s="21"/>
      <c r="P72" s="6" t="s">
        <v>96</v>
      </c>
      <c r="Q72" s="67">
        <f>XS_Analyzer!P87</f>
        <v>2.5309105709619251E-2</v>
      </c>
      <c r="R72" s="7" t="s">
        <v>26</v>
      </c>
    </row>
    <row r="73" spans="1:23">
      <c r="A73" s="21">
        <v>69</v>
      </c>
      <c r="B73" s="73" t="e">
        <f>IF(ISBLANK(Data!A70),"",Data!A70)</f>
        <v>#N/A</v>
      </c>
      <c r="C73" s="73" t="e">
        <f>IF(ISBLANK(Data!B70),"",Data!B70)</f>
        <v>#N/A</v>
      </c>
      <c r="D73" s="73" t="e">
        <f>IF(OR(ISERROR(VLOOKUP(B73,Data!$H$3:$I$11,2,FALSE)),B73=""),"",VLOOKUP(B73,Data!$H$3:$I$11,2,FALSE))</f>
        <v>#N/A</v>
      </c>
      <c r="E73" s="59" t="e">
        <f>IF(ISBLANK(Data!C70),"",Data!C70)</f>
        <v>#N/A</v>
      </c>
      <c r="G73" s="6" t="s">
        <v>478</v>
      </c>
      <c r="H73" s="8">
        <f t="shared" ref="H73:L73" si="2">(H$40/((1.65*62.4)*$Q$73))*12</f>
        <v>3.967678417494739</v>
      </c>
      <c r="I73" s="8">
        <f t="shared" si="2"/>
        <v>0</v>
      </c>
      <c r="J73" s="8">
        <f t="shared" si="2"/>
        <v>3.967678417494739</v>
      </c>
      <c r="K73" s="8">
        <f t="shared" si="2"/>
        <v>0</v>
      </c>
      <c r="L73" s="37">
        <f t="shared" si="2"/>
        <v>0</v>
      </c>
      <c r="M73" s="21"/>
      <c r="P73" s="6" t="s">
        <v>377</v>
      </c>
      <c r="Q73" s="252">
        <f>Data!I22</f>
        <v>4.4999999999999998E-2</v>
      </c>
      <c r="R73" s="7" t="s">
        <v>357</v>
      </c>
    </row>
    <row r="74" spans="1:23" ht="15.75" thickBot="1">
      <c r="A74" s="21">
        <v>70</v>
      </c>
      <c r="B74" s="73" t="e">
        <f>IF(ISBLANK(Data!A71),"",Data!A71)</f>
        <v>#N/A</v>
      </c>
      <c r="C74" s="73" t="e">
        <f>IF(ISBLANK(Data!B71),"",Data!B71)</f>
        <v>#N/A</v>
      </c>
      <c r="D74" s="73" t="e">
        <f>IF(OR(ISERROR(VLOOKUP(B74,Data!$H$3:$I$11,2,FALSE)),B74=""),"",VLOOKUP(B74,Data!$H$3:$I$11,2,FALSE))</f>
        <v>#N/A</v>
      </c>
      <c r="E74" s="59" t="e">
        <f>IF(ISBLANK(Data!C71),"",Data!C71)</f>
        <v>#N/A</v>
      </c>
      <c r="G74" s="6" t="s">
        <v>335</v>
      </c>
      <c r="H74" s="8">
        <f t="shared" ref="H74:L74" si="3">((77.966*((62.4*$Q$5*(H$37))^1.042)))*0.0393701</f>
        <v>6.9274438788656623</v>
      </c>
      <c r="I74" s="8">
        <f t="shared" si="3"/>
        <v>0</v>
      </c>
      <c r="J74" s="8">
        <f t="shared" si="3"/>
        <v>6.9274438788656623</v>
      </c>
      <c r="K74" s="8">
        <f t="shared" si="3"/>
        <v>0</v>
      </c>
      <c r="L74" s="37">
        <f t="shared" si="3"/>
        <v>0</v>
      </c>
      <c r="M74" s="21"/>
    </row>
    <row r="75" spans="1:23" ht="15.75">
      <c r="A75" s="21">
        <v>71</v>
      </c>
      <c r="B75" s="73" t="e">
        <f>IF(ISBLANK(Data!A72),"",Data!A72)</f>
        <v>#N/A</v>
      </c>
      <c r="C75" s="73" t="e">
        <f>IF(ISBLANK(Data!B72),"",Data!B72)</f>
        <v>#N/A</v>
      </c>
      <c r="D75" s="73" t="e">
        <f>IF(OR(ISERROR(VLOOKUP(B75,Data!$H$3:$I$11,2,FALSE)),B75=""),"",VLOOKUP(B75,Data!$H$3:$I$11,2,FALSE))</f>
        <v>#N/A</v>
      </c>
      <c r="E75" s="59" t="e">
        <f>IF(ISBLANK(Data!C72),"",Data!C72)</f>
        <v>#N/A</v>
      </c>
      <c r="G75" s="6" t="s">
        <v>231</v>
      </c>
      <c r="H75" s="8">
        <f>((152.02*((62.4*$Q$5*(H37))^0.7355)))*0.0393701</f>
        <v>10.631329006682227</v>
      </c>
      <c r="I75" s="8">
        <f>((152.02*((62.4*$Q$5*(I37))^0.7355)))*0.0393701</f>
        <v>0</v>
      </c>
      <c r="J75" s="8">
        <f>((152.02*((62.4*$Q$5*(J37))^0.7355)))*0.0393701</f>
        <v>10.631329006682227</v>
      </c>
      <c r="K75" s="8">
        <f>((152.02*((62.4*$Q$5*(K37))^0.7355)))*0.0393701</f>
        <v>0</v>
      </c>
      <c r="L75" s="8">
        <f>((152.02*((62.4*$Q$5*(L37))^0.7355)))*0.0393701</f>
        <v>0</v>
      </c>
      <c r="M75" s="21"/>
      <c r="P75" s="313" t="s">
        <v>522</v>
      </c>
      <c r="Q75" s="314"/>
      <c r="R75" s="314"/>
      <c r="S75" s="314"/>
      <c r="T75" s="314"/>
      <c r="U75" s="314"/>
      <c r="V75" s="314"/>
      <c r="W75" s="315"/>
    </row>
    <row r="76" spans="1:23" ht="15.75">
      <c r="A76" s="21">
        <v>72</v>
      </c>
      <c r="B76" s="73" t="e">
        <f>IF(ISBLANK(Data!A73),"",Data!A73)</f>
        <v>#N/A</v>
      </c>
      <c r="C76" s="73" t="e">
        <f>IF(ISBLANK(Data!B73),"",Data!B73)</f>
        <v>#N/A</v>
      </c>
      <c r="D76" s="73" t="e">
        <f>IF(OR(ISERROR(VLOOKUP(B76,Data!$H$3:$I$11,2,FALSE)),B76=""),"",VLOOKUP(B76,Data!$H$3:$I$11,2,FALSE))</f>
        <v>#N/A</v>
      </c>
      <c r="E76" s="59" t="e">
        <f>IF(ISBLANK(Data!C73),"",Data!C73)</f>
        <v>#N/A</v>
      </c>
      <c r="G76" s="6" t="s">
        <v>398</v>
      </c>
      <c r="H76" s="8">
        <f>IF(ISNUMBER(LININTERP(H40,Permissible_Shear!$T$178:$T$188,Permissible_Shear!$V$178:$V$188)),LININTERP(H40,Permissible_Shear!$T$178:$T$188,Permissible_Shear!$V$178:$V$188),0)</f>
        <v>5.0349574136621662</v>
      </c>
      <c r="I76" s="8">
        <f>IF(ISNUMBER(LININTERP(I40,Permissible_Shear!$T$178:$T$188,Permissible_Shear!$V$178:$V$188)),LININTERP(I40,Permissible_Shear!$T$178:$T$188,Permissible_Shear!$V$178:$V$188),0)</f>
        <v>0</v>
      </c>
      <c r="J76" s="8">
        <f>IF(ISNUMBER(LININTERP(J40,Permissible_Shear!$T$178:$T$188,Permissible_Shear!$V$178:$V$188)),LININTERP(J40,Permissible_Shear!$T$178:$T$188,Permissible_Shear!$V$178:$V$188),0)</f>
        <v>5.0349574136621662</v>
      </c>
      <c r="K76" s="8">
        <f>IF(ISNUMBER(LININTERP(K40,Permissible_Shear!$T$178:$T$188,Permissible_Shear!$V$178:$V$188)),LININTERP(K40,Permissible_Shear!$T$178:$T$188,Permissible_Shear!$V$178:$V$188),0)</f>
        <v>0</v>
      </c>
      <c r="L76" s="37">
        <f>IF(ISNUMBER(LININTERP(L40,Permissible_Shear!$T$178:$T$188,Permissible_Shear!$V$178:$V$188)),LININTERP(L40,Permissible_Shear!$T$178:$T$188,Permissible_Shear!$V$178:$V$188),0)</f>
        <v>0</v>
      </c>
      <c r="M76" s="21"/>
      <c r="P76" s="168" t="s">
        <v>444</v>
      </c>
      <c r="Q76" s="80" t="s">
        <v>120</v>
      </c>
      <c r="R76" s="301" t="s">
        <v>121</v>
      </c>
      <c r="S76" s="299"/>
      <c r="T76" s="299"/>
      <c r="U76" s="299"/>
      <c r="V76" s="299"/>
      <c r="W76" s="302"/>
    </row>
    <row r="77" spans="1:23" ht="18.75">
      <c r="A77" s="21">
        <v>73</v>
      </c>
      <c r="B77" s="73" t="e">
        <f>IF(ISBLANK(Data!A74),"",Data!A74)</f>
        <v>#N/A</v>
      </c>
      <c r="C77" s="73" t="e">
        <f>IF(ISBLANK(Data!B74),"",Data!B74)</f>
        <v>#N/A</v>
      </c>
      <c r="D77" s="73" t="e">
        <f>IF(OR(ISERROR(VLOOKUP(B77,Data!$H$3:$I$11,2,FALSE)),B77=""),"",VLOOKUP(B77,Data!$H$3:$I$11,2,FALSE))</f>
        <v>#N/A</v>
      </c>
      <c r="E77" s="59" t="e">
        <f>IF(ISBLANK(Data!C74),"",Data!C74)</f>
        <v>#N/A</v>
      </c>
      <c r="G77" s="219" t="s">
        <v>548</v>
      </c>
      <c r="H77" s="8">
        <f>LININTERP(H40,Permissible_Shear!$S$205:$S$222,Permissible_Shear!$V$205:$V$222)</f>
        <v>5.0997519906084952</v>
      </c>
      <c r="I77" s="8">
        <f>LININTERP(I40,Permissible_Shear!$S$205:$S$222,Permissible_Shear!$V$205:$V$222)</f>
        <v>1.5E-3</v>
      </c>
      <c r="J77" s="8">
        <f>LININTERP(J40,Permissible_Shear!$S$205:$S$222,Permissible_Shear!$V$205:$V$222)</f>
        <v>5.0997519906084952</v>
      </c>
      <c r="K77" s="8">
        <f>LININTERP(K40,Permissible_Shear!$S$205:$S$222,Permissible_Shear!$V$205:$V$222)</f>
        <v>1.5E-3</v>
      </c>
      <c r="L77" s="37">
        <f>LININTERP(L40,Permissible_Shear!$S$205:$S$222,Permissible_Shear!$V$205:$V$222)</f>
        <v>1.5E-3</v>
      </c>
      <c r="M77" s="21"/>
      <c r="P77" s="253">
        <f>Data!I19</f>
        <v>150</v>
      </c>
      <c r="Q77" s="80" t="s">
        <v>287</v>
      </c>
      <c r="R77" s="292" t="s">
        <v>346</v>
      </c>
      <c r="S77" s="293"/>
      <c r="T77" s="293"/>
      <c r="U77" s="293"/>
      <c r="V77" s="293"/>
      <c r="W77" s="294"/>
    </row>
    <row r="78" spans="1:23" ht="18.75">
      <c r="A78" s="21">
        <v>74</v>
      </c>
      <c r="B78" s="73" t="e">
        <f>IF(ISBLANK(Data!A75),"",Data!A75)</f>
        <v>#N/A</v>
      </c>
      <c r="C78" s="73" t="e">
        <f>IF(ISBLANK(Data!B75),"",Data!B75)</f>
        <v>#N/A</v>
      </c>
      <c r="D78" s="73" t="e">
        <f>IF(OR(ISERROR(VLOOKUP(B78,Data!$H$3:$I$11,2,FALSE)),B78=""),"",VLOOKUP(B78,Data!$H$3:$I$11,2,FALSE))</f>
        <v>#N/A</v>
      </c>
      <c r="E78" s="59" t="e">
        <f>IF(ISBLANK(Data!C75),"",Data!C75)</f>
        <v>#N/A</v>
      </c>
      <c r="P78" s="254">
        <f>Data!J19</f>
        <v>16</v>
      </c>
      <c r="Q78" s="80" t="s">
        <v>205</v>
      </c>
      <c r="R78" s="292" t="s">
        <v>405</v>
      </c>
      <c r="S78" s="293"/>
      <c r="T78" s="293"/>
      <c r="U78" s="293"/>
      <c r="V78" s="293"/>
      <c r="W78" s="294"/>
    </row>
    <row r="79" spans="1:23" ht="15.75">
      <c r="A79" s="21">
        <v>75</v>
      </c>
      <c r="B79" s="73" t="e">
        <f>IF(ISBLANK(Data!A76),"",Data!A76)</f>
        <v>#N/A</v>
      </c>
      <c r="C79" s="73" t="e">
        <f>IF(ISBLANK(Data!B76),"",Data!B76)</f>
        <v>#N/A</v>
      </c>
      <c r="D79" s="73" t="e">
        <f>IF(OR(ISERROR(VLOOKUP(B79,Data!$H$3:$I$11,2,FALSE)),B79=""),"",VLOOKUP(B79,Data!$H$3:$I$11,2,FALSE))</f>
        <v>#N/A</v>
      </c>
      <c r="E79" s="59" t="e">
        <f>IF(ISBLANK(Data!C76),"",Data!C76)</f>
        <v>#N/A</v>
      </c>
      <c r="P79" s="128">
        <f>P77/P78</f>
        <v>9.375</v>
      </c>
      <c r="Q79" s="80" t="s">
        <v>288</v>
      </c>
      <c r="R79" s="292" t="s">
        <v>16</v>
      </c>
      <c r="S79" s="293"/>
      <c r="T79" s="293"/>
      <c r="U79" s="293"/>
      <c r="V79" s="293"/>
      <c r="W79" s="294"/>
    </row>
    <row r="80" spans="1:23" ht="15.75">
      <c r="A80" s="21">
        <v>76</v>
      </c>
      <c r="B80" s="73" t="e">
        <f>IF(ISBLANK(Data!A77),"",Data!A77)</f>
        <v>#N/A</v>
      </c>
      <c r="C80" s="73" t="e">
        <f>IF(ISBLANK(Data!B77),"",Data!B77)</f>
        <v>#N/A</v>
      </c>
      <c r="D80" s="73" t="e">
        <f>IF(OR(ISERROR(VLOOKUP(B80,Data!$H$3:$I$11,2,FALSE)),B80=""),"",VLOOKUP(B80,Data!$H$3:$I$11,2,FALSE))</f>
        <v>#N/A</v>
      </c>
      <c r="E80" s="59" t="e">
        <f>IF(ISBLANK(Data!C77),"",Data!C77)</f>
        <v>#N/A</v>
      </c>
      <c r="G80" s="216" t="s">
        <v>542</v>
      </c>
      <c r="H80" s="8">
        <f>H30</f>
        <v>2.7042899911268363</v>
      </c>
      <c r="I80" s="8">
        <f t="shared" ref="I80:L80" si="4">I30</f>
        <v>0</v>
      </c>
      <c r="J80" s="8">
        <f t="shared" si="4"/>
        <v>2.7042899911268363</v>
      </c>
      <c r="K80" s="8">
        <f t="shared" si="4"/>
        <v>0</v>
      </c>
      <c r="L80" s="8">
        <f t="shared" si="4"/>
        <v>0</v>
      </c>
      <c r="P80" s="303"/>
      <c r="Q80" s="304"/>
      <c r="R80" s="304"/>
      <c r="S80" s="304"/>
      <c r="T80" s="304"/>
      <c r="U80" s="304"/>
      <c r="V80" s="304"/>
      <c r="W80" s="305"/>
    </row>
    <row r="81" spans="1:23" ht="17.25">
      <c r="A81" s="21">
        <v>77</v>
      </c>
      <c r="B81" s="73" t="e">
        <f>IF(ISBLANK(Data!A78),"",Data!A78)</f>
        <v>#N/A</v>
      </c>
      <c r="C81" s="73" t="e">
        <f>IF(ISBLANK(Data!B78),"",Data!B78)</f>
        <v>#N/A</v>
      </c>
      <c r="D81" s="73" t="e">
        <f>IF(OR(ISERROR(VLOOKUP(B81,Data!$H$3:$I$11,2,FALSE)),B81=""),"",VLOOKUP(B81,Data!$H$3:$I$11,2,FALSE))</f>
        <v>#N/A</v>
      </c>
      <c r="E81" s="59" t="e">
        <f>IF(ISBLANK(Data!C78),"",Data!C78)</f>
        <v>#N/A</v>
      </c>
      <c r="G81" s="6" t="s">
        <v>480</v>
      </c>
      <c r="H81" s="8" t="str">
        <f>VLOOKUP(H$30,Permissible_Velocities!$D$19:$F$24,3,TRUE)</f>
        <v>Fine Gravel</v>
      </c>
      <c r="I81" s="8" t="str">
        <f>VLOOKUP(I$30,Permissible_Velocities!$D$19:$F$24,3,TRUE)</f>
        <v>Fine Sand</v>
      </c>
      <c r="J81" s="8" t="str">
        <f>VLOOKUP(J$30,Permissible_Velocities!$D$19:$F$24,3,TRUE)</f>
        <v>Fine Gravel</v>
      </c>
      <c r="K81" s="8" t="str">
        <f>VLOOKUP(K$30,Permissible_Velocities!$D$19:$F$24,3,TRUE)</f>
        <v>Fine Sand</v>
      </c>
      <c r="L81" s="37" t="str">
        <f>VLOOKUP(L$30,Permissible_Velocities!$D$19:$F$24,3,TRUE)</f>
        <v>Fine Sand</v>
      </c>
      <c r="P81" s="254">
        <f>Data!K19</f>
        <v>240</v>
      </c>
      <c r="Q81" s="80" t="s">
        <v>206</v>
      </c>
      <c r="R81" s="292" t="s">
        <v>521</v>
      </c>
      <c r="S81" s="293"/>
      <c r="T81" s="293"/>
      <c r="U81" s="293"/>
      <c r="V81" s="293"/>
      <c r="W81" s="294"/>
    </row>
    <row r="82" spans="1:23" ht="15.75">
      <c r="A82" s="21">
        <v>78</v>
      </c>
      <c r="B82" s="73" t="e">
        <f>IF(ISBLANK(Data!A79),"",Data!A79)</f>
        <v>#N/A</v>
      </c>
      <c r="C82" s="73" t="e">
        <f>IF(ISBLANK(Data!B79),"",Data!B79)</f>
        <v>#N/A</v>
      </c>
      <c r="D82" s="73" t="e">
        <f>IF(OR(ISERROR(VLOOKUP(B82,Data!$H$3:$I$11,2,FALSE)),B82=""),"",VLOOKUP(B82,Data!$H$3:$I$11,2,FALSE))</f>
        <v>#N/A</v>
      </c>
      <c r="E82" s="59" t="e">
        <f>IF(ISBLANK(Data!C79),"",Data!C79)</f>
        <v>#N/A</v>
      </c>
      <c r="G82" s="6" t="s">
        <v>548</v>
      </c>
      <c r="H82" s="8" t="str">
        <f>VLOOKUP(H$30,Permissible_Velocities!$D$5:$F$13,3,TRUE)</f>
        <v>1" Gravel</v>
      </c>
      <c r="I82" s="8" t="str">
        <f>VLOOKUP(I$30,Permissible_Velocities!$D$5:$F$13,3,TRUE)</f>
        <v>Fine Sand</v>
      </c>
      <c r="J82" s="8" t="str">
        <f>VLOOKUP(J$30,Permissible_Velocities!$D$5:$F$13,3,TRUE)</f>
        <v>1" Gravel</v>
      </c>
      <c r="K82" s="8" t="str">
        <f>VLOOKUP(K$30,Permissible_Velocities!$D$5:$F$13,3,TRUE)</f>
        <v>Fine Sand</v>
      </c>
      <c r="L82" s="37" t="str">
        <f>VLOOKUP(L$30,Permissible_Velocities!$D$5:$F$13,3,TRUE)</f>
        <v>Fine Sand</v>
      </c>
      <c r="P82" s="94">
        <f>P81/P77</f>
        <v>1.6</v>
      </c>
      <c r="Q82" s="80" t="s">
        <v>448</v>
      </c>
      <c r="R82" s="292" t="s">
        <v>449</v>
      </c>
      <c r="S82" s="293"/>
      <c r="T82" s="293"/>
      <c r="U82" s="293"/>
      <c r="V82" s="293"/>
      <c r="W82" s="294"/>
    </row>
    <row r="83" spans="1:23" ht="15.75">
      <c r="A83" s="21">
        <v>79</v>
      </c>
      <c r="B83" s="73" t="e">
        <f>IF(ISBLANK(Data!A80),"",Data!A80)</f>
        <v>#N/A</v>
      </c>
      <c r="C83" s="73" t="e">
        <f>IF(ISBLANK(Data!B80),"",Data!B80)</f>
        <v>#N/A</v>
      </c>
      <c r="D83" s="73" t="e">
        <f>IF(OR(ISERROR(VLOOKUP(B83,Data!$H$3:$I$11,2,FALSE)),B83=""),"",VLOOKUP(B83,Data!$H$3:$I$11,2,FALSE))</f>
        <v>#N/A</v>
      </c>
      <c r="E83" s="59" t="e">
        <f>IF(ISBLANK(Data!C80),"",Data!C80)</f>
        <v>#N/A</v>
      </c>
      <c r="G83" s="6" t="s">
        <v>274</v>
      </c>
      <c r="H83" s="8" t="str">
        <f>VLOOKUP(H$30,Permissible_Velocities!$D$29:$F$34,3,TRUE)</f>
        <v>Fine Gravel</v>
      </c>
      <c r="I83" s="8" t="str">
        <f>VLOOKUP(I$30,Permissible_Velocities!$D$29:$F$34,3,TRUE)</f>
        <v>Fine Sand</v>
      </c>
      <c r="J83" s="8" t="str">
        <f>VLOOKUP(J$30,Permissible_Velocities!$D$29:$F$34,3,TRUE)</f>
        <v>Fine Gravel</v>
      </c>
      <c r="K83" s="8" t="str">
        <f>VLOOKUP(K$30,Permissible_Velocities!$D$29:$F$34,3,TRUE)</f>
        <v>Fine Sand</v>
      </c>
      <c r="L83" s="37" t="str">
        <f>VLOOKUP(L$30,Permissible_Velocities!$D$29:$F$34,3,TRUE)</f>
        <v>Fine Sand</v>
      </c>
      <c r="P83" s="295"/>
      <c r="Q83" s="296"/>
      <c r="R83" s="296"/>
      <c r="S83" s="296"/>
      <c r="T83" s="296"/>
      <c r="U83" s="296"/>
      <c r="V83" s="296"/>
      <c r="W83" s="297"/>
    </row>
    <row r="84" spans="1:23" ht="15.75">
      <c r="A84" s="21">
        <v>80</v>
      </c>
      <c r="B84" s="73" t="e">
        <f>IF(ISBLANK(Data!A81),"",Data!A81)</f>
        <v>#N/A</v>
      </c>
      <c r="C84" s="73" t="e">
        <f>IF(ISBLANK(Data!B81),"",Data!B81)</f>
        <v>#N/A</v>
      </c>
      <c r="D84" s="73" t="e">
        <f>IF(OR(ISERROR(VLOOKUP(B84,Data!$H$3:$I$11,2,FALSE)),B84=""),"",VLOOKUP(B84,Data!$H$3:$I$11,2,FALSE))</f>
        <v>#N/A</v>
      </c>
      <c r="E84" s="59" t="e">
        <f>IF(ISBLANK(Data!C81),"",Data!C81)</f>
        <v>#N/A</v>
      </c>
      <c r="P84" s="298" t="s">
        <v>345</v>
      </c>
      <c r="Q84" s="299"/>
      <c r="R84" s="299"/>
      <c r="S84" s="300"/>
      <c r="T84" s="301" t="s">
        <v>204</v>
      </c>
      <c r="U84" s="299"/>
      <c r="V84" s="299"/>
      <c r="W84" s="302"/>
    </row>
    <row r="85" spans="1:23" ht="15.75">
      <c r="A85" s="21">
        <v>81</v>
      </c>
      <c r="B85" s="73" t="e">
        <f>IF(ISBLANK(Data!A82),"",Data!A82)</f>
        <v>#N/A</v>
      </c>
      <c r="C85" s="73" t="e">
        <f>IF(ISBLANK(Data!B82),"",Data!B82)</f>
        <v>#N/A</v>
      </c>
      <c r="D85" s="73" t="e">
        <f>IF(OR(ISERROR(VLOOKUP(B85,Data!$H$3:$I$11,2,FALSE)),B85=""),"",VLOOKUP(B85,Data!$H$3:$I$11,2,FALSE))</f>
        <v>#N/A</v>
      </c>
      <c r="E85" s="59" t="e">
        <f>IF(ISBLANK(Data!C82),"",Data!C82)</f>
        <v>#N/A</v>
      </c>
      <c r="G85" s="155"/>
      <c r="P85" s="280" t="s">
        <v>284</v>
      </c>
      <c r="Q85" s="281"/>
      <c r="R85" s="281"/>
      <c r="S85" s="282"/>
      <c r="T85" s="283" t="s">
        <v>150</v>
      </c>
      <c r="U85" s="281"/>
      <c r="V85" s="281"/>
      <c r="W85" s="284"/>
    </row>
    <row r="86" spans="1:23" ht="15.75">
      <c r="A86" s="21">
        <v>82</v>
      </c>
      <c r="B86" s="73" t="e">
        <f>IF(ISBLANK(Data!A83),"",Data!A83)</f>
        <v>#N/A</v>
      </c>
      <c r="C86" s="73" t="e">
        <f>IF(ISBLANK(Data!B83),"",Data!B83)</f>
        <v>#N/A</v>
      </c>
      <c r="D86" s="73" t="e">
        <f>IF(OR(ISERROR(VLOOKUP(B86,Data!$H$3:$I$11,2,FALSE)),B86=""),"",VLOOKUP(B86,Data!$H$3:$I$11,2,FALSE))</f>
        <v>#N/A</v>
      </c>
      <c r="E86" s="59" t="e">
        <f>IF(ISBLANK(Data!C83),"",Data!C83)</f>
        <v>#N/A</v>
      </c>
      <c r="G86" s="221" t="s">
        <v>553</v>
      </c>
      <c r="H86" s="8">
        <f>H31</f>
        <v>3.9131708978825612</v>
      </c>
      <c r="I86" s="8">
        <f>I31</f>
        <v>0</v>
      </c>
      <c r="J86" s="8">
        <f>J31</f>
        <v>3.9131708978825612</v>
      </c>
      <c r="K86" s="8">
        <f>K31</f>
        <v>0</v>
      </c>
      <c r="L86" s="37">
        <f>L31</f>
        <v>0</v>
      </c>
      <c r="P86" s="94" t="str">
        <f>IF(AND(P79&lt;=7,P79&gt;3),"PSR",IF(AND(P82&lt;=3,P82&gt;=1.3),"SMR",NA()))</f>
        <v>SMR</v>
      </c>
      <c r="Q86" s="80" t="s">
        <v>15</v>
      </c>
      <c r="R86" s="285" t="s">
        <v>483</v>
      </c>
      <c r="S86" s="286"/>
      <c r="T86" s="286"/>
      <c r="U86" s="286"/>
      <c r="V86" s="286"/>
      <c r="W86" s="287"/>
    </row>
    <row r="87" spans="1:23" ht="18" thickBot="1">
      <c r="A87" s="21">
        <v>83</v>
      </c>
      <c r="B87" s="73" t="e">
        <f>IF(ISBLANK(Data!A84),"",Data!A84)</f>
        <v>#N/A</v>
      </c>
      <c r="C87" s="73" t="e">
        <f>IF(ISBLANK(Data!B84),"",Data!B84)</f>
        <v>#N/A</v>
      </c>
      <c r="D87" s="73" t="e">
        <f>IF(OR(ISERROR(VLOOKUP(B87,Data!$H$3:$I$11,2,FALSE)),B87=""),"",VLOOKUP(B87,Data!$H$3:$I$11,2,FALSE))</f>
        <v>#N/A</v>
      </c>
      <c r="E87" s="59" t="e">
        <f>IF(ISBLANK(Data!C84),"",Data!C84)</f>
        <v>#N/A</v>
      </c>
      <c r="G87" s="6" t="s">
        <v>480</v>
      </c>
      <c r="H87" s="8" t="str">
        <f>VLOOKUP(H$31,Permissible_Velocities!$D$19:$F$24,3,TRUE)</f>
        <v>Fine Gravel</v>
      </c>
      <c r="I87" s="8" t="str">
        <f>VLOOKUP(I$31,Permissible_Velocities!$D$19:$F$24,3,TRUE)</f>
        <v>Fine Sand</v>
      </c>
      <c r="J87" s="8" t="str">
        <f>VLOOKUP(J$31,Permissible_Velocities!$D$19:$F$24,3,TRUE)</f>
        <v>Fine Gravel</v>
      </c>
      <c r="K87" s="8" t="str">
        <f>VLOOKUP(K$31,Permissible_Velocities!$D$19:$F$24,3,TRUE)</f>
        <v>Fine Sand</v>
      </c>
      <c r="L87" s="8" t="str">
        <f>VLOOKUP(L$31,Permissible_Velocities!$D$19:$F$24,3,TRUE)</f>
        <v>Fine Sand</v>
      </c>
      <c r="P87" s="154">
        <f>IF(P86="PSR",0.0834*(P77/P78)^-0.872,0.0384*(P81/P77)^-0.887)</f>
        <v>2.5309105709619251E-2</v>
      </c>
      <c r="Q87" s="139" t="s">
        <v>445</v>
      </c>
      <c r="R87" s="288" t="s">
        <v>482</v>
      </c>
      <c r="S87" s="289"/>
      <c r="T87" s="289"/>
      <c r="U87" s="289"/>
      <c r="V87" s="289"/>
      <c r="W87" s="290"/>
    </row>
    <row r="88" spans="1:23">
      <c r="A88" s="21">
        <v>84</v>
      </c>
      <c r="B88" s="73" t="e">
        <f>IF(ISBLANK(Data!A85),"",Data!A85)</f>
        <v>#N/A</v>
      </c>
      <c r="C88" s="73" t="e">
        <f>IF(ISBLANK(Data!B85),"",Data!B85)</f>
        <v>#N/A</v>
      </c>
      <c r="D88" s="73" t="e">
        <f>IF(OR(ISERROR(VLOOKUP(B88,Data!$H$3:$I$11,2,FALSE)),B88=""),"",VLOOKUP(B88,Data!$H$3:$I$11,2,FALSE))</f>
        <v>#N/A</v>
      </c>
      <c r="E88" s="59" t="e">
        <f>IF(ISBLANK(Data!C85),"",Data!C85)</f>
        <v>#N/A</v>
      </c>
      <c r="G88" s="6" t="s">
        <v>548</v>
      </c>
      <c r="H88" s="8" t="str">
        <f>VLOOKUP(H$31,Permissible_Velocities!$D$5:$F$13,3,TRUE)</f>
        <v>1" Gravel</v>
      </c>
      <c r="I88" s="8" t="str">
        <f>VLOOKUP(I$31,Permissible_Velocities!$D$5:$F$13,3,TRUE)</f>
        <v>Fine Sand</v>
      </c>
      <c r="J88" s="8" t="str">
        <f>VLOOKUP(J$31,Permissible_Velocities!$D$5:$F$13,3,TRUE)</f>
        <v>1" Gravel</v>
      </c>
      <c r="K88" s="8" t="str">
        <f>VLOOKUP(K$31,Permissible_Velocities!$D$5:$F$13,3,TRUE)</f>
        <v>Fine Sand</v>
      </c>
      <c r="L88" s="8" t="str">
        <f>VLOOKUP(L$31,Permissible_Velocities!$D$5:$F$13,3,TRUE)</f>
        <v>Fine Sand</v>
      </c>
    </row>
    <row r="89" spans="1:23">
      <c r="A89" s="21">
        <v>85</v>
      </c>
      <c r="B89" s="73" t="e">
        <f>IF(ISBLANK(Data!A86),"",Data!A86)</f>
        <v>#N/A</v>
      </c>
      <c r="C89" s="73" t="e">
        <f>IF(ISBLANK(Data!B86),"",Data!B86)</f>
        <v>#N/A</v>
      </c>
      <c r="D89" s="73" t="e">
        <f>IF(OR(ISERROR(VLOOKUP(B89,Data!$H$3:$I$11,2,FALSE)),B89=""),"",VLOOKUP(B89,Data!$H$3:$I$11,2,FALSE))</f>
        <v>#N/A</v>
      </c>
      <c r="E89" s="59" t="e">
        <f>IF(ISBLANK(Data!C86),"",Data!C86)</f>
        <v>#N/A</v>
      </c>
      <c r="G89" s="6" t="s">
        <v>274</v>
      </c>
      <c r="H89" s="8" t="str">
        <f>VLOOKUP(H$31,Permissible_Velocities!$D$29:$F$34,3,TRUE)</f>
        <v>Fine Gravel</v>
      </c>
      <c r="I89" s="8" t="str">
        <f>VLOOKUP(I$31,Permissible_Velocities!$D$29:$F$34,3,TRUE)</f>
        <v>Fine Sand</v>
      </c>
      <c r="J89" s="8" t="str">
        <f>VLOOKUP(J$31,Permissible_Velocities!$D$29:$F$34,3,TRUE)</f>
        <v>Fine Gravel</v>
      </c>
      <c r="K89" s="8" t="str">
        <f>VLOOKUP(K$31,Permissible_Velocities!$D$29:$F$34,3,TRUE)</f>
        <v>Fine Sand</v>
      </c>
      <c r="L89" s="8" t="str">
        <f>VLOOKUP(L$31,Permissible_Velocities!$D$29:$F$34,3,TRUE)</f>
        <v>Fine Sand</v>
      </c>
    </row>
    <row r="90" spans="1:23">
      <c r="A90" s="21">
        <v>86</v>
      </c>
      <c r="B90" s="73" t="e">
        <f>IF(ISBLANK(Data!A87),"",Data!A87)</f>
        <v>#N/A</v>
      </c>
      <c r="C90" s="73" t="e">
        <f>IF(ISBLANK(Data!B87),"",Data!B87)</f>
        <v>#N/A</v>
      </c>
      <c r="D90" s="73" t="e">
        <f>IF(OR(ISERROR(VLOOKUP(B90,Data!$H$3:$I$11,2,FALSE)),B90=""),"",VLOOKUP(B90,Data!$H$3:$I$11,2,FALSE))</f>
        <v>#N/A</v>
      </c>
      <c r="E90" s="59" t="e">
        <f>IF(ISBLANK(Data!C87),"",Data!C87)</f>
        <v>#N/A</v>
      </c>
      <c r="P90" s="99" t="s">
        <v>64</v>
      </c>
    </row>
    <row r="91" spans="1:23">
      <c r="A91" s="21">
        <v>87</v>
      </c>
      <c r="B91" s="73" t="e">
        <f>IF(ISBLANK(Data!A88),"",Data!A88)</f>
        <v>#N/A</v>
      </c>
      <c r="C91" s="73" t="e">
        <f>IF(ISBLANK(Data!B88),"",Data!B88)</f>
        <v>#N/A</v>
      </c>
      <c r="D91" s="73" t="e">
        <f>IF(OR(ISERROR(VLOOKUP(B91,Data!$H$3:$I$11,2,FALSE)),B91=""),"",VLOOKUP(B91,Data!$H$3:$I$11,2,FALSE))</f>
        <v>#N/A</v>
      </c>
      <c r="E91" s="59" t="e">
        <f>IF(ISBLANK(Data!C88),"",Data!C88)</f>
        <v>#N/A</v>
      </c>
      <c r="P91" s="160"/>
      <c r="Q91" s="85"/>
      <c r="R91" s="85"/>
      <c r="S91" s="85"/>
      <c r="T91" s="165"/>
    </row>
    <row r="92" spans="1:23">
      <c r="A92" s="21">
        <v>88</v>
      </c>
      <c r="B92" s="73" t="e">
        <f>IF(ISBLANK(Data!A89),"",Data!A89)</f>
        <v>#N/A</v>
      </c>
      <c r="C92" s="73" t="e">
        <f>IF(ISBLANK(Data!B89),"",Data!B89)</f>
        <v>#N/A</v>
      </c>
      <c r="D92" s="73" t="e">
        <f>IF(OR(ISERROR(VLOOKUP(B92,Data!$H$3:$I$11,2,FALSE)),B92=""),"",VLOOKUP(B92,Data!$H$3:$I$11,2,FALSE))</f>
        <v>#N/A</v>
      </c>
      <c r="E92" s="59" t="e">
        <f>IF(ISBLANK(Data!C89),"",Data!C89)</f>
        <v>#N/A</v>
      </c>
      <c r="G92" s="40" t="s">
        <v>425</v>
      </c>
      <c r="H92" s="40"/>
      <c r="I92" s="40"/>
      <c r="J92" s="40"/>
      <c r="K92" s="40"/>
      <c r="L92" s="40"/>
      <c r="P92" s="155"/>
      <c r="T92" s="176"/>
    </row>
    <row r="93" spans="1:23">
      <c r="A93" s="21">
        <v>89</v>
      </c>
      <c r="B93" s="73" t="e">
        <f>IF(ISBLANK(Data!A90),"",Data!A90)</f>
        <v>#N/A</v>
      </c>
      <c r="C93" s="73" t="e">
        <f>IF(ISBLANK(Data!B90),"",Data!B90)</f>
        <v>#N/A</v>
      </c>
      <c r="D93" s="73" t="e">
        <f>IF(OR(ISERROR(VLOOKUP(B93,Data!$H$3:$I$11,2,FALSE)),B93=""),"",VLOOKUP(B93,Data!$H$3:$I$11,2,FALSE))</f>
        <v>#N/A</v>
      </c>
      <c r="E93" s="59" t="e">
        <f>IF(ISBLANK(Data!C90),"",Data!C90)</f>
        <v>#N/A</v>
      </c>
      <c r="G93" s="221" t="s">
        <v>552</v>
      </c>
      <c r="H93" s="28">
        <f>H41</f>
        <v>2.6665491810600259</v>
      </c>
      <c r="I93" s="28">
        <f>I41</f>
        <v>0</v>
      </c>
      <c r="J93" s="28">
        <f>J41</f>
        <v>2.6665491810600259</v>
      </c>
      <c r="K93" s="28">
        <f>K41</f>
        <v>0</v>
      </c>
      <c r="L93" s="28">
        <f>L41</f>
        <v>0</v>
      </c>
      <c r="P93" s="155"/>
      <c r="T93" s="176"/>
    </row>
    <row r="94" spans="1:23">
      <c r="A94" s="21">
        <v>90</v>
      </c>
      <c r="B94" s="73" t="e">
        <f>IF(ISBLANK(Data!A91),"",Data!A91)</f>
        <v>#N/A</v>
      </c>
      <c r="C94" s="73" t="e">
        <f>IF(ISBLANK(Data!B91),"",Data!B91)</f>
        <v>#N/A</v>
      </c>
      <c r="D94" s="73" t="e">
        <f>IF(OR(ISERROR(VLOOKUP(B94,Data!$H$3:$I$11,2,FALSE)),B94=""),"",VLOOKUP(B94,Data!$H$3:$I$11,2,FALSE))</f>
        <v>#N/A</v>
      </c>
      <c r="E94" s="59" t="e">
        <f>IF(ISBLANK(Data!C91),"",Data!C91)</f>
        <v>#N/A</v>
      </c>
      <c r="G94" s="219" t="s">
        <v>551</v>
      </c>
      <c r="H94" s="8">
        <f>_xlfn.IFNA(($Q$5*O$33)/(1.65*XS_Analyzer!$Q$72)*12,"-")</f>
        <v>12.279636483601355</v>
      </c>
      <c r="I94" s="8">
        <f>_xlfn.IFNA(($Q$5*P$33)/(1.65*XS_Analyzer!$Q$72)*12,"-")</f>
        <v>0</v>
      </c>
      <c r="J94" s="8">
        <f>_xlfn.IFNA(($Q$5*Q$33)/(1.65*XS_Analyzer!$Q$72)*12,"-")</f>
        <v>12.279636483601355</v>
      </c>
      <c r="K94" s="8">
        <f>_xlfn.IFNA(($Q$5*R$33)/(1.65*XS_Analyzer!$Q$72)*12,"-")</f>
        <v>0</v>
      </c>
      <c r="L94" s="8">
        <f>_xlfn.IFNA(($Q$5*S$33)/(1.65*XS_Analyzer!$Q$72)*12,"-")</f>
        <v>0</v>
      </c>
      <c r="P94" s="155"/>
      <c r="T94" s="176"/>
    </row>
    <row r="95" spans="1:23">
      <c r="A95" s="21">
        <v>91</v>
      </c>
      <c r="B95" s="73" t="e">
        <f>IF(ISBLANK(Data!A92),"",Data!A92)</f>
        <v>#N/A</v>
      </c>
      <c r="C95" s="73" t="e">
        <f>IF(ISBLANK(Data!B92),"",Data!B92)</f>
        <v>#N/A</v>
      </c>
      <c r="D95" s="73" t="e">
        <f>IF(OR(ISERROR(VLOOKUP(B95,Data!$H$3:$I$11,2,FALSE)),B95=""),"",VLOOKUP(B95,Data!$H$3:$I$11,2,FALSE))</f>
        <v>#N/A</v>
      </c>
      <c r="E95" s="59" t="e">
        <f>IF(ISBLANK(Data!C92),"",Data!C92)</f>
        <v>#N/A</v>
      </c>
      <c r="G95" s="6" t="s">
        <v>478</v>
      </c>
      <c r="H95" s="8">
        <f t="shared" ref="H95:L95" si="5">(H$41/((1.65*62.4)*$Q$73))*12</f>
        <v>6.9063692853147529</v>
      </c>
      <c r="I95" s="8">
        <f t="shared" si="5"/>
        <v>0</v>
      </c>
      <c r="J95" s="8">
        <f t="shared" si="5"/>
        <v>6.9063692853147529</v>
      </c>
      <c r="K95" s="8">
        <f t="shared" si="5"/>
        <v>0</v>
      </c>
      <c r="L95" s="8">
        <f t="shared" si="5"/>
        <v>0</v>
      </c>
      <c r="P95" s="155"/>
      <c r="T95" s="176"/>
    </row>
    <row r="96" spans="1:23">
      <c r="A96" s="21">
        <v>92</v>
      </c>
      <c r="B96" s="73" t="e">
        <f>IF(ISBLANK(Data!A93),"",Data!A93)</f>
        <v>#N/A</v>
      </c>
      <c r="C96" s="73" t="e">
        <f>IF(ISBLANK(Data!B93),"",Data!B93)</f>
        <v>#N/A</v>
      </c>
      <c r="D96" s="73" t="e">
        <f>IF(OR(ISERROR(VLOOKUP(B96,Data!$H$3:$I$11,2,FALSE)),B96=""),"",VLOOKUP(B96,Data!$H$3:$I$11,2,FALSE))</f>
        <v>#N/A</v>
      </c>
      <c r="E96" s="59" t="e">
        <f>IF(ISBLANK(Data!C93),"",Data!C93)</f>
        <v>#N/A</v>
      </c>
      <c r="G96" s="6" t="s">
        <v>335</v>
      </c>
      <c r="H96" s="8">
        <f t="shared" ref="H96:L96" si="6">((77.966*((62.4*$Q$5*(H$38))^1.042)))*0.0393701</f>
        <v>10.045715127288357</v>
      </c>
      <c r="I96" s="8">
        <f t="shared" si="6"/>
        <v>10.045715127288357</v>
      </c>
      <c r="J96" s="8">
        <f t="shared" si="6"/>
        <v>10.045715127288357</v>
      </c>
      <c r="K96" s="8">
        <f t="shared" si="6"/>
        <v>3.8665832869163288</v>
      </c>
      <c r="L96" s="8">
        <f t="shared" si="6"/>
        <v>0</v>
      </c>
      <c r="P96" s="155"/>
      <c r="T96" s="176"/>
    </row>
    <row r="97" spans="1:20">
      <c r="A97" s="21">
        <v>93</v>
      </c>
      <c r="B97" s="73" t="e">
        <f>IF(ISBLANK(Data!A94),"",Data!A94)</f>
        <v>#N/A</v>
      </c>
      <c r="C97" s="73" t="e">
        <f>IF(ISBLANK(Data!B94),"",Data!B94)</f>
        <v>#N/A</v>
      </c>
      <c r="D97" s="73" t="e">
        <f>IF(OR(ISERROR(VLOOKUP(B97,Data!$H$3:$I$11,2,FALSE)),B97=""),"",VLOOKUP(B97,Data!$H$3:$I$11,2,FALSE))</f>
        <v>#N/A</v>
      </c>
      <c r="E97" s="59" t="e">
        <f>IF(ISBLANK(Data!C94),"",Data!C94)</f>
        <v>#N/A</v>
      </c>
      <c r="G97" s="6" t="s">
        <v>231</v>
      </c>
      <c r="H97" s="8">
        <f>((152.02*((62.4*$Q$5*(H38))^0.7355)))*0.0393701</f>
        <v>13.820315260092515</v>
      </c>
      <c r="I97" s="8">
        <f>((152.02*((62.4*$Q$5*(I38))^0.7355)))*0.0393701</f>
        <v>13.820315260092515</v>
      </c>
      <c r="J97" s="8">
        <f>((152.02*((62.4*$Q$5*(J38))^0.7355)))*0.0393701</f>
        <v>13.820315260092515</v>
      </c>
      <c r="K97" s="8">
        <f>((152.02*((62.4*$Q$5*(K38))^0.7355)))*0.0393701</f>
        <v>7.0442226363618587</v>
      </c>
      <c r="L97" s="8">
        <f>((152.02*((62.4*$Q$5*(L38))^0.7355)))*0.0393701</f>
        <v>0</v>
      </c>
      <c r="P97" s="155"/>
      <c r="T97" s="176"/>
    </row>
    <row r="98" spans="1:20">
      <c r="A98" s="21">
        <v>94</v>
      </c>
      <c r="B98" s="73" t="e">
        <f>IF(ISBLANK(Data!A95),"",Data!A95)</f>
        <v>#N/A</v>
      </c>
      <c r="C98" s="73" t="e">
        <f>IF(ISBLANK(Data!B95),"",Data!B95)</f>
        <v>#N/A</v>
      </c>
      <c r="D98" s="73" t="e">
        <f>IF(OR(ISERROR(VLOOKUP(B98,Data!$H$3:$I$11,2,FALSE)),B98=""),"",VLOOKUP(B98,Data!$H$3:$I$11,2,FALSE))</f>
        <v>#N/A</v>
      </c>
      <c r="E98" s="59" t="e">
        <f>IF(ISBLANK(Data!C95),"",Data!C95)</f>
        <v>#N/A</v>
      </c>
      <c r="G98" s="6" t="s">
        <v>398</v>
      </c>
      <c r="H98" s="8">
        <f>IF(ISNUMBER(LININTERP(H41,Permissible_Shear!$T$178:$T$188,Permissible_Shear!$V$178:$V$188)),LININTERP(H41,Permissible_Shear!$T$178:$T$188,Permissible_Shear!$V$178:$V$188),0)</f>
        <v>8.6184556581988616</v>
      </c>
      <c r="I98" s="8">
        <f>IF(ISNUMBER(LININTERP(I41,Permissible_Shear!$T$178:$T$188,Permissible_Shear!$V$178:$V$188)),LININTERP(I41,Permissible_Shear!$T$178:$T$188,Permissible_Shear!$V$178:$V$188),0)</f>
        <v>0</v>
      </c>
      <c r="J98" s="8">
        <f>IF(ISNUMBER(LININTERP(J41,Permissible_Shear!$T$178:$T$188,Permissible_Shear!$V$178:$V$188)),LININTERP(J41,Permissible_Shear!$T$178:$T$188,Permissible_Shear!$V$178:$V$188),0)</f>
        <v>8.6184556581988616</v>
      </c>
      <c r="K98" s="8">
        <f>IF(ISNUMBER(LININTERP(K41,Permissible_Shear!$T$178:$T$188,Permissible_Shear!$V$178:$V$188)),LININTERP(K41,Permissible_Shear!$T$178:$T$188,Permissible_Shear!$V$178:$V$188),0)</f>
        <v>0</v>
      </c>
      <c r="L98" s="8">
        <f>IF(ISNUMBER(LININTERP(L41,Permissible_Shear!$T$178:$T$188,Permissible_Shear!$V$178:$V$188)),LININTERP(L41,Permissible_Shear!$T$178:$T$188,Permissible_Shear!$V$178:$V$188),0)</f>
        <v>0</v>
      </c>
      <c r="P98" s="155"/>
      <c r="T98" s="176"/>
    </row>
    <row r="99" spans="1:20">
      <c r="A99" s="21">
        <v>95</v>
      </c>
      <c r="B99" s="73" t="e">
        <f>IF(ISBLANK(Data!A96),"",Data!A96)</f>
        <v>#N/A</v>
      </c>
      <c r="C99" s="73" t="e">
        <f>IF(ISBLANK(Data!B96),"",Data!B96)</f>
        <v>#N/A</v>
      </c>
      <c r="D99" s="73" t="e">
        <f>IF(OR(ISERROR(VLOOKUP(B99,Data!$H$3:$I$11,2,FALSE)),B99=""),"",VLOOKUP(B99,Data!$H$3:$I$11,2,FALSE))</f>
        <v>#N/A</v>
      </c>
      <c r="E99" s="59" t="e">
        <f>IF(ISBLANK(Data!C96),"",Data!C96)</f>
        <v>#N/A</v>
      </c>
      <c r="G99" s="219" t="s">
        <v>548</v>
      </c>
      <c r="H99" s="8">
        <f>LININTERP(H41,Permissible_Shear!$S$205:$S$222,Permissible_Shear!$V$205:$V$222)</f>
        <v>8.6454661908125807</v>
      </c>
      <c r="I99" s="8">
        <f>LININTERP(I41,Permissible_Shear!$S$205:$S$222,Permissible_Shear!$V$205:$V$222)</f>
        <v>1.5E-3</v>
      </c>
      <c r="J99" s="8">
        <f>LININTERP(J41,Permissible_Shear!$S$205:$S$222,Permissible_Shear!$V$205:$V$222)</f>
        <v>8.6454661908125807</v>
      </c>
      <c r="K99" s="8">
        <f>LININTERP(K41,Permissible_Shear!$S$205:$S$222,Permissible_Shear!$V$205:$V$222)</f>
        <v>1.5E-3</v>
      </c>
      <c r="L99" s="8">
        <f>LININTERP(L41,Permissible_Shear!$S$205:$S$222,Permissible_Shear!$V$205:$V$222)</f>
        <v>1.5E-3</v>
      </c>
      <c r="P99" s="155"/>
      <c r="T99" s="176"/>
    </row>
    <row r="100" spans="1:20">
      <c r="A100" s="21">
        <v>96</v>
      </c>
      <c r="B100" s="73" t="e">
        <f>IF(ISBLANK(Data!A97),"",Data!A97)</f>
        <v>#N/A</v>
      </c>
      <c r="C100" s="73" t="e">
        <f>IF(ISBLANK(Data!B97),"",Data!B97)</f>
        <v>#N/A</v>
      </c>
      <c r="D100" s="73" t="e">
        <f>IF(OR(ISERROR(VLOOKUP(B100,Data!$H$3:$I$11,2,FALSE)),B100=""),"",VLOOKUP(B100,Data!$H$3:$I$11,2,FALSE))</f>
        <v>#N/A</v>
      </c>
      <c r="E100" s="59" t="e">
        <f>IF(ISBLANK(Data!C97),"",Data!C97)</f>
        <v>#N/A</v>
      </c>
      <c r="P100" s="172"/>
      <c r="Q100" s="40"/>
      <c r="R100" s="40"/>
      <c r="S100" s="40"/>
      <c r="T100" s="138"/>
    </row>
    <row r="101" spans="1:20">
      <c r="A101" s="21">
        <v>97</v>
      </c>
      <c r="B101" s="73" t="e">
        <f>IF(ISBLANK(Data!A98),"",Data!A98)</f>
        <v>#N/A</v>
      </c>
      <c r="C101" s="73" t="e">
        <f>IF(ISBLANK(Data!B98),"",Data!B98)</f>
        <v>#N/A</v>
      </c>
      <c r="D101" s="73" t="e">
        <f>IF(OR(ISERROR(VLOOKUP(B101,Data!$H$3:$I$11,2,FALSE)),B101=""),"",VLOOKUP(B101,Data!$H$3:$I$11,2,FALSE))</f>
        <v>#N/A</v>
      </c>
      <c r="E101" s="59" t="e">
        <f>IF(ISBLANK(Data!C98),"",Data!C98)</f>
        <v>#N/A</v>
      </c>
    </row>
    <row r="102" spans="1:20">
      <c r="A102" s="21">
        <v>98</v>
      </c>
      <c r="B102" s="73" t="e">
        <f>IF(ISBLANK(Data!A99),"",Data!A99)</f>
        <v>#N/A</v>
      </c>
      <c r="C102" s="73" t="e">
        <f>IF(ISBLANK(Data!B99),"",Data!B99)</f>
        <v>#N/A</v>
      </c>
      <c r="D102" s="73" t="e">
        <f>IF(OR(ISERROR(VLOOKUP(B102,Data!$H$3:$I$11,2,FALSE)),B102=""),"",VLOOKUP(B102,Data!$H$3:$I$11,2,FALSE))</f>
        <v>#N/A</v>
      </c>
      <c r="E102" s="59" t="e">
        <f>IF(ISBLANK(Data!C99),"",Data!C99)</f>
        <v>#N/A</v>
      </c>
      <c r="G102" s="153" t="s">
        <v>301</v>
      </c>
      <c r="H102" s="19"/>
      <c r="I102" s="19"/>
      <c r="J102" s="19"/>
      <c r="K102" s="19"/>
      <c r="L102" s="19"/>
    </row>
    <row r="103" spans="1:20">
      <c r="A103" s="21">
        <v>99</v>
      </c>
      <c r="B103" s="73" t="e">
        <f>IF(ISBLANK(Data!A100),"",Data!A100)</f>
        <v>#N/A</v>
      </c>
      <c r="C103" s="73" t="e">
        <f>IF(ISBLANK(Data!B100),"",Data!B100)</f>
        <v>#N/A</v>
      </c>
      <c r="D103" s="73" t="e">
        <f>IF(OR(ISERROR(VLOOKUP(B103,Data!$H$3:$I$11,2,FALSE)),B103=""),"",VLOOKUP(B103,Data!$H$3:$I$11,2,FALSE))</f>
        <v>#N/A</v>
      </c>
      <c r="E103" s="59" t="e">
        <f>IF(ISBLANK(Data!C100),"",Data!C100)</f>
        <v>#N/A</v>
      </c>
      <c r="G103" s="25" t="s">
        <v>455</v>
      </c>
      <c r="H103" s="28">
        <f>(1.5*H40)*1.15</f>
        <v>2.6425630988158892</v>
      </c>
      <c r="I103" s="28">
        <f>(1.5*I40)*1.15</f>
        <v>0</v>
      </c>
      <c r="J103" s="28">
        <f>(1.5*J40)*1.15</f>
        <v>2.6425630988158892</v>
      </c>
      <c r="K103" s="28">
        <f>(1.5*K40)*1.15</f>
        <v>0</v>
      </c>
      <c r="L103" s="28">
        <f>(1.5*L40)*1.15</f>
        <v>0</v>
      </c>
    </row>
    <row r="104" spans="1:20">
      <c r="A104" s="21">
        <v>100</v>
      </c>
      <c r="B104" s="73" t="e">
        <f>IF(ISBLANK(Data!A101),"",Data!A101)</f>
        <v>#N/A</v>
      </c>
      <c r="C104" s="73" t="e">
        <f>IF(ISBLANK(Data!B101),"",Data!B101)</f>
        <v>#N/A</v>
      </c>
      <c r="D104" s="73" t="e">
        <f>IF(OR(ISERROR(VLOOKUP(B104,Data!$H$3:$I$11,2,FALSE)),B104=""),"",VLOOKUP(B104,Data!$H$3:$I$11,2,FALSE))</f>
        <v>#N/A</v>
      </c>
      <c r="E104" s="59" t="e">
        <f>IF(ISBLANK(Data!C101),"",Data!C101)</f>
        <v>#N/A</v>
      </c>
      <c r="G104" s="6" t="s">
        <v>235</v>
      </c>
      <c r="H104" s="8">
        <f>LININTERP(H103,Permissible_Shear!$S$205:$S$222,Permissible_Shear!$V$205:$V$222)</f>
        <v>8.5705096837996546</v>
      </c>
      <c r="I104" s="8">
        <f>LININTERP(I103,Permissible_Shear!$S$205:$S$222,Permissible_Shear!$V$205:$V$222)</f>
        <v>1.5E-3</v>
      </c>
      <c r="J104" s="8">
        <f>LININTERP(J103,Permissible_Shear!$S$205:$S$222,Permissible_Shear!$V$205:$V$222)</f>
        <v>8.5705096837996546</v>
      </c>
      <c r="K104" s="8">
        <f>LININTERP(K103,Permissible_Shear!$S$205:$S$222,Permissible_Shear!$V$205:$V$222)</f>
        <v>1.5E-3</v>
      </c>
      <c r="L104" s="8">
        <f>LININTERP(L103,Permissible_Shear!$S$205:$S$222,Permissible_Shear!$V$205:$V$222)</f>
        <v>1.5E-3</v>
      </c>
    </row>
    <row r="107" spans="1:20">
      <c r="G107" s="1" t="s">
        <v>219</v>
      </c>
    </row>
    <row r="127" spans="7:8">
      <c r="G127" s="291" t="s">
        <v>310</v>
      </c>
      <c r="H127" s="291"/>
    </row>
    <row r="128" spans="7:8">
      <c r="G128" s="6" t="s">
        <v>441</v>
      </c>
      <c r="H128" s="184">
        <v>90</v>
      </c>
    </row>
    <row r="129" spans="7:8">
      <c r="G129" s="6" t="s">
        <v>399</v>
      </c>
      <c r="H129" s="8">
        <f>H128/J35</f>
        <v>36.659862556700858</v>
      </c>
    </row>
    <row r="130" spans="7:8">
      <c r="G130" s="6" t="s">
        <v>356</v>
      </c>
      <c r="H130" s="67">
        <f>2.5*J35</f>
        <v>6.1375025520621733</v>
      </c>
    </row>
    <row r="131" spans="7:8">
      <c r="G131" s="6" t="s">
        <v>493</v>
      </c>
      <c r="H131" s="67">
        <f>J35*3.2</f>
        <v>7.8560032666395818</v>
      </c>
    </row>
    <row r="133" spans="7:8">
      <c r="G133" s="6" t="s">
        <v>549</v>
      </c>
      <c r="H133" s="28">
        <f>(2.65*J39*((H129)^-0.5))*1.15</f>
        <v>0</v>
      </c>
    </row>
    <row r="134" spans="7:8">
      <c r="G134" s="6" t="s">
        <v>235</v>
      </c>
      <c r="H134" s="8">
        <f>LININTERP(H133,Permissible_Shear!$S$205:$S$222,Permissible_Shear!$V$205:$V$222)</f>
        <v>1.5E-3</v>
      </c>
    </row>
    <row r="136" spans="7:8">
      <c r="G136" s="6" t="s">
        <v>253</v>
      </c>
      <c r="H136" s="28">
        <f>LININTERP((H129),'Meander_Bends_(Max Shear)'!$L$51:$L$63,'Meander_Bends_(Max Shear)'!$M$51:$M$63)</f>
        <v>1</v>
      </c>
    </row>
    <row r="137" spans="7:8">
      <c r="G137" s="6" t="s">
        <v>112</v>
      </c>
      <c r="H137" s="8">
        <f>((77.966*(H136^1.042)))*0.0393701</f>
        <v>3.0695292165999994</v>
      </c>
    </row>
    <row r="139" spans="7:8">
      <c r="G139" s="19" t="s">
        <v>339</v>
      </c>
      <c r="H139" s="19"/>
    </row>
    <row r="140" spans="7:8">
      <c r="G140" s="6" t="s">
        <v>166</v>
      </c>
      <c r="H140" s="8">
        <f>IF(H129&lt;=2,2,IF(H129&gt;=10,1.05,(2.38-(0.206*(H129))+(0.0073*(H129^2)))))</f>
        <v>1.05</v>
      </c>
    </row>
    <row r="141" spans="7:8">
      <c r="G141" s="6" t="s">
        <v>299</v>
      </c>
      <c r="H141" s="8">
        <f>H140*J93</f>
        <v>2.7998766401130273</v>
      </c>
    </row>
    <row r="142" spans="7:8">
      <c r="G142" s="6" t="s">
        <v>112</v>
      </c>
      <c r="H142" s="8">
        <f>((77.966*(H141^1.042)))*0.0393701</f>
        <v>8.9740916863459148</v>
      </c>
    </row>
    <row r="144" spans="7:8">
      <c r="G144" s="19" t="s">
        <v>419</v>
      </c>
      <c r="H144" s="19"/>
    </row>
    <row r="145" spans="7:8">
      <c r="G145" s="6" t="s">
        <v>95</v>
      </c>
      <c r="H145" s="123">
        <f>3.2135*(H129)^-0.2657</f>
        <v>1.2341637896743047</v>
      </c>
    </row>
    <row r="146" spans="7:8">
      <c r="G146" s="6" t="s">
        <v>417</v>
      </c>
      <c r="H146" s="123">
        <f>2.4992*(H129)^-0.321</f>
        <v>0.78649461784759522</v>
      </c>
    </row>
    <row r="147" spans="7:8">
      <c r="G147" s="6" t="s">
        <v>252</v>
      </c>
      <c r="H147" s="17">
        <f t="shared" ref="H147:H148" si="7">H145*J$39</f>
        <v>0</v>
      </c>
    </row>
    <row r="148" spans="7:8">
      <c r="G148" s="6" t="s">
        <v>383</v>
      </c>
      <c r="H148" s="17">
        <f t="shared" si="7"/>
        <v>0</v>
      </c>
    </row>
    <row r="149" spans="7:8">
      <c r="G149" s="57" t="s">
        <v>418</v>
      </c>
      <c r="H149" s="8">
        <f t="shared" ref="H149:H150" si="8">((77.966*(H147^1.042)))*0.0393701</f>
        <v>0</v>
      </c>
    </row>
    <row r="150" spans="7:8">
      <c r="G150" s="57" t="s">
        <v>298</v>
      </c>
      <c r="H150" s="8">
        <f t="shared" si="8"/>
        <v>0</v>
      </c>
    </row>
  </sheetData>
  <mergeCells count="20">
    <mergeCell ref="B1:E1"/>
    <mergeCell ref="G1:S1"/>
    <mergeCell ref="Y1:Z1"/>
    <mergeCell ref="M3:O3"/>
    <mergeCell ref="P75:W75"/>
    <mergeCell ref="R76:W76"/>
    <mergeCell ref="R77:W77"/>
    <mergeCell ref="R78:W78"/>
    <mergeCell ref="R79:W79"/>
    <mergeCell ref="P80:W80"/>
    <mergeCell ref="R81:W81"/>
    <mergeCell ref="R82:W82"/>
    <mergeCell ref="P83:W83"/>
    <mergeCell ref="P84:S84"/>
    <mergeCell ref="T84:W84"/>
    <mergeCell ref="P85:S85"/>
    <mergeCell ref="T85:W85"/>
    <mergeCell ref="R86:W86"/>
    <mergeCell ref="R87:W87"/>
    <mergeCell ref="G127:H127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/>
  <dimension ref="C2:O35"/>
  <sheetViews>
    <sheetView zoomScale="55" zoomScaleNormal="55" workbookViewId="0">
      <selection activeCell="AD36" sqref="AD36"/>
    </sheetView>
  </sheetViews>
  <sheetFormatPr defaultColWidth="8.85546875" defaultRowHeight="12.75"/>
  <cols>
    <col min="1" max="8" width="8.85546875" style="11"/>
    <col min="9" max="9" width="10.7109375" style="11" bestFit="1" customWidth="1"/>
    <col min="10" max="16384" width="8.85546875" style="11"/>
  </cols>
  <sheetData>
    <row r="2" spans="3:11" ht="15">
      <c r="C2" s="316" t="s">
        <v>132</v>
      </c>
      <c r="D2" s="316"/>
      <c r="E2" s="316"/>
      <c r="F2" s="27"/>
    </row>
    <row r="3" spans="3:11" ht="15">
      <c r="C3" s="317" t="s">
        <v>258</v>
      </c>
      <c r="D3" s="317"/>
      <c r="E3" s="317"/>
    </row>
    <row r="4" spans="3:11" ht="15">
      <c r="D4" s="10" t="s">
        <v>68</v>
      </c>
      <c r="F4" s="27"/>
      <c r="G4" s="10" t="s">
        <v>388</v>
      </c>
      <c r="I4" s="318" t="s">
        <v>533</v>
      </c>
      <c r="J4" s="318"/>
      <c r="K4" s="318"/>
    </row>
    <row r="5" spans="3:11" ht="15">
      <c r="C5" s="27"/>
      <c r="D5" s="27">
        <v>0</v>
      </c>
      <c r="E5" s="27">
        <v>1.75</v>
      </c>
      <c r="F5" s="27" t="s">
        <v>113</v>
      </c>
      <c r="G5" s="11">
        <v>5.0000000000000001E-3</v>
      </c>
      <c r="I5" s="11">
        <v>0</v>
      </c>
      <c r="J5" s="11">
        <v>1.75</v>
      </c>
      <c r="K5" s="11" t="s">
        <v>113</v>
      </c>
    </row>
    <row r="6" spans="3:11" ht="15">
      <c r="C6" s="27"/>
      <c r="D6" s="27">
        <v>1.75</v>
      </c>
      <c r="E6" s="27">
        <v>2</v>
      </c>
      <c r="F6" s="27" t="s">
        <v>146</v>
      </c>
      <c r="G6" s="11">
        <v>0.01</v>
      </c>
      <c r="I6" s="11">
        <v>1.75</v>
      </c>
      <c r="J6" s="11">
        <v>2</v>
      </c>
      <c r="K6" s="11" t="s">
        <v>146</v>
      </c>
    </row>
    <row r="7" spans="3:11" ht="15">
      <c r="C7" s="27"/>
      <c r="D7" s="27">
        <v>2.25</v>
      </c>
      <c r="E7" s="27">
        <v>2.5</v>
      </c>
      <c r="F7" s="27" t="s">
        <v>313</v>
      </c>
      <c r="G7" s="11">
        <v>0.02</v>
      </c>
      <c r="I7" s="11">
        <v>2.25</v>
      </c>
      <c r="J7" s="11">
        <v>2.5</v>
      </c>
      <c r="K7" s="11" t="s">
        <v>313</v>
      </c>
    </row>
    <row r="8" spans="3:11" ht="15">
      <c r="C8" s="27"/>
      <c r="D8" s="27">
        <v>2.5</v>
      </c>
      <c r="E8" s="27">
        <v>4</v>
      </c>
      <c r="F8" s="27" t="s">
        <v>197</v>
      </c>
      <c r="G8" s="11">
        <v>1</v>
      </c>
      <c r="I8" s="11">
        <v>2.5</v>
      </c>
      <c r="J8" s="11">
        <v>5</v>
      </c>
      <c r="K8" s="11" t="s">
        <v>197</v>
      </c>
    </row>
    <row r="9" spans="3:11" ht="15">
      <c r="C9" s="27"/>
      <c r="D9" s="27">
        <v>4</v>
      </c>
      <c r="E9" s="27">
        <v>6</v>
      </c>
      <c r="F9" s="27" t="s">
        <v>236</v>
      </c>
      <c r="G9" s="11">
        <v>2</v>
      </c>
      <c r="I9" s="11">
        <v>3</v>
      </c>
      <c r="J9" s="11">
        <v>6</v>
      </c>
      <c r="K9" s="11" t="s">
        <v>236</v>
      </c>
    </row>
    <row r="10" spans="3:11" ht="15">
      <c r="C10" s="27"/>
      <c r="D10" s="27">
        <v>6</v>
      </c>
      <c r="E10" s="27">
        <v>8</v>
      </c>
      <c r="F10" s="27" t="s">
        <v>372</v>
      </c>
      <c r="G10" s="11">
        <v>6</v>
      </c>
      <c r="I10" s="11">
        <v>4</v>
      </c>
      <c r="J10" s="11">
        <v>7.5</v>
      </c>
      <c r="K10" s="11" t="s">
        <v>372</v>
      </c>
    </row>
    <row r="11" spans="3:11" ht="15">
      <c r="C11" s="27"/>
      <c r="D11" s="27">
        <v>7.5</v>
      </c>
      <c r="E11" s="27">
        <v>12</v>
      </c>
      <c r="F11" s="27" t="s">
        <v>312</v>
      </c>
      <c r="G11" s="11">
        <v>12</v>
      </c>
      <c r="I11" s="11">
        <v>5.5</v>
      </c>
      <c r="J11" s="11">
        <v>12</v>
      </c>
      <c r="K11" s="11" t="s">
        <v>312</v>
      </c>
    </row>
    <row r="12" spans="3:11" ht="15">
      <c r="C12" s="27"/>
      <c r="D12" s="27">
        <v>12</v>
      </c>
      <c r="E12" s="27">
        <v>15</v>
      </c>
      <c r="F12" s="27" t="s">
        <v>338</v>
      </c>
      <c r="G12" s="11">
        <v>18</v>
      </c>
      <c r="I12" s="11">
        <v>12</v>
      </c>
      <c r="J12" s="11">
        <v>16</v>
      </c>
      <c r="K12" s="11" t="s">
        <v>338</v>
      </c>
    </row>
    <row r="13" spans="3:11" ht="15">
      <c r="C13" s="27"/>
      <c r="D13" s="27">
        <v>15</v>
      </c>
      <c r="E13" s="27">
        <v>18</v>
      </c>
      <c r="F13" s="27" t="s">
        <v>165</v>
      </c>
      <c r="G13" s="11">
        <v>24</v>
      </c>
      <c r="I13" s="11">
        <v>14</v>
      </c>
      <c r="J13" s="11">
        <v>18</v>
      </c>
      <c r="K13" s="11" t="s">
        <v>165</v>
      </c>
    </row>
    <row r="14" spans="3:11" ht="15">
      <c r="C14" s="27"/>
      <c r="D14" s="27"/>
      <c r="E14" s="27"/>
      <c r="F14" s="27"/>
    </row>
    <row r="15" spans="3:11" ht="15">
      <c r="C15" s="27"/>
      <c r="D15" s="27"/>
      <c r="E15" s="27"/>
      <c r="F15" s="27"/>
    </row>
    <row r="16" spans="3:11" ht="15">
      <c r="C16" s="317" t="s">
        <v>390</v>
      </c>
      <c r="D16" s="317"/>
      <c r="E16" s="317"/>
      <c r="F16" s="27"/>
    </row>
    <row r="17" spans="3:15" ht="15">
      <c r="C17" s="27"/>
      <c r="D17" s="27" t="s">
        <v>30</v>
      </c>
      <c r="E17" s="27"/>
      <c r="F17" s="27"/>
      <c r="J17" s="10" t="s">
        <v>532</v>
      </c>
      <c r="L17" s="10"/>
      <c r="M17" s="10" t="s">
        <v>70</v>
      </c>
      <c r="N17" s="10" t="s">
        <v>69</v>
      </c>
      <c r="O17" s="10" t="s">
        <v>178</v>
      </c>
    </row>
    <row r="18" spans="3:15" ht="15">
      <c r="C18" s="27"/>
      <c r="D18" s="27" t="s">
        <v>68</v>
      </c>
      <c r="E18" s="27"/>
      <c r="F18" s="27" t="s">
        <v>41</v>
      </c>
      <c r="I18" s="69" t="s">
        <v>457</v>
      </c>
      <c r="J18" s="26">
        <f t="shared" ref="J18:J35" si="0">AVERAGE(K18:L18)</f>
        <v>5.0000000000000001E-4</v>
      </c>
      <c r="K18" s="26">
        <v>0</v>
      </c>
      <c r="L18" s="26">
        <v>1E-3</v>
      </c>
      <c r="M18" s="26">
        <v>1E-3</v>
      </c>
      <c r="N18" s="18">
        <f t="shared" ref="N18:N35" si="1">O19^2</f>
        <v>8.9999999999999998E-4</v>
      </c>
      <c r="O18" s="135">
        <v>2.5000000000000001E-2</v>
      </c>
    </row>
    <row r="19" spans="3:15" ht="15">
      <c r="C19" s="27"/>
      <c r="D19" s="27">
        <v>0</v>
      </c>
      <c r="E19" s="27">
        <v>1.75</v>
      </c>
      <c r="F19" s="27" t="s">
        <v>113</v>
      </c>
      <c r="G19" s="11">
        <v>5.0000000000000001E-3</v>
      </c>
      <c r="I19" s="69" t="s">
        <v>531</v>
      </c>
      <c r="J19" s="26">
        <f t="shared" si="0"/>
        <v>1.5E-3</v>
      </c>
      <c r="K19" s="26">
        <f t="shared" ref="K19:K35" si="2">L18</f>
        <v>1E-3</v>
      </c>
      <c r="L19" s="26">
        <v>2E-3</v>
      </c>
      <c r="M19" s="26">
        <v>1E-3</v>
      </c>
      <c r="N19" s="18">
        <f t="shared" si="1"/>
        <v>1.2250000000000002E-3</v>
      </c>
      <c r="O19" s="11">
        <v>0.03</v>
      </c>
    </row>
    <row r="20" spans="3:15" ht="15">
      <c r="C20" s="27"/>
      <c r="D20" s="27">
        <v>1.75</v>
      </c>
      <c r="E20" s="27">
        <v>2</v>
      </c>
      <c r="F20" s="27" t="s">
        <v>146</v>
      </c>
      <c r="I20" s="69" t="s">
        <v>29</v>
      </c>
      <c r="J20" s="26">
        <f t="shared" si="0"/>
        <v>2.5000000000000001E-3</v>
      </c>
      <c r="K20" s="26">
        <f t="shared" si="2"/>
        <v>2E-3</v>
      </c>
      <c r="L20" s="26">
        <v>3.0000000000000001E-3</v>
      </c>
      <c r="M20" s="26">
        <v>2E-3</v>
      </c>
      <c r="N20" s="18">
        <f t="shared" si="1"/>
        <v>1.6000000000000001E-3</v>
      </c>
      <c r="O20" s="11">
        <v>3.5000000000000003E-2</v>
      </c>
    </row>
    <row r="21" spans="3:15" ht="15">
      <c r="C21" s="27"/>
      <c r="D21" s="27">
        <v>2</v>
      </c>
      <c r="E21" s="27">
        <v>2.5</v>
      </c>
      <c r="F21" s="27" t="s">
        <v>530</v>
      </c>
      <c r="I21" s="69" t="s">
        <v>389</v>
      </c>
      <c r="J21" s="26">
        <f t="shared" si="0"/>
        <v>4.0000000000000001E-3</v>
      </c>
      <c r="K21" s="26">
        <f t="shared" si="2"/>
        <v>3.0000000000000001E-3</v>
      </c>
      <c r="L21" s="26">
        <v>5.0000000000000001E-3</v>
      </c>
      <c r="M21" s="26">
        <v>3.0000000000000001E-3</v>
      </c>
      <c r="N21" s="18">
        <f t="shared" si="1"/>
        <v>2.0249999999999999E-3</v>
      </c>
      <c r="O21" s="11">
        <v>0.04</v>
      </c>
    </row>
    <row r="22" spans="3:15" ht="15">
      <c r="C22" s="27"/>
      <c r="D22" s="27">
        <v>2.5</v>
      </c>
      <c r="E22" s="27">
        <v>4</v>
      </c>
      <c r="F22" s="27" t="s">
        <v>101</v>
      </c>
      <c r="G22" s="11">
        <v>0.2</v>
      </c>
      <c r="I22" s="69" t="s">
        <v>28</v>
      </c>
      <c r="J22" s="26">
        <f t="shared" si="0"/>
        <v>7.4999999999999997E-3</v>
      </c>
      <c r="K22" s="26">
        <f t="shared" si="2"/>
        <v>5.0000000000000001E-3</v>
      </c>
      <c r="L22" s="26">
        <v>0.01</v>
      </c>
      <c r="M22" s="26">
        <v>4.0000000000000001E-3</v>
      </c>
      <c r="N22" s="18">
        <f t="shared" si="1"/>
        <v>3.0249999999999999E-3</v>
      </c>
      <c r="O22" s="11">
        <v>4.4999999999999998E-2</v>
      </c>
    </row>
    <row r="23" spans="3:15" ht="15">
      <c r="C23" s="27"/>
      <c r="D23" s="27">
        <v>4</v>
      </c>
      <c r="E23" s="27">
        <v>5</v>
      </c>
      <c r="F23" s="27" t="s">
        <v>147</v>
      </c>
      <c r="G23" s="27">
        <v>2</v>
      </c>
      <c r="I23" s="69" t="s">
        <v>257</v>
      </c>
      <c r="J23" s="26">
        <f t="shared" si="0"/>
        <v>1.4999999999999999E-2</v>
      </c>
      <c r="K23" s="26">
        <f t="shared" si="2"/>
        <v>0.01</v>
      </c>
      <c r="L23" s="26">
        <v>0.02</v>
      </c>
      <c r="M23" s="26">
        <v>6.0000000000000001E-3</v>
      </c>
      <c r="N23" s="18">
        <f t="shared" si="1"/>
        <v>4.9000000000000007E-3</v>
      </c>
      <c r="O23" s="11">
        <v>5.5E-2</v>
      </c>
    </row>
    <row r="24" spans="3:15" ht="15">
      <c r="C24" s="27"/>
      <c r="D24" s="27">
        <v>5</v>
      </c>
      <c r="E24" s="27"/>
      <c r="F24" s="27" t="s">
        <v>198</v>
      </c>
      <c r="G24" s="11">
        <v>5</v>
      </c>
      <c r="I24" s="69" t="s">
        <v>422</v>
      </c>
      <c r="J24" s="26">
        <f t="shared" si="0"/>
        <v>0.03</v>
      </c>
      <c r="K24" s="26">
        <f t="shared" si="2"/>
        <v>0.02</v>
      </c>
      <c r="L24" s="26">
        <v>0.04</v>
      </c>
      <c r="M24" s="26">
        <v>0.01</v>
      </c>
      <c r="N24" s="18">
        <f t="shared" si="1"/>
        <v>1.44E-2</v>
      </c>
      <c r="O24" s="11">
        <v>7.0000000000000007E-2</v>
      </c>
    </row>
    <row r="25" spans="3:15" ht="15">
      <c r="C25" s="27"/>
      <c r="D25" s="27"/>
      <c r="E25" s="27"/>
      <c r="F25" s="27"/>
      <c r="G25" s="27"/>
      <c r="I25" s="69" t="s">
        <v>515</v>
      </c>
      <c r="J25" s="26">
        <f t="shared" si="0"/>
        <v>0.06</v>
      </c>
      <c r="K25" s="26">
        <f t="shared" si="2"/>
        <v>0.04</v>
      </c>
      <c r="L25" s="26">
        <v>0.08</v>
      </c>
      <c r="M25" s="26">
        <v>0.03</v>
      </c>
      <c r="N25" s="18">
        <f t="shared" si="1"/>
        <v>2.8900000000000006E-2</v>
      </c>
      <c r="O25" s="11">
        <v>0.12</v>
      </c>
    </row>
    <row r="26" spans="3:15" ht="15">
      <c r="C26" s="27"/>
      <c r="D26" s="27"/>
      <c r="E26" s="27"/>
      <c r="F26" s="27"/>
      <c r="G26" s="27"/>
      <c r="I26" s="69" t="s">
        <v>331</v>
      </c>
      <c r="J26" s="26">
        <f t="shared" si="0"/>
        <v>0.12</v>
      </c>
      <c r="K26" s="26">
        <f t="shared" si="2"/>
        <v>0.08</v>
      </c>
      <c r="L26" s="26">
        <v>0.16</v>
      </c>
      <c r="M26" s="26">
        <v>0.06</v>
      </c>
      <c r="N26" s="18">
        <f t="shared" si="1"/>
        <v>5.7599999999999998E-2</v>
      </c>
      <c r="O26" s="11">
        <v>0.17</v>
      </c>
    </row>
    <row r="27" spans="3:15" ht="15">
      <c r="C27" s="317" t="s">
        <v>131</v>
      </c>
      <c r="D27" s="317"/>
      <c r="E27" s="317"/>
      <c r="F27" s="27"/>
      <c r="G27" s="27"/>
      <c r="I27" s="69" t="s">
        <v>516</v>
      </c>
      <c r="J27" s="26">
        <f t="shared" si="0"/>
        <v>0.22999999999999998</v>
      </c>
      <c r="K27" s="26">
        <f t="shared" si="2"/>
        <v>0.16</v>
      </c>
      <c r="L27" s="26">
        <v>0.3</v>
      </c>
      <c r="M27" s="26">
        <v>0.12</v>
      </c>
      <c r="N27" s="18">
        <f t="shared" si="1"/>
        <v>0.12959999999999999</v>
      </c>
      <c r="O27" s="11">
        <v>0.24</v>
      </c>
    </row>
    <row r="28" spans="3:15" ht="15">
      <c r="D28" s="10" t="s">
        <v>68</v>
      </c>
      <c r="F28" s="27"/>
      <c r="G28" s="27"/>
      <c r="I28" s="69" t="s">
        <v>162</v>
      </c>
      <c r="J28" s="26">
        <f t="shared" si="0"/>
        <v>0.44999999999999996</v>
      </c>
      <c r="K28" s="26">
        <f t="shared" si="2"/>
        <v>0.3</v>
      </c>
      <c r="L28" s="26">
        <v>0.6</v>
      </c>
      <c r="M28" s="26">
        <v>0.25</v>
      </c>
      <c r="N28" s="18">
        <f t="shared" si="1"/>
        <v>0.27040000000000003</v>
      </c>
      <c r="O28" s="11">
        <v>0.36</v>
      </c>
    </row>
    <row r="29" spans="3:15" ht="15">
      <c r="C29" s="27"/>
      <c r="D29" s="27">
        <v>0</v>
      </c>
      <c r="E29" s="27">
        <v>1.7</v>
      </c>
      <c r="F29" s="27" t="s">
        <v>113</v>
      </c>
      <c r="G29" s="27"/>
      <c r="I29" s="69" t="s">
        <v>368</v>
      </c>
      <c r="J29" s="26">
        <f t="shared" si="0"/>
        <v>0.95</v>
      </c>
      <c r="K29" s="26">
        <f t="shared" si="2"/>
        <v>0.6</v>
      </c>
      <c r="L29" s="26">
        <v>1.3</v>
      </c>
      <c r="M29" s="26">
        <v>0.54</v>
      </c>
      <c r="N29" s="18">
        <f t="shared" si="1"/>
        <v>0.5625</v>
      </c>
      <c r="O29" s="11">
        <v>0.52</v>
      </c>
    </row>
    <row r="30" spans="3:15" ht="15">
      <c r="C30" s="27"/>
      <c r="D30" s="27">
        <v>1.7</v>
      </c>
      <c r="E30" s="27">
        <v>2</v>
      </c>
      <c r="F30" s="27" t="s">
        <v>146</v>
      </c>
      <c r="G30" s="27"/>
      <c r="I30" s="69" t="s">
        <v>229</v>
      </c>
      <c r="J30" s="26">
        <f t="shared" si="0"/>
        <v>1.9</v>
      </c>
      <c r="K30" s="26">
        <f t="shared" si="2"/>
        <v>1.3</v>
      </c>
      <c r="L30" s="26">
        <v>2.5</v>
      </c>
      <c r="M30" s="26">
        <v>1.1000000000000001</v>
      </c>
      <c r="N30" s="18">
        <f t="shared" si="1"/>
        <v>1.1664000000000001</v>
      </c>
      <c r="O30" s="11">
        <v>0.75</v>
      </c>
    </row>
    <row r="31" spans="3:15" ht="15">
      <c r="C31" s="27"/>
      <c r="D31" s="27">
        <v>2</v>
      </c>
      <c r="E31" s="27">
        <v>2.5</v>
      </c>
      <c r="F31" s="27" t="s">
        <v>530</v>
      </c>
      <c r="G31" s="27"/>
      <c r="I31" s="69" t="s">
        <v>82</v>
      </c>
      <c r="J31" s="26">
        <f t="shared" si="0"/>
        <v>3.75</v>
      </c>
      <c r="K31" s="26">
        <f t="shared" si="2"/>
        <v>2.5</v>
      </c>
      <c r="L31" s="26">
        <v>5</v>
      </c>
      <c r="M31" s="26">
        <v>2.2999999999999998</v>
      </c>
      <c r="N31" s="18">
        <f t="shared" si="1"/>
        <v>2.3715999999999999</v>
      </c>
      <c r="O31" s="11">
        <v>1.08</v>
      </c>
    </row>
    <row r="32" spans="3:15" ht="15">
      <c r="C32" s="27"/>
      <c r="D32" s="27">
        <v>2.5</v>
      </c>
      <c r="E32" s="27">
        <v>4</v>
      </c>
      <c r="F32" s="27" t="s">
        <v>101</v>
      </c>
      <c r="G32" s="27"/>
      <c r="I32" s="69" t="s">
        <v>108</v>
      </c>
      <c r="J32" s="26">
        <f t="shared" si="0"/>
        <v>7.5</v>
      </c>
      <c r="K32" s="26">
        <f t="shared" si="2"/>
        <v>5</v>
      </c>
      <c r="L32" s="26">
        <v>10</v>
      </c>
      <c r="M32" s="26">
        <v>4.7</v>
      </c>
      <c r="N32" s="18">
        <f t="shared" si="1"/>
        <v>4.8400000000000007</v>
      </c>
      <c r="O32" s="11">
        <v>1.54</v>
      </c>
    </row>
    <row r="33" spans="3:15" ht="15">
      <c r="C33" s="27"/>
      <c r="D33" s="27">
        <v>4</v>
      </c>
      <c r="E33" s="27">
        <v>5</v>
      </c>
      <c r="F33" s="27" t="s">
        <v>147</v>
      </c>
      <c r="G33" s="27"/>
      <c r="I33" s="69" t="s">
        <v>332</v>
      </c>
      <c r="J33" s="26">
        <f t="shared" si="0"/>
        <v>15</v>
      </c>
      <c r="K33" s="26">
        <f t="shared" si="2"/>
        <v>10</v>
      </c>
      <c r="L33" s="26">
        <v>20</v>
      </c>
      <c r="M33" s="26">
        <v>9.3000000000000007</v>
      </c>
      <c r="N33" s="18">
        <f t="shared" si="1"/>
        <v>9.4863999999999997</v>
      </c>
      <c r="O33" s="11">
        <v>2.2000000000000002</v>
      </c>
    </row>
    <row r="34" spans="3:15" ht="15">
      <c r="C34" s="27"/>
      <c r="D34" s="27">
        <v>5</v>
      </c>
      <c r="E34" s="27"/>
      <c r="F34" s="27" t="s">
        <v>198</v>
      </c>
      <c r="G34" s="27"/>
      <c r="I34" s="69" t="s">
        <v>475</v>
      </c>
      <c r="J34" s="26">
        <f t="shared" si="0"/>
        <v>30</v>
      </c>
      <c r="K34" s="26">
        <f t="shared" si="2"/>
        <v>20</v>
      </c>
      <c r="L34" s="26">
        <v>40</v>
      </c>
      <c r="M34" s="26">
        <v>18.7</v>
      </c>
      <c r="N34" s="18">
        <f t="shared" si="1"/>
        <v>19.009600000000002</v>
      </c>
      <c r="O34" s="11">
        <v>3.08</v>
      </c>
    </row>
    <row r="35" spans="3:15">
      <c r="I35" s="69" t="s">
        <v>109</v>
      </c>
      <c r="J35" s="26">
        <f t="shared" si="0"/>
        <v>60</v>
      </c>
      <c r="K35" s="26">
        <f t="shared" si="2"/>
        <v>40</v>
      </c>
      <c r="L35" s="26">
        <v>80</v>
      </c>
      <c r="M35" s="26">
        <v>37.4</v>
      </c>
      <c r="N35" s="18">
        <f t="shared" si="1"/>
        <v>0</v>
      </c>
      <c r="O35" s="11">
        <v>4.3600000000000003</v>
      </c>
    </row>
  </sheetData>
  <mergeCells count="5">
    <mergeCell ref="C2:E2"/>
    <mergeCell ref="C3:E3"/>
    <mergeCell ref="I4:K4"/>
    <mergeCell ref="C16:E16"/>
    <mergeCell ref="C27:E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BR297"/>
  <sheetViews>
    <sheetView topLeftCell="A134" zoomScale="25" zoomScaleNormal="25" workbookViewId="0">
      <selection activeCell="C198" sqref="C198:M198"/>
    </sheetView>
  </sheetViews>
  <sheetFormatPr defaultRowHeight="12.75"/>
  <cols>
    <col min="2" max="2" width="10.42578125" customWidth="1"/>
    <col min="3" max="3" width="18.28515625" customWidth="1"/>
    <col min="4" max="4" width="14.85546875" customWidth="1"/>
    <col min="5" max="5" width="14.140625" customWidth="1"/>
    <col min="6" max="6" width="16.5703125" customWidth="1"/>
    <col min="7" max="7" width="11.140625" customWidth="1"/>
    <col min="8" max="8" width="11" customWidth="1"/>
    <col min="10" max="10" width="21.5703125" customWidth="1"/>
    <col min="11" max="11" width="13.42578125" customWidth="1"/>
    <col min="15" max="15" width="18.85546875" customWidth="1"/>
    <col min="16" max="16" width="16.5703125" customWidth="1"/>
    <col min="23" max="23" width="7.28515625" customWidth="1"/>
    <col min="26" max="26" width="10" customWidth="1"/>
  </cols>
  <sheetData>
    <row r="1" spans="2:21" ht="15" customHeight="1">
      <c r="B1" s="410" t="s">
        <v>173</v>
      </c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167"/>
      <c r="O1" s="1"/>
      <c r="P1" s="1"/>
      <c r="Q1" s="1"/>
      <c r="R1" s="1"/>
      <c r="S1" s="1"/>
      <c r="T1" s="1"/>
      <c r="U1" s="1"/>
    </row>
    <row r="2" spans="2:21" ht="15" customHeight="1"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167"/>
      <c r="O2" s="1"/>
      <c r="P2" s="1"/>
      <c r="Q2" s="1"/>
      <c r="R2" s="1"/>
      <c r="S2" s="1"/>
      <c r="T2" s="1"/>
      <c r="U2" s="1"/>
    </row>
    <row r="3" spans="2:21" ht="30.75" customHeight="1">
      <c r="B3" s="1"/>
      <c r="C3" s="185"/>
      <c r="D3" s="42" t="s">
        <v>51</v>
      </c>
      <c r="E3" s="42" t="s">
        <v>118</v>
      </c>
      <c r="F3" s="42" t="s">
        <v>169</v>
      </c>
      <c r="G3" s="42" t="s">
        <v>510</v>
      </c>
      <c r="H3" s="42" t="s">
        <v>200</v>
      </c>
      <c r="I3" s="16"/>
      <c r="J3" s="42" t="s">
        <v>13</v>
      </c>
      <c r="K3" s="42" t="s">
        <v>148</v>
      </c>
      <c r="L3" s="42" t="s">
        <v>168</v>
      </c>
      <c r="M3" s="16"/>
      <c r="N3" s="1"/>
      <c r="O3" s="175" t="s">
        <v>174</v>
      </c>
      <c r="P3" s="1"/>
      <c r="Q3" s="1"/>
      <c r="R3" s="1"/>
      <c r="S3" s="1"/>
      <c r="T3" s="1"/>
      <c r="U3" s="1"/>
    </row>
    <row r="4" spans="2:21" ht="15">
      <c r="B4" s="1"/>
      <c r="C4" s="54"/>
      <c r="D4" s="12">
        <v>2</v>
      </c>
      <c r="E4" s="12">
        <v>0.1</v>
      </c>
      <c r="F4" s="12">
        <v>6</v>
      </c>
      <c r="G4" s="12">
        <v>1E-3</v>
      </c>
      <c r="H4" s="12">
        <v>1E-3</v>
      </c>
      <c r="I4" s="16"/>
      <c r="J4" s="180">
        <v>40</v>
      </c>
      <c r="K4" s="101">
        <f>J4/D4</f>
        <v>20</v>
      </c>
      <c r="L4" s="101" t="str">
        <f>IF(K4&lt;20,"Use R","D is OK")</f>
        <v>D is OK</v>
      </c>
      <c r="M4" s="16"/>
      <c r="N4" s="1"/>
      <c r="O4" s="1"/>
      <c r="P4" s="1"/>
      <c r="Q4" s="1"/>
      <c r="R4" s="1"/>
      <c r="S4" s="1"/>
      <c r="T4" s="1"/>
      <c r="U4" s="1"/>
    </row>
    <row r="5" spans="2:21" ht="15">
      <c r="B5" s="1"/>
      <c r="C5" s="54"/>
      <c r="D5" s="15"/>
      <c r="E5" s="15"/>
      <c r="F5" s="15"/>
      <c r="G5" s="15"/>
      <c r="H5" s="15"/>
      <c r="I5" s="16"/>
      <c r="J5" s="16"/>
      <c r="K5" s="16"/>
      <c r="L5" s="16"/>
      <c r="M5" s="16"/>
      <c r="N5" s="1"/>
      <c r="O5" s="1"/>
      <c r="P5" s="1"/>
      <c r="Q5" s="1"/>
      <c r="R5" s="1"/>
      <c r="S5" s="1"/>
      <c r="T5" s="1"/>
      <c r="U5" s="1"/>
    </row>
    <row r="6" spans="2:21" ht="15">
      <c r="B6" s="1"/>
      <c r="N6" s="1"/>
      <c r="O6" s="1"/>
      <c r="P6" s="1"/>
      <c r="Q6" s="1"/>
      <c r="R6" s="1"/>
      <c r="S6" s="1"/>
      <c r="T6" s="1"/>
      <c r="U6" s="1"/>
    </row>
    <row r="7" spans="2:21" ht="15">
      <c r="B7" s="1"/>
      <c r="N7" s="1"/>
      <c r="O7" s="1"/>
      <c r="P7" s="1"/>
      <c r="Q7" s="1"/>
      <c r="R7" s="1"/>
      <c r="S7" s="1"/>
      <c r="T7" s="1"/>
      <c r="U7" s="1"/>
    </row>
    <row r="8" spans="2:21" ht="15">
      <c r="B8" s="1"/>
      <c r="C8" s="411" t="s">
        <v>53</v>
      </c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1"/>
      <c r="O8" s="1"/>
      <c r="P8" s="1"/>
      <c r="Q8" s="1"/>
      <c r="R8" s="1"/>
      <c r="S8" s="1"/>
      <c r="T8" s="1"/>
      <c r="U8" s="1"/>
    </row>
    <row r="9" spans="2:21" ht="15">
      <c r="B9" s="1"/>
      <c r="C9" s="22">
        <f>$D$4</f>
        <v>2</v>
      </c>
      <c r="D9" s="22">
        <f t="shared" ref="D9:M9" si="0">C9+$E$4</f>
        <v>2.1</v>
      </c>
      <c r="E9" s="22">
        <f t="shared" si="0"/>
        <v>2.2000000000000002</v>
      </c>
      <c r="F9" s="22">
        <f t="shared" si="0"/>
        <v>2.3000000000000003</v>
      </c>
      <c r="G9" s="22">
        <f t="shared" si="0"/>
        <v>2.4000000000000004</v>
      </c>
      <c r="H9" s="22">
        <f t="shared" si="0"/>
        <v>2.5000000000000004</v>
      </c>
      <c r="I9" s="22">
        <f t="shared" si="0"/>
        <v>2.6000000000000005</v>
      </c>
      <c r="J9" s="22">
        <f t="shared" si="0"/>
        <v>2.7000000000000006</v>
      </c>
      <c r="K9" s="22">
        <f t="shared" si="0"/>
        <v>2.8000000000000007</v>
      </c>
      <c r="L9" s="22">
        <f t="shared" si="0"/>
        <v>2.9000000000000008</v>
      </c>
      <c r="M9" s="22">
        <f t="shared" si="0"/>
        <v>3.0000000000000009</v>
      </c>
      <c r="N9" s="1"/>
      <c r="O9" s="1"/>
      <c r="P9" s="1"/>
      <c r="Q9" s="1"/>
      <c r="R9" s="1"/>
      <c r="S9" s="1"/>
      <c r="T9" s="1"/>
      <c r="U9" s="1"/>
    </row>
    <row r="10" spans="2:21" ht="15">
      <c r="B10" s="1"/>
      <c r="C10" s="54"/>
      <c r="D10" s="15"/>
      <c r="E10" s="15"/>
      <c r="F10" s="15"/>
      <c r="G10" s="15"/>
      <c r="H10" s="15"/>
      <c r="I10" s="16"/>
      <c r="J10" s="16"/>
      <c r="K10" s="16"/>
      <c r="L10" s="16"/>
      <c r="M10" s="16"/>
      <c r="N10" s="1"/>
      <c r="O10" s="1"/>
      <c r="P10" s="1"/>
      <c r="Q10" s="1"/>
      <c r="R10" s="1"/>
      <c r="S10" s="1"/>
      <c r="T10" s="1"/>
      <c r="U10" s="1"/>
    </row>
    <row r="11" spans="2:21" ht="15">
      <c r="B11" s="1"/>
      <c r="C11" s="411" t="s">
        <v>124</v>
      </c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1"/>
      <c r="O11" s="1"/>
      <c r="P11" s="1"/>
      <c r="Q11" s="1"/>
      <c r="R11" s="1"/>
      <c r="S11" s="1"/>
      <c r="T11" s="1"/>
      <c r="U11" s="1"/>
    </row>
    <row r="12" spans="2:21" ht="15">
      <c r="B12" s="1"/>
      <c r="C12" s="98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"/>
      <c r="O12" s="1"/>
      <c r="P12" s="1"/>
      <c r="Q12" s="1"/>
      <c r="R12" s="1"/>
      <c r="S12" s="1"/>
      <c r="T12" s="1"/>
      <c r="U12" s="1"/>
    </row>
    <row r="13" spans="2:21" ht="15">
      <c r="B13" s="1"/>
      <c r="F13" s="15"/>
      <c r="G13" s="15"/>
      <c r="H13" s="15"/>
      <c r="I13" s="16"/>
      <c r="J13" s="16"/>
      <c r="K13" s="16"/>
      <c r="L13" s="16"/>
      <c r="M13" s="16"/>
      <c r="N13" s="1"/>
      <c r="O13" s="1"/>
      <c r="P13" s="1"/>
      <c r="Q13" s="1"/>
      <c r="R13" s="1"/>
      <c r="S13" s="1"/>
      <c r="T13" s="1"/>
      <c r="U13" s="1"/>
    </row>
    <row r="14" spans="2:21" ht="15">
      <c r="B14" s="1"/>
      <c r="C14" s="411" t="s">
        <v>485</v>
      </c>
      <c r="D14" s="411"/>
      <c r="E14" s="411"/>
      <c r="F14" s="411"/>
      <c r="G14" s="411"/>
      <c r="H14" s="411"/>
      <c r="I14" s="411"/>
      <c r="J14" s="411"/>
      <c r="K14" s="411"/>
      <c r="L14" s="411"/>
      <c r="M14" s="411"/>
      <c r="N14" s="1"/>
      <c r="O14" s="1"/>
      <c r="P14" s="1"/>
      <c r="Q14" s="1"/>
      <c r="R14" s="1"/>
      <c r="S14" s="1"/>
      <c r="T14" s="1"/>
      <c r="U14" s="1"/>
    </row>
    <row r="15" spans="2:21" ht="15">
      <c r="B15" s="1"/>
      <c r="C15" s="98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"/>
      <c r="O15" s="1"/>
      <c r="P15" s="1"/>
      <c r="Q15" s="1"/>
      <c r="R15" s="1"/>
      <c r="S15" s="1"/>
      <c r="T15" s="1"/>
      <c r="U15" s="1"/>
    </row>
    <row r="16" spans="2:21" ht="15">
      <c r="B16" s="1"/>
      <c r="F16" s="15"/>
      <c r="G16" s="15"/>
      <c r="H16" s="15"/>
      <c r="I16" s="16"/>
      <c r="J16" s="16"/>
      <c r="K16" s="16"/>
      <c r="L16" s="16"/>
      <c r="M16" s="16"/>
      <c r="N16" s="1"/>
      <c r="O16" s="1"/>
      <c r="P16" s="1"/>
      <c r="Q16" s="1"/>
      <c r="R16" s="1"/>
      <c r="S16" s="1"/>
      <c r="T16" s="1"/>
      <c r="U16" s="1"/>
    </row>
    <row r="17" spans="2:21" ht="15">
      <c r="B17" s="1"/>
      <c r="C17" s="411" t="s">
        <v>54</v>
      </c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1"/>
      <c r="O17" s="1"/>
      <c r="P17" s="1"/>
      <c r="Q17" s="1"/>
      <c r="R17" s="1"/>
      <c r="S17" s="1"/>
      <c r="T17" s="1"/>
      <c r="U17" s="1"/>
    </row>
    <row r="18" spans="2:21" ht="15">
      <c r="B18" s="1"/>
      <c r="C18" s="22">
        <f t="shared" ref="C18:M18" si="1">IF($C$22="Wide Channel (Flow Depth)",C9,C12/C15)</f>
        <v>2</v>
      </c>
      <c r="D18" s="22">
        <f t="shared" si="1"/>
        <v>2.1</v>
      </c>
      <c r="E18" s="22">
        <f t="shared" si="1"/>
        <v>2.2000000000000002</v>
      </c>
      <c r="F18" s="22">
        <f t="shared" si="1"/>
        <v>2.3000000000000003</v>
      </c>
      <c r="G18" s="22">
        <f t="shared" si="1"/>
        <v>2.4000000000000004</v>
      </c>
      <c r="H18" s="22">
        <f t="shared" si="1"/>
        <v>2.5000000000000004</v>
      </c>
      <c r="I18" s="22">
        <f t="shared" si="1"/>
        <v>2.6000000000000005</v>
      </c>
      <c r="J18" s="22">
        <f t="shared" si="1"/>
        <v>2.7000000000000006</v>
      </c>
      <c r="K18" s="22">
        <f t="shared" si="1"/>
        <v>2.8000000000000007</v>
      </c>
      <c r="L18" s="22">
        <f t="shared" si="1"/>
        <v>2.9000000000000008</v>
      </c>
      <c r="M18" s="22">
        <f t="shared" si="1"/>
        <v>3.0000000000000009</v>
      </c>
      <c r="N18" s="1"/>
      <c r="O18" s="1"/>
      <c r="P18" s="1"/>
      <c r="Q18" s="1"/>
      <c r="R18" s="1"/>
      <c r="S18" s="1"/>
      <c r="T18" s="1"/>
      <c r="U18" s="1"/>
    </row>
    <row r="19" spans="2:21" ht="15">
      <c r="B19" s="1"/>
      <c r="C19" s="55"/>
      <c r="D19" s="55"/>
      <c r="E19" s="55"/>
      <c r="F19" s="15"/>
      <c r="G19" s="15"/>
      <c r="H19" s="15"/>
      <c r="I19" s="16"/>
      <c r="J19" s="16"/>
      <c r="K19" s="16"/>
      <c r="L19" s="16"/>
      <c r="M19" s="16"/>
      <c r="N19" s="1"/>
      <c r="O19" s="1"/>
      <c r="P19" s="1"/>
      <c r="Q19" s="1"/>
      <c r="R19" s="1"/>
      <c r="S19" s="1"/>
      <c r="T19" s="1"/>
      <c r="U19" s="1"/>
    </row>
    <row r="20" spans="2:21" ht="15">
      <c r="B20" s="1"/>
      <c r="F20" s="15"/>
      <c r="G20" s="15"/>
      <c r="H20" s="15"/>
      <c r="I20" s="16"/>
      <c r="J20" s="16"/>
      <c r="K20" s="16"/>
      <c r="L20" s="16"/>
      <c r="M20" s="16"/>
      <c r="N20" s="1"/>
      <c r="O20" s="1"/>
      <c r="P20" s="1"/>
      <c r="Q20" s="1"/>
      <c r="R20" s="1"/>
      <c r="S20" s="1"/>
      <c r="T20" s="1"/>
      <c r="U20" s="1"/>
    </row>
    <row r="21" spans="2:21" ht="20.25">
      <c r="B21" s="1"/>
      <c r="C21" s="412" t="s">
        <v>524</v>
      </c>
      <c r="D21" s="413"/>
      <c r="E21" s="413"/>
      <c r="F21" s="413"/>
      <c r="G21" s="413"/>
      <c r="H21" s="413"/>
      <c r="I21" s="413"/>
      <c r="J21" s="413"/>
      <c r="K21" s="413"/>
      <c r="L21" s="413"/>
      <c r="M21" s="414"/>
      <c r="N21" s="1"/>
      <c r="O21" s="1"/>
      <c r="P21" s="1"/>
      <c r="Q21" s="1"/>
      <c r="R21" s="1"/>
      <c r="S21" s="1"/>
      <c r="T21" s="1"/>
      <c r="U21" s="1"/>
    </row>
    <row r="22" spans="2:21" ht="15.75">
      <c r="B22" s="1"/>
      <c r="C22" s="415" t="s">
        <v>484</v>
      </c>
      <c r="D22" s="416"/>
      <c r="E22" s="416"/>
      <c r="F22" s="416"/>
      <c r="G22" s="416"/>
      <c r="H22" s="416"/>
      <c r="I22" s="416"/>
      <c r="J22" s="416"/>
      <c r="K22" s="416"/>
      <c r="L22" s="416"/>
      <c r="M22" s="417"/>
      <c r="N22" s="1"/>
      <c r="O22" s="1"/>
      <c r="P22" s="1"/>
      <c r="Q22" s="1"/>
      <c r="R22" s="1"/>
      <c r="S22" s="1"/>
      <c r="T22" s="1"/>
      <c r="U22" s="1"/>
    </row>
    <row r="23" spans="2:21" ht="15">
      <c r="B23" s="1"/>
      <c r="F23" s="15"/>
      <c r="G23" s="15"/>
      <c r="H23" s="15"/>
      <c r="I23" s="16"/>
      <c r="J23" s="16"/>
      <c r="K23" s="16"/>
      <c r="L23" s="16"/>
      <c r="M23" s="16"/>
      <c r="N23" s="1"/>
      <c r="O23" s="1"/>
      <c r="P23" s="1"/>
      <c r="Q23" s="1"/>
      <c r="R23" s="1"/>
      <c r="S23" s="1"/>
      <c r="T23" s="1"/>
      <c r="U23" s="1"/>
    </row>
    <row r="24" spans="2:21" ht="15">
      <c r="B24" s="1"/>
      <c r="F24" s="15"/>
      <c r="G24" s="15"/>
      <c r="H24" s="15"/>
      <c r="I24" s="16"/>
      <c r="J24" s="16"/>
      <c r="K24" s="16"/>
      <c r="L24" s="16"/>
      <c r="M24" s="16"/>
      <c r="N24" s="1"/>
      <c r="O24" s="1"/>
      <c r="P24" s="1"/>
      <c r="Q24" s="1"/>
      <c r="R24" s="1"/>
      <c r="S24" s="1"/>
      <c r="T24" s="1"/>
      <c r="U24" s="1"/>
    </row>
    <row r="25" spans="2:21" ht="15">
      <c r="B25" s="1"/>
      <c r="F25" s="15"/>
      <c r="G25" s="15"/>
      <c r="H25" s="15"/>
      <c r="I25" s="16"/>
      <c r="J25" s="16"/>
      <c r="K25" s="16"/>
      <c r="L25" s="16"/>
      <c r="M25" s="16"/>
      <c r="N25" s="1"/>
      <c r="O25" s="1"/>
      <c r="P25" s="1"/>
      <c r="Q25" s="1"/>
      <c r="R25" s="1"/>
      <c r="S25" s="1"/>
      <c r="T25" s="1"/>
      <c r="U25" s="1"/>
    </row>
    <row r="26" spans="2:21" ht="15">
      <c r="B26" s="1"/>
      <c r="F26" s="15"/>
      <c r="G26" s="15"/>
      <c r="H26" s="15"/>
      <c r="I26" s="16"/>
      <c r="J26" s="16"/>
      <c r="K26" s="16"/>
      <c r="L26" s="16"/>
      <c r="M26" s="16"/>
      <c r="N26" s="1"/>
      <c r="O26" s="1"/>
      <c r="P26" s="1"/>
      <c r="Q26" s="1"/>
      <c r="R26" s="1"/>
      <c r="S26" s="1"/>
      <c r="T26" s="1"/>
      <c r="U26" s="1"/>
    </row>
    <row r="27" spans="2:21" ht="15">
      <c r="B27" s="1"/>
      <c r="C27" s="333" t="s">
        <v>240</v>
      </c>
      <c r="D27" s="334"/>
      <c r="E27" s="334"/>
      <c r="F27" s="334"/>
      <c r="G27" s="334"/>
      <c r="H27" s="334"/>
      <c r="I27" s="334"/>
      <c r="J27" s="334"/>
      <c r="K27" s="334"/>
      <c r="L27" s="335"/>
      <c r="M27" s="16"/>
      <c r="N27" s="1"/>
      <c r="O27" s="1"/>
      <c r="P27" s="1"/>
      <c r="Q27" s="1"/>
      <c r="R27" s="1"/>
      <c r="S27" s="1"/>
      <c r="T27" s="1"/>
      <c r="U27" s="1"/>
    </row>
    <row r="28" spans="2:21" ht="15">
      <c r="B28" s="1"/>
      <c r="C28" s="79" t="s">
        <v>15</v>
      </c>
      <c r="D28" s="24" t="s">
        <v>518</v>
      </c>
      <c r="E28" s="24" t="s">
        <v>119</v>
      </c>
      <c r="F28" s="24" t="s">
        <v>125</v>
      </c>
      <c r="G28" s="333" t="s">
        <v>489</v>
      </c>
      <c r="H28" s="334"/>
      <c r="I28" s="334"/>
      <c r="J28" s="334"/>
      <c r="K28" s="334"/>
      <c r="L28" s="335"/>
      <c r="M28" s="16"/>
      <c r="N28" s="1"/>
      <c r="O28" s="1"/>
      <c r="P28" s="1"/>
      <c r="Q28" s="1"/>
      <c r="R28" s="1"/>
      <c r="S28" s="1"/>
      <c r="T28" s="1"/>
      <c r="U28" s="1"/>
    </row>
    <row r="29" spans="2:21" ht="15">
      <c r="B29" s="1"/>
      <c r="C29" s="24" t="s">
        <v>126</v>
      </c>
      <c r="D29" s="24"/>
      <c r="E29" s="24"/>
      <c r="F29" s="24" t="s">
        <v>490</v>
      </c>
      <c r="G29" s="333" t="s">
        <v>408</v>
      </c>
      <c r="H29" s="334"/>
      <c r="I29" s="334"/>
      <c r="J29" s="334"/>
      <c r="K29" s="334"/>
      <c r="L29" s="335"/>
      <c r="M29" s="16"/>
      <c r="N29" s="1"/>
      <c r="O29" s="1"/>
      <c r="P29" s="1"/>
      <c r="Q29" s="1"/>
      <c r="R29" s="1"/>
      <c r="S29" s="1"/>
      <c r="T29" s="1"/>
      <c r="U29" s="1"/>
    </row>
    <row r="30" spans="2:21" ht="15">
      <c r="B30" s="1"/>
      <c r="C30" s="24" t="s">
        <v>250</v>
      </c>
      <c r="D30" s="24"/>
      <c r="E30" s="24"/>
      <c r="F30" s="24" t="s">
        <v>409</v>
      </c>
      <c r="G30" s="333" t="s">
        <v>211</v>
      </c>
      <c r="H30" s="334"/>
      <c r="I30" s="334"/>
      <c r="J30" s="334"/>
      <c r="K30" s="334"/>
      <c r="L30" s="335"/>
      <c r="M30" s="16"/>
      <c r="N30" s="1"/>
      <c r="O30" s="1"/>
      <c r="P30" s="1"/>
      <c r="Q30" s="1"/>
      <c r="R30" s="1"/>
      <c r="S30" s="1"/>
      <c r="T30" s="1"/>
      <c r="U30" s="1"/>
    </row>
    <row r="31" spans="2:21" ht="15">
      <c r="B31" s="1"/>
      <c r="C31" s="24" t="s">
        <v>210</v>
      </c>
      <c r="D31" s="24"/>
      <c r="E31" s="24"/>
      <c r="F31" s="24" t="s">
        <v>92</v>
      </c>
      <c r="G31" s="333" t="s">
        <v>212</v>
      </c>
      <c r="H31" s="334"/>
      <c r="I31" s="334"/>
      <c r="J31" s="334"/>
      <c r="K31" s="334"/>
      <c r="L31" s="335"/>
      <c r="M31" s="16"/>
      <c r="N31" s="1"/>
      <c r="O31" s="1"/>
      <c r="P31" s="1"/>
      <c r="Q31" s="1"/>
      <c r="R31" s="1"/>
      <c r="S31" s="1"/>
      <c r="T31" s="1"/>
      <c r="U31" s="1"/>
    </row>
    <row r="32" spans="2:21" ht="15">
      <c r="B32" s="1"/>
      <c r="C32" s="24" t="s">
        <v>398</v>
      </c>
      <c r="D32" s="24"/>
      <c r="E32" s="24"/>
      <c r="F32" s="24" t="s">
        <v>404</v>
      </c>
      <c r="G32" s="333" t="s">
        <v>249</v>
      </c>
      <c r="H32" s="334"/>
      <c r="I32" s="334"/>
      <c r="J32" s="334"/>
      <c r="K32" s="334"/>
      <c r="L32" s="335"/>
      <c r="M32" s="16"/>
      <c r="N32" s="1"/>
      <c r="O32" s="1"/>
      <c r="P32" s="1"/>
      <c r="Q32" s="1"/>
      <c r="R32" s="1"/>
      <c r="S32" s="1"/>
      <c r="T32" s="1"/>
      <c r="U32" s="1"/>
    </row>
    <row r="33" spans="1:22" ht="15">
      <c r="B33" s="1"/>
      <c r="C33" s="24" t="s">
        <v>380</v>
      </c>
      <c r="D33" s="24"/>
      <c r="E33" s="24"/>
      <c r="F33" s="24" t="s">
        <v>404</v>
      </c>
      <c r="G33" s="333" t="s">
        <v>213</v>
      </c>
      <c r="H33" s="334"/>
      <c r="I33" s="334"/>
      <c r="J33" s="334"/>
      <c r="K33" s="335"/>
      <c r="L33" s="49"/>
      <c r="M33" s="16"/>
      <c r="N33" s="1"/>
      <c r="O33" s="1"/>
      <c r="P33" s="1"/>
      <c r="Q33" s="1"/>
      <c r="R33" s="1"/>
      <c r="S33" s="1"/>
      <c r="T33" s="1"/>
      <c r="U33" s="1"/>
    </row>
    <row r="34" spans="1:22" ht="15">
      <c r="B34" s="1"/>
      <c r="G34" s="15"/>
      <c r="H34" s="15"/>
      <c r="I34" s="16"/>
      <c r="J34" s="16"/>
      <c r="K34" s="16"/>
      <c r="L34" s="16"/>
      <c r="M34" s="16"/>
      <c r="N34" s="1"/>
      <c r="O34" s="1"/>
      <c r="P34" s="1"/>
      <c r="Q34" s="1"/>
      <c r="R34" s="1"/>
      <c r="S34" s="1"/>
      <c r="T34" s="1"/>
      <c r="U34" s="1"/>
    </row>
    <row r="35" spans="1:22" ht="15">
      <c r="B35" s="1"/>
      <c r="C35" s="54"/>
      <c r="D35" s="15"/>
      <c r="E35" s="15"/>
      <c r="F35" s="15"/>
      <c r="G35" s="15"/>
      <c r="H35" s="15"/>
      <c r="I35" s="16"/>
      <c r="J35" s="16"/>
      <c r="K35" s="16"/>
      <c r="L35" s="16"/>
      <c r="M35" s="16"/>
      <c r="N35" s="1"/>
      <c r="O35" s="1"/>
      <c r="P35" s="1"/>
      <c r="Q35" s="1"/>
      <c r="R35" s="1"/>
      <c r="S35" s="1"/>
      <c r="T35" s="1"/>
      <c r="U35" s="1"/>
    </row>
    <row r="36" spans="1:22" ht="15">
      <c r="B36" s="1"/>
      <c r="C36" s="54"/>
      <c r="D36" s="15"/>
      <c r="E36" s="15"/>
      <c r="F36" s="15"/>
      <c r="G36" s="15"/>
      <c r="H36" s="15"/>
      <c r="I36" s="16"/>
      <c r="J36" s="16"/>
      <c r="K36" s="16"/>
      <c r="L36" s="16"/>
      <c r="M36" s="16"/>
      <c r="N36" s="1"/>
      <c r="O36" s="1"/>
      <c r="P36" s="1"/>
      <c r="Q36" s="1"/>
      <c r="R36" s="1"/>
      <c r="S36" s="1"/>
      <c r="T36" s="1"/>
      <c r="U36" s="1"/>
    </row>
    <row r="37" spans="1:22" ht="15">
      <c r="B37" s="1"/>
      <c r="C37" s="54"/>
      <c r="D37" s="15"/>
      <c r="E37" s="15"/>
      <c r="F37" s="15"/>
      <c r="G37" s="15"/>
      <c r="H37" s="15"/>
      <c r="I37" s="16"/>
      <c r="J37" s="16"/>
      <c r="K37" s="16"/>
      <c r="L37" s="16"/>
      <c r="M37" s="16"/>
      <c r="N37" s="1"/>
      <c r="O37" s="1"/>
      <c r="P37" s="1"/>
      <c r="Q37" s="1"/>
      <c r="R37" s="1"/>
      <c r="S37" s="1"/>
      <c r="T37" s="1"/>
      <c r="U37" s="1"/>
    </row>
    <row r="38" spans="1:22" ht="15">
      <c r="B38" s="1"/>
      <c r="C38" s="54"/>
      <c r="D38" s="15"/>
      <c r="E38" s="15"/>
      <c r="F38" s="15"/>
      <c r="G38" s="15"/>
      <c r="H38" s="15"/>
      <c r="I38" s="16"/>
      <c r="J38" s="16"/>
      <c r="K38" s="16"/>
      <c r="L38" s="16"/>
      <c r="M38" s="16"/>
      <c r="N38" s="1"/>
      <c r="O38" s="1"/>
      <c r="P38" s="1"/>
      <c r="Q38" s="1"/>
      <c r="R38" s="1"/>
      <c r="S38" s="1"/>
      <c r="T38" s="1"/>
      <c r="U38" s="1"/>
    </row>
    <row r="39" spans="1:22" ht="15">
      <c r="B39" s="1"/>
      <c r="C39" s="1"/>
      <c r="D39" s="15"/>
      <c r="E39" s="15"/>
      <c r="F39" s="15"/>
      <c r="G39" s="15"/>
      <c r="H39" s="15"/>
      <c r="I39" s="16"/>
      <c r="J39" s="16"/>
      <c r="K39" s="16"/>
      <c r="L39" s="16"/>
      <c r="M39" s="16"/>
      <c r="N39" s="1"/>
      <c r="O39" s="1"/>
      <c r="P39" s="1"/>
      <c r="Q39" s="1"/>
      <c r="R39" s="1"/>
      <c r="S39" s="1"/>
      <c r="T39" s="1"/>
      <c r="U39" s="1"/>
    </row>
    <row r="40" spans="1:22" ht="15">
      <c r="B40" s="1"/>
      <c r="E40" s="15"/>
      <c r="F40" s="15"/>
      <c r="G40" s="15"/>
      <c r="H40" s="15"/>
      <c r="I40" s="16"/>
      <c r="J40" s="16"/>
      <c r="K40" s="16"/>
      <c r="L40" s="16"/>
      <c r="M40" s="16"/>
      <c r="N40" s="1"/>
      <c r="O40" s="1"/>
      <c r="P40" s="1"/>
      <c r="Q40" s="1"/>
      <c r="R40" s="1"/>
      <c r="S40" s="1"/>
      <c r="T40" s="1"/>
      <c r="U40" s="1"/>
    </row>
    <row r="41" spans="1:22" ht="21">
      <c r="B41" s="1"/>
      <c r="C41" s="327" t="s">
        <v>355</v>
      </c>
      <c r="D41" s="327"/>
      <c r="E41" s="327"/>
      <c r="F41" s="327"/>
      <c r="G41" s="327"/>
      <c r="H41" s="327"/>
      <c r="I41" s="327"/>
      <c r="J41" s="327"/>
      <c r="K41" s="327"/>
      <c r="L41" s="327"/>
      <c r="M41" s="327"/>
      <c r="N41" s="1"/>
      <c r="O41" s="1"/>
      <c r="P41" s="1"/>
      <c r="Q41" s="1"/>
      <c r="R41" s="1"/>
      <c r="S41" s="1"/>
      <c r="T41" s="1"/>
      <c r="U41" s="1"/>
    </row>
    <row r="42" spans="1:22" ht="21.75" thickBot="1">
      <c r="B42" s="1"/>
      <c r="C42" s="404" t="s">
        <v>207</v>
      </c>
      <c r="D42" s="405"/>
      <c r="E42" s="405"/>
      <c r="F42" s="405"/>
      <c r="G42" s="405"/>
      <c r="H42" s="405"/>
      <c r="I42" s="405"/>
      <c r="J42" s="405"/>
      <c r="K42" s="405"/>
      <c r="L42" s="405"/>
      <c r="M42" s="406"/>
      <c r="N42" s="1"/>
      <c r="O42" s="1"/>
      <c r="P42" s="1"/>
      <c r="Q42" s="1"/>
      <c r="R42" s="1"/>
      <c r="S42" s="1"/>
      <c r="T42" s="1"/>
      <c r="U42" s="1"/>
    </row>
    <row r="43" spans="1:22" ht="15.75">
      <c r="B43" s="1"/>
      <c r="C43" s="407" t="e">
        <f>IF(O54="PSR","Using the Pavement to Subpavement Ratio Equation","Using the Surface Materials Ratio Equation")</f>
        <v>#REF!</v>
      </c>
      <c r="D43" s="408"/>
      <c r="E43" s="408"/>
      <c r="F43" s="408"/>
      <c r="G43" s="408"/>
      <c r="H43" s="408"/>
      <c r="I43" s="408"/>
      <c r="J43" s="408"/>
      <c r="K43" s="408"/>
      <c r="L43" s="408"/>
      <c r="M43" s="409"/>
      <c r="N43" s="1"/>
      <c r="O43" s="369" t="s">
        <v>522</v>
      </c>
      <c r="P43" s="370"/>
      <c r="Q43" s="370"/>
      <c r="R43" s="370"/>
      <c r="S43" s="370"/>
      <c r="T43" s="370"/>
      <c r="U43" s="370"/>
      <c r="V43" s="371"/>
    </row>
    <row r="44" spans="1:22" ht="15.75">
      <c r="B44" s="1"/>
      <c r="N44" s="1"/>
      <c r="O44" s="158" t="s">
        <v>444</v>
      </c>
      <c r="P44" s="65" t="s">
        <v>120</v>
      </c>
      <c r="Q44" s="359" t="s">
        <v>121</v>
      </c>
      <c r="R44" s="360"/>
      <c r="S44" s="360"/>
      <c r="T44" s="360"/>
      <c r="U44" s="360"/>
      <c r="V44" s="361"/>
    </row>
    <row r="45" spans="1:22" ht="18.75">
      <c r="A45" s="331" t="s">
        <v>151</v>
      </c>
      <c r="B45" s="332"/>
      <c r="C45" s="2">
        <f t="shared" ref="C45:M45" si="2">C18</f>
        <v>2</v>
      </c>
      <c r="D45" s="2">
        <f t="shared" si="2"/>
        <v>2.1</v>
      </c>
      <c r="E45" s="2">
        <f t="shared" si="2"/>
        <v>2.2000000000000002</v>
      </c>
      <c r="F45" s="2">
        <f t="shared" si="2"/>
        <v>2.3000000000000003</v>
      </c>
      <c r="G45" s="2">
        <f t="shared" si="2"/>
        <v>2.4000000000000004</v>
      </c>
      <c r="H45" s="2">
        <f t="shared" si="2"/>
        <v>2.5000000000000004</v>
      </c>
      <c r="I45" s="2">
        <f t="shared" si="2"/>
        <v>2.6000000000000005</v>
      </c>
      <c r="J45" s="2">
        <f t="shared" si="2"/>
        <v>2.7000000000000006</v>
      </c>
      <c r="K45" s="2">
        <f t="shared" si="2"/>
        <v>2.8000000000000007</v>
      </c>
      <c r="L45" s="2">
        <f t="shared" si="2"/>
        <v>2.9000000000000008</v>
      </c>
      <c r="M45" s="2">
        <f t="shared" si="2"/>
        <v>3.0000000000000009</v>
      </c>
      <c r="N45" s="1"/>
      <c r="O45" s="179" t="e">
        <f>#REF!</f>
        <v>#REF!</v>
      </c>
      <c r="P45" s="65" t="s">
        <v>287</v>
      </c>
      <c r="Q45" s="362" t="s">
        <v>346</v>
      </c>
      <c r="R45" s="363"/>
      <c r="S45" s="363"/>
      <c r="T45" s="363"/>
      <c r="U45" s="363"/>
      <c r="V45" s="364"/>
    </row>
    <row r="46" spans="1:22" ht="18.75">
      <c r="A46" s="331" t="s">
        <v>376</v>
      </c>
      <c r="B46" s="332"/>
      <c r="C46" s="2">
        <f t="shared" ref="C46:M46" si="3">C$12</f>
        <v>0</v>
      </c>
      <c r="D46" s="2">
        <f t="shared" si="3"/>
        <v>0</v>
      </c>
      <c r="E46" s="2">
        <f t="shared" si="3"/>
        <v>0</v>
      </c>
      <c r="F46" s="2">
        <f t="shared" si="3"/>
        <v>0</v>
      </c>
      <c r="G46" s="2">
        <f t="shared" si="3"/>
        <v>0</v>
      </c>
      <c r="H46" s="2">
        <f t="shared" si="3"/>
        <v>0</v>
      </c>
      <c r="I46" s="2">
        <f t="shared" si="3"/>
        <v>0</v>
      </c>
      <c r="J46" s="2">
        <f t="shared" si="3"/>
        <v>0</v>
      </c>
      <c r="K46" s="2">
        <f t="shared" si="3"/>
        <v>0</v>
      </c>
      <c r="L46" s="2">
        <f t="shared" si="3"/>
        <v>0</v>
      </c>
      <c r="M46" s="2">
        <f t="shared" si="3"/>
        <v>0</v>
      </c>
      <c r="N46" s="1"/>
      <c r="O46" s="70" t="e">
        <f>#REF!</f>
        <v>#REF!</v>
      </c>
      <c r="P46" s="65" t="s">
        <v>205</v>
      </c>
      <c r="Q46" s="362" t="s">
        <v>405</v>
      </c>
      <c r="R46" s="363"/>
      <c r="S46" s="363"/>
      <c r="T46" s="363"/>
      <c r="U46" s="363"/>
      <c r="V46" s="364"/>
    </row>
    <row r="47" spans="1:22" ht="15.75">
      <c r="A47" s="319" t="s">
        <v>46</v>
      </c>
      <c r="B47" s="320"/>
      <c r="C47" s="3">
        <f t="shared" ref="C47:M47" si="4">C$9</f>
        <v>2</v>
      </c>
      <c r="D47" s="3">
        <f t="shared" si="4"/>
        <v>2.1</v>
      </c>
      <c r="E47" s="3">
        <f t="shared" si="4"/>
        <v>2.2000000000000002</v>
      </c>
      <c r="F47" s="3">
        <f t="shared" si="4"/>
        <v>2.3000000000000003</v>
      </c>
      <c r="G47" s="3">
        <f t="shared" si="4"/>
        <v>2.4000000000000004</v>
      </c>
      <c r="H47" s="3">
        <f t="shared" si="4"/>
        <v>2.5000000000000004</v>
      </c>
      <c r="I47" s="3">
        <f t="shared" si="4"/>
        <v>2.6000000000000005</v>
      </c>
      <c r="J47" s="3">
        <f t="shared" si="4"/>
        <v>2.7000000000000006</v>
      </c>
      <c r="K47" s="3">
        <f t="shared" si="4"/>
        <v>2.8000000000000007</v>
      </c>
      <c r="L47" s="3">
        <f t="shared" si="4"/>
        <v>2.9000000000000008</v>
      </c>
      <c r="M47" s="3">
        <f t="shared" si="4"/>
        <v>3.0000000000000009</v>
      </c>
      <c r="N47" s="1"/>
      <c r="O47" s="137" t="e">
        <f>O45/O46</f>
        <v>#REF!</v>
      </c>
      <c r="P47" s="65" t="s">
        <v>288</v>
      </c>
      <c r="Q47" s="362" t="s">
        <v>16</v>
      </c>
      <c r="R47" s="363"/>
      <c r="S47" s="363"/>
      <c r="T47" s="363"/>
      <c r="U47" s="363"/>
      <c r="V47" s="364"/>
    </row>
    <row r="48" spans="1:22" ht="15.75" customHeight="1">
      <c r="A48" s="321" t="s">
        <v>510</v>
      </c>
      <c r="B48" s="86">
        <f>$G$4</f>
        <v>1E-3</v>
      </c>
      <c r="C48" s="4" t="e">
        <f t="shared" ref="C48:M67" si="5">(($B48*C$45)/(1.65*$O$55))*12</f>
        <v>#REF!</v>
      </c>
      <c r="D48" s="4" t="e">
        <f t="shared" si="5"/>
        <v>#REF!</v>
      </c>
      <c r="E48" s="4" t="e">
        <f t="shared" si="5"/>
        <v>#REF!</v>
      </c>
      <c r="F48" s="4" t="e">
        <f t="shared" si="5"/>
        <v>#REF!</v>
      </c>
      <c r="G48" s="4" t="e">
        <f t="shared" si="5"/>
        <v>#REF!</v>
      </c>
      <c r="H48" s="4" t="e">
        <f t="shared" si="5"/>
        <v>#REF!</v>
      </c>
      <c r="I48" s="4" t="e">
        <f t="shared" si="5"/>
        <v>#REF!</v>
      </c>
      <c r="J48" s="4" t="e">
        <f t="shared" si="5"/>
        <v>#REF!</v>
      </c>
      <c r="K48" s="4" t="e">
        <f t="shared" si="5"/>
        <v>#REF!</v>
      </c>
      <c r="L48" s="4" t="e">
        <f t="shared" si="5"/>
        <v>#REF!</v>
      </c>
      <c r="M48" s="4" t="e">
        <f t="shared" si="5"/>
        <v>#REF!</v>
      </c>
      <c r="N48" s="1"/>
      <c r="O48" s="384"/>
      <c r="P48" s="385"/>
      <c r="Q48" s="385"/>
      <c r="R48" s="385"/>
      <c r="S48" s="385"/>
      <c r="T48" s="385"/>
      <c r="U48" s="385"/>
      <c r="V48" s="386"/>
    </row>
    <row r="49" spans="1:24" ht="17.25">
      <c r="A49" s="322"/>
      <c r="B49" s="86">
        <f t="shared" ref="B49:B67" si="6">B48+$H$4</f>
        <v>2E-3</v>
      </c>
      <c r="C49" s="4" t="e">
        <f t="shared" si="5"/>
        <v>#REF!</v>
      </c>
      <c r="D49" s="4" t="e">
        <f t="shared" si="5"/>
        <v>#REF!</v>
      </c>
      <c r="E49" s="4" t="e">
        <f t="shared" si="5"/>
        <v>#REF!</v>
      </c>
      <c r="F49" s="4" t="e">
        <f t="shared" si="5"/>
        <v>#REF!</v>
      </c>
      <c r="G49" s="4" t="e">
        <f t="shared" si="5"/>
        <v>#REF!</v>
      </c>
      <c r="H49" s="4" t="e">
        <f t="shared" si="5"/>
        <v>#REF!</v>
      </c>
      <c r="I49" s="4" t="e">
        <f t="shared" si="5"/>
        <v>#REF!</v>
      </c>
      <c r="J49" s="4" t="e">
        <f t="shared" si="5"/>
        <v>#REF!</v>
      </c>
      <c r="K49" s="4" t="e">
        <f t="shared" si="5"/>
        <v>#REF!</v>
      </c>
      <c r="L49" s="4" t="e">
        <f t="shared" si="5"/>
        <v>#REF!</v>
      </c>
      <c r="M49" s="4" t="e">
        <f t="shared" si="5"/>
        <v>#REF!</v>
      </c>
      <c r="N49" s="1"/>
      <c r="O49" s="70" t="e">
        <f>#REF!</f>
        <v>#REF!</v>
      </c>
      <c r="P49" s="65" t="s">
        <v>206</v>
      </c>
      <c r="Q49" s="362" t="s">
        <v>521</v>
      </c>
      <c r="R49" s="363"/>
      <c r="S49" s="363"/>
      <c r="T49" s="363"/>
      <c r="U49" s="363"/>
      <c r="V49" s="364"/>
      <c r="X49" s="203"/>
    </row>
    <row r="50" spans="1:24" ht="15.75">
      <c r="A50" s="322"/>
      <c r="B50" s="86">
        <f t="shared" si="6"/>
        <v>3.0000000000000001E-3</v>
      </c>
      <c r="C50" s="4" t="e">
        <f t="shared" si="5"/>
        <v>#REF!</v>
      </c>
      <c r="D50" s="4" t="e">
        <f t="shared" si="5"/>
        <v>#REF!</v>
      </c>
      <c r="E50" s="4" t="e">
        <f t="shared" si="5"/>
        <v>#REF!</v>
      </c>
      <c r="F50" s="4" t="e">
        <f t="shared" si="5"/>
        <v>#REF!</v>
      </c>
      <c r="G50" s="4" t="e">
        <f t="shared" si="5"/>
        <v>#REF!</v>
      </c>
      <c r="H50" s="4" t="e">
        <f t="shared" si="5"/>
        <v>#REF!</v>
      </c>
      <c r="I50" s="4" t="e">
        <f t="shared" si="5"/>
        <v>#REF!</v>
      </c>
      <c r="J50" s="4" t="e">
        <f t="shared" si="5"/>
        <v>#REF!</v>
      </c>
      <c r="K50" s="4" t="e">
        <f t="shared" si="5"/>
        <v>#REF!</v>
      </c>
      <c r="L50" s="4" t="e">
        <f t="shared" si="5"/>
        <v>#REF!</v>
      </c>
      <c r="M50" s="4" t="e">
        <f t="shared" si="5"/>
        <v>#REF!</v>
      </c>
      <c r="N50" s="1"/>
      <c r="O50" s="70" t="e">
        <f>O49/O45</f>
        <v>#REF!</v>
      </c>
      <c r="P50" s="65" t="s">
        <v>448</v>
      </c>
      <c r="Q50" s="362" t="s">
        <v>449</v>
      </c>
      <c r="R50" s="363"/>
      <c r="S50" s="363"/>
      <c r="T50" s="363"/>
      <c r="U50" s="363"/>
      <c r="V50" s="364"/>
      <c r="X50" s="203"/>
    </row>
    <row r="51" spans="1:24" ht="15.75">
      <c r="A51" s="322"/>
      <c r="B51" s="86">
        <f t="shared" si="6"/>
        <v>4.0000000000000001E-3</v>
      </c>
      <c r="C51" s="4" t="e">
        <f t="shared" si="5"/>
        <v>#REF!</v>
      </c>
      <c r="D51" s="4" t="e">
        <f t="shared" si="5"/>
        <v>#REF!</v>
      </c>
      <c r="E51" s="4" t="e">
        <f t="shared" si="5"/>
        <v>#REF!</v>
      </c>
      <c r="F51" s="4" t="e">
        <f t="shared" si="5"/>
        <v>#REF!</v>
      </c>
      <c r="G51" s="4" t="e">
        <f t="shared" si="5"/>
        <v>#REF!</v>
      </c>
      <c r="H51" s="4" t="e">
        <f t="shared" si="5"/>
        <v>#REF!</v>
      </c>
      <c r="I51" s="4" t="e">
        <f t="shared" si="5"/>
        <v>#REF!</v>
      </c>
      <c r="J51" s="4" t="e">
        <f t="shared" si="5"/>
        <v>#REF!</v>
      </c>
      <c r="K51" s="4" t="e">
        <f t="shared" si="5"/>
        <v>#REF!</v>
      </c>
      <c r="L51" s="4" t="e">
        <f t="shared" si="5"/>
        <v>#REF!</v>
      </c>
      <c r="M51" s="4" t="e">
        <f t="shared" si="5"/>
        <v>#REF!</v>
      </c>
      <c r="N51" s="1"/>
      <c r="O51" s="387"/>
      <c r="P51" s="388"/>
      <c r="Q51" s="388"/>
      <c r="R51" s="388"/>
      <c r="S51" s="388"/>
      <c r="T51" s="388"/>
      <c r="U51" s="388"/>
      <c r="V51" s="389"/>
      <c r="X51" s="203"/>
    </row>
    <row r="52" spans="1:24" ht="15.75">
      <c r="A52" s="322"/>
      <c r="B52" s="86">
        <f t="shared" si="6"/>
        <v>5.0000000000000001E-3</v>
      </c>
      <c r="C52" s="4" t="e">
        <f t="shared" si="5"/>
        <v>#REF!</v>
      </c>
      <c r="D52" s="4" t="e">
        <f t="shared" si="5"/>
        <v>#REF!</v>
      </c>
      <c r="E52" s="4" t="e">
        <f t="shared" si="5"/>
        <v>#REF!</v>
      </c>
      <c r="F52" s="4" t="e">
        <f t="shared" si="5"/>
        <v>#REF!</v>
      </c>
      <c r="G52" s="4" t="e">
        <f t="shared" si="5"/>
        <v>#REF!</v>
      </c>
      <c r="H52" s="4" t="e">
        <f t="shared" si="5"/>
        <v>#REF!</v>
      </c>
      <c r="I52" s="4" t="e">
        <f t="shared" si="5"/>
        <v>#REF!</v>
      </c>
      <c r="J52" s="4" t="e">
        <f t="shared" si="5"/>
        <v>#REF!</v>
      </c>
      <c r="K52" s="4" t="e">
        <f t="shared" si="5"/>
        <v>#REF!</v>
      </c>
      <c r="L52" s="4" t="e">
        <f t="shared" si="5"/>
        <v>#REF!</v>
      </c>
      <c r="M52" s="4" t="e">
        <f t="shared" si="5"/>
        <v>#REF!</v>
      </c>
      <c r="N52" s="1"/>
      <c r="O52" s="390" t="s">
        <v>345</v>
      </c>
      <c r="P52" s="360"/>
      <c r="Q52" s="360"/>
      <c r="R52" s="391"/>
      <c r="S52" s="359" t="s">
        <v>204</v>
      </c>
      <c r="T52" s="360"/>
      <c r="U52" s="360"/>
      <c r="V52" s="361"/>
      <c r="X52" s="203"/>
    </row>
    <row r="53" spans="1:24" ht="15.75">
      <c r="A53" s="322"/>
      <c r="B53" s="86">
        <f t="shared" si="6"/>
        <v>6.0000000000000001E-3</v>
      </c>
      <c r="C53" s="4" t="e">
        <f t="shared" si="5"/>
        <v>#REF!</v>
      </c>
      <c r="D53" s="4" t="e">
        <f t="shared" si="5"/>
        <v>#REF!</v>
      </c>
      <c r="E53" s="4" t="e">
        <f t="shared" si="5"/>
        <v>#REF!</v>
      </c>
      <c r="F53" s="4" t="e">
        <f t="shared" si="5"/>
        <v>#REF!</v>
      </c>
      <c r="G53" s="4" t="e">
        <f t="shared" si="5"/>
        <v>#REF!</v>
      </c>
      <c r="H53" s="4" t="e">
        <f t="shared" si="5"/>
        <v>#REF!</v>
      </c>
      <c r="I53" s="4" t="e">
        <f t="shared" si="5"/>
        <v>#REF!</v>
      </c>
      <c r="J53" s="4" t="e">
        <f t="shared" si="5"/>
        <v>#REF!</v>
      </c>
      <c r="K53" s="4" t="e">
        <f t="shared" si="5"/>
        <v>#REF!</v>
      </c>
      <c r="L53" s="4" t="e">
        <f t="shared" si="5"/>
        <v>#REF!</v>
      </c>
      <c r="M53" s="4" t="e">
        <f t="shared" si="5"/>
        <v>#REF!</v>
      </c>
      <c r="N53" s="1"/>
      <c r="O53" s="392" t="s">
        <v>284</v>
      </c>
      <c r="P53" s="393"/>
      <c r="Q53" s="393"/>
      <c r="R53" s="394"/>
      <c r="S53" s="395" t="s">
        <v>150</v>
      </c>
      <c r="T53" s="393"/>
      <c r="U53" s="393"/>
      <c r="V53" s="396"/>
      <c r="X53" s="203"/>
    </row>
    <row r="54" spans="1:24" ht="18.75" customHeight="1">
      <c r="A54" s="322"/>
      <c r="B54" s="86">
        <f t="shared" si="6"/>
        <v>7.0000000000000001E-3</v>
      </c>
      <c r="C54" s="4" t="e">
        <f t="shared" si="5"/>
        <v>#REF!</v>
      </c>
      <c r="D54" s="4" t="e">
        <f t="shared" si="5"/>
        <v>#REF!</v>
      </c>
      <c r="E54" s="4" t="e">
        <f t="shared" si="5"/>
        <v>#REF!</v>
      </c>
      <c r="F54" s="4" t="e">
        <f t="shared" si="5"/>
        <v>#REF!</v>
      </c>
      <c r="G54" s="4" t="e">
        <f t="shared" si="5"/>
        <v>#REF!</v>
      </c>
      <c r="H54" s="4" t="e">
        <f t="shared" si="5"/>
        <v>#REF!</v>
      </c>
      <c r="I54" s="4" t="e">
        <f t="shared" si="5"/>
        <v>#REF!</v>
      </c>
      <c r="J54" s="4" t="e">
        <f t="shared" si="5"/>
        <v>#REF!</v>
      </c>
      <c r="K54" s="4" t="e">
        <f t="shared" si="5"/>
        <v>#REF!</v>
      </c>
      <c r="L54" s="4" t="e">
        <f t="shared" si="5"/>
        <v>#REF!</v>
      </c>
      <c r="M54" s="4" t="e">
        <f t="shared" si="5"/>
        <v>#REF!</v>
      </c>
      <c r="N54" s="1"/>
      <c r="O54" s="70" t="e">
        <f>IF(AND(O47&lt;7,O47&gt;3),"PSR",IF(AND(O50&lt;3,O50&gt;1.3),"SMR",NA()))</f>
        <v>#REF!</v>
      </c>
      <c r="P54" s="65" t="s">
        <v>15</v>
      </c>
      <c r="Q54" s="397" t="s">
        <v>483</v>
      </c>
      <c r="R54" s="398"/>
      <c r="S54" s="398"/>
      <c r="T54" s="398"/>
      <c r="U54" s="398"/>
      <c r="V54" s="399"/>
    </row>
    <row r="55" spans="1:24" ht="18" thickBot="1">
      <c r="A55" s="322"/>
      <c r="B55" s="86">
        <f t="shared" si="6"/>
        <v>8.0000000000000002E-3</v>
      </c>
      <c r="C55" s="4" t="e">
        <f t="shared" si="5"/>
        <v>#REF!</v>
      </c>
      <c r="D55" s="4" t="e">
        <f t="shared" si="5"/>
        <v>#REF!</v>
      </c>
      <c r="E55" s="4" t="e">
        <f t="shared" si="5"/>
        <v>#REF!</v>
      </c>
      <c r="F55" s="4" t="e">
        <f t="shared" si="5"/>
        <v>#REF!</v>
      </c>
      <c r="G55" s="4" t="e">
        <f t="shared" si="5"/>
        <v>#REF!</v>
      </c>
      <c r="H55" s="4" t="e">
        <f t="shared" si="5"/>
        <v>#REF!</v>
      </c>
      <c r="I55" s="4" t="e">
        <f t="shared" si="5"/>
        <v>#REF!</v>
      </c>
      <c r="J55" s="4" t="e">
        <f t="shared" si="5"/>
        <v>#REF!</v>
      </c>
      <c r="K55" s="4" t="e">
        <f t="shared" si="5"/>
        <v>#REF!</v>
      </c>
      <c r="L55" s="4" t="e">
        <f t="shared" si="5"/>
        <v>#REF!</v>
      </c>
      <c r="M55" s="4" t="e">
        <f t="shared" si="5"/>
        <v>#REF!</v>
      </c>
      <c r="N55" s="1"/>
      <c r="O55" s="200" t="e">
        <f>IF(O54="PSR",0.0834*(O45/O46)^-0.872,0.0384*(O49/O45)^-0.887)</f>
        <v>#REF!</v>
      </c>
      <c r="P55" s="178" t="s">
        <v>445</v>
      </c>
      <c r="Q55" s="400" t="s">
        <v>482</v>
      </c>
      <c r="R55" s="401"/>
      <c r="S55" s="401"/>
      <c r="T55" s="401"/>
      <c r="U55" s="401"/>
      <c r="V55" s="402"/>
    </row>
    <row r="56" spans="1:24" ht="16.5" thickBot="1">
      <c r="A56" s="322"/>
      <c r="B56" s="86">
        <f t="shared" si="6"/>
        <v>9.0000000000000011E-3</v>
      </c>
      <c r="C56" s="4" t="e">
        <f t="shared" si="5"/>
        <v>#REF!</v>
      </c>
      <c r="D56" s="4" t="e">
        <f t="shared" si="5"/>
        <v>#REF!</v>
      </c>
      <c r="E56" s="4" t="e">
        <f t="shared" si="5"/>
        <v>#REF!</v>
      </c>
      <c r="F56" s="4" t="e">
        <f t="shared" si="5"/>
        <v>#REF!</v>
      </c>
      <c r="G56" s="4" t="e">
        <f t="shared" si="5"/>
        <v>#REF!</v>
      </c>
      <c r="H56" s="4" t="e">
        <f t="shared" si="5"/>
        <v>#REF!</v>
      </c>
      <c r="I56" s="4" t="e">
        <f t="shared" si="5"/>
        <v>#REF!</v>
      </c>
      <c r="J56" s="4" t="e">
        <f t="shared" si="5"/>
        <v>#REF!</v>
      </c>
      <c r="K56" s="4" t="e">
        <f t="shared" si="5"/>
        <v>#REF!</v>
      </c>
      <c r="L56" s="4" t="e">
        <f t="shared" si="5"/>
        <v>#REF!</v>
      </c>
      <c r="M56" s="4" t="e">
        <f t="shared" si="5"/>
        <v>#REF!</v>
      </c>
      <c r="N56" s="1"/>
      <c r="O56" s="95"/>
      <c r="P56" s="95"/>
      <c r="Q56" s="403"/>
      <c r="R56" s="403"/>
      <c r="S56" s="403"/>
      <c r="T56" s="403"/>
      <c r="U56" s="403"/>
      <c r="V56" s="403"/>
    </row>
    <row r="57" spans="1:24" ht="15.75">
      <c r="A57" s="322"/>
      <c r="B57" s="86">
        <f t="shared" si="6"/>
        <v>1.0000000000000002E-2</v>
      </c>
      <c r="C57" s="4" t="e">
        <f t="shared" si="5"/>
        <v>#REF!</v>
      </c>
      <c r="D57" s="4" t="e">
        <f t="shared" si="5"/>
        <v>#REF!</v>
      </c>
      <c r="E57" s="4" t="e">
        <f t="shared" si="5"/>
        <v>#REF!</v>
      </c>
      <c r="F57" s="4" t="e">
        <f t="shared" si="5"/>
        <v>#REF!</v>
      </c>
      <c r="G57" s="4" t="e">
        <f t="shared" si="5"/>
        <v>#REF!</v>
      </c>
      <c r="H57" s="4" t="e">
        <f t="shared" si="5"/>
        <v>#REF!</v>
      </c>
      <c r="I57" s="4" t="e">
        <f t="shared" si="5"/>
        <v>#REF!</v>
      </c>
      <c r="J57" s="4" t="e">
        <f t="shared" si="5"/>
        <v>#REF!</v>
      </c>
      <c r="K57" s="4" t="e">
        <f t="shared" si="5"/>
        <v>#REF!</v>
      </c>
      <c r="L57" s="4" t="e">
        <f t="shared" si="5"/>
        <v>#REF!</v>
      </c>
      <c r="M57" s="4" t="e">
        <f t="shared" si="5"/>
        <v>#REF!</v>
      </c>
      <c r="N57" s="1"/>
      <c r="O57" s="375" t="s">
        <v>285</v>
      </c>
      <c r="P57" s="376"/>
      <c r="Q57" s="376"/>
      <c r="R57" s="376"/>
      <c r="S57" s="376"/>
      <c r="T57" s="376"/>
      <c r="U57" s="376"/>
      <c r="V57" s="377"/>
    </row>
    <row r="58" spans="1:24" ht="15">
      <c r="A58" s="322"/>
      <c r="B58" s="86">
        <f t="shared" si="6"/>
        <v>1.1000000000000003E-2</v>
      </c>
      <c r="C58" s="4" t="e">
        <f t="shared" si="5"/>
        <v>#REF!</v>
      </c>
      <c r="D58" s="4" t="e">
        <f t="shared" si="5"/>
        <v>#REF!</v>
      </c>
      <c r="E58" s="4" t="e">
        <f t="shared" si="5"/>
        <v>#REF!</v>
      </c>
      <c r="F58" s="4" t="e">
        <f t="shared" si="5"/>
        <v>#REF!</v>
      </c>
      <c r="G58" s="4" t="e">
        <f t="shared" si="5"/>
        <v>#REF!</v>
      </c>
      <c r="H58" s="4" t="e">
        <f t="shared" si="5"/>
        <v>#REF!</v>
      </c>
      <c r="I58" s="4" t="e">
        <f t="shared" si="5"/>
        <v>#REF!</v>
      </c>
      <c r="J58" s="4" t="e">
        <f t="shared" si="5"/>
        <v>#REF!</v>
      </c>
      <c r="K58" s="4" t="e">
        <f t="shared" si="5"/>
        <v>#REF!</v>
      </c>
      <c r="L58" s="4" t="e">
        <f t="shared" si="5"/>
        <v>#REF!</v>
      </c>
      <c r="M58" s="4" t="e">
        <f t="shared" si="5"/>
        <v>#REF!</v>
      </c>
      <c r="N58" s="1"/>
      <c r="O58" s="378" t="s">
        <v>241</v>
      </c>
      <c r="P58" s="379"/>
      <c r="Q58" s="379"/>
      <c r="R58" s="379"/>
      <c r="S58" s="379"/>
      <c r="T58" s="379"/>
      <c r="U58" s="379"/>
      <c r="V58" s="380"/>
    </row>
    <row r="59" spans="1:24" ht="17.25" customHeight="1">
      <c r="A59" s="322"/>
      <c r="B59" s="86">
        <f t="shared" si="6"/>
        <v>1.2000000000000004E-2</v>
      </c>
      <c r="C59" s="4" t="e">
        <f t="shared" si="5"/>
        <v>#REF!</v>
      </c>
      <c r="D59" s="4" t="e">
        <f t="shared" si="5"/>
        <v>#REF!</v>
      </c>
      <c r="E59" s="4" t="e">
        <f t="shared" si="5"/>
        <v>#REF!</v>
      </c>
      <c r="F59" s="4" t="e">
        <f t="shared" si="5"/>
        <v>#REF!</v>
      </c>
      <c r="G59" s="4" t="e">
        <f t="shared" si="5"/>
        <v>#REF!</v>
      </c>
      <c r="H59" s="4" t="e">
        <f t="shared" si="5"/>
        <v>#REF!</v>
      </c>
      <c r="I59" s="4" t="e">
        <f t="shared" si="5"/>
        <v>#REF!</v>
      </c>
      <c r="J59" s="4" t="e">
        <f t="shared" si="5"/>
        <v>#REF!</v>
      </c>
      <c r="K59" s="4" t="e">
        <f t="shared" si="5"/>
        <v>#REF!</v>
      </c>
      <c r="L59" s="4" t="e">
        <f t="shared" si="5"/>
        <v>#REF!</v>
      </c>
      <c r="M59" s="4" t="e">
        <f t="shared" si="5"/>
        <v>#REF!</v>
      </c>
      <c r="N59" s="1"/>
      <c r="O59" s="381" t="s">
        <v>170</v>
      </c>
      <c r="P59" s="382"/>
      <c r="Q59" s="382"/>
      <c r="R59" s="382"/>
      <c r="S59" s="382"/>
      <c r="T59" s="382"/>
      <c r="U59" s="382"/>
      <c r="V59" s="383"/>
    </row>
    <row r="60" spans="1:24" ht="18.75" customHeight="1">
      <c r="A60" s="322"/>
      <c r="B60" s="86">
        <f t="shared" si="6"/>
        <v>1.3000000000000005E-2</v>
      </c>
      <c r="C60" s="4" t="e">
        <f t="shared" si="5"/>
        <v>#REF!</v>
      </c>
      <c r="D60" s="4" t="e">
        <f t="shared" si="5"/>
        <v>#REF!</v>
      </c>
      <c r="E60" s="4" t="e">
        <f t="shared" si="5"/>
        <v>#REF!</v>
      </c>
      <c r="F60" s="4" t="e">
        <f t="shared" si="5"/>
        <v>#REF!</v>
      </c>
      <c r="G60" s="4" t="e">
        <f t="shared" si="5"/>
        <v>#REF!</v>
      </c>
      <c r="H60" s="4" t="e">
        <f t="shared" si="5"/>
        <v>#REF!</v>
      </c>
      <c r="I60" s="4" t="e">
        <f t="shared" si="5"/>
        <v>#REF!</v>
      </c>
      <c r="J60" s="4" t="e">
        <f t="shared" si="5"/>
        <v>#REF!</v>
      </c>
      <c r="K60" s="4" t="e">
        <f t="shared" si="5"/>
        <v>#REF!</v>
      </c>
      <c r="L60" s="4" t="e">
        <f t="shared" si="5"/>
        <v>#REF!</v>
      </c>
      <c r="M60" s="4" t="e">
        <f t="shared" si="5"/>
        <v>#REF!</v>
      </c>
      <c r="N60" s="1"/>
      <c r="O60" s="106" t="s">
        <v>444</v>
      </c>
      <c r="P60" s="122" t="s">
        <v>120</v>
      </c>
      <c r="Q60" s="359" t="s">
        <v>121</v>
      </c>
      <c r="R60" s="360"/>
      <c r="S60" s="360"/>
      <c r="T60" s="360"/>
      <c r="U60" s="360"/>
      <c r="V60" s="361"/>
    </row>
    <row r="61" spans="1:24" ht="17.25">
      <c r="A61" s="322"/>
      <c r="B61" s="86">
        <f t="shared" si="6"/>
        <v>1.4000000000000005E-2</v>
      </c>
      <c r="C61" s="4" t="e">
        <f t="shared" si="5"/>
        <v>#REF!</v>
      </c>
      <c r="D61" s="4" t="e">
        <f t="shared" si="5"/>
        <v>#REF!</v>
      </c>
      <c r="E61" s="4" t="e">
        <f t="shared" si="5"/>
        <v>#REF!</v>
      </c>
      <c r="F61" s="4" t="e">
        <f t="shared" si="5"/>
        <v>#REF!</v>
      </c>
      <c r="G61" s="4" t="e">
        <f t="shared" si="5"/>
        <v>#REF!</v>
      </c>
      <c r="H61" s="4" t="e">
        <f t="shared" si="5"/>
        <v>#REF!</v>
      </c>
      <c r="I61" s="4" t="e">
        <f t="shared" si="5"/>
        <v>#REF!</v>
      </c>
      <c r="J61" s="4" t="e">
        <f t="shared" si="5"/>
        <v>#REF!</v>
      </c>
      <c r="K61" s="4" t="e">
        <f t="shared" si="5"/>
        <v>#REF!</v>
      </c>
      <c r="L61" s="4" t="e">
        <f t="shared" si="5"/>
        <v>#REF!</v>
      </c>
      <c r="M61" s="4" t="e">
        <f t="shared" si="5"/>
        <v>#REF!</v>
      </c>
      <c r="N61" s="1"/>
      <c r="O61" s="77" t="e">
        <f>O55</f>
        <v>#REF!</v>
      </c>
      <c r="P61" s="117" t="s">
        <v>445</v>
      </c>
      <c r="Q61" s="362" t="s">
        <v>482</v>
      </c>
      <c r="R61" s="363"/>
      <c r="S61" s="363"/>
      <c r="T61" s="363"/>
      <c r="U61" s="363"/>
      <c r="V61" s="364"/>
    </row>
    <row r="62" spans="1:24" ht="17.25">
      <c r="A62" s="322"/>
      <c r="B62" s="86">
        <f t="shared" si="6"/>
        <v>1.5000000000000006E-2</v>
      </c>
      <c r="C62" s="4" t="e">
        <f t="shared" si="5"/>
        <v>#REF!</v>
      </c>
      <c r="D62" s="4" t="e">
        <f t="shared" si="5"/>
        <v>#REF!</v>
      </c>
      <c r="E62" s="4" t="e">
        <f t="shared" si="5"/>
        <v>#REF!</v>
      </c>
      <c r="F62" s="4" t="e">
        <f t="shared" si="5"/>
        <v>#REF!</v>
      </c>
      <c r="G62" s="4" t="e">
        <f t="shared" si="5"/>
        <v>#REF!</v>
      </c>
      <c r="H62" s="4" t="e">
        <f t="shared" si="5"/>
        <v>#REF!</v>
      </c>
      <c r="I62" s="4" t="e">
        <f t="shared" si="5"/>
        <v>#REF!</v>
      </c>
      <c r="J62" s="4" t="e">
        <f t="shared" si="5"/>
        <v>#REF!</v>
      </c>
      <c r="K62" s="4" t="e">
        <f t="shared" si="5"/>
        <v>#REF!</v>
      </c>
      <c r="L62" s="4" t="e">
        <f t="shared" si="5"/>
        <v>#REF!</v>
      </c>
      <c r="M62" s="4" t="e">
        <f t="shared" si="5"/>
        <v>#REF!</v>
      </c>
      <c r="N62" s="1"/>
      <c r="O62" s="129" t="e">
        <f>CONVERT(O49,"mm","ft")</f>
        <v>#REF!</v>
      </c>
      <c r="P62" s="65" t="s">
        <v>201</v>
      </c>
      <c r="Q62" s="362" t="s">
        <v>242</v>
      </c>
      <c r="R62" s="363"/>
      <c r="S62" s="363"/>
      <c r="T62" s="363"/>
      <c r="U62" s="363"/>
      <c r="V62" s="364"/>
    </row>
    <row r="63" spans="1:24" ht="17.25">
      <c r="A63" s="322"/>
      <c r="B63" s="86">
        <f t="shared" si="6"/>
        <v>1.6000000000000007E-2</v>
      </c>
      <c r="C63" s="4" t="e">
        <f t="shared" si="5"/>
        <v>#REF!</v>
      </c>
      <c r="D63" s="4" t="e">
        <f t="shared" si="5"/>
        <v>#REF!</v>
      </c>
      <c r="E63" s="4" t="e">
        <f t="shared" si="5"/>
        <v>#REF!</v>
      </c>
      <c r="F63" s="4" t="e">
        <f t="shared" si="5"/>
        <v>#REF!</v>
      </c>
      <c r="G63" s="4" t="e">
        <f t="shared" si="5"/>
        <v>#REF!</v>
      </c>
      <c r="H63" s="4" t="e">
        <f t="shared" si="5"/>
        <v>#REF!</v>
      </c>
      <c r="I63" s="4" t="e">
        <f t="shared" si="5"/>
        <v>#REF!</v>
      </c>
      <c r="J63" s="4" t="e">
        <f t="shared" si="5"/>
        <v>#REF!</v>
      </c>
      <c r="K63" s="4" t="e">
        <f t="shared" si="5"/>
        <v>#REF!</v>
      </c>
      <c r="L63" s="4" t="e">
        <f t="shared" si="5"/>
        <v>#REF!</v>
      </c>
      <c r="M63" s="4" t="e">
        <f t="shared" si="5"/>
        <v>#REF!</v>
      </c>
      <c r="N63" s="1"/>
      <c r="O63" s="181">
        <v>0.01</v>
      </c>
      <c r="P63" s="65" t="s">
        <v>519</v>
      </c>
      <c r="Q63" s="362" t="s">
        <v>52</v>
      </c>
      <c r="R63" s="363"/>
      <c r="S63" s="363"/>
      <c r="T63" s="363"/>
      <c r="U63" s="363"/>
      <c r="V63" s="364"/>
    </row>
    <row r="64" spans="1:24" ht="17.25">
      <c r="A64" s="322"/>
      <c r="B64" s="86">
        <f t="shared" si="6"/>
        <v>1.7000000000000008E-2</v>
      </c>
      <c r="C64" s="4" t="e">
        <f t="shared" si="5"/>
        <v>#REF!</v>
      </c>
      <c r="D64" s="4" t="e">
        <f t="shared" si="5"/>
        <v>#REF!</v>
      </c>
      <c r="E64" s="4" t="e">
        <f t="shared" si="5"/>
        <v>#REF!</v>
      </c>
      <c r="F64" s="4" t="e">
        <f t="shared" si="5"/>
        <v>#REF!</v>
      </c>
      <c r="G64" s="4" t="e">
        <f t="shared" si="5"/>
        <v>#REF!</v>
      </c>
      <c r="H64" s="4" t="e">
        <f t="shared" si="5"/>
        <v>#REF!</v>
      </c>
      <c r="I64" s="4" t="e">
        <f t="shared" si="5"/>
        <v>#REF!</v>
      </c>
      <c r="J64" s="4" t="e">
        <f t="shared" si="5"/>
        <v>#REF!</v>
      </c>
      <c r="K64" s="4" t="e">
        <f t="shared" si="5"/>
        <v>#REF!</v>
      </c>
      <c r="L64" s="4" t="e">
        <f t="shared" si="5"/>
        <v>#REF!</v>
      </c>
      <c r="M64" s="4" t="e">
        <f t="shared" si="5"/>
        <v>#REF!</v>
      </c>
      <c r="N64" s="1"/>
      <c r="O64" s="77" t="e">
        <f>(O61*1.65*O62)/O63</f>
        <v>#REF!</v>
      </c>
      <c r="P64" s="65" t="s">
        <v>122</v>
      </c>
      <c r="Q64" s="372" t="s">
        <v>171</v>
      </c>
      <c r="R64" s="373"/>
      <c r="S64" s="373"/>
      <c r="T64" s="373"/>
      <c r="U64" s="373"/>
      <c r="V64" s="374"/>
    </row>
    <row r="65" spans="1:22" ht="17.25">
      <c r="A65" s="322"/>
      <c r="B65" s="86">
        <f t="shared" si="6"/>
        <v>1.8000000000000009E-2</v>
      </c>
      <c r="C65" s="4" t="e">
        <f t="shared" si="5"/>
        <v>#REF!</v>
      </c>
      <c r="D65" s="4" t="e">
        <f t="shared" si="5"/>
        <v>#REF!</v>
      </c>
      <c r="E65" s="4" t="e">
        <f t="shared" si="5"/>
        <v>#REF!</v>
      </c>
      <c r="F65" s="4" t="e">
        <f t="shared" si="5"/>
        <v>#REF!</v>
      </c>
      <c r="G65" s="4" t="e">
        <f t="shared" si="5"/>
        <v>#REF!</v>
      </c>
      <c r="H65" s="4" t="e">
        <f t="shared" si="5"/>
        <v>#REF!</v>
      </c>
      <c r="I65" s="4" t="e">
        <f t="shared" si="5"/>
        <v>#REF!</v>
      </c>
      <c r="J65" s="4" t="e">
        <f t="shared" si="5"/>
        <v>#REF!</v>
      </c>
      <c r="K65" s="4" t="e">
        <f t="shared" si="5"/>
        <v>#REF!</v>
      </c>
      <c r="L65" s="4" t="e">
        <f t="shared" si="5"/>
        <v>#REF!</v>
      </c>
      <c r="M65" s="4" t="e">
        <f t="shared" si="5"/>
        <v>#REF!</v>
      </c>
      <c r="N65" s="1"/>
      <c r="O65" s="186">
        <v>2</v>
      </c>
      <c r="P65" s="65" t="s">
        <v>343</v>
      </c>
      <c r="Q65" s="372" t="s">
        <v>149</v>
      </c>
      <c r="R65" s="373"/>
      <c r="S65" s="373"/>
      <c r="T65" s="373"/>
      <c r="U65" s="373"/>
      <c r="V65" s="374"/>
    </row>
    <row r="66" spans="1:22" ht="17.25">
      <c r="A66" s="322"/>
      <c r="B66" s="86">
        <f t="shared" si="6"/>
        <v>1.900000000000001E-2</v>
      </c>
      <c r="C66" s="4" t="e">
        <f t="shared" si="5"/>
        <v>#REF!</v>
      </c>
      <c r="D66" s="4" t="e">
        <f t="shared" si="5"/>
        <v>#REF!</v>
      </c>
      <c r="E66" s="4" t="e">
        <f t="shared" si="5"/>
        <v>#REF!</v>
      </c>
      <c r="F66" s="4" t="e">
        <f t="shared" si="5"/>
        <v>#REF!</v>
      </c>
      <c r="G66" s="4" t="e">
        <f t="shared" si="5"/>
        <v>#REF!</v>
      </c>
      <c r="H66" s="4" t="e">
        <f t="shared" si="5"/>
        <v>#REF!</v>
      </c>
      <c r="I66" s="4" t="e">
        <f t="shared" si="5"/>
        <v>#REF!</v>
      </c>
      <c r="J66" s="4" t="e">
        <f t="shared" si="5"/>
        <v>#REF!</v>
      </c>
      <c r="K66" s="4" t="e">
        <f t="shared" si="5"/>
        <v>#REF!</v>
      </c>
      <c r="L66" s="4" t="e">
        <f t="shared" si="5"/>
        <v>#REF!</v>
      </c>
      <c r="M66" s="4" t="e">
        <f t="shared" si="5"/>
        <v>#REF!</v>
      </c>
      <c r="N66" s="1"/>
      <c r="O66" s="97" t="e">
        <f>O65/O64</f>
        <v>#REF!</v>
      </c>
      <c r="P66" s="65" t="s">
        <v>314</v>
      </c>
      <c r="Q66" s="362" t="s">
        <v>14</v>
      </c>
      <c r="R66" s="363"/>
      <c r="S66" s="363"/>
      <c r="T66" s="363"/>
      <c r="U66" s="363"/>
      <c r="V66" s="364"/>
    </row>
    <row r="67" spans="1:22" ht="15.75" customHeight="1" thickBot="1">
      <c r="A67" s="323"/>
      <c r="B67" s="86">
        <f t="shared" si="6"/>
        <v>2.0000000000000011E-2</v>
      </c>
      <c r="C67" s="4" t="e">
        <f t="shared" si="5"/>
        <v>#REF!</v>
      </c>
      <c r="D67" s="4" t="e">
        <f t="shared" si="5"/>
        <v>#REF!</v>
      </c>
      <c r="E67" s="4" t="e">
        <f t="shared" si="5"/>
        <v>#REF!</v>
      </c>
      <c r="F67" s="4" t="e">
        <f t="shared" si="5"/>
        <v>#REF!</v>
      </c>
      <c r="G67" s="4" t="e">
        <f t="shared" si="5"/>
        <v>#REF!</v>
      </c>
      <c r="H67" s="4" t="e">
        <f t="shared" si="5"/>
        <v>#REF!</v>
      </c>
      <c r="I67" s="4" t="e">
        <f t="shared" si="5"/>
        <v>#REF!</v>
      </c>
      <c r="J67" s="4" t="e">
        <f t="shared" si="5"/>
        <v>#REF!</v>
      </c>
      <c r="K67" s="4" t="e">
        <f t="shared" si="5"/>
        <v>#REF!</v>
      </c>
      <c r="L67" s="4" t="e">
        <f t="shared" si="5"/>
        <v>#REF!</v>
      </c>
      <c r="M67" s="4" t="e">
        <f t="shared" si="5"/>
        <v>#REF!</v>
      </c>
      <c r="N67" s="1"/>
      <c r="O67" s="365" t="s">
        <v>123</v>
      </c>
      <c r="P67" s="366"/>
      <c r="Q67" s="366"/>
      <c r="R67" s="366"/>
      <c r="S67" s="366"/>
      <c r="T67" s="366"/>
      <c r="U67" s="366"/>
      <c r="V67" s="367"/>
    </row>
    <row r="68" spans="1:22" ht="16.5" customHeight="1" thickBot="1">
      <c r="B68" s="1"/>
      <c r="M68" s="16"/>
      <c r="N68" s="1"/>
      <c r="P68" s="52"/>
      <c r="Q68" s="52"/>
      <c r="R68" s="52"/>
      <c r="S68" s="52"/>
      <c r="T68" s="52"/>
      <c r="U68" s="52"/>
      <c r="V68" s="52"/>
    </row>
    <row r="69" spans="1:22" ht="15.75">
      <c r="B69" s="1"/>
      <c r="M69" s="16"/>
      <c r="N69" s="1"/>
      <c r="O69" s="375" t="s">
        <v>344</v>
      </c>
      <c r="P69" s="376"/>
      <c r="Q69" s="376"/>
      <c r="R69" s="376"/>
      <c r="S69" s="376"/>
      <c r="T69" s="376"/>
      <c r="U69" s="376"/>
      <c r="V69" s="377"/>
    </row>
    <row r="70" spans="1:22" ht="15">
      <c r="B70" s="1"/>
      <c r="M70" s="16"/>
      <c r="N70" s="1"/>
      <c r="O70" s="378" t="s">
        <v>520</v>
      </c>
      <c r="P70" s="379"/>
      <c r="Q70" s="379"/>
      <c r="R70" s="379"/>
      <c r="S70" s="379"/>
      <c r="T70" s="379"/>
      <c r="U70" s="379"/>
      <c r="V70" s="380"/>
    </row>
    <row r="71" spans="1:22" ht="17.25" customHeight="1">
      <c r="B71" s="1"/>
      <c r="M71" s="16"/>
      <c r="N71" s="1"/>
      <c r="O71" s="381" t="s">
        <v>170</v>
      </c>
      <c r="P71" s="382"/>
      <c r="Q71" s="382"/>
      <c r="R71" s="382"/>
      <c r="S71" s="382"/>
      <c r="T71" s="382"/>
      <c r="U71" s="382"/>
      <c r="V71" s="383"/>
    </row>
    <row r="72" spans="1:22" ht="18.75" customHeight="1">
      <c r="B72" s="1"/>
      <c r="M72" s="16"/>
      <c r="N72" s="1"/>
      <c r="O72" s="106" t="s">
        <v>444</v>
      </c>
      <c r="P72" s="122" t="s">
        <v>120</v>
      </c>
      <c r="Q72" s="359" t="s">
        <v>121</v>
      </c>
      <c r="R72" s="360"/>
      <c r="S72" s="360"/>
      <c r="T72" s="360"/>
      <c r="U72" s="360"/>
      <c r="V72" s="361"/>
    </row>
    <row r="73" spans="1:22" ht="17.25">
      <c r="B73" s="1"/>
      <c r="M73" s="16"/>
      <c r="N73" s="1"/>
      <c r="O73" s="77" t="e">
        <f>O55</f>
        <v>#REF!</v>
      </c>
      <c r="P73" s="117" t="s">
        <v>445</v>
      </c>
      <c r="Q73" s="362" t="s">
        <v>482</v>
      </c>
      <c r="R73" s="363"/>
      <c r="S73" s="363"/>
      <c r="T73" s="363"/>
      <c r="U73" s="363"/>
      <c r="V73" s="364"/>
    </row>
    <row r="74" spans="1:22" ht="17.25">
      <c r="B74" s="1"/>
      <c r="M74" s="16"/>
      <c r="N74" s="1"/>
      <c r="O74" s="77" t="e">
        <f>CONVERT(O49,"mm","ft")</f>
        <v>#REF!</v>
      </c>
      <c r="P74" s="65" t="s">
        <v>201</v>
      </c>
      <c r="Q74" s="362" t="s">
        <v>242</v>
      </c>
      <c r="R74" s="363"/>
      <c r="S74" s="363"/>
      <c r="T74" s="363"/>
      <c r="U74" s="363"/>
      <c r="V74" s="364"/>
    </row>
    <row r="75" spans="1:22" ht="17.25">
      <c r="B75" s="1"/>
      <c r="M75" s="16"/>
      <c r="N75" s="1"/>
      <c r="O75" s="112">
        <v>2</v>
      </c>
      <c r="P75" s="65" t="s">
        <v>343</v>
      </c>
      <c r="Q75" s="362" t="s">
        <v>149</v>
      </c>
      <c r="R75" s="363"/>
      <c r="S75" s="363"/>
      <c r="T75" s="363"/>
      <c r="U75" s="363"/>
      <c r="V75" s="364"/>
    </row>
    <row r="76" spans="1:22" ht="15.75">
      <c r="B76" s="1"/>
      <c r="M76" s="16"/>
      <c r="N76" s="1"/>
      <c r="O76" s="77" t="e">
        <f>(O73*1.65*O74)/O75</f>
        <v>#REF!</v>
      </c>
      <c r="P76" s="65" t="s">
        <v>375</v>
      </c>
      <c r="Q76" s="362" t="s">
        <v>347</v>
      </c>
      <c r="R76" s="363"/>
      <c r="S76" s="363"/>
      <c r="T76" s="363"/>
      <c r="U76" s="363"/>
      <c r="V76" s="364"/>
    </row>
    <row r="77" spans="1:22" ht="17.25">
      <c r="B77" s="1"/>
      <c r="M77" s="16"/>
      <c r="N77" s="1"/>
      <c r="O77" s="97" t="e">
        <f>O63/O76</f>
        <v>#REF!</v>
      </c>
      <c r="P77" s="65" t="s">
        <v>243</v>
      </c>
      <c r="Q77" s="362" t="s">
        <v>446</v>
      </c>
      <c r="R77" s="363"/>
      <c r="S77" s="363"/>
      <c r="T77" s="363"/>
      <c r="U77" s="363"/>
      <c r="V77" s="364"/>
    </row>
    <row r="78" spans="1:22" ht="15.75" thickBot="1">
      <c r="B78" s="1"/>
      <c r="M78" s="16"/>
      <c r="N78" s="1"/>
      <c r="O78" s="365" t="s">
        <v>123</v>
      </c>
      <c r="P78" s="366"/>
      <c r="Q78" s="366"/>
      <c r="R78" s="366"/>
      <c r="S78" s="366"/>
      <c r="T78" s="366"/>
      <c r="U78" s="366"/>
      <c r="V78" s="367"/>
    </row>
    <row r="79" spans="1:22" ht="15.75" customHeight="1" thickBot="1">
      <c r="B79" s="1"/>
      <c r="M79" s="16"/>
      <c r="N79" s="1"/>
      <c r="O79" s="368"/>
      <c r="P79" s="368"/>
      <c r="Q79" s="368"/>
      <c r="R79" s="368"/>
      <c r="S79" s="368"/>
      <c r="T79" s="368"/>
      <c r="U79" s="368"/>
      <c r="V79" s="368"/>
    </row>
    <row r="80" spans="1:22" ht="15.75">
      <c r="B80" s="1"/>
      <c r="M80" s="16"/>
      <c r="N80" s="1"/>
      <c r="O80" s="369" t="s">
        <v>90</v>
      </c>
      <c r="P80" s="370"/>
      <c r="Q80" s="370"/>
      <c r="R80" s="370"/>
      <c r="S80" s="370"/>
      <c r="T80" s="370"/>
      <c r="U80" s="370"/>
      <c r="V80" s="371"/>
    </row>
    <row r="81" spans="1:70" ht="15.75">
      <c r="B81" s="1"/>
      <c r="M81" s="16"/>
      <c r="N81" s="1"/>
      <c r="O81" s="70" t="e">
        <f>O49</f>
        <v>#REF!</v>
      </c>
      <c r="P81" s="344" t="s">
        <v>447</v>
      </c>
      <c r="Q81" s="345"/>
      <c r="R81" s="345"/>
      <c r="S81" s="345"/>
      <c r="T81" s="345"/>
      <c r="U81" s="345"/>
      <c r="V81" s="346"/>
    </row>
    <row r="82" spans="1:70" ht="15.75">
      <c r="B82" s="1"/>
      <c r="M82" s="16"/>
      <c r="N82" s="1"/>
      <c r="O82" s="152">
        <v>2.1</v>
      </c>
      <c r="P82" s="344" t="s">
        <v>63</v>
      </c>
      <c r="Q82" s="345"/>
      <c r="R82" s="345"/>
      <c r="S82" s="345"/>
      <c r="T82" s="345"/>
      <c r="U82" s="345"/>
      <c r="V82" s="346"/>
    </row>
    <row r="83" spans="1:70" ht="16.5">
      <c r="B83" s="1"/>
      <c r="M83" s="16"/>
      <c r="N83" s="1"/>
      <c r="O83" s="112">
        <f>62.4*O82*O63</f>
        <v>1.3104</v>
      </c>
      <c r="P83" s="344" t="s">
        <v>202</v>
      </c>
      <c r="Q83" s="345"/>
      <c r="R83" s="345"/>
      <c r="S83" s="345"/>
      <c r="T83" s="345"/>
      <c r="U83" s="345"/>
      <c r="V83" s="346"/>
    </row>
    <row r="84" spans="1:70" ht="15" customHeight="1">
      <c r="B84" s="1"/>
      <c r="M84" s="16"/>
      <c r="N84" s="1"/>
      <c r="O84" s="347">
        <f>77.966*O83^1.042</f>
        <v>103.33325291536313</v>
      </c>
      <c r="P84" s="349" t="s">
        <v>203</v>
      </c>
      <c r="Q84" s="350"/>
      <c r="R84" s="350"/>
      <c r="S84" s="350"/>
      <c r="T84" s="350"/>
      <c r="U84" s="350"/>
      <c r="V84" s="351"/>
    </row>
    <row r="85" spans="1:70" ht="15" customHeight="1">
      <c r="B85" s="1"/>
      <c r="M85" s="16"/>
      <c r="N85" s="1"/>
      <c r="O85" s="348"/>
      <c r="P85" s="352"/>
      <c r="Q85" s="353"/>
      <c r="R85" s="353"/>
      <c r="S85" s="353"/>
      <c r="T85" s="353"/>
      <c r="U85" s="353"/>
      <c r="V85" s="354"/>
    </row>
    <row r="86" spans="1:70" ht="15" customHeight="1">
      <c r="B86" s="1"/>
      <c r="C86" s="54"/>
      <c r="D86" s="15"/>
      <c r="E86" s="163"/>
      <c r="M86" s="16"/>
      <c r="N86" s="1"/>
      <c r="O86" s="347">
        <f>152.02*O83^0.7355</f>
        <v>185.46043973705369</v>
      </c>
      <c r="P86" s="349" t="s">
        <v>286</v>
      </c>
      <c r="Q86" s="350"/>
      <c r="R86" s="350"/>
      <c r="S86" s="350"/>
      <c r="T86" s="350"/>
      <c r="U86" s="350"/>
      <c r="V86" s="351"/>
    </row>
    <row r="87" spans="1:70" ht="15.75" customHeight="1" thickBot="1">
      <c r="B87" s="1"/>
      <c r="C87" s="1"/>
      <c r="D87" s="15"/>
      <c r="E87" s="54"/>
      <c r="M87" s="16"/>
      <c r="N87" s="1"/>
      <c r="O87" s="355"/>
      <c r="P87" s="356"/>
      <c r="Q87" s="357"/>
      <c r="R87" s="357"/>
      <c r="S87" s="357"/>
      <c r="T87" s="357"/>
      <c r="U87" s="357"/>
      <c r="V87" s="358"/>
    </row>
    <row r="88" spans="1:70" ht="15">
      <c r="B88" s="1"/>
      <c r="M88" s="16"/>
    </row>
    <row r="89" spans="1:70" ht="15">
      <c r="B89" s="1"/>
      <c r="M89" s="16"/>
    </row>
    <row r="90" spans="1:70" ht="21">
      <c r="B90" s="1"/>
      <c r="C90" s="327" t="s">
        <v>209</v>
      </c>
      <c r="D90" s="327"/>
      <c r="E90" s="327"/>
      <c r="F90" s="327"/>
      <c r="G90" s="327"/>
      <c r="H90" s="327"/>
      <c r="I90" s="327"/>
      <c r="J90" s="327"/>
      <c r="K90" s="327"/>
      <c r="L90" s="327"/>
      <c r="M90" s="327"/>
    </row>
    <row r="91" spans="1:70" ht="18.75" customHeight="1">
      <c r="B91" s="1"/>
      <c r="C91" s="328" t="s">
        <v>152</v>
      </c>
      <c r="D91" s="329"/>
      <c r="E91" s="329"/>
      <c r="F91" s="329"/>
      <c r="G91" s="329"/>
      <c r="H91" s="329"/>
      <c r="I91" s="329"/>
      <c r="J91" s="329"/>
      <c r="K91" s="329"/>
      <c r="L91" s="329"/>
      <c r="M91" s="330"/>
    </row>
    <row r="92" spans="1:70" ht="18.75">
      <c r="C92" s="331" t="s">
        <v>377</v>
      </c>
      <c r="D92" s="332"/>
      <c r="E92" s="41"/>
      <c r="F92" s="41"/>
      <c r="G92" s="41"/>
      <c r="H92" s="41"/>
      <c r="I92" s="41"/>
      <c r="J92" s="41"/>
      <c r="K92" s="41"/>
      <c r="L92" s="41"/>
      <c r="M92" s="41"/>
      <c r="N92" s="1"/>
      <c r="O92" s="333" t="s">
        <v>91</v>
      </c>
      <c r="P92" s="334"/>
      <c r="Q92" s="334"/>
      <c r="R92" s="334"/>
      <c r="S92" s="334"/>
      <c r="T92" s="335"/>
      <c r="U92" s="1"/>
      <c r="V92" s="33" t="s">
        <v>244</v>
      </c>
      <c r="W92" s="33"/>
      <c r="X92" s="33"/>
      <c r="Y92" s="33"/>
      <c r="Z92" s="33"/>
      <c r="AA92" s="33"/>
    </row>
    <row r="93" spans="1:70" ht="15">
      <c r="C93" s="336">
        <v>0.06</v>
      </c>
      <c r="D93" s="337"/>
      <c r="E93" s="150"/>
      <c r="F93" s="41" t="s">
        <v>22</v>
      </c>
      <c r="N93" s="1"/>
      <c r="O93" s="29"/>
      <c r="P93" s="24"/>
      <c r="Q93" s="24"/>
      <c r="R93" s="24"/>
      <c r="S93" s="24"/>
      <c r="T93" s="24" t="s">
        <v>208</v>
      </c>
      <c r="U93" s="1"/>
      <c r="V93" s="33"/>
      <c r="W93" s="33"/>
      <c r="X93" s="33"/>
      <c r="Y93" s="33"/>
      <c r="Z93" s="33"/>
      <c r="AA93" s="33"/>
    </row>
    <row r="94" spans="1:70" ht="18.75" customHeight="1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1"/>
      <c r="O94" s="29"/>
      <c r="P94" s="24"/>
      <c r="Q94" s="24" t="s">
        <v>404</v>
      </c>
      <c r="R94" s="24" t="s">
        <v>245</v>
      </c>
      <c r="S94" s="24" t="s">
        <v>246</v>
      </c>
      <c r="T94" s="24" t="s">
        <v>56</v>
      </c>
      <c r="U94" s="1"/>
      <c r="V94" s="33"/>
      <c r="W94" s="33" t="s">
        <v>17</v>
      </c>
      <c r="X94" s="33"/>
      <c r="Y94" s="33"/>
      <c r="Z94" s="33"/>
      <c r="AA94" s="33"/>
      <c r="BG94" s="151" t="s">
        <v>251</v>
      </c>
      <c r="BH94" s="78"/>
      <c r="BI94" s="78"/>
      <c r="BJ94" s="78"/>
      <c r="BK94" s="107"/>
      <c r="BL94" s="338" t="s">
        <v>351</v>
      </c>
      <c r="BM94" s="338"/>
      <c r="BN94" s="338" t="s">
        <v>59</v>
      </c>
      <c r="BO94" s="338" t="s">
        <v>24</v>
      </c>
      <c r="BP94" s="338"/>
      <c r="BQ94" s="107"/>
      <c r="BR94" s="146"/>
    </row>
    <row r="95" spans="1:70" ht="15" customHeight="1">
      <c r="A95" s="331" t="s">
        <v>376</v>
      </c>
      <c r="B95" s="332"/>
      <c r="C95" s="2">
        <f t="shared" ref="C95:M95" si="7">C$12</f>
        <v>0</v>
      </c>
      <c r="D95" s="2">
        <f t="shared" si="7"/>
        <v>0</v>
      </c>
      <c r="E95" s="2">
        <f t="shared" si="7"/>
        <v>0</v>
      </c>
      <c r="F95" s="2">
        <f t="shared" si="7"/>
        <v>0</v>
      </c>
      <c r="G95" s="2">
        <f t="shared" si="7"/>
        <v>0</v>
      </c>
      <c r="H95" s="2">
        <f t="shared" si="7"/>
        <v>0</v>
      </c>
      <c r="I95" s="2">
        <f t="shared" si="7"/>
        <v>0</v>
      </c>
      <c r="J95" s="2">
        <f t="shared" si="7"/>
        <v>0</v>
      </c>
      <c r="K95" s="2">
        <f t="shared" si="7"/>
        <v>0</v>
      </c>
      <c r="L95" s="2">
        <f t="shared" si="7"/>
        <v>0</v>
      </c>
      <c r="M95" s="2">
        <f t="shared" si="7"/>
        <v>0</v>
      </c>
      <c r="N95" s="1"/>
      <c r="O95" s="29" t="s">
        <v>486</v>
      </c>
      <c r="P95" s="24"/>
      <c r="Q95" s="24" t="s">
        <v>315</v>
      </c>
      <c r="R95" s="24" t="s">
        <v>57</v>
      </c>
      <c r="S95" s="24" t="s">
        <v>487</v>
      </c>
      <c r="T95" s="24" t="s">
        <v>58</v>
      </c>
      <c r="U95" s="1"/>
      <c r="V95" s="33"/>
      <c r="W95" s="33" t="s">
        <v>406</v>
      </c>
      <c r="X95" s="33"/>
      <c r="Y95" s="33"/>
      <c r="Z95" s="33"/>
      <c r="AA95" s="33"/>
      <c r="BG95" s="190"/>
      <c r="BH95" s="89"/>
      <c r="BI95" s="89"/>
      <c r="BJ95" s="89"/>
      <c r="BK95" s="125"/>
      <c r="BL95" s="339"/>
      <c r="BM95" s="339"/>
      <c r="BN95" s="339"/>
      <c r="BO95" s="339"/>
      <c r="BP95" s="339"/>
      <c r="BQ95" s="125"/>
      <c r="BR95" s="188"/>
    </row>
    <row r="96" spans="1:70" ht="18.75">
      <c r="A96" s="319" t="s">
        <v>46</v>
      </c>
      <c r="B96" s="320"/>
      <c r="C96" s="3">
        <f t="shared" ref="C96:M96" si="8">C$9</f>
        <v>2</v>
      </c>
      <c r="D96" s="3">
        <f t="shared" si="8"/>
        <v>2.1</v>
      </c>
      <c r="E96" s="3">
        <f t="shared" si="8"/>
        <v>2.2000000000000002</v>
      </c>
      <c r="F96" s="3">
        <f t="shared" si="8"/>
        <v>2.3000000000000003</v>
      </c>
      <c r="G96" s="3">
        <f t="shared" si="8"/>
        <v>2.4000000000000004</v>
      </c>
      <c r="H96" s="3">
        <f t="shared" si="8"/>
        <v>2.5000000000000004</v>
      </c>
      <c r="I96" s="3">
        <f t="shared" si="8"/>
        <v>2.6000000000000005</v>
      </c>
      <c r="J96" s="3">
        <f t="shared" si="8"/>
        <v>2.7000000000000006</v>
      </c>
      <c r="K96" s="3">
        <f t="shared" si="8"/>
        <v>2.8000000000000007</v>
      </c>
      <c r="L96" s="3">
        <f t="shared" si="8"/>
        <v>2.9000000000000008</v>
      </c>
      <c r="M96" s="3">
        <f t="shared" si="8"/>
        <v>3.0000000000000009</v>
      </c>
      <c r="N96" s="1"/>
      <c r="O96" s="79" t="s">
        <v>316</v>
      </c>
      <c r="P96" s="24"/>
      <c r="Q96" s="22">
        <f>(1.94*32.2*S96*R96)/((5.15-1.94)*32.2*T96/304.8)</f>
        <v>5.5262803738317746E-2</v>
      </c>
      <c r="R96" s="12">
        <v>0.01</v>
      </c>
      <c r="S96" s="12">
        <v>3</v>
      </c>
      <c r="T96" s="12">
        <v>100</v>
      </c>
      <c r="U96" s="1"/>
      <c r="V96" s="33"/>
      <c r="W96" s="33" t="s">
        <v>290</v>
      </c>
      <c r="X96" s="33"/>
      <c r="Y96" s="33"/>
      <c r="Z96" s="33"/>
      <c r="AA96" s="33"/>
      <c r="BG96" s="141"/>
      <c r="BH96" s="13"/>
      <c r="BI96" s="13"/>
      <c r="BJ96" s="45" t="s">
        <v>246</v>
      </c>
      <c r="BK96" s="43" t="s">
        <v>410</v>
      </c>
      <c r="BL96" s="149">
        <v>1</v>
      </c>
      <c r="BM96" s="47" t="s">
        <v>60</v>
      </c>
      <c r="BN96" s="43">
        <v>3.28</v>
      </c>
      <c r="BO96" s="66">
        <f t="shared" ref="BO96:BO98" si="9">BL96*BN96</f>
        <v>3.28</v>
      </c>
      <c r="BP96" s="13" t="s">
        <v>291</v>
      </c>
      <c r="BQ96" s="13"/>
      <c r="BR96" s="131"/>
    </row>
    <row r="97" spans="1:70" ht="17.25" customHeight="1">
      <c r="A97" s="321" t="s">
        <v>510</v>
      </c>
      <c r="B97" s="86">
        <f>$G$4</f>
        <v>1E-3</v>
      </c>
      <c r="C97" s="4">
        <f t="shared" ref="C97:M116" si="10">(($B97*C$96)/(1.65*$C$93))*12</f>
        <v>0.24242424242424243</v>
      </c>
      <c r="D97" s="4">
        <f t="shared" si="10"/>
        <v>0.25454545454545463</v>
      </c>
      <c r="E97" s="4">
        <f t="shared" si="10"/>
        <v>0.26666666666666672</v>
      </c>
      <c r="F97" s="4">
        <f t="shared" si="10"/>
        <v>0.27878787878787886</v>
      </c>
      <c r="G97" s="4">
        <f t="shared" si="10"/>
        <v>0.29090909090909095</v>
      </c>
      <c r="H97" s="4">
        <f t="shared" si="10"/>
        <v>0.30303030303030309</v>
      </c>
      <c r="I97" s="4">
        <f t="shared" si="10"/>
        <v>0.31515151515151529</v>
      </c>
      <c r="J97" s="4">
        <f t="shared" si="10"/>
        <v>0.32727272727272738</v>
      </c>
      <c r="K97" s="4">
        <f t="shared" si="10"/>
        <v>0.33939393939393953</v>
      </c>
      <c r="L97" s="4">
        <f t="shared" si="10"/>
        <v>0.35151515151515161</v>
      </c>
      <c r="M97" s="4">
        <f t="shared" si="10"/>
        <v>0.36363636363636376</v>
      </c>
      <c r="N97" s="1"/>
      <c r="O97" s="29"/>
      <c r="P97" s="29"/>
      <c r="Q97" s="29"/>
      <c r="R97" s="24"/>
      <c r="S97" s="24"/>
      <c r="T97" s="24"/>
      <c r="U97" s="1"/>
      <c r="V97" s="33"/>
      <c r="W97" s="33" t="s">
        <v>523</v>
      </c>
      <c r="X97" s="33"/>
      <c r="Y97" s="33"/>
      <c r="Z97" s="33"/>
      <c r="AA97" s="33"/>
      <c r="BG97" s="141"/>
      <c r="BH97" s="13"/>
      <c r="BI97" s="13"/>
      <c r="BJ97" s="45" t="s">
        <v>245</v>
      </c>
      <c r="BK97" s="43" t="s">
        <v>191</v>
      </c>
      <c r="BL97" s="133">
        <v>5.0000000000000001E-3</v>
      </c>
      <c r="BM97" s="47" t="s">
        <v>411</v>
      </c>
      <c r="BN97" s="43">
        <v>1</v>
      </c>
      <c r="BO97" s="45">
        <f t="shared" si="9"/>
        <v>5.0000000000000001E-3</v>
      </c>
      <c r="BP97" s="13" t="s">
        <v>19</v>
      </c>
      <c r="BQ97" s="13"/>
      <c r="BR97" s="131"/>
    </row>
    <row r="98" spans="1:70" ht="18">
      <c r="A98" s="322"/>
      <c r="B98" s="86">
        <f t="shared" ref="B98:B116" si="11">B97+$H$4</f>
        <v>2E-3</v>
      </c>
      <c r="C98" s="4">
        <f t="shared" si="10"/>
        <v>0.48484848484848486</v>
      </c>
      <c r="D98" s="4">
        <f t="shared" si="10"/>
        <v>0.50909090909090926</v>
      </c>
      <c r="E98" s="4">
        <f t="shared" si="10"/>
        <v>0.53333333333333344</v>
      </c>
      <c r="F98" s="4">
        <f t="shared" si="10"/>
        <v>0.55757575757575772</v>
      </c>
      <c r="G98" s="4">
        <f t="shared" si="10"/>
        <v>0.5818181818181819</v>
      </c>
      <c r="H98" s="4">
        <f t="shared" si="10"/>
        <v>0.60606060606060619</v>
      </c>
      <c r="I98" s="4">
        <f t="shared" si="10"/>
        <v>0.63030303030303059</v>
      </c>
      <c r="J98" s="4">
        <f t="shared" si="10"/>
        <v>0.65454545454545476</v>
      </c>
      <c r="K98" s="4">
        <f t="shared" si="10"/>
        <v>0.67878787878787905</v>
      </c>
      <c r="L98" s="4">
        <f t="shared" si="10"/>
        <v>0.70303030303030323</v>
      </c>
      <c r="M98" s="4">
        <f t="shared" si="10"/>
        <v>0.72727272727272751</v>
      </c>
      <c r="N98" s="1"/>
      <c r="O98" s="145" t="s">
        <v>349</v>
      </c>
      <c r="P98" s="29"/>
      <c r="Q98" s="204"/>
      <c r="R98" s="22" t="e">
        <f>((5.15-1.94)*32.2*Q98*(T98/304.9))/(62.4*S98)</f>
        <v>#DIV/0!</v>
      </c>
      <c r="S98" s="12"/>
      <c r="T98" s="12"/>
      <c r="U98" s="1"/>
      <c r="V98" s="33"/>
      <c r="W98" s="33" t="s">
        <v>18</v>
      </c>
      <c r="X98" s="33"/>
      <c r="Y98" s="33"/>
      <c r="Z98" s="33"/>
      <c r="AA98" s="33"/>
      <c r="BG98" s="141"/>
      <c r="BH98" s="13"/>
      <c r="BI98" s="13"/>
      <c r="BJ98" s="45" t="s">
        <v>352</v>
      </c>
      <c r="BK98" s="43" t="s">
        <v>381</v>
      </c>
      <c r="BL98" s="133">
        <v>3.2000000000000001E-2</v>
      </c>
      <c r="BM98" s="47" t="s">
        <v>60</v>
      </c>
      <c r="BN98" s="43">
        <v>1000</v>
      </c>
      <c r="BO98" s="108">
        <f t="shared" si="9"/>
        <v>32</v>
      </c>
      <c r="BP98" s="47" t="s">
        <v>20</v>
      </c>
      <c r="BQ98" s="13"/>
      <c r="BR98" s="131"/>
    </row>
    <row r="99" spans="1:70" ht="15">
      <c r="A99" s="322"/>
      <c r="B99" s="86">
        <f t="shared" si="11"/>
        <v>3.0000000000000001E-3</v>
      </c>
      <c r="C99" s="4">
        <f t="shared" si="10"/>
        <v>0.7272727272727274</v>
      </c>
      <c r="D99" s="4">
        <f t="shared" si="10"/>
        <v>0.76363636363636367</v>
      </c>
      <c r="E99" s="4">
        <f t="shared" si="10"/>
        <v>0.80000000000000016</v>
      </c>
      <c r="F99" s="4">
        <f t="shared" si="10"/>
        <v>0.83636363636363664</v>
      </c>
      <c r="G99" s="4">
        <f t="shared" si="10"/>
        <v>0.87272727272727302</v>
      </c>
      <c r="H99" s="4">
        <f t="shared" si="10"/>
        <v>0.90909090909090928</v>
      </c>
      <c r="I99" s="4">
        <f t="shared" si="10"/>
        <v>0.94545454545454577</v>
      </c>
      <c r="J99" s="4">
        <f t="shared" si="10"/>
        <v>0.98181818181818215</v>
      </c>
      <c r="K99" s="4">
        <f t="shared" si="10"/>
        <v>1.0181818181818185</v>
      </c>
      <c r="L99" s="4">
        <f t="shared" si="10"/>
        <v>1.0545454545454551</v>
      </c>
      <c r="M99" s="4">
        <f t="shared" si="10"/>
        <v>1.0909090909090913</v>
      </c>
      <c r="N99" s="1"/>
      <c r="O99" s="79"/>
      <c r="P99" s="24"/>
      <c r="Q99" s="24"/>
      <c r="R99" s="24"/>
      <c r="S99" s="24"/>
      <c r="T99" s="24"/>
      <c r="U99" s="1"/>
      <c r="V99" s="33"/>
      <c r="W99" s="104" t="s">
        <v>348</v>
      </c>
      <c r="X99" s="33"/>
      <c r="Y99" s="33"/>
      <c r="Z99" s="33"/>
      <c r="AA99" s="33"/>
      <c r="BG99" s="141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1"/>
    </row>
    <row r="100" spans="1:70" ht="15">
      <c r="A100" s="322"/>
      <c r="B100" s="86">
        <f t="shared" si="11"/>
        <v>4.0000000000000001E-3</v>
      </c>
      <c r="C100" s="4">
        <f t="shared" si="10"/>
        <v>0.96969696969696972</v>
      </c>
      <c r="D100" s="4">
        <f t="shared" si="10"/>
        <v>1.0181818181818185</v>
      </c>
      <c r="E100" s="4">
        <f t="shared" si="10"/>
        <v>1.0666666666666669</v>
      </c>
      <c r="F100" s="4">
        <f t="shared" si="10"/>
        <v>1.1151515151515154</v>
      </c>
      <c r="G100" s="4">
        <f t="shared" si="10"/>
        <v>1.1636363636363638</v>
      </c>
      <c r="H100" s="4">
        <f t="shared" si="10"/>
        <v>1.2121212121212124</v>
      </c>
      <c r="I100" s="4">
        <f t="shared" si="10"/>
        <v>1.2606060606060612</v>
      </c>
      <c r="J100" s="4">
        <f t="shared" si="10"/>
        <v>1.3090909090909095</v>
      </c>
      <c r="K100" s="4">
        <f t="shared" si="10"/>
        <v>1.3575757575757581</v>
      </c>
      <c r="L100" s="4">
        <f t="shared" si="10"/>
        <v>1.4060606060606065</v>
      </c>
      <c r="M100" s="4">
        <f t="shared" si="10"/>
        <v>1.454545454545455</v>
      </c>
      <c r="N100" s="1"/>
      <c r="O100" s="79" t="s">
        <v>350</v>
      </c>
      <c r="P100" s="24"/>
      <c r="Q100" s="12"/>
      <c r="R100" s="12"/>
      <c r="S100" s="22" t="e">
        <f>((5.15-1.94)*32.2*Q100*(T100/304.9))/(62.4*R100)</f>
        <v>#DIV/0!</v>
      </c>
      <c r="T100" s="12"/>
      <c r="U100" s="1"/>
      <c r="V100" s="33"/>
      <c r="W100" s="33" t="s">
        <v>55</v>
      </c>
      <c r="X100" s="33"/>
      <c r="Y100" s="33"/>
      <c r="Z100" s="33"/>
      <c r="AA100" s="33"/>
      <c r="BG100" s="141"/>
      <c r="BH100" s="13"/>
      <c r="BI100" s="13"/>
      <c r="BJ100" s="45" t="s">
        <v>353</v>
      </c>
      <c r="BK100" s="43" t="s">
        <v>293</v>
      </c>
      <c r="BL100" s="170">
        <v>9.81</v>
      </c>
      <c r="BM100" s="47" t="s">
        <v>525</v>
      </c>
      <c r="BN100" s="43">
        <v>3.28</v>
      </c>
      <c r="BO100" s="66">
        <f t="shared" ref="BO100:BO102" si="12">BL100*BN100</f>
        <v>32.1768</v>
      </c>
      <c r="BP100" s="13" t="s">
        <v>294</v>
      </c>
      <c r="BQ100" s="13"/>
      <c r="BR100" s="131"/>
    </row>
    <row r="101" spans="1:70" ht="15.75">
      <c r="A101" s="322"/>
      <c r="B101" s="86">
        <f t="shared" si="11"/>
        <v>5.0000000000000001E-3</v>
      </c>
      <c r="C101" s="4">
        <f t="shared" si="10"/>
        <v>1.2121212121212124</v>
      </c>
      <c r="D101" s="4">
        <f t="shared" si="10"/>
        <v>1.2727272727272729</v>
      </c>
      <c r="E101" s="4">
        <f t="shared" si="10"/>
        <v>1.3333333333333335</v>
      </c>
      <c r="F101" s="4">
        <f t="shared" si="10"/>
        <v>1.3939393939393943</v>
      </c>
      <c r="G101" s="4">
        <f t="shared" si="10"/>
        <v>1.454545454545455</v>
      </c>
      <c r="H101" s="4">
        <f t="shared" si="10"/>
        <v>1.5151515151515156</v>
      </c>
      <c r="I101" s="4">
        <f t="shared" si="10"/>
        <v>1.5757575757575761</v>
      </c>
      <c r="J101" s="4">
        <f t="shared" si="10"/>
        <v>1.6363636363636369</v>
      </c>
      <c r="K101" s="4">
        <f t="shared" si="10"/>
        <v>1.6969696969696977</v>
      </c>
      <c r="L101" s="4">
        <f t="shared" si="10"/>
        <v>1.7575757575757582</v>
      </c>
      <c r="M101" s="4">
        <f t="shared" si="10"/>
        <v>1.8181818181818188</v>
      </c>
      <c r="N101" s="1"/>
      <c r="O101" s="79"/>
      <c r="P101" s="24"/>
      <c r="Q101" s="24"/>
      <c r="R101" s="24"/>
      <c r="S101" s="24"/>
      <c r="T101" s="24"/>
      <c r="U101" s="1"/>
      <c r="V101" s="33"/>
      <c r="W101" s="33"/>
      <c r="X101" s="33"/>
      <c r="Y101" s="33"/>
      <c r="Z101" s="33"/>
      <c r="AA101" s="33"/>
      <c r="BG101" s="141"/>
      <c r="BH101" s="13"/>
      <c r="BI101" s="13"/>
      <c r="BJ101" s="45" t="s">
        <v>61</v>
      </c>
      <c r="BK101" s="124" t="s">
        <v>127</v>
      </c>
      <c r="BL101" s="170">
        <v>1000</v>
      </c>
      <c r="BM101" s="47" t="s">
        <v>412</v>
      </c>
      <c r="BN101" s="169">
        <f t="shared" ref="BN101:BN102" si="13">1/14.59/3.28^3</f>
        <v>1.9423307107314883E-3</v>
      </c>
      <c r="BO101" s="127">
        <f t="shared" si="12"/>
        <v>1.9423307107314884</v>
      </c>
      <c r="BP101" s="13" t="s">
        <v>413</v>
      </c>
      <c r="BQ101" s="13"/>
      <c r="BR101" s="131"/>
    </row>
    <row r="102" spans="1:70" ht="15.75">
      <c r="A102" s="322"/>
      <c r="B102" s="86">
        <f t="shared" si="11"/>
        <v>6.0000000000000001E-3</v>
      </c>
      <c r="C102" s="4">
        <f t="shared" si="10"/>
        <v>1.4545454545454548</v>
      </c>
      <c r="D102" s="4">
        <f t="shared" si="10"/>
        <v>1.5272727272727273</v>
      </c>
      <c r="E102" s="4">
        <f t="shared" si="10"/>
        <v>1.6000000000000003</v>
      </c>
      <c r="F102" s="4">
        <f t="shared" si="10"/>
        <v>1.6727272727272733</v>
      </c>
      <c r="G102" s="4">
        <f t="shared" si="10"/>
        <v>1.745454545454546</v>
      </c>
      <c r="H102" s="4">
        <f t="shared" si="10"/>
        <v>1.8181818181818186</v>
      </c>
      <c r="I102" s="4">
        <f t="shared" si="10"/>
        <v>1.8909090909090915</v>
      </c>
      <c r="J102" s="4">
        <f t="shared" si="10"/>
        <v>1.9636363636363643</v>
      </c>
      <c r="K102" s="4">
        <f t="shared" si="10"/>
        <v>2.036363636363637</v>
      </c>
      <c r="L102" s="4">
        <f t="shared" si="10"/>
        <v>2.1090909090909102</v>
      </c>
      <c r="M102" s="4">
        <f t="shared" si="10"/>
        <v>2.1818181818181825</v>
      </c>
      <c r="N102" s="1"/>
      <c r="O102" s="79" t="s">
        <v>247</v>
      </c>
      <c r="P102" s="24"/>
      <c r="Q102" s="12"/>
      <c r="R102" s="12"/>
      <c r="S102" s="12"/>
      <c r="T102" s="22" t="e">
        <f>62.4*S102*R102/((5.15-1.94)*32.2*Q102)*25.4*12</f>
        <v>#DIV/0!</v>
      </c>
      <c r="U102" s="1"/>
      <c r="V102" s="104" t="s">
        <v>450</v>
      </c>
      <c r="W102" s="33"/>
      <c r="X102" s="33"/>
      <c r="Y102" s="33"/>
      <c r="Z102" s="33"/>
      <c r="AA102" s="33"/>
      <c r="BG102" s="141"/>
      <c r="BH102" s="13"/>
      <c r="BI102" s="13"/>
      <c r="BJ102" s="45" t="s">
        <v>62</v>
      </c>
      <c r="BK102" s="124" t="s">
        <v>414</v>
      </c>
      <c r="BL102" s="206">
        <v>2650</v>
      </c>
      <c r="BM102" s="47" t="s">
        <v>412</v>
      </c>
      <c r="BN102" s="169">
        <f t="shared" si="13"/>
        <v>1.9423307107314883E-3</v>
      </c>
      <c r="BO102" s="83">
        <f t="shared" si="12"/>
        <v>5.1471763834384445</v>
      </c>
      <c r="BP102" s="13" t="s">
        <v>413</v>
      </c>
      <c r="BQ102" s="13"/>
      <c r="BR102" s="131"/>
    </row>
    <row r="103" spans="1:70" ht="15">
      <c r="A103" s="322"/>
      <c r="B103" s="86">
        <f t="shared" si="11"/>
        <v>7.0000000000000001E-3</v>
      </c>
      <c r="C103" s="4">
        <f t="shared" si="10"/>
        <v>1.6969696969696972</v>
      </c>
      <c r="D103" s="4">
        <f t="shared" si="10"/>
        <v>1.7818181818181822</v>
      </c>
      <c r="E103" s="4">
        <f t="shared" si="10"/>
        <v>1.8666666666666671</v>
      </c>
      <c r="F103" s="4">
        <f t="shared" si="10"/>
        <v>1.9515151515151521</v>
      </c>
      <c r="G103" s="4">
        <f t="shared" si="10"/>
        <v>2.036363636363637</v>
      </c>
      <c r="H103" s="4">
        <f t="shared" si="10"/>
        <v>2.121212121212122</v>
      </c>
      <c r="I103" s="4">
        <f t="shared" si="10"/>
        <v>2.2060606060606069</v>
      </c>
      <c r="J103" s="4">
        <f t="shared" si="10"/>
        <v>2.2909090909090919</v>
      </c>
      <c r="K103" s="4">
        <f t="shared" si="10"/>
        <v>2.3757575757575768</v>
      </c>
      <c r="L103" s="4">
        <f t="shared" si="10"/>
        <v>2.4606060606060614</v>
      </c>
      <c r="M103" s="4">
        <f t="shared" si="10"/>
        <v>2.5454545454545467</v>
      </c>
      <c r="N103" s="1"/>
      <c r="U103" s="1"/>
      <c r="V103" s="104" t="s">
        <v>289</v>
      </c>
      <c r="W103" s="33"/>
      <c r="X103" s="33"/>
      <c r="Y103" s="33"/>
      <c r="Z103" s="33"/>
      <c r="AA103" s="33"/>
      <c r="BG103" s="141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1"/>
    </row>
    <row r="104" spans="1:70" ht="15">
      <c r="A104" s="322"/>
      <c r="B104" s="86">
        <f t="shared" si="11"/>
        <v>8.0000000000000002E-3</v>
      </c>
      <c r="C104" s="4">
        <f t="shared" si="10"/>
        <v>1.9393939393939394</v>
      </c>
      <c r="D104" s="4">
        <f t="shared" si="10"/>
        <v>2.036363636363637</v>
      </c>
      <c r="E104" s="4">
        <f t="shared" si="10"/>
        <v>2.1333333333333337</v>
      </c>
      <c r="F104" s="4">
        <f t="shared" si="10"/>
        <v>2.2303030303030309</v>
      </c>
      <c r="G104" s="4">
        <f t="shared" si="10"/>
        <v>2.3272727272727276</v>
      </c>
      <c r="H104" s="4">
        <f t="shared" si="10"/>
        <v>2.4242424242424248</v>
      </c>
      <c r="I104" s="4">
        <f t="shared" si="10"/>
        <v>2.5212121212121223</v>
      </c>
      <c r="J104" s="4">
        <f t="shared" si="10"/>
        <v>2.6181818181818191</v>
      </c>
      <c r="K104" s="4">
        <f t="shared" si="10"/>
        <v>2.7151515151515162</v>
      </c>
      <c r="L104" s="4">
        <f t="shared" si="10"/>
        <v>2.8121212121212129</v>
      </c>
      <c r="M104" s="4">
        <f t="shared" si="10"/>
        <v>2.9090909090909101</v>
      </c>
      <c r="N104" s="1"/>
      <c r="U104" s="1"/>
      <c r="BG104" s="141"/>
      <c r="BH104" s="13"/>
      <c r="BI104" s="13"/>
      <c r="BJ104" s="45" t="s">
        <v>295</v>
      </c>
      <c r="BK104" s="87" t="s">
        <v>214</v>
      </c>
      <c r="BL104" s="45">
        <f>BL100*BL101</f>
        <v>9810</v>
      </c>
      <c r="BM104" s="47" t="s">
        <v>215</v>
      </c>
      <c r="BN104" s="43"/>
      <c r="BO104" s="66">
        <f>BO100*BO101</f>
        <v>62.497986813064955</v>
      </c>
      <c r="BP104" s="13" t="s">
        <v>128</v>
      </c>
      <c r="BQ104" s="13"/>
      <c r="BR104" s="131"/>
    </row>
    <row r="105" spans="1:70" ht="15.75">
      <c r="A105" s="322"/>
      <c r="B105" s="86">
        <f t="shared" si="11"/>
        <v>9.0000000000000011E-3</v>
      </c>
      <c r="C105" s="4">
        <f t="shared" si="10"/>
        <v>2.1818181818181821</v>
      </c>
      <c r="D105" s="4">
        <f t="shared" si="10"/>
        <v>2.2909090909090919</v>
      </c>
      <c r="E105" s="4">
        <f t="shared" si="10"/>
        <v>2.4000000000000008</v>
      </c>
      <c r="F105" s="4">
        <f t="shared" si="10"/>
        <v>2.5090909090909097</v>
      </c>
      <c r="G105" s="4">
        <f t="shared" si="10"/>
        <v>2.6181818181818191</v>
      </c>
      <c r="H105" s="4">
        <f t="shared" si="10"/>
        <v>2.7272727272727284</v>
      </c>
      <c r="I105" s="4">
        <f t="shared" si="10"/>
        <v>2.8363636363636378</v>
      </c>
      <c r="J105" s="4">
        <f t="shared" si="10"/>
        <v>2.9454545454545467</v>
      </c>
      <c r="K105" s="4">
        <f t="shared" si="10"/>
        <v>3.0545454545454565</v>
      </c>
      <c r="L105" s="4">
        <f t="shared" si="10"/>
        <v>3.1636363636363649</v>
      </c>
      <c r="M105" s="4">
        <f t="shared" si="10"/>
        <v>3.2727272727272743</v>
      </c>
      <c r="N105" s="1"/>
      <c r="O105" s="340" t="s">
        <v>407</v>
      </c>
      <c r="P105" s="341"/>
      <c r="Q105" s="342"/>
      <c r="U105" s="1"/>
      <c r="BG105" s="141"/>
      <c r="BH105" s="13"/>
      <c r="BI105" s="13"/>
      <c r="BJ105" s="13"/>
      <c r="BK105" s="13"/>
      <c r="BL105" s="13">
        <f>BL104/9.81</f>
        <v>1000</v>
      </c>
      <c r="BM105" s="47" t="s">
        <v>93</v>
      </c>
      <c r="BN105" s="13"/>
      <c r="BO105" s="13"/>
      <c r="BP105" s="13"/>
      <c r="BQ105" s="13"/>
      <c r="BR105" s="131"/>
    </row>
    <row r="106" spans="1:70" ht="15">
      <c r="A106" s="322"/>
      <c r="B106" s="86">
        <f t="shared" si="11"/>
        <v>1.0000000000000002E-2</v>
      </c>
      <c r="C106" s="4">
        <f t="shared" si="10"/>
        <v>2.4242424242424248</v>
      </c>
      <c r="D106" s="4">
        <f t="shared" si="10"/>
        <v>2.5454545454545463</v>
      </c>
      <c r="E106" s="4">
        <f t="shared" si="10"/>
        <v>2.6666666666666674</v>
      </c>
      <c r="F106" s="4">
        <f t="shared" si="10"/>
        <v>2.787878787878789</v>
      </c>
      <c r="G106" s="4">
        <f t="shared" si="10"/>
        <v>2.9090909090909101</v>
      </c>
      <c r="H106" s="4">
        <f t="shared" si="10"/>
        <v>3.0303030303030321</v>
      </c>
      <c r="I106" s="4">
        <f t="shared" si="10"/>
        <v>3.1515151515151532</v>
      </c>
      <c r="J106" s="4">
        <f t="shared" si="10"/>
        <v>3.2727272727272743</v>
      </c>
      <c r="K106" s="4">
        <f t="shared" si="10"/>
        <v>3.3939393939393958</v>
      </c>
      <c r="L106" s="4">
        <f t="shared" si="10"/>
        <v>3.5151515151515174</v>
      </c>
      <c r="M106" s="4">
        <f t="shared" si="10"/>
        <v>3.6363636363636385</v>
      </c>
      <c r="N106" s="1"/>
      <c r="O106" s="134" t="s">
        <v>292</v>
      </c>
      <c r="P106" s="103">
        <v>3.28</v>
      </c>
      <c r="Q106" s="156" t="s">
        <v>291</v>
      </c>
      <c r="U106" s="1"/>
      <c r="BG106" s="141"/>
      <c r="BH106" s="13"/>
      <c r="BI106" s="13"/>
      <c r="BJ106" s="45"/>
      <c r="BK106" s="87"/>
      <c r="BL106" s="105"/>
      <c r="BM106" s="47"/>
      <c r="BN106" s="43"/>
      <c r="BO106" s="105"/>
      <c r="BP106" s="13"/>
      <c r="BQ106" s="13"/>
      <c r="BR106" s="131"/>
    </row>
    <row r="107" spans="1:70" ht="15">
      <c r="A107" s="322"/>
      <c r="B107" s="86">
        <f t="shared" si="11"/>
        <v>1.1000000000000003E-2</v>
      </c>
      <c r="C107" s="4">
        <f t="shared" si="10"/>
        <v>2.6666666666666674</v>
      </c>
      <c r="D107" s="4">
        <f t="shared" si="10"/>
        <v>2.8000000000000012</v>
      </c>
      <c r="E107" s="4">
        <f t="shared" si="10"/>
        <v>2.9333333333333349</v>
      </c>
      <c r="F107" s="4">
        <f t="shared" si="10"/>
        <v>3.0666666666666682</v>
      </c>
      <c r="G107" s="4">
        <f t="shared" si="10"/>
        <v>3.2000000000000011</v>
      </c>
      <c r="H107" s="4">
        <f t="shared" si="10"/>
        <v>3.3333333333333348</v>
      </c>
      <c r="I107" s="4">
        <f t="shared" si="10"/>
        <v>3.466666666666669</v>
      </c>
      <c r="J107" s="4">
        <f t="shared" si="10"/>
        <v>3.6000000000000019</v>
      </c>
      <c r="K107" s="4">
        <f t="shared" si="10"/>
        <v>3.7333333333333352</v>
      </c>
      <c r="L107" s="4">
        <f t="shared" si="10"/>
        <v>3.8666666666666698</v>
      </c>
      <c r="M107" s="4">
        <f t="shared" si="10"/>
        <v>4.0000000000000027</v>
      </c>
      <c r="N107" s="1"/>
      <c r="O107" s="134" t="s">
        <v>248</v>
      </c>
      <c r="P107" s="103">
        <v>5.0000000000000001E-3</v>
      </c>
      <c r="Q107" s="156" t="s">
        <v>19</v>
      </c>
      <c r="U107" s="1"/>
      <c r="V107" s="331" t="s">
        <v>153</v>
      </c>
      <c r="W107" s="343"/>
      <c r="X107" s="332"/>
      <c r="Y107" s="331" t="s">
        <v>377</v>
      </c>
      <c r="Z107" s="332"/>
      <c r="BG107" s="141"/>
      <c r="BH107" s="13"/>
      <c r="BI107" s="13"/>
      <c r="BJ107" s="45" t="s">
        <v>416</v>
      </c>
      <c r="BK107" s="124" t="s">
        <v>491</v>
      </c>
      <c r="BL107" s="66">
        <f>BL101*BL100*BL96*BL97</f>
        <v>49.050000000000004</v>
      </c>
      <c r="BM107" s="47" t="s">
        <v>492</v>
      </c>
      <c r="BN107" s="148"/>
      <c r="BO107" s="197">
        <f>BO104*BO96*BO97</f>
        <v>1.0249669837342652</v>
      </c>
      <c r="BP107" s="13" t="s">
        <v>382</v>
      </c>
      <c r="BQ107" s="13"/>
      <c r="BR107" s="131"/>
    </row>
    <row r="108" spans="1:70" ht="15.75">
      <c r="A108" s="322"/>
      <c r="B108" s="86">
        <f t="shared" si="11"/>
        <v>1.2000000000000004E-2</v>
      </c>
      <c r="C108" s="4">
        <f t="shared" si="10"/>
        <v>2.9090909090909101</v>
      </c>
      <c r="D108" s="4">
        <f t="shared" si="10"/>
        <v>3.0545454545454565</v>
      </c>
      <c r="E108" s="4">
        <f t="shared" si="10"/>
        <v>3.2000000000000011</v>
      </c>
      <c r="F108" s="4">
        <f t="shared" si="10"/>
        <v>3.3454545454545475</v>
      </c>
      <c r="G108" s="4">
        <f t="shared" si="10"/>
        <v>3.490909090909093</v>
      </c>
      <c r="H108" s="4">
        <f t="shared" si="10"/>
        <v>3.6363636363636385</v>
      </c>
      <c r="I108" s="4">
        <f t="shared" si="10"/>
        <v>3.781818181818184</v>
      </c>
      <c r="J108" s="4">
        <f t="shared" si="10"/>
        <v>3.9272727272727299</v>
      </c>
      <c r="K108" s="4">
        <f t="shared" si="10"/>
        <v>4.0727272727272759</v>
      </c>
      <c r="L108" s="4">
        <f t="shared" si="10"/>
        <v>4.2181818181818205</v>
      </c>
      <c r="M108" s="4">
        <f t="shared" si="10"/>
        <v>4.3636363636363669</v>
      </c>
      <c r="N108" s="1"/>
      <c r="O108" s="134" t="s">
        <v>378</v>
      </c>
      <c r="P108" s="103">
        <v>32</v>
      </c>
      <c r="Q108" s="156" t="s">
        <v>20</v>
      </c>
      <c r="U108" s="1"/>
      <c r="V108" s="331" t="s">
        <v>23</v>
      </c>
      <c r="W108" s="343"/>
      <c r="X108" s="332"/>
      <c r="Y108" s="331">
        <v>0.06</v>
      </c>
      <c r="Z108" s="332"/>
      <c r="BG108" s="141"/>
      <c r="BH108" s="13"/>
      <c r="BI108" s="13"/>
      <c r="BJ108" s="45"/>
      <c r="BK108" s="124"/>
      <c r="BL108" s="66">
        <f>BL105*BL96*BL97</f>
        <v>5</v>
      </c>
      <c r="BM108" s="47" t="s">
        <v>354</v>
      </c>
      <c r="BN108" s="43"/>
      <c r="BO108" s="108"/>
      <c r="BP108" s="13"/>
      <c r="BQ108" s="13"/>
      <c r="BR108" s="131"/>
    </row>
    <row r="109" spans="1:70" ht="15">
      <c r="A109" s="322"/>
      <c r="B109" s="86">
        <f t="shared" si="11"/>
        <v>1.3000000000000005E-2</v>
      </c>
      <c r="C109" s="4">
        <f t="shared" si="10"/>
        <v>3.1515151515151532</v>
      </c>
      <c r="D109" s="4">
        <f t="shared" si="10"/>
        <v>3.3090909090909113</v>
      </c>
      <c r="E109" s="4">
        <f t="shared" si="10"/>
        <v>3.4666666666666686</v>
      </c>
      <c r="F109" s="4">
        <f t="shared" si="10"/>
        <v>3.6242424242424263</v>
      </c>
      <c r="G109" s="4">
        <f t="shared" si="10"/>
        <v>3.781818181818184</v>
      </c>
      <c r="H109" s="4">
        <f t="shared" si="10"/>
        <v>3.9393939393939412</v>
      </c>
      <c r="I109" s="4">
        <f t="shared" si="10"/>
        <v>4.0969696969696994</v>
      </c>
      <c r="J109" s="4">
        <f t="shared" si="10"/>
        <v>4.2545454545454575</v>
      </c>
      <c r="K109" s="4">
        <f t="shared" si="10"/>
        <v>4.4121212121212157</v>
      </c>
      <c r="L109" s="4">
        <f t="shared" si="10"/>
        <v>4.5696969696969729</v>
      </c>
      <c r="M109" s="4">
        <f t="shared" si="10"/>
        <v>4.7272727272727311</v>
      </c>
      <c r="N109" s="1"/>
      <c r="O109" s="134" t="s">
        <v>379</v>
      </c>
      <c r="P109" s="115">
        <f>(1.94*32.2*P106*P107)/((5.15-1.94)*32.2*P108/304.8)</f>
        <v>9.4407289719626142E-2</v>
      </c>
      <c r="Q109" s="156"/>
      <c r="U109" s="1"/>
      <c r="V109" s="331" t="s">
        <v>143</v>
      </c>
      <c r="W109" s="343"/>
      <c r="X109" s="332"/>
      <c r="Y109" s="331">
        <v>4.4999999999999998E-2</v>
      </c>
      <c r="Z109" s="332"/>
      <c r="BG109" s="141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1"/>
    </row>
    <row r="110" spans="1:70" ht="15.75">
      <c r="A110" s="322"/>
      <c r="B110" s="86">
        <f t="shared" si="11"/>
        <v>1.4000000000000005E-2</v>
      </c>
      <c r="C110" s="4">
        <f t="shared" si="10"/>
        <v>3.3939393939393958</v>
      </c>
      <c r="D110" s="4">
        <f t="shared" si="10"/>
        <v>3.5636363636363653</v>
      </c>
      <c r="E110" s="4">
        <f t="shared" si="10"/>
        <v>3.7333333333333352</v>
      </c>
      <c r="F110" s="4">
        <f t="shared" si="10"/>
        <v>3.9030303030303051</v>
      </c>
      <c r="G110" s="4">
        <f t="shared" si="10"/>
        <v>4.0727272727272759</v>
      </c>
      <c r="H110" s="4">
        <f t="shared" si="10"/>
        <v>4.2424242424242449</v>
      </c>
      <c r="I110" s="4">
        <f t="shared" si="10"/>
        <v>4.4121212121212157</v>
      </c>
      <c r="J110" s="4">
        <f t="shared" si="10"/>
        <v>4.5818181818181847</v>
      </c>
      <c r="K110" s="4">
        <f t="shared" si="10"/>
        <v>4.7515151515151555</v>
      </c>
      <c r="L110" s="4">
        <f t="shared" si="10"/>
        <v>4.9212121212121254</v>
      </c>
      <c r="M110" s="4">
        <f t="shared" si="10"/>
        <v>5.0909090909090953</v>
      </c>
      <c r="N110" s="1"/>
      <c r="O110" s="134" t="s">
        <v>488</v>
      </c>
      <c r="P110" s="103">
        <v>1.67</v>
      </c>
      <c r="Q110" s="156" t="s">
        <v>291</v>
      </c>
      <c r="U110" s="1"/>
      <c r="BG110" s="141"/>
      <c r="BH110" s="13"/>
      <c r="BI110" s="13"/>
      <c r="BJ110" s="45" t="s">
        <v>379</v>
      </c>
      <c r="BK110" s="87" t="s">
        <v>172</v>
      </c>
      <c r="BL110" s="91">
        <f>BL107/((BL102-BL101)*BL100*BL98)</f>
        <v>9.469696969696971E-2</v>
      </c>
      <c r="BM110" s="47" t="s">
        <v>415</v>
      </c>
      <c r="BN110" s="91"/>
      <c r="BO110" s="91">
        <f>BO107/((BO102-BO101)*BO100*BO98/304.8)</f>
        <v>9.4672727272727256E-2</v>
      </c>
      <c r="BP110" s="47" t="s">
        <v>415</v>
      </c>
      <c r="BQ110" s="13"/>
      <c r="BR110" s="131"/>
    </row>
    <row r="111" spans="1:70" ht="15">
      <c r="A111" s="322"/>
      <c r="B111" s="86">
        <f t="shared" si="11"/>
        <v>1.5000000000000006E-2</v>
      </c>
      <c r="C111" s="4">
        <f t="shared" si="10"/>
        <v>3.6363636363636385</v>
      </c>
      <c r="D111" s="4">
        <f t="shared" si="10"/>
        <v>3.8181818181818201</v>
      </c>
      <c r="E111" s="4">
        <f t="shared" si="10"/>
        <v>4.0000000000000027</v>
      </c>
      <c r="F111" s="4">
        <f t="shared" si="10"/>
        <v>4.1818181818181843</v>
      </c>
      <c r="G111" s="4">
        <f t="shared" si="10"/>
        <v>4.3636363636363669</v>
      </c>
      <c r="H111" s="4">
        <f t="shared" si="10"/>
        <v>4.5454545454545485</v>
      </c>
      <c r="I111" s="4">
        <f t="shared" si="10"/>
        <v>4.7272727272727311</v>
      </c>
      <c r="J111" s="4">
        <f t="shared" si="10"/>
        <v>4.9090909090909136</v>
      </c>
      <c r="K111" s="4">
        <f t="shared" si="10"/>
        <v>5.0909090909090953</v>
      </c>
      <c r="L111" s="4">
        <f t="shared" si="10"/>
        <v>5.2727272727272769</v>
      </c>
      <c r="M111" s="4">
        <f t="shared" si="10"/>
        <v>5.4545454545454586</v>
      </c>
      <c r="N111" s="1"/>
      <c r="O111" s="134" t="s">
        <v>21</v>
      </c>
      <c r="P111" s="103">
        <v>51</v>
      </c>
      <c r="Q111" s="156" t="s">
        <v>20</v>
      </c>
      <c r="U111" s="1"/>
      <c r="V111" t="s">
        <v>452</v>
      </c>
      <c r="BG111" s="141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1"/>
    </row>
    <row r="112" spans="1:70" ht="15.75">
      <c r="A112" s="322"/>
      <c r="B112" s="86">
        <f t="shared" si="11"/>
        <v>1.6000000000000007E-2</v>
      </c>
      <c r="C112" s="4">
        <f t="shared" si="10"/>
        <v>3.8787878787878811</v>
      </c>
      <c r="D112" s="4">
        <f t="shared" si="10"/>
        <v>4.0727272727272759</v>
      </c>
      <c r="E112" s="4">
        <f t="shared" si="10"/>
        <v>4.2666666666666693</v>
      </c>
      <c r="F112" s="4">
        <f t="shared" si="10"/>
        <v>4.4606060606060636</v>
      </c>
      <c r="G112" s="4">
        <f t="shared" si="10"/>
        <v>4.6545454545454579</v>
      </c>
      <c r="H112" s="4">
        <f t="shared" si="10"/>
        <v>4.8484848484848522</v>
      </c>
      <c r="I112" s="4">
        <f t="shared" si="10"/>
        <v>5.0424242424242465</v>
      </c>
      <c r="J112" s="4">
        <f t="shared" si="10"/>
        <v>5.2363636363636408</v>
      </c>
      <c r="K112" s="4">
        <f t="shared" si="10"/>
        <v>5.4303030303030351</v>
      </c>
      <c r="L112" s="4">
        <f t="shared" si="10"/>
        <v>5.6242424242424285</v>
      </c>
      <c r="M112" s="4">
        <f t="shared" si="10"/>
        <v>5.8181818181818228</v>
      </c>
      <c r="N112" s="1"/>
      <c r="O112" s="134" t="s">
        <v>451</v>
      </c>
      <c r="P112" s="115">
        <f>((5.15-1.94)*32.2*P109*(P111/304.9))/(62.4*P110)</f>
        <v>1.5663114579932649E-2</v>
      </c>
      <c r="Q112" s="156" t="s">
        <v>19</v>
      </c>
      <c r="U112" s="1"/>
      <c r="BG112" s="141"/>
      <c r="BH112" s="13"/>
      <c r="BI112" s="13"/>
      <c r="BJ112" s="45" t="s">
        <v>296</v>
      </c>
      <c r="BK112" s="43" t="s">
        <v>297</v>
      </c>
      <c r="BL112" s="83">
        <f>BL107/((BL102-BL101)*BL100*0.06)</f>
        <v>5.0505050505050511E-2</v>
      </c>
      <c r="BM112" s="47" t="s">
        <v>60</v>
      </c>
      <c r="BN112" s="13"/>
      <c r="BO112" s="83">
        <f>BO107/((BO102-BO101)*BO100*0.06)</f>
        <v>0.16565656565656564</v>
      </c>
      <c r="BP112" s="13" t="s">
        <v>291</v>
      </c>
      <c r="BQ112" s="13"/>
      <c r="BR112" s="131"/>
    </row>
    <row r="113" spans="1:70" ht="15">
      <c r="A113" s="322"/>
      <c r="B113" s="86">
        <f t="shared" si="11"/>
        <v>1.7000000000000008E-2</v>
      </c>
      <c r="C113" s="4">
        <f t="shared" si="10"/>
        <v>4.1212121212121238</v>
      </c>
      <c r="D113" s="4">
        <f t="shared" si="10"/>
        <v>4.3272727272727298</v>
      </c>
      <c r="E113" s="4">
        <f t="shared" si="10"/>
        <v>4.5333333333333368</v>
      </c>
      <c r="F113" s="4">
        <f t="shared" si="10"/>
        <v>4.7393939393939428</v>
      </c>
      <c r="G113" s="4">
        <f t="shared" si="10"/>
        <v>4.9454545454545489</v>
      </c>
      <c r="H113" s="4">
        <f t="shared" si="10"/>
        <v>5.1515151515151558</v>
      </c>
      <c r="I113" s="4">
        <f t="shared" si="10"/>
        <v>5.3575757575757619</v>
      </c>
      <c r="J113" s="4">
        <f t="shared" si="10"/>
        <v>5.5636363636363679</v>
      </c>
      <c r="K113" s="4">
        <f t="shared" si="10"/>
        <v>5.7696969696969749</v>
      </c>
      <c r="L113" s="4">
        <f t="shared" si="10"/>
        <v>5.9757575757575809</v>
      </c>
      <c r="M113" s="4">
        <f t="shared" si="10"/>
        <v>6.181818181818187</v>
      </c>
      <c r="N113" s="1"/>
      <c r="U113" s="1"/>
      <c r="BG113" s="130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192"/>
    </row>
    <row r="114" spans="1:70" ht="15">
      <c r="A114" s="322"/>
      <c r="B114" s="86">
        <f t="shared" si="11"/>
        <v>1.8000000000000009E-2</v>
      </c>
      <c r="C114" s="4">
        <f t="shared" si="10"/>
        <v>4.3636363636363669</v>
      </c>
      <c r="D114" s="4">
        <f t="shared" si="10"/>
        <v>4.5818181818181847</v>
      </c>
      <c r="E114" s="4">
        <f t="shared" si="10"/>
        <v>4.8000000000000034</v>
      </c>
      <c r="F114" s="4">
        <f t="shared" si="10"/>
        <v>5.0181818181818221</v>
      </c>
      <c r="G114" s="4">
        <f t="shared" si="10"/>
        <v>5.2363636363636408</v>
      </c>
      <c r="H114" s="4">
        <f t="shared" si="10"/>
        <v>5.4545454545454586</v>
      </c>
      <c r="I114" s="4">
        <f t="shared" si="10"/>
        <v>5.6727272727272782</v>
      </c>
      <c r="J114" s="4">
        <f t="shared" si="10"/>
        <v>5.890909090909096</v>
      </c>
      <c r="K114" s="4">
        <f t="shared" si="10"/>
        <v>6.1090909090909138</v>
      </c>
      <c r="L114" s="4">
        <f t="shared" si="10"/>
        <v>6.3272727272727316</v>
      </c>
      <c r="M114" s="4">
        <f t="shared" si="10"/>
        <v>6.5454545454545521</v>
      </c>
      <c r="N114" s="1"/>
      <c r="U114" s="1"/>
    </row>
    <row r="115" spans="1:70" ht="15">
      <c r="A115" s="322"/>
      <c r="B115" s="86">
        <f t="shared" si="11"/>
        <v>1.900000000000001E-2</v>
      </c>
      <c r="C115" s="4">
        <f t="shared" si="10"/>
        <v>4.6060606060606091</v>
      </c>
      <c r="D115" s="4">
        <f t="shared" si="10"/>
        <v>4.8363636363636404</v>
      </c>
      <c r="E115" s="4">
        <f t="shared" si="10"/>
        <v>5.06666666666667</v>
      </c>
      <c r="F115" s="4">
        <f t="shared" si="10"/>
        <v>5.2969696969697013</v>
      </c>
      <c r="G115" s="4">
        <f t="shared" si="10"/>
        <v>5.5272727272727318</v>
      </c>
      <c r="H115" s="4">
        <f t="shared" si="10"/>
        <v>5.7575757575757631</v>
      </c>
      <c r="I115" s="4">
        <f t="shared" si="10"/>
        <v>5.9878787878787927</v>
      </c>
      <c r="J115" s="4">
        <f t="shared" si="10"/>
        <v>6.218181818181824</v>
      </c>
      <c r="K115" s="4">
        <f t="shared" si="10"/>
        <v>6.4484848484848545</v>
      </c>
      <c r="L115" s="4">
        <f t="shared" si="10"/>
        <v>6.6787878787878849</v>
      </c>
      <c r="M115" s="4">
        <f t="shared" si="10"/>
        <v>6.9090909090909154</v>
      </c>
      <c r="N115" s="1"/>
      <c r="U115" s="1"/>
    </row>
    <row r="116" spans="1:70" ht="15">
      <c r="A116" s="323"/>
      <c r="B116" s="86">
        <f t="shared" si="11"/>
        <v>2.0000000000000011E-2</v>
      </c>
      <c r="C116" s="4">
        <f t="shared" si="10"/>
        <v>4.8484848484848513</v>
      </c>
      <c r="D116" s="4">
        <f t="shared" si="10"/>
        <v>5.0909090909090944</v>
      </c>
      <c r="E116" s="4">
        <f t="shared" si="10"/>
        <v>5.3333333333333375</v>
      </c>
      <c r="F116" s="4">
        <f t="shared" si="10"/>
        <v>5.5757575757575797</v>
      </c>
      <c r="G116" s="4">
        <f t="shared" si="10"/>
        <v>5.8181818181818228</v>
      </c>
      <c r="H116" s="4">
        <f t="shared" si="10"/>
        <v>6.0606060606060659</v>
      </c>
      <c r="I116" s="4">
        <f t="shared" si="10"/>
        <v>6.303030303030309</v>
      </c>
      <c r="J116" s="4">
        <f t="shared" si="10"/>
        <v>6.5454545454545521</v>
      </c>
      <c r="K116" s="4">
        <f t="shared" si="10"/>
        <v>6.7878787878787943</v>
      </c>
      <c r="L116" s="4">
        <f t="shared" si="10"/>
        <v>7.0303030303030365</v>
      </c>
      <c r="M116" s="4">
        <f t="shared" si="10"/>
        <v>7.2727272727272796</v>
      </c>
      <c r="N116" s="1"/>
      <c r="U116" s="1"/>
    </row>
    <row r="117" spans="1:70" ht="15">
      <c r="B117" s="1"/>
      <c r="C117" s="54"/>
      <c r="D117" s="15"/>
      <c r="E117" s="15"/>
      <c r="F117" s="15"/>
      <c r="G117" s="15"/>
      <c r="H117" s="15"/>
      <c r="I117" s="16"/>
      <c r="J117" s="16"/>
      <c r="K117" s="16"/>
      <c r="L117" s="16"/>
      <c r="M117" s="16"/>
      <c r="N117" s="1"/>
      <c r="O117" s="33"/>
      <c r="P117" s="33"/>
      <c r="Q117" s="33"/>
      <c r="R117" s="33"/>
      <c r="S117" s="33"/>
      <c r="T117" s="33"/>
      <c r="U117" s="1"/>
    </row>
    <row r="118" spans="1:70" ht="15">
      <c r="B118" s="1"/>
      <c r="C118" s="1"/>
      <c r="D118" s="1"/>
      <c r="E118" s="1"/>
      <c r="F118" s="1"/>
      <c r="G118" s="1"/>
      <c r="H118" s="1"/>
      <c r="I118" s="1"/>
      <c r="J118" s="16"/>
      <c r="K118" s="16"/>
      <c r="M118" s="1"/>
      <c r="N118" s="1"/>
      <c r="U118" s="1"/>
    </row>
    <row r="119" spans="1:70" ht="21">
      <c r="B119" s="1"/>
      <c r="C119" s="327" t="s">
        <v>283</v>
      </c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1"/>
      <c r="O119" s="1"/>
      <c r="P119" s="1"/>
      <c r="Q119" s="1"/>
      <c r="R119" s="1"/>
      <c r="S119" s="1"/>
      <c r="T119" s="1"/>
      <c r="U119" s="1"/>
    </row>
    <row r="120" spans="1:70" ht="18.75">
      <c r="B120" s="1"/>
      <c r="C120" s="328" t="s">
        <v>152</v>
      </c>
      <c r="D120" s="329"/>
      <c r="E120" s="329"/>
      <c r="F120" s="329"/>
      <c r="G120" s="329"/>
      <c r="H120" s="329"/>
      <c r="I120" s="329"/>
      <c r="J120" s="329"/>
      <c r="K120" s="329"/>
      <c r="L120" s="329"/>
      <c r="M120" s="330"/>
      <c r="N120" s="1"/>
      <c r="O120" s="1"/>
      <c r="P120" s="1"/>
      <c r="Q120" s="1"/>
      <c r="R120" s="1"/>
      <c r="S120" s="1"/>
      <c r="T120" s="1"/>
      <c r="U120" s="1"/>
    </row>
    <row r="121" spans="1:70" ht="15">
      <c r="A121" s="331" t="s">
        <v>376</v>
      </c>
      <c r="B121" s="332"/>
      <c r="C121" s="2">
        <f t="shared" ref="C121:M121" si="14">C$12</f>
        <v>0</v>
      </c>
      <c r="D121" s="2">
        <f t="shared" si="14"/>
        <v>0</v>
      </c>
      <c r="E121" s="2">
        <f t="shared" si="14"/>
        <v>0</v>
      </c>
      <c r="F121" s="2">
        <f t="shared" si="14"/>
        <v>0</v>
      </c>
      <c r="G121" s="2">
        <f t="shared" si="14"/>
        <v>0</v>
      </c>
      <c r="H121" s="2">
        <f t="shared" si="14"/>
        <v>0</v>
      </c>
      <c r="I121" s="2">
        <f t="shared" si="14"/>
        <v>0</v>
      </c>
      <c r="J121" s="2">
        <f t="shared" si="14"/>
        <v>0</v>
      </c>
      <c r="K121" s="2">
        <f t="shared" si="14"/>
        <v>0</v>
      </c>
      <c r="L121" s="2">
        <f t="shared" si="14"/>
        <v>0</v>
      </c>
      <c r="M121" s="2">
        <f t="shared" si="14"/>
        <v>0</v>
      </c>
      <c r="N121" s="1"/>
      <c r="O121" s="1"/>
      <c r="P121" s="1"/>
      <c r="Q121" s="1"/>
      <c r="R121" s="1"/>
      <c r="S121" s="1"/>
      <c r="T121" s="1"/>
      <c r="U121" s="1"/>
    </row>
    <row r="122" spans="1:70" ht="15">
      <c r="A122" s="319" t="s">
        <v>46</v>
      </c>
      <c r="B122" s="320"/>
      <c r="C122" s="3">
        <f t="shared" ref="C122:M122" si="15">C$9</f>
        <v>2</v>
      </c>
      <c r="D122" s="3">
        <f t="shared" si="15"/>
        <v>2.1</v>
      </c>
      <c r="E122" s="3">
        <f t="shared" si="15"/>
        <v>2.2000000000000002</v>
      </c>
      <c r="F122" s="3">
        <f t="shared" si="15"/>
        <v>2.3000000000000003</v>
      </c>
      <c r="G122" s="3">
        <f t="shared" si="15"/>
        <v>2.4000000000000004</v>
      </c>
      <c r="H122" s="3">
        <f t="shared" si="15"/>
        <v>2.5000000000000004</v>
      </c>
      <c r="I122" s="3">
        <f t="shared" si="15"/>
        <v>2.6000000000000005</v>
      </c>
      <c r="J122" s="3">
        <f t="shared" si="15"/>
        <v>2.7000000000000006</v>
      </c>
      <c r="K122" s="3">
        <f t="shared" si="15"/>
        <v>2.8000000000000007</v>
      </c>
      <c r="L122" s="3">
        <f t="shared" si="15"/>
        <v>2.9000000000000008</v>
      </c>
      <c r="M122" s="3">
        <f t="shared" si="15"/>
        <v>3.0000000000000009</v>
      </c>
      <c r="N122" s="1"/>
      <c r="O122" s="1"/>
      <c r="P122" s="1"/>
      <c r="Q122" s="1"/>
      <c r="R122" s="1"/>
      <c r="S122" s="1"/>
      <c r="T122" s="1"/>
      <c r="U122" s="1"/>
    </row>
    <row r="123" spans="1:70" ht="15" customHeight="1">
      <c r="A123" s="321" t="s">
        <v>510</v>
      </c>
      <c r="B123" s="1">
        <f>$G$4</f>
        <v>1E-3</v>
      </c>
      <c r="C123" s="4">
        <f t="shared" ref="C123:M142" si="16">((77.966*((62.4*$B123*(C$122))^1.042)))*0.0393701</f>
        <v>0.3510163689506493</v>
      </c>
      <c r="D123" s="4">
        <f t="shared" si="16"/>
        <v>0.36932322481499086</v>
      </c>
      <c r="E123" s="4">
        <f t="shared" si="16"/>
        <v>0.38766674461522449</v>
      </c>
      <c r="F123" s="4">
        <f t="shared" si="16"/>
        <v>0.40604532914926056</v>
      </c>
      <c r="G123" s="4">
        <f t="shared" si="16"/>
        <v>0.42445751561628547</v>
      </c>
      <c r="H123" s="4">
        <f t="shared" si="16"/>
        <v>0.44290196076948535</v>
      </c>
      <c r="I123" s="4">
        <f t="shared" si="16"/>
        <v>0.46137742674221371</v>
      </c>
      <c r="J123" s="4">
        <f t="shared" si="16"/>
        <v>0.47988276903653776</v>
      </c>
      <c r="K123" s="4">
        <f t="shared" si="16"/>
        <v>0.4984169262761573</v>
      </c>
      <c r="L123" s="4">
        <f t="shared" si="16"/>
        <v>0.51697891141059871</v>
      </c>
      <c r="M123" s="4">
        <f t="shared" si="16"/>
        <v>0.53556780412205751</v>
      </c>
      <c r="N123" s="1"/>
      <c r="O123" s="1"/>
      <c r="P123" s="1"/>
      <c r="Q123" s="1"/>
      <c r="R123" s="1"/>
      <c r="S123" s="1"/>
      <c r="T123" s="1"/>
      <c r="U123" s="1"/>
    </row>
    <row r="124" spans="1:70" ht="15">
      <c r="A124" s="322"/>
      <c r="B124" s="1">
        <f t="shared" ref="B124:B142" si="17">B123+$H$4</f>
        <v>2E-3</v>
      </c>
      <c r="C124" s="4">
        <f t="shared" si="16"/>
        <v>0.7227708435523007</v>
      </c>
      <c r="D124" s="4">
        <f t="shared" si="16"/>
        <v>0.76046612738027697</v>
      </c>
      <c r="E124" s="4">
        <f t="shared" si="16"/>
        <v>0.7982369051914886</v>
      </c>
      <c r="F124" s="4">
        <f t="shared" si="16"/>
        <v>0.83607988410062928</v>
      </c>
      <c r="G124" s="4">
        <f t="shared" si="16"/>
        <v>0.87399205208355557</v>
      </c>
      <c r="H124" s="4">
        <f t="shared" si="16"/>
        <v>0.91197064328739363</v>
      </c>
      <c r="I124" s="4">
        <f t="shared" si="16"/>
        <v>0.9500131088454834</v>
      </c>
      <c r="J124" s="4">
        <f t="shared" si="16"/>
        <v>0.98811709214482935</v>
      </c>
      <c r="K124" s="4">
        <f t="shared" si="16"/>
        <v>1.0262804077265426</v>
      </c>
      <c r="L124" s="4">
        <f t="shared" si="16"/>
        <v>1.0645010231745697</v>
      </c>
      <c r="M124" s="4">
        <f t="shared" si="16"/>
        <v>1.1027770434807718</v>
      </c>
      <c r="N124" s="1"/>
      <c r="O124" s="1"/>
      <c r="P124" s="1"/>
      <c r="Q124" s="1"/>
      <c r="R124" s="1"/>
      <c r="S124" s="1"/>
      <c r="T124" s="1"/>
      <c r="U124" s="1"/>
    </row>
    <row r="125" spans="1:70" ht="15">
      <c r="A125" s="322"/>
      <c r="B125" s="1">
        <f t="shared" si="17"/>
        <v>3.0000000000000001E-3</v>
      </c>
      <c r="C125" s="4">
        <f t="shared" si="16"/>
        <v>1.1027770434807713</v>
      </c>
      <c r="D125" s="4">
        <f t="shared" si="16"/>
        <v>1.1602911145363735</v>
      </c>
      <c r="E125" s="4">
        <f t="shared" si="16"/>
        <v>1.2179203715217559</v>
      </c>
      <c r="F125" s="4">
        <f t="shared" si="16"/>
        <v>1.2756597902742048</v>
      </c>
      <c r="G125" s="4">
        <f t="shared" si="16"/>
        <v>1.3335047751585911</v>
      </c>
      <c r="H125" s="4">
        <f t="shared" si="16"/>
        <v>1.3914511061388093</v>
      </c>
      <c r="I125" s="4">
        <f t="shared" si="16"/>
        <v>1.4494948942483026</v>
      </c>
      <c r="J125" s="4">
        <f t="shared" si="16"/>
        <v>1.5076325438540492</v>
      </c>
      <c r="K125" s="4">
        <f t="shared" si="16"/>
        <v>1.5658607204636388</v>
      </c>
      <c r="L125" s="4">
        <f t="shared" si="16"/>
        <v>1.6241763230917639</v>
      </c>
      <c r="M125" s="4">
        <f t="shared" si="16"/>
        <v>1.6825764604050357</v>
      </c>
      <c r="N125" s="1"/>
      <c r="O125" s="1"/>
      <c r="P125" s="1"/>
      <c r="Q125" s="1"/>
      <c r="R125" s="1"/>
      <c r="S125" s="1"/>
      <c r="T125" s="1"/>
      <c r="U125" s="1"/>
    </row>
    <row r="126" spans="1:70" ht="15">
      <c r="A126" s="322"/>
      <c r="B126" s="1">
        <f t="shared" si="17"/>
        <v>4.0000000000000001E-3</v>
      </c>
      <c r="C126" s="4">
        <f t="shared" si="16"/>
        <v>1.4882431091489923</v>
      </c>
      <c r="D126" s="4">
        <f t="shared" si="16"/>
        <v>1.5658607204636383</v>
      </c>
      <c r="E126" s="4">
        <f t="shared" si="16"/>
        <v>1.6436337799418821</v>
      </c>
      <c r="F126" s="4">
        <f t="shared" si="16"/>
        <v>1.7215555072688971</v>
      </c>
      <c r="G126" s="4">
        <f t="shared" si="16"/>
        <v>1.7996197004455083</v>
      </c>
      <c r="H126" s="4">
        <f t="shared" si="16"/>
        <v>1.8778206643589188</v>
      </c>
      <c r="I126" s="4">
        <f t="shared" si="16"/>
        <v>1.9561531506883398</v>
      </c>
      <c r="J126" s="4">
        <f t="shared" si="16"/>
        <v>2.0346123069786928</v>
      </c>
      <c r="K126" s="4">
        <f t="shared" si="16"/>
        <v>2.1131936331949226</v>
      </c>
      <c r="L126" s="4">
        <f t="shared" si="16"/>
        <v>2.1918929444294437</v>
      </c>
      <c r="M126" s="4">
        <f t="shared" si="16"/>
        <v>2.2707063387085809</v>
      </c>
      <c r="N126" s="1"/>
      <c r="O126" s="1"/>
      <c r="P126" s="1"/>
      <c r="Q126" s="1"/>
      <c r="R126" s="1"/>
      <c r="S126" s="1"/>
      <c r="T126" s="1"/>
      <c r="U126" s="1"/>
    </row>
    <row r="127" spans="1:70" ht="15">
      <c r="A127" s="322"/>
      <c r="B127" s="1">
        <f t="shared" si="17"/>
        <v>5.0000000000000001E-3</v>
      </c>
      <c r="C127" s="4">
        <f t="shared" si="16"/>
        <v>1.8778206643589181</v>
      </c>
      <c r="D127" s="4">
        <f t="shared" si="16"/>
        <v>1.9757562459509372</v>
      </c>
      <c r="E127" s="4">
        <f t="shared" si="16"/>
        <v>2.0738879673886879</v>
      </c>
      <c r="F127" s="4">
        <f t="shared" si="16"/>
        <v>2.17220727347362</v>
      </c>
      <c r="G127" s="4">
        <f t="shared" si="16"/>
        <v>2.2707063387085809</v>
      </c>
      <c r="H127" s="4">
        <f t="shared" si="16"/>
        <v>2.3693779771704966</v>
      </c>
      <c r="I127" s="4">
        <f t="shared" si="16"/>
        <v>2.4682155666850965</v>
      </c>
      <c r="J127" s="4">
        <f t="shared" si="16"/>
        <v>2.5672129845696237</v>
      </c>
      <c r="K127" s="4">
        <f t="shared" si="16"/>
        <v>2.666364552814374</v>
      </c>
      <c r="L127" s="4">
        <f t="shared" si="16"/>
        <v>2.7656649910280624</v>
      </c>
      <c r="M127" s="4">
        <f t="shared" si="16"/>
        <v>2.8651093758169557</v>
      </c>
      <c r="N127" s="1"/>
      <c r="O127" s="1"/>
      <c r="P127" s="1"/>
      <c r="Q127" s="1"/>
      <c r="R127" s="1"/>
      <c r="S127" s="1"/>
      <c r="T127" s="1"/>
      <c r="U127" s="1"/>
    </row>
    <row r="128" spans="1:70" ht="15">
      <c r="A128" s="322"/>
      <c r="B128" s="1">
        <f t="shared" si="17"/>
        <v>6.0000000000000001E-3</v>
      </c>
      <c r="C128" s="4">
        <f t="shared" si="16"/>
        <v>2.27070633870858</v>
      </c>
      <c r="D128" s="4">
        <f t="shared" si="16"/>
        <v>2.389132421735007</v>
      </c>
      <c r="E128" s="4">
        <f t="shared" si="16"/>
        <v>2.5077956818249469</v>
      </c>
      <c r="F128" s="4">
        <f t="shared" si="16"/>
        <v>2.626685773824601</v>
      </c>
      <c r="G128" s="4">
        <f t="shared" si="16"/>
        <v>2.7457932349528194</v>
      </c>
      <c r="H128" s="4">
        <f t="shared" si="16"/>
        <v>2.8651093758169557</v>
      </c>
      <c r="I128" s="4">
        <f t="shared" si="16"/>
        <v>2.9846261887231007</v>
      </c>
      <c r="J128" s="4">
        <f t="shared" si="16"/>
        <v>3.1043362699746146</v>
      </c>
      <c r="K128" s="4">
        <f t="shared" si="16"/>
        <v>3.2242327535843072</v>
      </c>
      <c r="L128" s="4">
        <f t="shared" si="16"/>
        <v>3.3443092543748349</v>
      </c>
      <c r="M128" s="4">
        <f t="shared" si="16"/>
        <v>3.4645598188589597</v>
      </c>
      <c r="N128" s="1"/>
      <c r="O128" s="1"/>
      <c r="P128" s="1"/>
      <c r="Q128" s="1"/>
      <c r="R128" s="1"/>
      <c r="S128" s="1"/>
      <c r="T128" s="1"/>
      <c r="U128" s="1"/>
    </row>
    <row r="129" spans="1:21" ht="15">
      <c r="A129" s="322"/>
      <c r="B129" s="1">
        <f t="shared" si="17"/>
        <v>7.0000000000000001E-3</v>
      </c>
      <c r="C129" s="4">
        <f t="shared" si="16"/>
        <v>2.6663645528143736</v>
      </c>
      <c r="D129" s="4">
        <f t="shared" si="16"/>
        <v>2.8054257359041701</v>
      </c>
      <c r="E129" s="4">
        <f t="shared" si="16"/>
        <v>2.9447654228692195</v>
      </c>
      <c r="F129" s="4">
        <f t="shared" si="16"/>
        <v>3.08437146596901</v>
      </c>
      <c r="G129" s="4">
        <f t="shared" si="16"/>
        <v>3.2242327535843063</v>
      </c>
      <c r="H129" s="4">
        <f t="shared" si="16"/>
        <v>3.364339082243113</v>
      </c>
      <c r="I129" s="4">
        <f t="shared" si="16"/>
        <v>3.5046810489544638</v>
      </c>
      <c r="J129" s="4">
        <f t="shared" si="16"/>
        <v>3.6452499599678974</v>
      </c>
      <c r="K129" s="4">
        <f t="shared" si="16"/>
        <v>3.7860377529353442</v>
      </c>
      <c r="L129" s="4">
        <f t="shared" si="16"/>
        <v>3.9270369300970813</v>
      </c>
      <c r="M129" s="4">
        <f t="shared" si="16"/>
        <v>4.0682405006031388</v>
      </c>
      <c r="N129" s="1"/>
      <c r="O129" s="1"/>
      <c r="P129" s="1"/>
      <c r="Q129" s="1"/>
      <c r="R129" s="1"/>
      <c r="S129" s="1"/>
      <c r="T129" s="1"/>
      <c r="U129" s="1"/>
    </row>
    <row r="130" spans="1:21" ht="15">
      <c r="A130" s="322"/>
      <c r="B130" s="1">
        <f t="shared" si="17"/>
        <v>8.0000000000000002E-3</v>
      </c>
      <c r="C130" s="4">
        <f t="shared" si="16"/>
        <v>3.0644118695266496</v>
      </c>
      <c r="D130" s="4">
        <f t="shared" si="16"/>
        <v>3.2242327535843058</v>
      </c>
      <c r="E130" s="4">
        <f t="shared" si="16"/>
        <v>3.3843737178726028</v>
      </c>
      <c r="F130" s="4">
        <f t="shared" si="16"/>
        <v>3.5448208011797555</v>
      </c>
      <c r="G130" s="4">
        <f t="shared" si="16"/>
        <v>3.7055612330922671</v>
      </c>
      <c r="H130" s="4">
        <f t="shared" si="16"/>
        <v>3.8665832869163301</v>
      </c>
      <c r="I130" s="4">
        <f t="shared" si="16"/>
        <v>4.0278761559386993</v>
      </c>
      <c r="J130" s="4">
        <f t="shared" si="16"/>
        <v>4.1894298485653616</v>
      </c>
      <c r="K130" s="4">
        <f t="shared" si="16"/>
        <v>4.3512350988633841</v>
      </c>
      <c r="L130" s="4">
        <f t="shared" si="16"/>
        <v>4.5132832897725583</v>
      </c>
      <c r="M130" s="4">
        <f t="shared" si="16"/>
        <v>4.6755663868162767</v>
      </c>
      <c r="N130" s="1"/>
      <c r="O130" s="1"/>
      <c r="P130" s="1"/>
      <c r="Q130" s="1"/>
      <c r="R130" s="1"/>
      <c r="S130" s="1"/>
      <c r="T130" s="1"/>
      <c r="U130" s="1"/>
    </row>
    <row r="131" spans="1:21" ht="15">
      <c r="A131" s="322"/>
      <c r="B131" s="1">
        <f t="shared" si="17"/>
        <v>9.0000000000000011E-3</v>
      </c>
      <c r="C131" s="4">
        <f t="shared" si="16"/>
        <v>3.4645598188589593</v>
      </c>
      <c r="D131" s="4">
        <f t="shared" si="16"/>
        <v>3.6452499599678969</v>
      </c>
      <c r="E131" s="4">
        <f t="shared" si="16"/>
        <v>3.8263019770755919</v>
      </c>
      <c r="F131" s="4">
        <f t="shared" si="16"/>
        <v>4.0077000859286747</v>
      </c>
      <c r="G131" s="4">
        <f t="shared" si="16"/>
        <v>4.1894298485653625</v>
      </c>
      <c r="H131" s="4">
        <f t="shared" si="16"/>
        <v>4.3714780070314641</v>
      </c>
      <c r="I131" s="4">
        <f t="shared" si="16"/>
        <v>4.5538323434835357</v>
      </c>
      <c r="J131" s="4">
        <f t="shared" si="16"/>
        <v>4.7364815616348412</v>
      </c>
      <c r="K131" s="4">
        <f t="shared" si="16"/>
        <v>4.9194151856158559</v>
      </c>
      <c r="L131" s="4">
        <f t="shared" si="16"/>
        <v>5.1026234731589506</v>
      </c>
      <c r="M131" s="4">
        <f t="shared" si="16"/>
        <v>5.2860973406533036</v>
      </c>
      <c r="N131" s="1"/>
      <c r="O131" s="1"/>
      <c r="P131" s="1"/>
      <c r="Q131" s="1"/>
      <c r="R131" s="1"/>
      <c r="S131" s="1"/>
      <c r="T131" s="1"/>
      <c r="U131" s="1"/>
    </row>
    <row r="132" spans="1:21" ht="15">
      <c r="A132" s="322"/>
      <c r="B132" s="1">
        <f t="shared" si="17"/>
        <v>1.0000000000000002E-2</v>
      </c>
      <c r="C132" s="4">
        <f t="shared" si="16"/>
        <v>3.8665832869163301</v>
      </c>
      <c r="D132" s="4">
        <f t="shared" si="16"/>
        <v>4.0682405006031388</v>
      </c>
      <c r="E132" s="4">
        <f t="shared" si="16"/>
        <v>4.2703015819562262</v>
      </c>
      <c r="F132" s="4">
        <f t="shared" si="16"/>
        <v>4.4727489151359334</v>
      </c>
      <c r="G132" s="4">
        <f t="shared" si="16"/>
        <v>4.6755663868162776</v>
      </c>
      <c r="H132" s="4">
        <f t="shared" si="16"/>
        <v>4.8787392006055788</v>
      </c>
      <c r="I132" s="4">
        <f t="shared" si="16"/>
        <v>5.0822537209161309</v>
      </c>
      <c r="J132" s="4">
        <f t="shared" si="16"/>
        <v>5.2860973406533036</v>
      </c>
      <c r="K132" s="4">
        <f t="shared" si="16"/>
        <v>5.4902583683399264</v>
      </c>
      <c r="L132" s="4">
        <f t="shared" si="16"/>
        <v>5.6947259312270342</v>
      </c>
      <c r="M132" s="4">
        <f t="shared" si="16"/>
        <v>5.8994898916522329</v>
      </c>
      <c r="N132" s="1"/>
      <c r="O132" s="51"/>
      <c r="P132" s="51"/>
      <c r="Q132" s="51"/>
      <c r="R132" s="51"/>
      <c r="S132" s="51"/>
      <c r="T132" s="51"/>
      <c r="U132" s="51"/>
    </row>
    <row r="133" spans="1:21" ht="15">
      <c r="A133" s="322"/>
      <c r="B133" s="1">
        <f t="shared" si="17"/>
        <v>1.1000000000000003E-2</v>
      </c>
      <c r="C133" s="4">
        <f t="shared" si="16"/>
        <v>4.2703015819562262</v>
      </c>
      <c r="D133" s="4">
        <f t="shared" si="16"/>
        <v>4.4930142599770413</v>
      </c>
      <c r="E133" s="4">
        <f t="shared" si="16"/>
        <v>4.7161729743576712</v>
      </c>
      <c r="F133" s="4">
        <f t="shared" si="16"/>
        <v>4.9397582699506657</v>
      </c>
      <c r="G133" s="4">
        <f t="shared" si="16"/>
        <v>5.1637523510029482</v>
      </c>
      <c r="H133" s="4">
        <f t="shared" si="16"/>
        <v>5.3881388761996893</v>
      </c>
      <c r="I133" s="4">
        <f t="shared" si="16"/>
        <v>5.6129027862320822</v>
      </c>
      <c r="J133" s="4">
        <f t="shared" si="16"/>
        <v>5.8380301576715707</v>
      </c>
      <c r="K133" s="4">
        <f t="shared" si="16"/>
        <v>6.0635080783086543</v>
      </c>
      <c r="L133" s="4">
        <f t="shared" si="16"/>
        <v>6.2893245401472129</v>
      </c>
      <c r="M133" s="4">
        <f t="shared" si="16"/>
        <v>6.515468347029671</v>
      </c>
      <c r="N133" s="1"/>
      <c r="O133" s="51"/>
      <c r="P133" s="51"/>
      <c r="Q133" s="51"/>
      <c r="R133" s="51"/>
      <c r="S133" s="51"/>
      <c r="T133" s="51"/>
      <c r="U133" s="51"/>
    </row>
    <row r="134" spans="1:21" ht="15">
      <c r="A134" s="322"/>
      <c r="B134" s="1">
        <f t="shared" si="17"/>
        <v>1.2000000000000004E-2</v>
      </c>
      <c r="C134" s="4">
        <f t="shared" si="16"/>
        <v>4.6755663868162776</v>
      </c>
      <c r="D134" s="4">
        <f t="shared" si="16"/>
        <v>4.919415185615855</v>
      </c>
      <c r="E134" s="4">
        <f t="shared" si="16"/>
        <v>5.1637523510029482</v>
      </c>
      <c r="F134" s="4">
        <f t="shared" si="16"/>
        <v>5.4085565814765468</v>
      </c>
      <c r="G134" s="4">
        <f t="shared" si="16"/>
        <v>5.6538083924116638</v>
      </c>
      <c r="H134" s="4">
        <f t="shared" si="16"/>
        <v>5.8994898916522338</v>
      </c>
      <c r="I134" s="4">
        <f t="shared" si="16"/>
        <v>6.1455845907145488</v>
      </c>
      <c r="J134" s="4">
        <f t="shared" si="16"/>
        <v>6.3920772447936995</v>
      </c>
      <c r="K134" s="4">
        <f t="shared" si="16"/>
        <v>6.6389537162716303</v>
      </c>
      <c r="L134" s="4">
        <f t="shared" si="16"/>
        <v>6.8862008575563145</v>
      </c>
      <c r="M134" s="4">
        <f t="shared" si="16"/>
        <v>7.1338064099402576</v>
      </c>
      <c r="N134" s="1"/>
      <c r="O134" s="51"/>
      <c r="P134" s="51"/>
      <c r="Q134" s="51"/>
      <c r="R134" s="51"/>
      <c r="S134" s="51"/>
      <c r="T134" s="51"/>
      <c r="U134" s="51"/>
    </row>
    <row r="135" spans="1:21" ht="15">
      <c r="A135" s="322"/>
      <c r="B135" s="1">
        <f t="shared" si="17"/>
        <v>1.3000000000000005E-2</v>
      </c>
      <c r="C135" s="4">
        <f t="shared" si="16"/>
        <v>5.0822537209161309</v>
      </c>
      <c r="D135" s="4">
        <f t="shared" si="16"/>
        <v>5.3473128308743485</v>
      </c>
      <c r="E135" s="4">
        <f t="shared" si="16"/>
        <v>5.6129027862320822</v>
      </c>
      <c r="F135" s="4">
        <f t="shared" si="16"/>
        <v>5.8790004326538323</v>
      </c>
      <c r="G135" s="4">
        <f t="shared" si="16"/>
        <v>6.1455845907145488</v>
      </c>
      <c r="H135" s="4">
        <f t="shared" si="16"/>
        <v>6.4126358119732982</v>
      </c>
      <c r="I135" s="4">
        <f t="shared" si="16"/>
        <v>6.6801361737548888</v>
      </c>
      <c r="J135" s="4">
        <f t="shared" si="16"/>
        <v>6.9480691052398518</v>
      </c>
      <c r="K135" s="4">
        <f t="shared" si="16"/>
        <v>7.2164192391002571</v>
      </c>
      <c r="L135" s="4">
        <f t="shared" si="16"/>
        <v>7.4851722841480459</v>
      </c>
      <c r="M135" s="4">
        <f t="shared" si="16"/>
        <v>7.7543149153961233</v>
      </c>
      <c r="N135" s="1"/>
      <c r="O135" s="51"/>
      <c r="P135" s="51"/>
      <c r="Q135" s="51"/>
      <c r="R135" s="51"/>
      <c r="S135" s="51"/>
      <c r="T135" s="51"/>
      <c r="U135" s="51"/>
    </row>
    <row r="136" spans="1:21" ht="15">
      <c r="A136" s="322"/>
      <c r="B136" s="1">
        <f t="shared" si="17"/>
        <v>1.4000000000000005E-2</v>
      </c>
      <c r="C136" s="4">
        <f t="shared" si="16"/>
        <v>5.4902583683399264</v>
      </c>
      <c r="D136" s="4">
        <f t="shared" si="16"/>
        <v>5.7765964924213264</v>
      </c>
      <c r="E136" s="4">
        <f t="shared" si="16"/>
        <v>6.0635080783086543</v>
      </c>
      <c r="F136" s="4">
        <f t="shared" si="16"/>
        <v>6.350968112830353</v>
      </c>
      <c r="G136" s="4">
        <f t="shared" si="16"/>
        <v>6.6389537162716303</v>
      </c>
      <c r="H136" s="4">
        <f t="shared" si="16"/>
        <v>6.9274438788656667</v>
      </c>
      <c r="I136" s="4">
        <f t="shared" si="16"/>
        <v>7.2164192391002571</v>
      </c>
      <c r="J136" s="4">
        <f t="shared" si="16"/>
        <v>7.5058618958462517</v>
      </c>
      <c r="K136" s="4">
        <f t="shared" si="16"/>
        <v>7.7957552480826386</v>
      </c>
      <c r="L136" s="4">
        <f t="shared" si="16"/>
        <v>8.0860838573210767</v>
      </c>
      <c r="M136" s="4">
        <f t="shared" si="16"/>
        <v>8.3768333288410481</v>
      </c>
      <c r="N136" s="1"/>
      <c r="O136" s="51"/>
      <c r="P136" s="51"/>
      <c r="Q136" s="51"/>
      <c r="R136" s="51"/>
      <c r="S136" s="51"/>
      <c r="T136" s="51"/>
      <c r="U136" s="51"/>
    </row>
    <row r="137" spans="1:21" ht="15">
      <c r="A137" s="322"/>
      <c r="B137" s="1">
        <f t="shared" si="17"/>
        <v>1.5000000000000006E-2</v>
      </c>
      <c r="C137" s="4">
        <f t="shared" si="16"/>
        <v>5.8994898916522329</v>
      </c>
      <c r="D137" s="4">
        <f t="shared" si="16"/>
        <v>6.2071710161607054</v>
      </c>
      <c r="E137" s="4">
        <f t="shared" si="16"/>
        <v>6.515468347029671</v>
      </c>
      <c r="F137" s="4">
        <f t="shared" si="16"/>
        <v>6.824355006661964</v>
      </c>
      <c r="G137" s="4">
        <f t="shared" si="16"/>
        <v>7.1338064099402576</v>
      </c>
      <c r="H137" s="4">
        <f t="shared" si="16"/>
        <v>7.4437999810769178</v>
      </c>
      <c r="I137" s="4">
        <f t="shared" si="16"/>
        <v>7.7543149153961233</v>
      </c>
      <c r="J137" s="4">
        <f t="shared" si="16"/>
        <v>8.0653319774587704</v>
      </c>
      <c r="K137" s="4">
        <f t="shared" si="16"/>
        <v>8.3768333288410481</v>
      </c>
      <c r="L137" s="4">
        <f t="shared" si="16"/>
        <v>8.6888023803043772</v>
      </c>
      <c r="M137" s="4">
        <f t="shared" si="16"/>
        <v>9.0012236641781183</v>
      </c>
      <c r="N137" s="1"/>
      <c r="O137" s="51"/>
      <c r="P137" s="51"/>
      <c r="Q137" s="51"/>
      <c r="R137" s="51"/>
      <c r="S137" s="51"/>
      <c r="T137" s="51"/>
      <c r="U137" s="51"/>
    </row>
    <row r="138" spans="1:21" ht="15">
      <c r="A138" s="322"/>
      <c r="B138" s="1">
        <f t="shared" si="17"/>
        <v>1.6000000000000007E-2</v>
      </c>
      <c r="C138" s="4">
        <f t="shared" si="16"/>
        <v>6.3098697036571973</v>
      </c>
      <c r="D138" s="4">
        <f t="shared" si="16"/>
        <v>6.6389537162716294</v>
      </c>
      <c r="E138" s="4">
        <f t="shared" si="16"/>
        <v>6.9686967997407763</v>
      </c>
      <c r="F138" s="4">
        <f t="shared" si="16"/>
        <v>7.2990702068103506</v>
      </c>
      <c r="G138" s="4">
        <f t="shared" si="16"/>
        <v>7.6300476421752021</v>
      </c>
      <c r="H138" s="4">
        <f t="shared" si="16"/>
        <v>7.9616049596326786</v>
      </c>
      <c r="I138" s="4">
        <f t="shared" si="16"/>
        <v>8.2937199072938768</v>
      </c>
      <c r="J138" s="4">
        <f t="shared" si="16"/>
        <v>8.6263719116657267</v>
      </c>
      <c r="K138" s="4">
        <f t="shared" si="16"/>
        <v>8.9595418934494955</v>
      </c>
      <c r="L138" s="4">
        <f t="shared" si="16"/>
        <v>9.2932121094274134</v>
      </c>
      <c r="M138" s="4">
        <f t="shared" si="16"/>
        <v>9.6273660159680503</v>
      </c>
      <c r="N138" s="1"/>
      <c r="O138" s="1"/>
      <c r="P138" s="1"/>
      <c r="Q138" s="1"/>
      <c r="R138" s="1"/>
      <c r="S138" s="1"/>
      <c r="T138" s="1"/>
      <c r="U138" s="1"/>
    </row>
    <row r="139" spans="1:21" ht="15">
      <c r="A139" s="322"/>
      <c r="B139" s="1">
        <f t="shared" si="17"/>
        <v>1.7000000000000008E-2</v>
      </c>
      <c r="C139" s="4">
        <f t="shared" si="16"/>
        <v>6.7213288672620797</v>
      </c>
      <c r="D139" s="4">
        <f t="shared" si="16"/>
        <v>7.0718720603263998</v>
      </c>
      <c r="E139" s="4">
        <f t="shared" si="16"/>
        <v>7.4231173014787846</v>
      </c>
      <c r="F139" s="4">
        <f t="shared" si="16"/>
        <v>7.7750339688903827</v>
      </c>
      <c r="G139" s="4">
        <f t="shared" si="16"/>
        <v>8.1275940525702026</v>
      </c>
      <c r="H139" s="4">
        <f t="shared" si="16"/>
        <v>8.4807718317701859</v>
      </c>
      <c r="I139" s="4">
        <f t="shared" si="16"/>
        <v>8.8345436035819933</v>
      </c>
      <c r="J139" s="4">
        <f t="shared" si="16"/>
        <v>9.1888874529393245</v>
      </c>
      <c r="K139" s="4">
        <f t="shared" si="16"/>
        <v>9.5437830564048802</v>
      </c>
      <c r="L139" s="4">
        <f t="shared" si="16"/>
        <v>9.8992115137465717</v>
      </c>
      <c r="M139" s="4">
        <f t="shared" si="16"/>
        <v>10.255155202542271</v>
      </c>
      <c r="N139" s="1"/>
      <c r="O139" s="1"/>
      <c r="P139" s="1"/>
      <c r="Q139" s="1"/>
      <c r="R139" s="1"/>
      <c r="S139" s="1"/>
      <c r="T139" s="1"/>
      <c r="U139" s="1"/>
    </row>
    <row r="140" spans="1:21" ht="15">
      <c r="A140" s="322"/>
      <c r="B140" s="1">
        <f t="shared" si="17"/>
        <v>1.8000000000000009E-2</v>
      </c>
      <c r="C140" s="4">
        <f t="shared" si="16"/>
        <v>7.1338064099402576</v>
      </c>
      <c r="D140" s="4">
        <f t="shared" si="16"/>
        <v>7.50586189584625</v>
      </c>
      <c r="E140" s="4">
        <f t="shared" si="16"/>
        <v>7.8786625134441497</v>
      </c>
      <c r="F140" s="4">
        <f t="shared" si="16"/>
        <v>8.2521757616908946</v>
      </c>
      <c r="G140" s="4">
        <f t="shared" si="16"/>
        <v>8.6263719116657267</v>
      </c>
      <c r="H140" s="4">
        <f t="shared" si="16"/>
        <v>9.0012236641781183</v>
      </c>
      <c r="I140" s="4">
        <f t="shared" si="16"/>
        <v>9.3767058617089525</v>
      </c>
      <c r="J140" s="4">
        <f t="shared" si="16"/>
        <v>9.7527952442982517</v>
      </c>
      <c r="K140" s="4">
        <f t="shared" si="16"/>
        <v>10.129470241290845</v>
      </c>
      <c r="L140" s="4">
        <f t="shared" si="16"/>
        <v>10.506710792576678</v>
      </c>
      <c r="M140" s="4">
        <f t="shared" si="16"/>
        <v>10.884498194272869</v>
      </c>
      <c r="N140" s="1"/>
      <c r="O140" s="1"/>
      <c r="P140" s="1"/>
      <c r="Q140" s="1"/>
      <c r="R140" s="1"/>
      <c r="S140" s="1"/>
      <c r="T140" s="1"/>
      <c r="U140" s="1"/>
    </row>
    <row r="141" spans="1:21" ht="15">
      <c r="A141" s="322"/>
      <c r="B141" s="1">
        <f t="shared" si="17"/>
        <v>1.900000000000001E-2</v>
      </c>
      <c r="C141" s="4">
        <f t="shared" si="16"/>
        <v>7.5472480103594535</v>
      </c>
      <c r="D141" s="4">
        <f t="shared" si="16"/>
        <v>7.9408660684321628</v>
      </c>
      <c r="E141" s="4">
        <f t="shared" si="16"/>
        <v>8.3352724424972067</v>
      </c>
      <c r="F141" s="4">
        <f t="shared" si="16"/>
        <v>8.7304327479051551</v>
      </c>
      <c r="G141" s="4">
        <f t="shared" si="16"/>
        <v>9.1263155327879257</v>
      </c>
      <c r="H141" s="4">
        <f t="shared" si="16"/>
        <v>9.5228919158233332</v>
      </c>
      <c r="I141" s="4">
        <f t="shared" si="16"/>
        <v>9.9201352814817092</v>
      </c>
      <c r="J141" s="4">
        <f t="shared" si="16"/>
        <v>10.318021021766073</v>
      </c>
      <c r="K141" s="4">
        <f t="shared" si="16"/>
        <v>10.716526315888331</v>
      </c>
      <c r="L141" s="4">
        <f t="shared" si="16"/>
        <v>11.115629941149557</v>
      </c>
      <c r="M141" s="4">
        <f t="shared" si="16"/>
        <v>11.515312109678476</v>
      </c>
      <c r="N141" s="1"/>
      <c r="O141" s="1"/>
      <c r="P141" s="1"/>
      <c r="Q141" s="1"/>
      <c r="R141" s="1"/>
      <c r="S141" s="1"/>
      <c r="T141" s="1"/>
      <c r="U141" s="1"/>
    </row>
    <row r="142" spans="1:21" ht="15">
      <c r="A142" s="323"/>
      <c r="B142" s="1">
        <f t="shared" si="17"/>
        <v>2.0000000000000011E-2</v>
      </c>
      <c r="C142" s="4">
        <f t="shared" si="16"/>
        <v>7.9616049596326786</v>
      </c>
      <c r="D142" s="4">
        <f t="shared" si="16"/>
        <v>8.3768333288410446</v>
      </c>
      <c r="E142" s="4">
        <f t="shared" si="16"/>
        <v>8.7928932939510904</v>
      </c>
      <c r="F142" s="4">
        <f t="shared" si="16"/>
        <v>9.20974858253674</v>
      </c>
      <c r="G142" s="4">
        <f t="shared" si="16"/>
        <v>9.6273660159680503</v>
      </c>
      <c r="H142" s="4">
        <f t="shared" si="16"/>
        <v>10.045715127288362</v>
      </c>
      <c r="I142" s="4">
        <f t="shared" si="16"/>
        <v>10.464767839729474</v>
      </c>
      <c r="J142" s="4">
        <f t="shared" si="16"/>
        <v>10.884498194272867</v>
      </c>
      <c r="K142" s="4">
        <f t="shared" si="16"/>
        <v>11.304882117229786</v>
      </c>
      <c r="L142" s="4">
        <f t="shared" si="16"/>
        <v>11.725897220738462</v>
      </c>
      <c r="M142" s="4">
        <f t="shared" si="16"/>
        <v>12.147522630539331</v>
      </c>
      <c r="N142" s="1"/>
      <c r="O142" s="1"/>
      <c r="P142" s="1"/>
      <c r="Q142" s="1"/>
      <c r="R142" s="1"/>
      <c r="S142" s="1"/>
      <c r="T142" s="1"/>
      <c r="U142" s="1"/>
    </row>
    <row r="143" spans="1:21" ht="1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21">
      <c r="B145" s="1"/>
      <c r="C145" s="327" t="s">
        <v>231</v>
      </c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1"/>
      <c r="O145" s="1"/>
      <c r="P145" s="1"/>
      <c r="Q145" s="1"/>
      <c r="R145" s="1"/>
      <c r="S145" s="1"/>
      <c r="T145" s="1"/>
      <c r="U145" s="1"/>
    </row>
    <row r="146" spans="1:21" ht="18.75">
      <c r="B146" s="1"/>
      <c r="C146" s="328" t="s">
        <v>152</v>
      </c>
      <c r="D146" s="329"/>
      <c r="E146" s="329"/>
      <c r="F146" s="329"/>
      <c r="G146" s="329"/>
      <c r="H146" s="329"/>
      <c r="I146" s="329"/>
      <c r="J146" s="329"/>
      <c r="K146" s="329"/>
      <c r="L146" s="329"/>
      <c r="M146" s="330"/>
      <c r="N146" s="1"/>
      <c r="O146" s="1"/>
      <c r="P146" s="1"/>
      <c r="Q146" s="1"/>
      <c r="R146" s="1"/>
      <c r="S146" s="1"/>
      <c r="T146" s="1"/>
      <c r="U146" s="1"/>
    </row>
    <row r="147" spans="1:21" ht="15">
      <c r="A147" s="331" t="s">
        <v>376</v>
      </c>
      <c r="B147" s="332"/>
      <c r="C147" s="2">
        <f t="shared" ref="C147:M147" si="18">C$12</f>
        <v>0</v>
      </c>
      <c r="D147" s="2">
        <f t="shared" si="18"/>
        <v>0</v>
      </c>
      <c r="E147" s="2">
        <f t="shared" si="18"/>
        <v>0</v>
      </c>
      <c r="F147" s="2">
        <f t="shared" si="18"/>
        <v>0</v>
      </c>
      <c r="G147" s="2">
        <f t="shared" si="18"/>
        <v>0</v>
      </c>
      <c r="H147" s="2">
        <f t="shared" si="18"/>
        <v>0</v>
      </c>
      <c r="I147" s="2">
        <f t="shared" si="18"/>
        <v>0</v>
      </c>
      <c r="J147" s="2">
        <f t="shared" si="18"/>
        <v>0</v>
      </c>
      <c r="K147" s="2">
        <f t="shared" si="18"/>
        <v>0</v>
      </c>
      <c r="L147" s="2">
        <f t="shared" si="18"/>
        <v>0</v>
      </c>
      <c r="M147" s="2">
        <f t="shared" si="18"/>
        <v>0</v>
      </c>
      <c r="N147" s="1"/>
      <c r="O147" s="1"/>
      <c r="P147" s="1"/>
      <c r="Q147" s="1"/>
      <c r="R147" s="1"/>
      <c r="S147" s="1"/>
      <c r="T147" s="1"/>
      <c r="U147" s="1"/>
    </row>
    <row r="148" spans="1:21" ht="15">
      <c r="A148" s="319" t="s">
        <v>46</v>
      </c>
      <c r="B148" s="320"/>
      <c r="C148" s="3">
        <f t="shared" ref="C148:M148" si="19">C$9</f>
        <v>2</v>
      </c>
      <c r="D148" s="3">
        <f t="shared" si="19"/>
        <v>2.1</v>
      </c>
      <c r="E148" s="3">
        <f t="shared" si="19"/>
        <v>2.2000000000000002</v>
      </c>
      <c r="F148" s="3">
        <f t="shared" si="19"/>
        <v>2.3000000000000003</v>
      </c>
      <c r="G148" s="3">
        <f t="shared" si="19"/>
        <v>2.4000000000000004</v>
      </c>
      <c r="H148" s="3">
        <f t="shared" si="19"/>
        <v>2.5000000000000004</v>
      </c>
      <c r="I148" s="3">
        <f t="shared" si="19"/>
        <v>2.6000000000000005</v>
      </c>
      <c r="J148" s="3">
        <f t="shared" si="19"/>
        <v>2.7000000000000006</v>
      </c>
      <c r="K148" s="3">
        <f t="shared" si="19"/>
        <v>2.8000000000000007</v>
      </c>
      <c r="L148" s="3">
        <f t="shared" si="19"/>
        <v>2.9000000000000008</v>
      </c>
      <c r="M148" s="3">
        <f t="shared" si="19"/>
        <v>3.0000000000000009</v>
      </c>
      <c r="N148" s="1"/>
      <c r="O148" s="1"/>
      <c r="P148" s="1"/>
      <c r="Q148" s="1"/>
      <c r="R148" s="1"/>
      <c r="S148" s="1"/>
      <c r="T148" s="1"/>
      <c r="U148" s="1"/>
    </row>
    <row r="149" spans="1:21" ht="15" customHeight="1">
      <c r="A149" s="321" t="s">
        <v>510</v>
      </c>
      <c r="B149" s="1">
        <f>$G$4</f>
        <v>1E-3</v>
      </c>
      <c r="C149" s="4">
        <f>((152.02*((62.4*$B149*(C$148))^0.7355)))*0.0393701</f>
        <v>1.2951887802245201</v>
      </c>
      <c r="D149" s="4">
        <f t="shared" ref="D149:M168" si="20">((152.02*((62.4*$B149*(D$122))^0.7355)))*0.0393701</f>
        <v>1.3425108462463893</v>
      </c>
      <c r="E149" s="4">
        <f t="shared" si="20"/>
        <v>1.389240365349204</v>
      </c>
      <c r="F149" s="4">
        <f t="shared" si="20"/>
        <v>1.4354112153485441</v>
      </c>
      <c r="G149" s="4">
        <f t="shared" si="20"/>
        <v>1.4810539545512471</v>
      </c>
      <c r="H149" s="4">
        <f t="shared" si="20"/>
        <v>1.526196271315627</v>
      </c>
      <c r="I149" s="4">
        <f t="shared" si="20"/>
        <v>1.5708633572281765</v>
      </c>
      <c r="J149" s="4">
        <f t="shared" si="20"/>
        <v>1.6150782193075537</v>
      </c>
      <c r="K149" s="4">
        <f t="shared" si="20"/>
        <v>1.6588619430826812</v>
      </c>
      <c r="L149" s="4">
        <f t="shared" si="20"/>
        <v>1.7022339157497666</v>
      </c>
      <c r="M149" s="4">
        <f t="shared" si="20"/>
        <v>1.7452120166309206</v>
      </c>
      <c r="N149" s="1"/>
      <c r="O149" s="1"/>
      <c r="P149" s="1"/>
      <c r="Q149" s="1"/>
      <c r="R149" s="1"/>
      <c r="S149" s="1"/>
      <c r="T149" s="1"/>
      <c r="U149" s="1"/>
    </row>
    <row r="150" spans="1:21" ht="15">
      <c r="A150" s="322"/>
      <c r="B150" s="1">
        <f t="shared" ref="B150:B168" si="21">B149+$H$4</f>
        <v>2E-3</v>
      </c>
      <c r="C150" s="4">
        <f t="shared" ref="C150:C168" si="22">((152.02*((62.4*$B150*(C$122))^0.7355)))*0.0393701</f>
        <v>2.1564561694932367</v>
      </c>
      <c r="D150" s="4">
        <f t="shared" si="20"/>
        <v>2.2352461982397305</v>
      </c>
      <c r="E150" s="4">
        <f t="shared" si="20"/>
        <v>2.3130496515318817</v>
      </c>
      <c r="F150" s="4">
        <f t="shared" si="20"/>
        <v>2.3899229350655484</v>
      </c>
      <c r="G150" s="4">
        <f t="shared" si="20"/>
        <v>2.4659169276394945</v>
      </c>
      <c r="H150" s="4">
        <f t="shared" si="20"/>
        <v>2.5410777296616436</v>
      </c>
      <c r="I150" s="4">
        <f t="shared" si="20"/>
        <v>2.6154472844787451</v>
      </c>
      <c r="J150" s="4">
        <f t="shared" si="20"/>
        <v>2.6890638981880124</v>
      </c>
      <c r="K150" s="4">
        <f t="shared" si="20"/>
        <v>2.76196267765543</v>
      </c>
      <c r="L150" s="4">
        <f t="shared" si="20"/>
        <v>2.8341759020664816</v>
      </c>
      <c r="M150" s="4">
        <f t="shared" si="20"/>
        <v>2.9057333400348684</v>
      </c>
      <c r="N150" s="1"/>
      <c r="O150" s="1"/>
      <c r="P150" s="1"/>
      <c r="Q150" s="1"/>
      <c r="R150" s="1"/>
      <c r="S150" s="1"/>
      <c r="T150" s="1"/>
      <c r="U150" s="1"/>
    </row>
    <row r="151" spans="1:21" ht="15">
      <c r="A151" s="322"/>
      <c r="B151" s="1">
        <f t="shared" si="21"/>
        <v>3.0000000000000001E-3</v>
      </c>
      <c r="C151" s="4">
        <f t="shared" si="22"/>
        <v>2.9057333400348684</v>
      </c>
      <c r="D151" s="4">
        <f t="shared" si="20"/>
        <v>3.0118995661932195</v>
      </c>
      <c r="E151" s="4">
        <f t="shared" si="20"/>
        <v>3.1167364237185815</v>
      </c>
      <c r="F151" s="4">
        <f t="shared" si="20"/>
        <v>3.2203199168967536</v>
      </c>
      <c r="G151" s="4">
        <f t="shared" si="20"/>
        <v>3.322718602753822</v>
      </c>
      <c r="H151" s="4">
        <f t="shared" si="20"/>
        <v>3.423994599636635</v>
      </c>
      <c r="I151" s="4">
        <f t="shared" si="20"/>
        <v>3.524204424428198</v>
      </c>
      <c r="J151" s="4">
        <f t="shared" si="20"/>
        <v>3.6233996929718453</v>
      </c>
      <c r="K151" s="4">
        <f t="shared" si="20"/>
        <v>3.7216277102823492</v>
      </c>
      <c r="L151" s="4">
        <f t="shared" si="20"/>
        <v>3.81893197119479</v>
      </c>
      <c r="M151" s="4">
        <f t="shared" si="20"/>
        <v>3.9153525876551196</v>
      </c>
      <c r="N151" s="1"/>
      <c r="O151" s="1"/>
      <c r="P151" s="1"/>
      <c r="Q151" s="1"/>
      <c r="R151" s="1"/>
      <c r="S151" s="1"/>
      <c r="T151" s="1"/>
      <c r="U151" s="1"/>
    </row>
    <row r="152" spans="1:21" ht="15">
      <c r="A152" s="322"/>
      <c r="B152" s="1">
        <f t="shared" si="21"/>
        <v>4.0000000000000001E-3</v>
      </c>
      <c r="C152" s="4">
        <f t="shared" si="22"/>
        <v>3.5904443290030019</v>
      </c>
      <c r="D152" s="4">
        <f t="shared" si="20"/>
        <v>3.7216277102823478</v>
      </c>
      <c r="E152" s="4">
        <f t="shared" si="20"/>
        <v>3.8511684686810228</v>
      </c>
      <c r="F152" s="4">
        <f t="shared" si="20"/>
        <v>3.9791605182389587</v>
      </c>
      <c r="G152" s="4">
        <f t="shared" si="20"/>
        <v>4.1056885708538839</v>
      </c>
      <c r="H152" s="4">
        <f t="shared" si="20"/>
        <v>4.23082938252508</v>
      </c>
      <c r="I152" s="4">
        <f t="shared" si="20"/>
        <v>4.3546527878513697</v>
      </c>
      <c r="J152" s="4">
        <f t="shared" si="20"/>
        <v>4.4772225655041931</v>
      </c>
      <c r="K152" s="4">
        <f t="shared" si="20"/>
        <v>4.5985971675168731</v>
      </c>
      <c r="L152" s="4">
        <f t="shared" si="20"/>
        <v>4.7188303379070744</v>
      </c>
      <c r="M152" s="4">
        <f t="shared" si="20"/>
        <v>4.8379716406546995</v>
      </c>
      <c r="N152" s="1"/>
      <c r="O152" s="1"/>
      <c r="P152" s="1"/>
      <c r="Q152" s="1"/>
      <c r="R152" s="1"/>
      <c r="S152" s="1"/>
      <c r="T152" s="1"/>
      <c r="U152" s="1"/>
    </row>
    <row r="153" spans="1:21" ht="15">
      <c r="A153" s="322"/>
      <c r="B153" s="1">
        <f t="shared" si="21"/>
        <v>5.0000000000000001E-3</v>
      </c>
      <c r="C153" s="4">
        <f t="shared" si="22"/>
        <v>4.23082938252508</v>
      </c>
      <c r="D153" s="4">
        <f t="shared" si="20"/>
        <v>4.3854103906561175</v>
      </c>
      <c r="E153" s="4">
        <f t="shared" si="20"/>
        <v>4.5380558007076024</v>
      </c>
      <c r="F153" s="4">
        <f t="shared" si="20"/>
        <v>4.6888762770550771</v>
      </c>
      <c r="G153" s="4">
        <f t="shared" si="20"/>
        <v>4.8379716406546995</v>
      </c>
      <c r="H153" s="4">
        <f t="shared" si="20"/>
        <v>4.9854323375647542</v>
      </c>
      <c r="I153" s="4">
        <f t="shared" si="20"/>
        <v>5.1313406579547962</v>
      </c>
      <c r="J153" s="4">
        <f t="shared" si="20"/>
        <v>5.2757717559429169</v>
      </c>
      <c r="K153" s="4">
        <f t="shared" si="20"/>
        <v>5.4187945089597092</v>
      </c>
      <c r="L153" s="4">
        <f t="shared" si="20"/>
        <v>5.560472246707076</v>
      </c>
      <c r="M153" s="4">
        <f t="shared" si="20"/>
        <v>5.7008633733053093</v>
      </c>
      <c r="N153" s="1"/>
      <c r="O153" s="1"/>
      <c r="P153" s="1"/>
      <c r="Q153" s="1"/>
      <c r="R153" s="1"/>
      <c r="S153" s="1"/>
      <c r="T153" s="1"/>
      <c r="U153" s="1"/>
    </row>
    <row r="154" spans="1:21" ht="15">
      <c r="A154" s="322"/>
      <c r="B154" s="1">
        <f t="shared" si="21"/>
        <v>6.0000000000000001E-3</v>
      </c>
      <c r="C154" s="4">
        <f t="shared" si="22"/>
        <v>4.8379716406546995</v>
      </c>
      <c r="D154" s="4">
        <f t="shared" si="20"/>
        <v>5.0147356899474236</v>
      </c>
      <c r="E154" s="4">
        <f t="shared" si="20"/>
        <v>5.1892863744906137</v>
      </c>
      <c r="F154" s="4">
        <f t="shared" si="20"/>
        <v>5.3617502394748442</v>
      </c>
      <c r="G154" s="4">
        <f t="shared" si="20"/>
        <v>5.5322414305938681</v>
      </c>
      <c r="H154" s="4">
        <f t="shared" si="20"/>
        <v>5.7008633733053085</v>
      </c>
      <c r="I154" s="4">
        <f t="shared" si="20"/>
        <v>5.8677101667728531</v>
      </c>
      <c r="J154" s="4">
        <f t="shared" si="20"/>
        <v>6.0328677500545789</v>
      </c>
      <c r="K154" s="4">
        <f t="shared" si="20"/>
        <v>6.1964148847893359</v>
      </c>
      <c r="L154" s="4">
        <f t="shared" si="20"/>
        <v>6.3584239887643088</v>
      </c>
      <c r="M154" s="4">
        <f t="shared" si="20"/>
        <v>6.5189618473428661</v>
      </c>
      <c r="N154" s="1"/>
      <c r="O154" s="1"/>
      <c r="P154" s="1"/>
      <c r="Q154" s="1"/>
      <c r="R154" s="1"/>
      <c r="S154" s="1"/>
      <c r="T154" s="1"/>
      <c r="U154" s="1"/>
    </row>
    <row r="155" spans="1:21" ht="15">
      <c r="A155" s="322"/>
      <c r="B155" s="1">
        <f t="shared" si="21"/>
        <v>7.0000000000000001E-3</v>
      </c>
      <c r="C155" s="4">
        <f t="shared" si="22"/>
        <v>5.4187945089597083</v>
      </c>
      <c r="D155" s="4">
        <f t="shared" si="20"/>
        <v>5.6167799728760039</v>
      </c>
      <c r="E155" s="4">
        <f t="shared" si="20"/>
        <v>5.8122863464540435</v>
      </c>
      <c r="F155" s="4">
        <f t="shared" si="20"/>
        <v>6.0054553672720399</v>
      </c>
      <c r="G155" s="4">
        <f t="shared" si="20"/>
        <v>6.1964148847893341</v>
      </c>
      <c r="H155" s="4">
        <f t="shared" si="20"/>
        <v>6.3852807412107708</v>
      </c>
      <c r="I155" s="4">
        <f t="shared" si="20"/>
        <v>6.5721583327786943</v>
      </c>
      <c r="J155" s="4">
        <f t="shared" si="20"/>
        <v>6.75714391596805</v>
      </c>
      <c r="K155" s="4">
        <f t="shared" si="20"/>
        <v>6.9403257081492162</v>
      </c>
      <c r="L155" s="4">
        <f t="shared" si="20"/>
        <v>7.1217848212295625</v>
      </c>
      <c r="M155" s="4">
        <f t="shared" si="20"/>
        <v>7.3015960584917794</v>
      </c>
      <c r="N155" s="1"/>
      <c r="O155" s="1"/>
      <c r="P155" s="1"/>
      <c r="Q155" s="1"/>
      <c r="R155" s="1"/>
      <c r="S155" s="1"/>
      <c r="T155" s="1"/>
      <c r="U155" s="1"/>
    </row>
    <row r="156" spans="1:21" ht="15">
      <c r="A156" s="322"/>
      <c r="B156" s="1">
        <f t="shared" si="21"/>
        <v>8.0000000000000002E-3</v>
      </c>
      <c r="C156" s="4">
        <f t="shared" si="22"/>
        <v>5.9779979125192435</v>
      </c>
      <c r="D156" s="4">
        <f t="shared" si="20"/>
        <v>6.1964148847893341</v>
      </c>
      <c r="E156" s="4">
        <f t="shared" si="20"/>
        <v>6.4120969320050527</v>
      </c>
      <c r="F156" s="4">
        <f t="shared" si="20"/>
        <v>6.625200418639217</v>
      </c>
      <c r="G156" s="4">
        <f t="shared" si="20"/>
        <v>6.8358663878333923</v>
      </c>
      <c r="H156" s="4">
        <f t="shared" si="20"/>
        <v>7.0442226363618596</v>
      </c>
      <c r="I156" s="4">
        <f t="shared" si="20"/>
        <v>7.2503854370442831</v>
      </c>
      <c r="J156" s="4">
        <f t="shared" si="20"/>
        <v>7.4544609797362327</v>
      </c>
      <c r="K156" s="4">
        <f t="shared" si="20"/>
        <v>7.65654658557715</v>
      </c>
      <c r="L156" s="4">
        <f t="shared" si="20"/>
        <v>7.8567317369808976</v>
      </c>
      <c r="M156" s="4">
        <f t="shared" si="20"/>
        <v>8.0550989567054554</v>
      </c>
      <c r="N156" s="1"/>
      <c r="O156" s="1"/>
      <c r="P156" s="1"/>
      <c r="Q156" s="1"/>
      <c r="R156" s="1"/>
      <c r="S156" s="1"/>
      <c r="T156" s="1"/>
      <c r="U156" s="1"/>
    </row>
    <row r="157" spans="1:21" ht="15">
      <c r="A157" s="322"/>
      <c r="B157" s="1">
        <f t="shared" si="21"/>
        <v>9.0000000000000011E-3</v>
      </c>
      <c r="C157" s="4">
        <f t="shared" si="22"/>
        <v>6.5189618473428652</v>
      </c>
      <c r="D157" s="4">
        <f t="shared" si="20"/>
        <v>6.7571439159680473</v>
      </c>
      <c r="E157" s="4">
        <f t="shared" si="20"/>
        <v>6.9923435693522604</v>
      </c>
      <c r="F157" s="4">
        <f t="shared" si="20"/>
        <v>7.2247313217792959</v>
      </c>
      <c r="G157" s="4">
        <f t="shared" si="20"/>
        <v>7.4544609797362344</v>
      </c>
      <c r="H157" s="4">
        <f t="shared" si="20"/>
        <v>7.6816719046460697</v>
      </c>
      <c r="I157" s="4">
        <f t="shared" si="20"/>
        <v>7.9064908911457987</v>
      </c>
      <c r="J157" s="4">
        <f t="shared" si="20"/>
        <v>8.129033738475762</v>
      </c>
      <c r="K157" s="4">
        <f t="shared" si="20"/>
        <v>8.3494065746079418</v>
      </c>
      <c r="L157" s="4">
        <f t="shared" si="20"/>
        <v>8.5677069794429155</v>
      </c>
      <c r="M157" s="4">
        <f t="shared" si="20"/>
        <v>8.7840249434287738</v>
      </c>
      <c r="N157" s="1"/>
      <c r="O157" s="1"/>
      <c r="P157" s="1"/>
      <c r="Q157" s="1"/>
      <c r="R157" s="1"/>
      <c r="S157" s="1"/>
      <c r="T157" s="1"/>
      <c r="U157" s="1"/>
    </row>
    <row r="158" spans="1:21" ht="15">
      <c r="A158" s="322"/>
      <c r="B158" s="1">
        <f t="shared" si="21"/>
        <v>1.0000000000000002E-2</v>
      </c>
      <c r="C158" s="4">
        <f t="shared" si="22"/>
        <v>7.0442226363618596</v>
      </c>
      <c r="D158" s="4">
        <f t="shared" si="20"/>
        <v>7.3015960584917767</v>
      </c>
      <c r="E158" s="4">
        <f t="shared" si="20"/>
        <v>7.5557467593597156</v>
      </c>
      <c r="F158" s="4">
        <f t="shared" si="20"/>
        <v>7.806858992318559</v>
      </c>
      <c r="G158" s="4">
        <f t="shared" si="20"/>
        <v>8.0550989567054554</v>
      </c>
      <c r="H158" s="4">
        <f t="shared" si="20"/>
        <v>8.3006172428925371</v>
      </c>
      <c r="I158" s="4">
        <f t="shared" si="20"/>
        <v>8.5435508619059402</v>
      </c>
      <c r="J158" s="4">
        <f t="shared" si="20"/>
        <v>8.7840249434287738</v>
      </c>
      <c r="K158" s="4">
        <f t="shared" si="20"/>
        <v>9.0221541666200835</v>
      </c>
      <c r="L158" s="4">
        <f t="shared" si="20"/>
        <v>9.2580439738126632</v>
      </c>
      <c r="M158" s="4">
        <f t="shared" si="20"/>
        <v>9.4917916063719776</v>
      </c>
      <c r="N158" s="1"/>
      <c r="O158" s="1"/>
      <c r="P158" s="1"/>
      <c r="Q158" s="1"/>
      <c r="R158" s="1"/>
      <c r="S158" s="1"/>
      <c r="T158" s="1"/>
      <c r="U158" s="1"/>
    </row>
    <row r="159" spans="1:21" ht="15">
      <c r="A159" s="322"/>
      <c r="B159" s="1">
        <f t="shared" si="21"/>
        <v>1.1000000000000003E-2</v>
      </c>
      <c r="C159" s="4">
        <f t="shared" si="22"/>
        <v>7.5557467593597156</v>
      </c>
      <c r="D159" s="4">
        <f t="shared" si="20"/>
        <v>7.8318096410416898</v>
      </c>
      <c r="E159" s="4">
        <f t="shared" si="20"/>
        <v>8.1044157799447181</v>
      </c>
      <c r="F159" s="4">
        <f t="shared" si="20"/>
        <v>8.3737628091854486</v>
      </c>
      <c r="G159" s="4">
        <f t="shared" si="20"/>
        <v>8.6400289968521928</v>
      </c>
      <c r="H159" s="4">
        <f t="shared" si="20"/>
        <v>8.9033758686057656</v>
      </c>
      <c r="I159" s="4">
        <f t="shared" si="20"/>
        <v>9.1639503846815469</v>
      </c>
      <c r="J159" s="4">
        <f t="shared" si="20"/>
        <v>9.4218867611948465</v>
      </c>
      <c r="K159" s="4">
        <f t="shared" si="20"/>
        <v>9.6773080048604001</v>
      </c>
      <c r="L159" s="4">
        <f t="shared" si="20"/>
        <v>9.9303272148241888</v>
      </c>
      <c r="M159" s="4">
        <f t="shared" si="20"/>
        <v>10.181048693742436</v>
      </c>
      <c r="N159" s="1"/>
      <c r="O159" s="1"/>
      <c r="P159" s="1"/>
      <c r="Q159" s="1"/>
      <c r="R159" s="1"/>
      <c r="S159" s="1"/>
      <c r="T159" s="1"/>
      <c r="U159" s="1"/>
    </row>
    <row r="160" spans="1:21" ht="15">
      <c r="A160" s="322"/>
      <c r="B160" s="1">
        <f t="shared" si="21"/>
        <v>1.2000000000000004E-2</v>
      </c>
      <c r="C160" s="4">
        <f t="shared" si="22"/>
        <v>8.0550989567054554</v>
      </c>
      <c r="D160" s="4">
        <f t="shared" si="20"/>
        <v>8.3494065746079418</v>
      </c>
      <c r="E160" s="4">
        <f t="shared" si="20"/>
        <v>8.6400289968521928</v>
      </c>
      <c r="F160" s="4">
        <f t="shared" si="20"/>
        <v>8.9271769179416722</v>
      </c>
      <c r="G160" s="4">
        <f t="shared" si="20"/>
        <v>9.2110403875349949</v>
      </c>
      <c r="H160" s="4">
        <f t="shared" si="20"/>
        <v>9.4917916063719776</v>
      </c>
      <c r="I160" s="4">
        <f t="shared" si="20"/>
        <v>9.7695872471517564</v>
      </c>
      <c r="J160" s="4">
        <f t="shared" si="20"/>
        <v>10.044570396206469</v>
      </c>
      <c r="K160" s="4">
        <f t="shared" si="20"/>
        <v>10.316872189648942</v>
      </c>
      <c r="L160" s="4">
        <f t="shared" si="20"/>
        <v>10.586613201241351</v>
      </c>
      <c r="M160" s="4">
        <f t="shared" si="20"/>
        <v>10.853904626904374</v>
      </c>
      <c r="N160" s="1"/>
      <c r="O160" s="1"/>
      <c r="P160" s="1"/>
      <c r="Q160" s="1"/>
      <c r="R160" s="1"/>
      <c r="S160" s="1"/>
      <c r="T160" s="1"/>
      <c r="U160" s="1"/>
    </row>
    <row r="161" spans="1:21" ht="15">
      <c r="A161" s="322"/>
      <c r="B161" s="1">
        <f t="shared" si="21"/>
        <v>1.3000000000000005E-2</v>
      </c>
      <c r="C161" s="4">
        <f t="shared" si="22"/>
        <v>8.5435508619059402</v>
      </c>
      <c r="D161" s="4">
        <f t="shared" si="20"/>
        <v>8.8557049541288713</v>
      </c>
      <c r="E161" s="4">
        <f t="shared" si="20"/>
        <v>9.1639503846815469</v>
      </c>
      <c r="F161" s="4">
        <f t="shared" si="20"/>
        <v>9.4685106243389754</v>
      </c>
      <c r="G161" s="4">
        <f t="shared" si="20"/>
        <v>9.7695872471517564</v>
      </c>
      <c r="H161" s="4">
        <f t="shared" si="20"/>
        <v>10.067362895913853</v>
      </c>
      <c r="I161" s="4">
        <f t="shared" si="20"/>
        <v>10.362003743776073</v>
      </c>
      <c r="J161" s="4">
        <f t="shared" si="20"/>
        <v>10.653661553660617</v>
      </c>
      <c r="K161" s="4">
        <f t="shared" si="20"/>
        <v>10.942475413622867</v>
      </c>
      <c r="L161" s="4">
        <f t="shared" si="20"/>
        <v>11.228573208878787</v>
      </c>
      <c r="M161" s="4">
        <f t="shared" si="20"/>
        <v>11.512072878141375</v>
      </c>
      <c r="N161" s="1"/>
      <c r="O161" s="1"/>
      <c r="P161" s="1"/>
      <c r="Q161" s="1"/>
      <c r="R161" s="1"/>
      <c r="S161" s="1"/>
      <c r="T161" s="1"/>
      <c r="U161" s="1"/>
    </row>
    <row r="162" spans="1:21" ht="15">
      <c r="A162" s="322"/>
      <c r="B162" s="1">
        <f t="shared" si="21"/>
        <v>1.4000000000000005E-2</v>
      </c>
      <c r="C162" s="4">
        <f t="shared" si="22"/>
        <v>9.0221541666200835</v>
      </c>
      <c r="D162" s="4">
        <f t="shared" si="20"/>
        <v>9.3517948967214259</v>
      </c>
      <c r="E162" s="4">
        <f t="shared" si="20"/>
        <v>9.6773080048604001</v>
      </c>
      <c r="F162" s="4">
        <f t="shared" si="20"/>
        <v>9.9989294804770505</v>
      </c>
      <c r="G162" s="4">
        <f t="shared" si="20"/>
        <v>10.316872189648942</v>
      </c>
      <c r="H162" s="4">
        <f t="shared" si="20"/>
        <v>10.631329006682231</v>
      </c>
      <c r="I162" s="4">
        <f t="shared" si="20"/>
        <v>10.942475413622867</v>
      </c>
      <c r="J162" s="4">
        <f t="shared" si="20"/>
        <v>11.250471675038009</v>
      </c>
      <c r="K162" s="4">
        <f t="shared" si="20"/>
        <v>11.555464670591467</v>
      </c>
      <c r="L162" s="4">
        <f t="shared" si="20"/>
        <v>11.857589449532997</v>
      </c>
      <c r="M162" s="4">
        <f t="shared" si="20"/>
        <v>12.156970557413734</v>
      </c>
      <c r="N162" s="1"/>
      <c r="O162" s="1"/>
      <c r="P162" s="1"/>
      <c r="Q162" s="1"/>
      <c r="R162" s="1"/>
      <c r="S162" s="1"/>
      <c r="T162" s="1"/>
      <c r="U162" s="1"/>
    </row>
    <row r="163" spans="1:21" ht="15">
      <c r="A163" s="322"/>
      <c r="B163" s="1">
        <f t="shared" si="21"/>
        <v>1.5000000000000006E-2</v>
      </c>
      <c r="C163" s="4">
        <f t="shared" si="22"/>
        <v>9.4917916063719776</v>
      </c>
      <c r="D163" s="4">
        <f t="shared" si="20"/>
        <v>9.8385913902495794</v>
      </c>
      <c r="E163" s="4">
        <f t="shared" si="20"/>
        <v>10.181048693742436</v>
      </c>
      <c r="F163" s="4">
        <f t="shared" si="20"/>
        <v>10.519411790438525</v>
      </c>
      <c r="G163" s="4">
        <f t="shared" si="20"/>
        <v>10.853904626904374</v>
      </c>
      <c r="H163" s="4">
        <f t="shared" si="20"/>
        <v>11.184730117287364</v>
      </c>
      <c r="I163" s="4">
        <f t="shared" si="20"/>
        <v>11.512072878141375</v>
      </c>
      <c r="J163" s="4">
        <f t="shared" si="20"/>
        <v>11.836101516413843</v>
      </c>
      <c r="K163" s="4">
        <f t="shared" si="20"/>
        <v>12.156970557413734</v>
      </c>
      <c r="L163" s="4">
        <f t="shared" si="20"/>
        <v>12.474822080217905</v>
      </c>
      <c r="M163" s="4">
        <f t="shared" si="20"/>
        <v>12.789787113447138</v>
      </c>
      <c r="N163" s="1"/>
      <c r="O163" s="1"/>
      <c r="P163" s="1"/>
      <c r="Q163" s="1"/>
      <c r="R163" s="1"/>
      <c r="S163" s="1"/>
      <c r="T163" s="1"/>
      <c r="U163" s="1"/>
    </row>
    <row r="164" spans="1:21" ht="15">
      <c r="A164" s="322"/>
      <c r="B164" s="1">
        <f t="shared" si="21"/>
        <v>1.6000000000000007E-2</v>
      </c>
      <c r="C164" s="4">
        <f t="shared" si="22"/>
        <v>9.953213521070742</v>
      </c>
      <c r="D164" s="4">
        <f t="shared" si="20"/>
        <v>10.316872189648942</v>
      </c>
      <c r="E164" s="4">
        <f t="shared" si="20"/>
        <v>10.675977278010379</v>
      </c>
      <c r="F164" s="4">
        <f t="shared" si="20"/>
        <v>11.030789129000238</v>
      </c>
      <c r="G164" s="4">
        <f t="shared" si="20"/>
        <v>11.381542575839317</v>
      </c>
      <c r="H164" s="4">
        <f t="shared" si="20"/>
        <v>11.728450396885906</v>
      </c>
      <c r="I164" s="4">
        <f t="shared" si="20"/>
        <v>12.071706183408818</v>
      </c>
      <c r="J164" s="4">
        <f t="shared" si="20"/>
        <v>12.411486738799708</v>
      </c>
      <c r="K164" s="4">
        <f t="shared" si="20"/>
        <v>12.747954100264868</v>
      </c>
      <c r="L164" s="4">
        <f t="shared" si="20"/>
        <v>13.081257253733135</v>
      </c>
      <c r="M164" s="4">
        <f t="shared" si="20"/>
        <v>13.411533597484421</v>
      </c>
      <c r="N164" s="1"/>
      <c r="O164" s="1"/>
      <c r="P164" s="1"/>
      <c r="Q164" s="1"/>
      <c r="R164" s="1"/>
      <c r="S164" s="1"/>
      <c r="T164" s="1"/>
      <c r="U164" s="1"/>
    </row>
    <row r="165" spans="1:21" ht="15">
      <c r="A165" s="322"/>
      <c r="B165" s="1">
        <f t="shared" si="21"/>
        <v>1.7000000000000008E-2</v>
      </c>
      <c r="C165" s="4">
        <f t="shared" si="22"/>
        <v>10.407064717795372</v>
      </c>
      <c r="D165" s="4">
        <f t="shared" si="20"/>
        <v>10.787305661192057</v>
      </c>
      <c r="E165" s="4">
        <f t="shared" si="20"/>
        <v>11.162785388132052</v>
      </c>
      <c r="F165" s="4">
        <f t="shared" si="20"/>
        <v>11.533776112693038</v>
      </c>
      <c r="G165" s="4">
        <f t="shared" si="20"/>
        <v>11.900523376128756</v>
      </c>
      <c r="H165" s="4">
        <f t="shared" si="20"/>
        <v>12.263249659162705</v>
      </c>
      <c r="I165" s="4">
        <f t="shared" si="20"/>
        <v>12.62215738052719</v>
      </c>
      <c r="J165" s="4">
        <f t="shared" si="20"/>
        <v>12.977431405576043</v>
      </c>
      <c r="K165" s="4">
        <f t="shared" si="20"/>
        <v>13.329241160162427</v>
      </c>
      <c r="L165" s="4">
        <f t="shared" si="20"/>
        <v>13.677742423743918</v>
      </c>
      <c r="M165" s="4">
        <f t="shared" si="20"/>
        <v>14.023078859750234</v>
      </c>
      <c r="N165" s="1"/>
      <c r="O165" s="1"/>
      <c r="P165" s="1"/>
      <c r="Q165" s="1"/>
      <c r="R165" s="1"/>
      <c r="S165" s="1"/>
      <c r="T165" s="1"/>
      <c r="U165" s="1"/>
    </row>
    <row r="166" spans="1:21" ht="15">
      <c r="A166" s="322"/>
      <c r="B166" s="1">
        <f t="shared" si="21"/>
        <v>1.8000000000000009E-2</v>
      </c>
      <c r="C166" s="4">
        <f t="shared" si="22"/>
        <v>10.853904626904374</v>
      </c>
      <c r="D166" s="4">
        <f t="shared" si="20"/>
        <v>11.250471675038009</v>
      </c>
      <c r="E166" s="4">
        <f t="shared" si="20"/>
        <v>11.642073078128556</v>
      </c>
      <c r="F166" s="4">
        <f t="shared" si="20"/>
        <v>12.028992738094319</v>
      </c>
      <c r="G166" s="4">
        <f t="shared" si="20"/>
        <v>12.411486738799713</v>
      </c>
      <c r="H166" s="4">
        <f t="shared" si="20"/>
        <v>12.789787113447138</v>
      </c>
      <c r="I166" s="4">
        <f t="shared" si="20"/>
        <v>13.164104971861967</v>
      </c>
      <c r="J166" s="4">
        <f t="shared" si="20"/>
        <v>13.534633116815558</v>
      </c>
      <c r="K166" s="4">
        <f t="shared" si="20"/>
        <v>13.901548248664968</v>
      </c>
      <c r="L166" s="4">
        <f t="shared" si="20"/>
        <v>14.265012835447173</v>
      </c>
      <c r="M166" s="4">
        <f t="shared" si="20"/>
        <v>14.625176708954982</v>
      </c>
      <c r="N166" s="1"/>
      <c r="O166" s="1"/>
      <c r="P166" s="1"/>
      <c r="Q166" s="1"/>
      <c r="R166" s="1"/>
      <c r="S166" s="1"/>
      <c r="T166" s="1"/>
      <c r="U166" s="1"/>
    </row>
    <row r="167" spans="1:21" ht="15">
      <c r="A167" s="322"/>
      <c r="B167" s="1">
        <f t="shared" si="21"/>
        <v>1.900000000000001E-2</v>
      </c>
      <c r="C167" s="4">
        <f t="shared" si="22"/>
        <v>11.294222705064785</v>
      </c>
      <c r="D167" s="4">
        <f t="shared" si="20"/>
        <v>11.70687757103893</v>
      </c>
      <c r="E167" s="4">
        <f t="shared" si="20"/>
        <v>12.114365347111452</v>
      </c>
      <c r="F167" s="4">
        <f t="shared" si="20"/>
        <v>12.516981452451933</v>
      </c>
      <c r="G167" s="4">
        <f t="shared" si="20"/>
        <v>12.914992359661277</v>
      </c>
      <c r="H167" s="4">
        <f t="shared" si="20"/>
        <v>13.308639514998044</v>
      </c>
      <c r="I167" s="4">
        <f t="shared" si="20"/>
        <v>13.698142592530221</v>
      </c>
      <c r="J167" s="4">
        <f t="shared" si="20"/>
        <v>14.083702216596487</v>
      </c>
      <c r="K167" s="4">
        <f t="shared" si="20"/>
        <v>14.46550225588312</v>
      </c>
      <c r="L167" s="4">
        <f t="shared" si="20"/>
        <v>14.843711769383642</v>
      </c>
      <c r="M167" s="4">
        <f t="shared" si="20"/>
        <v>15.2184866672239</v>
      </c>
      <c r="N167" s="1"/>
      <c r="O167" s="1"/>
      <c r="P167" s="1"/>
      <c r="Q167" s="1"/>
      <c r="R167" s="1"/>
      <c r="S167" s="1"/>
      <c r="T167" s="1"/>
      <c r="U167" s="1"/>
    </row>
    <row r="168" spans="1:21" ht="15">
      <c r="A168" s="323"/>
      <c r="B168" s="1">
        <f t="shared" si="21"/>
        <v>2.0000000000000011E-2</v>
      </c>
      <c r="C168" s="4">
        <f t="shared" si="22"/>
        <v>11.728450396885906</v>
      </c>
      <c r="D168" s="4">
        <f t="shared" si="20"/>
        <v>12.156970557413734</v>
      </c>
      <c r="E168" s="4">
        <f t="shared" si="20"/>
        <v>12.580124969523983</v>
      </c>
      <c r="F168" s="4">
        <f t="shared" si="20"/>
        <v>12.998220410333349</v>
      </c>
      <c r="G168" s="4">
        <f t="shared" si="20"/>
        <v>13.411533597484421</v>
      </c>
      <c r="H168" s="4">
        <f t="shared" si="20"/>
        <v>13.820315260092521</v>
      </c>
      <c r="I168" s="4">
        <f t="shared" si="20"/>
        <v>14.224793518009459</v>
      </c>
      <c r="J168" s="4">
        <f t="shared" si="20"/>
        <v>14.625176708954978</v>
      </c>
      <c r="K168" s="4">
        <f t="shared" si="20"/>
        <v>15.021655770793762</v>
      </c>
      <c r="L168" s="4">
        <f t="shared" si="20"/>
        <v>15.41440626231117</v>
      </c>
      <c r="M168" s="4">
        <f t="shared" si="20"/>
        <v>15.803590087891861</v>
      </c>
      <c r="N168" s="1"/>
      <c r="O168" s="1"/>
      <c r="P168" s="1"/>
      <c r="Q168" s="1"/>
      <c r="R168" s="1"/>
      <c r="S168" s="1"/>
      <c r="T168" s="1"/>
      <c r="U168" s="1"/>
    </row>
    <row r="169" spans="1:21" ht="1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5">
      <c r="B170" s="1"/>
      <c r="C170" s="1"/>
      <c r="D170" s="1"/>
      <c r="E170" s="1"/>
      <c r="F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21">
      <c r="B171" s="1"/>
      <c r="C171" s="327" t="s">
        <v>398</v>
      </c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1"/>
      <c r="O171" s="1"/>
      <c r="P171" s="1"/>
      <c r="Q171" s="1"/>
      <c r="R171" s="1"/>
      <c r="S171" s="1"/>
      <c r="T171" s="1"/>
      <c r="U171" s="1"/>
    </row>
    <row r="172" spans="1:21" ht="18.75">
      <c r="B172" s="1"/>
      <c r="C172" s="328" t="s">
        <v>152</v>
      </c>
      <c r="D172" s="329"/>
      <c r="E172" s="329"/>
      <c r="F172" s="329"/>
      <c r="G172" s="329"/>
      <c r="H172" s="329"/>
      <c r="I172" s="329"/>
      <c r="J172" s="329"/>
      <c r="K172" s="329"/>
      <c r="L172" s="329"/>
      <c r="M172" s="330"/>
      <c r="N172" s="1"/>
      <c r="O172" s="1"/>
      <c r="P172" s="1"/>
      <c r="Q172" s="1"/>
      <c r="R172" s="1"/>
      <c r="S172" s="1"/>
      <c r="T172" s="1"/>
      <c r="U172" s="1"/>
    </row>
    <row r="173" spans="1:21" ht="15">
      <c r="A173" s="331" t="s">
        <v>376</v>
      </c>
      <c r="B173" s="332"/>
      <c r="C173" s="2">
        <f t="shared" ref="C173:M173" si="23">C$12</f>
        <v>0</v>
      </c>
      <c r="D173" s="2">
        <f t="shared" si="23"/>
        <v>0</v>
      </c>
      <c r="E173" s="2">
        <f t="shared" si="23"/>
        <v>0</v>
      </c>
      <c r="F173" s="2">
        <f t="shared" si="23"/>
        <v>0</v>
      </c>
      <c r="G173" s="2">
        <f t="shared" si="23"/>
        <v>0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">
        <f t="shared" si="23"/>
        <v>0</v>
      </c>
      <c r="L173" s="2">
        <f t="shared" si="23"/>
        <v>0</v>
      </c>
      <c r="M173" s="2">
        <f t="shared" si="23"/>
        <v>0</v>
      </c>
      <c r="N173" s="1"/>
      <c r="O173" s="1"/>
      <c r="P173" s="1"/>
      <c r="Q173" s="1"/>
      <c r="R173" s="1"/>
      <c r="S173" s="1"/>
      <c r="T173" s="1"/>
      <c r="U173" s="1"/>
    </row>
    <row r="174" spans="1:21" ht="15">
      <c r="A174" s="319" t="s">
        <v>46</v>
      </c>
      <c r="B174" s="320"/>
      <c r="C174" s="3">
        <f t="shared" ref="C174:M174" si="24">C$9</f>
        <v>2</v>
      </c>
      <c r="D174" s="3">
        <f t="shared" si="24"/>
        <v>2.1</v>
      </c>
      <c r="E174" s="3">
        <f t="shared" si="24"/>
        <v>2.2000000000000002</v>
      </c>
      <c r="F174" s="3">
        <f t="shared" si="24"/>
        <v>2.3000000000000003</v>
      </c>
      <c r="G174" s="3">
        <f t="shared" si="24"/>
        <v>2.4000000000000004</v>
      </c>
      <c r="H174" s="3">
        <f t="shared" si="24"/>
        <v>2.5000000000000004</v>
      </c>
      <c r="I174" s="3">
        <f t="shared" si="24"/>
        <v>2.6000000000000005</v>
      </c>
      <c r="J174" s="3">
        <f t="shared" si="24"/>
        <v>2.7000000000000006</v>
      </c>
      <c r="K174" s="3">
        <f t="shared" si="24"/>
        <v>2.8000000000000007</v>
      </c>
      <c r="L174" s="3">
        <f t="shared" si="24"/>
        <v>2.9000000000000008</v>
      </c>
      <c r="M174" s="3">
        <f t="shared" si="24"/>
        <v>3.0000000000000009</v>
      </c>
      <c r="N174" s="1"/>
      <c r="O174" s="1"/>
      <c r="P174" s="1"/>
      <c r="Q174" s="1"/>
      <c r="R174" s="1"/>
      <c r="S174" s="1"/>
      <c r="T174" s="1"/>
      <c r="U174" s="1"/>
    </row>
    <row r="175" spans="1:21" ht="15" customHeight="1">
      <c r="A175" s="321" t="s">
        <v>510</v>
      </c>
      <c r="B175" s="1">
        <f>$G$4</f>
        <v>1E-3</v>
      </c>
      <c r="C175" s="4">
        <f t="shared" ref="C175:M194" si="25">LININTERP((62.4*$B175*(C$174)),$T$178:$T$188,$R$178:$R$188)</f>
        <v>0.65318024369230765</v>
      </c>
      <c r="D175" s="4">
        <f t="shared" si="25"/>
        <v>0.68341648049230763</v>
      </c>
      <c r="E175" s="4">
        <f t="shared" si="25"/>
        <v>0.71365271729230773</v>
      </c>
      <c r="F175" s="4">
        <f t="shared" si="25"/>
        <v>0.74388895409230771</v>
      </c>
      <c r="G175" s="4">
        <f t="shared" si="25"/>
        <v>0.77412519089230769</v>
      </c>
      <c r="H175" s="4">
        <f t="shared" si="25"/>
        <v>0.80436142769230778</v>
      </c>
      <c r="I175" s="4">
        <f t="shared" si="25"/>
        <v>0.83459766449230777</v>
      </c>
      <c r="J175" s="4">
        <f t="shared" si="25"/>
        <v>0.86483390129230775</v>
      </c>
      <c r="K175" s="4">
        <f t="shared" si="25"/>
        <v>0.89507013809230784</v>
      </c>
      <c r="L175" s="4">
        <f t="shared" si="25"/>
        <v>0.92530637489230783</v>
      </c>
      <c r="M175" s="4">
        <f t="shared" si="25"/>
        <v>0.95554261169230781</v>
      </c>
      <c r="N175" s="1"/>
      <c r="O175" s="1"/>
      <c r="P175" s="1"/>
      <c r="Q175" s="1"/>
      <c r="R175" s="1"/>
      <c r="S175" s="1"/>
      <c r="T175" s="1"/>
      <c r="U175" s="1"/>
    </row>
    <row r="176" spans="1:21" ht="15">
      <c r="A176" s="322"/>
      <c r="B176" s="1">
        <f t="shared" ref="B176:B194" si="26">B175+$H$4</f>
        <v>2E-3</v>
      </c>
      <c r="C176" s="4">
        <f t="shared" si="25"/>
        <v>1.2579049796923076</v>
      </c>
      <c r="D176" s="4">
        <f t="shared" si="25"/>
        <v>1.3123221857103446</v>
      </c>
      <c r="E176" s="4">
        <f t="shared" si="25"/>
        <v>1.3665388861793104</v>
      </c>
      <c r="F176" s="4">
        <f t="shared" si="25"/>
        <v>1.4207555866482759</v>
      </c>
      <c r="G176" s="4">
        <f t="shared" si="25"/>
        <v>1.4749722871172413</v>
      </c>
      <c r="H176" s="4">
        <f t="shared" si="25"/>
        <v>1.529188987586207</v>
      </c>
      <c r="I176" s="4">
        <f t="shared" si="25"/>
        <v>1.5834056880551726</v>
      </c>
      <c r="J176" s="4">
        <f t="shared" si="25"/>
        <v>1.6376223885241381</v>
      </c>
      <c r="K176" s="4">
        <f t="shared" si="25"/>
        <v>1.6918390889931036</v>
      </c>
      <c r="L176" s="4">
        <f t="shared" si="25"/>
        <v>1.7460557894620692</v>
      </c>
      <c r="M176" s="4">
        <f t="shared" si="25"/>
        <v>1.8002724899310345</v>
      </c>
      <c r="N176" s="1"/>
      <c r="O176" s="1"/>
      <c r="P176" s="1"/>
      <c r="Q176" s="1"/>
      <c r="R176" s="1"/>
      <c r="S176" s="1"/>
      <c r="T176" s="1"/>
      <c r="U176" s="1"/>
    </row>
    <row r="177" spans="1:22" ht="15">
      <c r="A177" s="322"/>
      <c r="B177" s="1">
        <f t="shared" si="26"/>
        <v>3.0000000000000001E-3</v>
      </c>
      <c r="C177" s="4">
        <f t="shared" si="25"/>
        <v>1.8002724899310345</v>
      </c>
      <c r="D177" s="4">
        <f t="shared" si="25"/>
        <v>1.8815975406344827</v>
      </c>
      <c r="E177" s="4">
        <f t="shared" si="25"/>
        <v>1.9629225913379309</v>
      </c>
      <c r="F177" s="4">
        <f t="shared" si="25"/>
        <v>2.0442476420413795</v>
      </c>
      <c r="G177" s="4">
        <f t="shared" si="25"/>
        <v>2.1255726927448277</v>
      </c>
      <c r="H177" s="4">
        <f t="shared" si="25"/>
        <v>2.2068977434482759</v>
      </c>
      <c r="I177" s="4">
        <f t="shared" si="25"/>
        <v>2.2882227941517241</v>
      </c>
      <c r="J177" s="4">
        <f t="shared" si="25"/>
        <v>2.3695478448551723</v>
      </c>
      <c r="K177" s="4">
        <f t="shared" si="25"/>
        <v>2.4508728955586214</v>
      </c>
      <c r="L177" s="4">
        <f t="shared" si="25"/>
        <v>2.5319858861559323</v>
      </c>
      <c r="M177" s="4">
        <f t="shared" si="25"/>
        <v>2.6119325461694922</v>
      </c>
      <c r="N177" s="1"/>
      <c r="O177" s="49" t="s">
        <v>41</v>
      </c>
      <c r="P177" s="49" t="s">
        <v>110</v>
      </c>
      <c r="Q177" s="49" t="s">
        <v>110</v>
      </c>
      <c r="R177" s="49" t="s">
        <v>45</v>
      </c>
      <c r="S177" s="49" t="s">
        <v>435</v>
      </c>
      <c r="T177" s="49" t="s">
        <v>442</v>
      </c>
      <c r="U177" s="1"/>
      <c r="V177" s="113" t="s">
        <v>495</v>
      </c>
    </row>
    <row r="178" spans="1:22" ht="15">
      <c r="A178" s="322"/>
      <c r="B178" s="1">
        <f t="shared" si="26"/>
        <v>4.0000000000000001E-3</v>
      </c>
      <c r="C178" s="4">
        <f t="shared" si="25"/>
        <v>2.3424394946206895</v>
      </c>
      <c r="D178" s="4">
        <f t="shared" si="25"/>
        <v>2.4508728955586205</v>
      </c>
      <c r="E178" s="4">
        <f t="shared" si="25"/>
        <v>2.5586347728271188</v>
      </c>
      <c r="F178" s="4">
        <f t="shared" si="25"/>
        <v>2.6652303195118643</v>
      </c>
      <c r="G178" s="4">
        <f t="shared" si="25"/>
        <v>2.7718258661966102</v>
      </c>
      <c r="H178" s="4">
        <f t="shared" si="25"/>
        <v>2.8784214128813561</v>
      </c>
      <c r="I178" s="4">
        <f t="shared" si="25"/>
        <v>2.985016959566102</v>
      </c>
      <c r="J178" s="4">
        <f t="shared" si="25"/>
        <v>3.0916125062508475</v>
      </c>
      <c r="K178" s="4">
        <f t="shared" si="25"/>
        <v>3.1982080529355938</v>
      </c>
      <c r="L178" s="4">
        <f t="shared" si="25"/>
        <v>3.3048035996203398</v>
      </c>
      <c r="M178" s="4">
        <f t="shared" si="25"/>
        <v>3.4113991463050852</v>
      </c>
      <c r="N178" s="1"/>
      <c r="O178" s="49" t="s">
        <v>515</v>
      </c>
      <c r="P178" s="49">
        <v>2</v>
      </c>
      <c r="Q178" s="49">
        <v>4</v>
      </c>
      <c r="R178" s="3">
        <f t="shared" ref="R178:R188" si="27">Q178*0.0393701</f>
        <v>0.15748039999999999</v>
      </c>
      <c r="S178" s="49">
        <v>3.9E-2</v>
      </c>
      <c r="T178" s="49">
        <v>2.5999999999999999E-2</v>
      </c>
      <c r="U178" s="1"/>
      <c r="V178">
        <f t="shared" ref="V178:V188" si="28">CONVERT(AVERAGE(P178,Q178),"mm","in")</f>
        <v>0.11811023622047245</v>
      </c>
    </row>
    <row r="179" spans="1:22" ht="15">
      <c r="A179" s="322"/>
      <c r="B179" s="1">
        <f t="shared" si="26"/>
        <v>5.0000000000000001E-3</v>
      </c>
      <c r="C179" s="4">
        <f t="shared" si="25"/>
        <v>2.8784214128813557</v>
      </c>
      <c r="D179" s="4">
        <f t="shared" si="25"/>
        <v>3.0116658462372881</v>
      </c>
      <c r="E179" s="4">
        <f t="shared" si="25"/>
        <v>3.14491027959322</v>
      </c>
      <c r="F179" s="4">
        <f t="shared" si="25"/>
        <v>3.2781547129491528</v>
      </c>
      <c r="G179" s="4">
        <f t="shared" si="25"/>
        <v>3.4113991463050852</v>
      </c>
      <c r="H179" s="4">
        <f t="shared" si="25"/>
        <v>3.5446435796610176</v>
      </c>
      <c r="I179" s="4">
        <f t="shared" si="25"/>
        <v>3.6778880130169496</v>
      </c>
      <c r="J179" s="4">
        <f t="shared" si="25"/>
        <v>3.811132446372882</v>
      </c>
      <c r="K179" s="4">
        <f t="shared" si="25"/>
        <v>3.9443768797288148</v>
      </c>
      <c r="L179" s="4">
        <f t="shared" si="25"/>
        <v>4.0776213130847472</v>
      </c>
      <c r="M179" s="4">
        <f t="shared" si="25"/>
        <v>4.2108657464406791</v>
      </c>
      <c r="N179" s="1"/>
      <c r="O179" s="49" t="s">
        <v>331</v>
      </c>
      <c r="P179" s="49">
        <v>4</v>
      </c>
      <c r="Q179" s="49">
        <v>8</v>
      </c>
      <c r="R179" s="3">
        <f t="shared" si="27"/>
        <v>0.31496079999999999</v>
      </c>
      <c r="S179" s="49">
        <v>4.2000000000000003E-2</v>
      </c>
      <c r="T179" s="49">
        <v>5.7000000000000002E-2</v>
      </c>
      <c r="U179" s="1"/>
      <c r="V179">
        <f t="shared" si="28"/>
        <v>0.23622047244094491</v>
      </c>
    </row>
    <row r="180" spans="1:22" ht="15">
      <c r="A180" s="322"/>
      <c r="B180" s="1">
        <f t="shared" si="26"/>
        <v>6.0000000000000001E-3</v>
      </c>
      <c r="C180" s="4">
        <f t="shared" si="25"/>
        <v>3.4113991463050848</v>
      </c>
      <c r="D180" s="4">
        <f t="shared" si="25"/>
        <v>3.5712924663322037</v>
      </c>
      <c r="E180" s="4">
        <f t="shared" si="25"/>
        <v>3.7311857863593225</v>
      </c>
      <c r="F180" s="4">
        <f t="shared" si="25"/>
        <v>3.8910791063864414</v>
      </c>
      <c r="G180" s="4">
        <f t="shared" si="25"/>
        <v>4.0509724264135603</v>
      </c>
      <c r="H180" s="4">
        <f t="shared" si="25"/>
        <v>4.2108657464406782</v>
      </c>
      <c r="I180" s="4">
        <f t="shared" si="25"/>
        <v>4.3707590664677971</v>
      </c>
      <c r="J180" s="4">
        <f t="shared" si="25"/>
        <v>4.530652386494916</v>
      </c>
      <c r="K180" s="4">
        <f t="shared" si="25"/>
        <v>4.6905457065220357</v>
      </c>
      <c r="L180" s="4">
        <f t="shared" si="25"/>
        <v>4.8504390265491537</v>
      </c>
      <c r="M180" s="4">
        <f t="shared" si="25"/>
        <v>5.0103323465762735</v>
      </c>
      <c r="N180" s="1"/>
      <c r="O180" s="49" t="s">
        <v>516</v>
      </c>
      <c r="P180" s="49">
        <v>8</v>
      </c>
      <c r="Q180" s="49">
        <v>16</v>
      </c>
      <c r="R180" s="3">
        <f t="shared" si="27"/>
        <v>0.62992159999999997</v>
      </c>
      <c r="S180" s="49">
        <v>4.3999999999999997E-2</v>
      </c>
      <c r="T180" s="49">
        <v>0.12</v>
      </c>
      <c r="U180" s="1"/>
      <c r="V180">
        <f t="shared" si="28"/>
        <v>0.47244094488188981</v>
      </c>
    </row>
    <row r="181" spans="1:22" ht="15">
      <c r="A181" s="322"/>
      <c r="B181" s="1">
        <f t="shared" si="26"/>
        <v>7.0000000000000001E-3</v>
      </c>
      <c r="C181" s="4">
        <f t="shared" si="25"/>
        <v>3.9443768797288139</v>
      </c>
      <c r="D181" s="4">
        <f t="shared" si="25"/>
        <v>4.1309190864271192</v>
      </c>
      <c r="E181" s="4">
        <f t="shared" si="25"/>
        <v>4.3174612931254241</v>
      </c>
      <c r="F181" s="4">
        <f t="shared" si="25"/>
        <v>4.5040034998237299</v>
      </c>
      <c r="G181" s="4">
        <f t="shared" si="25"/>
        <v>4.6905457065220348</v>
      </c>
      <c r="H181" s="4">
        <f t="shared" si="25"/>
        <v>4.8770879132203397</v>
      </c>
      <c r="I181" s="4">
        <f t="shared" si="25"/>
        <v>5.0630286987636373</v>
      </c>
      <c r="J181" s="4">
        <f t="shared" si="25"/>
        <v>5.244945892072729</v>
      </c>
      <c r="K181" s="4">
        <f t="shared" si="25"/>
        <v>5.4268630853818198</v>
      </c>
      <c r="L181" s="4">
        <f t="shared" si="25"/>
        <v>5.6087802786909116</v>
      </c>
      <c r="M181" s="4">
        <f t="shared" si="25"/>
        <v>5.7906974720000024</v>
      </c>
      <c r="N181" s="1"/>
      <c r="O181" s="49" t="s">
        <v>162</v>
      </c>
      <c r="P181" s="49">
        <v>16</v>
      </c>
      <c r="Q181" s="49">
        <v>32</v>
      </c>
      <c r="R181" s="3">
        <f t="shared" si="27"/>
        <v>1.2598431999999999</v>
      </c>
      <c r="S181" s="49">
        <v>4.7E-2</v>
      </c>
      <c r="T181" s="49">
        <v>0.25</v>
      </c>
      <c r="U181" s="1"/>
      <c r="V181">
        <f t="shared" si="28"/>
        <v>0.94488188976377963</v>
      </c>
    </row>
    <row r="182" spans="1:22" ht="15">
      <c r="A182" s="322"/>
      <c r="B182" s="1">
        <f t="shared" si="26"/>
        <v>8.0000000000000002E-3</v>
      </c>
      <c r="C182" s="4">
        <f t="shared" si="25"/>
        <v>4.4773546131525421</v>
      </c>
      <c r="D182" s="4">
        <f t="shared" si="25"/>
        <v>4.690545706522034</v>
      </c>
      <c r="E182" s="4">
        <f t="shared" si="25"/>
        <v>4.9037367998915258</v>
      </c>
      <c r="F182" s="4">
        <f t="shared" si="25"/>
        <v>5.1150050397090912</v>
      </c>
      <c r="G182" s="4">
        <f t="shared" si="25"/>
        <v>5.3229104034909094</v>
      </c>
      <c r="H182" s="4">
        <f t="shared" si="25"/>
        <v>5.5308157672727285</v>
      </c>
      <c r="I182" s="4">
        <f t="shared" si="25"/>
        <v>5.7387211310545467</v>
      </c>
      <c r="J182" s="4">
        <f t="shared" si="25"/>
        <v>5.9466264948363641</v>
      </c>
      <c r="K182" s="4">
        <f t="shared" si="25"/>
        <v>6.1545318586181832</v>
      </c>
      <c r="L182" s="4">
        <f t="shared" si="25"/>
        <v>6.3624372224000014</v>
      </c>
      <c r="M182" s="4">
        <f t="shared" si="25"/>
        <v>6.5703425861818197</v>
      </c>
      <c r="N182" s="1"/>
      <c r="O182" s="49" t="s">
        <v>368</v>
      </c>
      <c r="P182" s="49">
        <v>32</v>
      </c>
      <c r="Q182" s="49">
        <v>64</v>
      </c>
      <c r="R182" s="3">
        <f t="shared" si="27"/>
        <v>2.5196863999999999</v>
      </c>
      <c r="S182" s="49">
        <v>0.05</v>
      </c>
      <c r="T182" s="49">
        <v>0.54</v>
      </c>
      <c r="U182" s="1"/>
      <c r="V182">
        <f t="shared" si="28"/>
        <v>1.8897637795275593</v>
      </c>
    </row>
    <row r="183" spans="1:22" ht="15">
      <c r="A183" s="322"/>
      <c r="B183" s="1">
        <f t="shared" si="26"/>
        <v>9.0000000000000011E-3</v>
      </c>
      <c r="C183" s="4">
        <f t="shared" si="25"/>
        <v>5.0103323465762717</v>
      </c>
      <c r="D183" s="4">
        <f t="shared" si="25"/>
        <v>5.2449458920727281</v>
      </c>
      <c r="E183" s="4">
        <f t="shared" si="25"/>
        <v>5.4788394263272746</v>
      </c>
      <c r="F183" s="4">
        <f t="shared" si="25"/>
        <v>5.7127329605818202</v>
      </c>
      <c r="G183" s="4">
        <f t="shared" si="25"/>
        <v>5.9466264948363659</v>
      </c>
      <c r="H183" s="4">
        <f t="shared" si="25"/>
        <v>6.1805200290909115</v>
      </c>
      <c r="I183" s="4">
        <f t="shared" si="25"/>
        <v>6.4144135633454571</v>
      </c>
      <c r="J183" s="4">
        <f t="shared" si="25"/>
        <v>6.6483070976000027</v>
      </c>
      <c r="K183" s="4">
        <f t="shared" si="25"/>
        <v>6.8822006318545483</v>
      </c>
      <c r="L183" s="4">
        <f t="shared" si="25"/>
        <v>7.116094166109094</v>
      </c>
      <c r="M183" s="4">
        <f t="shared" si="25"/>
        <v>7.3499877003636396</v>
      </c>
      <c r="N183" s="1"/>
      <c r="O183" s="49" t="s">
        <v>229</v>
      </c>
      <c r="P183" s="49">
        <v>64</v>
      </c>
      <c r="Q183" s="49">
        <v>128</v>
      </c>
      <c r="R183" s="3">
        <f t="shared" si="27"/>
        <v>5.0393727999999998</v>
      </c>
      <c r="S183" s="49">
        <v>5.1999999999999998E-2</v>
      </c>
      <c r="T183" s="49">
        <v>1.1299999999999999</v>
      </c>
      <c r="U183" s="1"/>
      <c r="V183">
        <f t="shared" si="28"/>
        <v>3.7795275590551185</v>
      </c>
    </row>
    <row r="184" spans="1:22" ht="15">
      <c r="A184" s="322"/>
      <c r="B184" s="1">
        <f t="shared" si="26"/>
        <v>1.0000000000000002E-2</v>
      </c>
      <c r="C184" s="4">
        <f t="shared" si="25"/>
        <v>5.5308157672727285</v>
      </c>
      <c r="D184" s="4">
        <f t="shared" si="25"/>
        <v>5.7906974720000015</v>
      </c>
      <c r="E184" s="4">
        <f t="shared" si="25"/>
        <v>6.0505791767272736</v>
      </c>
      <c r="F184" s="4">
        <f t="shared" si="25"/>
        <v>6.3104608814545475</v>
      </c>
      <c r="G184" s="4">
        <f t="shared" si="25"/>
        <v>6.5703425861818205</v>
      </c>
      <c r="H184" s="4">
        <f t="shared" si="25"/>
        <v>6.8302242909090927</v>
      </c>
      <c r="I184" s="4">
        <f t="shared" si="25"/>
        <v>7.0901059956363657</v>
      </c>
      <c r="J184" s="4">
        <f t="shared" si="25"/>
        <v>7.3499877003636396</v>
      </c>
      <c r="K184" s="4">
        <f t="shared" si="25"/>
        <v>7.6098694050909126</v>
      </c>
      <c r="L184" s="4">
        <f t="shared" si="25"/>
        <v>7.8697511098181856</v>
      </c>
      <c r="M184" s="4">
        <f t="shared" si="25"/>
        <v>8.1296328145454577</v>
      </c>
      <c r="N184" s="1"/>
      <c r="O184" s="49" t="s">
        <v>82</v>
      </c>
      <c r="P184" s="49">
        <v>128</v>
      </c>
      <c r="Q184" s="49">
        <v>256</v>
      </c>
      <c r="R184" s="3">
        <f t="shared" si="27"/>
        <v>10.0787456</v>
      </c>
      <c r="S184" s="49">
        <v>5.3999999999999999E-2</v>
      </c>
      <c r="T184" s="49">
        <v>2.34</v>
      </c>
      <c r="U184" s="1"/>
      <c r="V184">
        <f t="shared" si="28"/>
        <v>7.559055118110237</v>
      </c>
    </row>
    <row r="185" spans="1:22" ht="15">
      <c r="A185" s="322"/>
      <c r="B185" s="1">
        <f t="shared" si="26"/>
        <v>1.1000000000000003E-2</v>
      </c>
      <c r="C185" s="4">
        <f t="shared" si="25"/>
        <v>6.0505791767272736</v>
      </c>
      <c r="D185" s="4">
        <f t="shared" si="25"/>
        <v>6.336449051927274</v>
      </c>
      <c r="E185" s="4">
        <f t="shared" si="25"/>
        <v>6.6223189271272744</v>
      </c>
      <c r="F185" s="4">
        <f t="shared" si="25"/>
        <v>6.9081888023272748</v>
      </c>
      <c r="G185" s="4">
        <f t="shared" si="25"/>
        <v>7.1940586775272752</v>
      </c>
      <c r="H185" s="4">
        <f t="shared" si="25"/>
        <v>7.4799285527272756</v>
      </c>
      <c r="I185" s="4">
        <f t="shared" si="25"/>
        <v>7.765798427927276</v>
      </c>
      <c r="J185" s="4">
        <f t="shared" si="25"/>
        <v>8.0516683031272755</v>
      </c>
      <c r="K185" s="4">
        <f t="shared" si="25"/>
        <v>8.3375381783272751</v>
      </c>
      <c r="L185" s="4">
        <f t="shared" si="25"/>
        <v>8.6234080535272764</v>
      </c>
      <c r="M185" s="4">
        <f t="shared" si="25"/>
        <v>8.9092779287272776</v>
      </c>
      <c r="N185" s="1"/>
      <c r="O185" s="49" t="s">
        <v>108</v>
      </c>
      <c r="P185" s="49">
        <v>256</v>
      </c>
      <c r="Q185" s="49">
        <v>512</v>
      </c>
      <c r="R185" s="3">
        <f t="shared" si="27"/>
        <v>20.157491199999999</v>
      </c>
      <c r="S185" s="49">
        <v>5.3999999999999999E-2</v>
      </c>
      <c r="T185" s="49">
        <v>4.67</v>
      </c>
      <c r="U185" s="1"/>
      <c r="V185">
        <f t="shared" si="28"/>
        <v>15.118110236220474</v>
      </c>
    </row>
    <row r="186" spans="1:22" ht="15">
      <c r="A186" s="322"/>
      <c r="B186" s="1">
        <f t="shared" si="26"/>
        <v>1.2000000000000004E-2</v>
      </c>
      <c r="C186" s="4">
        <f t="shared" si="25"/>
        <v>6.5703425861818205</v>
      </c>
      <c r="D186" s="4">
        <f t="shared" si="25"/>
        <v>6.8822006318545483</v>
      </c>
      <c r="E186" s="4">
        <f t="shared" si="25"/>
        <v>7.1940586775272752</v>
      </c>
      <c r="F186" s="4">
        <f t="shared" si="25"/>
        <v>7.505916723200003</v>
      </c>
      <c r="G186" s="4">
        <f t="shared" si="25"/>
        <v>7.8177747688727308</v>
      </c>
      <c r="H186" s="4">
        <f t="shared" si="25"/>
        <v>8.1296328145454595</v>
      </c>
      <c r="I186" s="4">
        <f t="shared" si="25"/>
        <v>8.4414908602181864</v>
      </c>
      <c r="J186" s="4">
        <f t="shared" si="25"/>
        <v>8.7533489058909151</v>
      </c>
      <c r="K186" s="4">
        <f t="shared" si="25"/>
        <v>9.065206951563642</v>
      </c>
      <c r="L186" s="4">
        <f t="shared" si="25"/>
        <v>9.3770649972363707</v>
      </c>
      <c r="M186" s="4">
        <f t="shared" si="25"/>
        <v>9.6889230429090958</v>
      </c>
      <c r="N186" s="1"/>
      <c r="O186" s="49" t="s">
        <v>332</v>
      </c>
      <c r="P186" s="49">
        <v>512</v>
      </c>
      <c r="Q186" s="49">
        <v>1024</v>
      </c>
      <c r="R186" s="3">
        <f t="shared" si="27"/>
        <v>40.314982399999998</v>
      </c>
      <c r="S186" s="49">
        <v>5.3999999999999999E-2</v>
      </c>
      <c r="T186" s="49">
        <v>9.34</v>
      </c>
      <c r="U186" s="1"/>
      <c r="V186">
        <f t="shared" si="28"/>
        <v>30.236220472440948</v>
      </c>
    </row>
    <row r="187" spans="1:22" ht="15">
      <c r="A187" s="322"/>
      <c r="B187" s="1">
        <f t="shared" si="26"/>
        <v>1.3000000000000005E-2</v>
      </c>
      <c r="C187" s="4">
        <f t="shared" si="25"/>
        <v>7.0901059956363657</v>
      </c>
      <c r="D187" s="4">
        <f t="shared" si="25"/>
        <v>7.4279522117818209</v>
      </c>
      <c r="E187" s="4">
        <f t="shared" si="25"/>
        <v>7.765798427927276</v>
      </c>
      <c r="F187" s="4">
        <f t="shared" si="25"/>
        <v>8.1036446440727303</v>
      </c>
      <c r="G187" s="4">
        <f t="shared" si="25"/>
        <v>8.4414908602181846</v>
      </c>
      <c r="H187" s="4">
        <f t="shared" si="25"/>
        <v>8.7793370763636407</v>
      </c>
      <c r="I187" s="4">
        <f t="shared" si="25"/>
        <v>9.1171832925090968</v>
      </c>
      <c r="J187" s="4">
        <f t="shared" si="25"/>
        <v>9.4550295086545511</v>
      </c>
      <c r="K187" s="4">
        <f t="shared" si="25"/>
        <v>9.7928757248000053</v>
      </c>
      <c r="L187" s="4">
        <f t="shared" si="25"/>
        <v>10.132729610767388</v>
      </c>
      <c r="M187" s="4">
        <f t="shared" si="25"/>
        <v>10.483625680755372</v>
      </c>
      <c r="N187" s="1"/>
      <c r="O187" s="49" t="s">
        <v>475</v>
      </c>
      <c r="P187" s="49">
        <v>1024</v>
      </c>
      <c r="Q187" s="49">
        <v>2048</v>
      </c>
      <c r="R187" s="3">
        <f t="shared" si="27"/>
        <v>80.629964799999996</v>
      </c>
      <c r="S187" s="49">
        <v>5.3999999999999999E-2</v>
      </c>
      <c r="T187" s="49">
        <v>18.68</v>
      </c>
      <c r="U187" s="1"/>
      <c r="V187">
        <f t="shared" si="28"/>
        <v>60.472440944881896</v>
      </c>
    </row>
    <row r="188" spans="1:22" ht="15">
      <c r="A188" s="322"/>
      <c r="B188" s="1">
        <f t="shared" si="26"/>
        <v>1.4000000000000005E-2</v>
      </c>
      <c r="C188" s="4">
        <f t="shared" si="25"/>
        <v>7.6098694050909126</v>
      </c>
      <c r="D188" s="4">
        <f t="shared" si="25"/>
        <v>7.9737037917090952</v>
      </c>
      <c r="E188" s="4">
        <f t="shared" si="25"/>
        <v>8.3375381783272768</v>
      </c>
      <c r="F188" s="4">
        <f t="shared" si="25"/>
        <v>8.7013725649454603</v>
      </c>
      <c r="G188" s="4">
        <f t="shared" si="25"/>
        <v>9.065206951563642</v>
      </c>
      <c r="H188" s="4">
        <f t="shared" si="25"/>
        <v>9.4290413381818254</v>
      </c>
      <c r="I188" s="4">
        <f t="shared" si="25"/>
        <v>9.7928757248000053</v>
      </c>
      <c r="J188" s="4">
        <f t="shared" si="25"/>
        <v>10.15972161615108</v>
      </c>
      <c r="K188" s="4">
        <f t="shared" si="25"/>
        <v>10.537609691522754</v>
      </c>
      <c r="L188" s="4">
        <f t="shared" si="25"/>
        <v>10.915497766894429</v>
      </c>
      <c r="M188" s="4">
        <f t="shared" si="25"/>
        <v>11.293385842266103</v>
      </c>
      <c r="N188" s="1"/>
      <c r="O188" s="49" t="s">
        <v>109</v>
      </c>
      <c r="P188" s="49">
        <v>2048</v>
      </c>
      <c r="Q188" s="49"/>
      <c r="R188" s="3">
        <f t="shared" si="27"/>
        <v>0</v>
      </c>
      <c r="S188" s="49">
        <v>5.3999999999999999E-2</v>
      </c>
      <c r="T188" s="49">
        <v>37.369999999999997</v>
      </c>
      <c r="U188" s="1"/>
      <c r="V188">
        <f t="shared" si="28"/>
        <v>80.629921259842519</v>
      </c>
    </row>
    <row r="189" spans="1:22" ht="15">
      <c r="A189" s="322"/>
      <c r="B189" s="1">
        <f t="shared" si="26"/>
        <v>1.5000000000000006E-2</v>
      </c>
      <c r="C189" s="4">
        <f t="shared" si="25"/>
        <v>8.1296328145454577</v>
      </c>
      <c r="D189" s="4">
        <f t="shared" si="25"/>
        <v>8.5194553716363668</v>
      </c>
      <c r="E189" s="4">
        <f t="shared" si="25"/>
        <v>8.9092779287272776</v>
      </c>
      <c r="F189" s="4">
        <f t="shared" si="25"/>
        <v>9.2991004858181867</v>
      </c>
      <c r="G189" s="4">
        <f t="shared" si="25"/>
        <v>9.6889230429090958</v>
      </c>
      <c r="H189" s="4">
        <f t="shared" si="25"/>
        <v>10.078745600000005</v>
      </c>
      <c r="I189" s="4">
        <f t="shared" si="25"/>
        <v>10.483625680755372</v>
      </c>
      <c r="J189" s="4">
        <f t="shared" si="25"/>
        <v>10.888505761510736</v>
      </c>
      <c r="K189" s="4">
        <f t="shared" si="25"/>
        <v>11.293385842266103</v>
      </c>
      <c r="L189" s="4">
        <f t="shared" si="25"/>
        <v>11.698265923021467</v>
      </c>
      <c r="M189" s="4">
        <f t="shared" si="25"/>
        <v>12.103146003776832</v>
      </c>
      <c r="N189" s="1"/>
      <c r="O189" s="1"/>
      <c r="P189" s="1"/>
      <c r="Q189" s="1"/>
      <c r="R189" s="1"/>
      <c r="S189" s="1"/>
      <c r="T189" s="1"/>
      <c r="U189" s="1"/>
    </row>
    <row r="190" spans="1:22" ht="15">
      <c r="A190" s="322"/>
      <c r="B190" s="1">
        <f t="shared" si="26"/>
        <v>1.6000000000000007E-2</v>
      </c>
      <c r="C190" s="4">
        <f t="shared" si="25"/>
        <v>8.6493962240000037</v>
      </c>
      <c r="D190" s="4">
        <f t="shared" si="25"/>
        <v>9.0652069515636384</v>
      </c>
      <c r="E190" s="4">
        <f t="shared" si="25"/>
        <v>9.4810176791272767</v>
      </c>
      <c r="F190" s="4">
        <f t="shared" si="25"/>
        <v>9.8968284066909131</v>
      </c>
      <c r="G190" s="4">
        <f t="shared" si="25"/>
        <v>10.321673648453226</v>
      </c>
      <c r="H190" s="4">
        <f t="shared" si="25"/>
        <v>10.753545734592281</v>
      </c>
      <c r="I190" s="4">
        <f t="shared" si="25"/>
        <v>11.185417820731338</v>
      </c>
      <c r="J190" s="4">
        <f t="shared" si="25"/>
        <v>11.617289906870393</v>
      </c>
      <c r="K190" s="4">
        <f t="shared" si="25"/>
        <v>12.04916199300945</v>
      </c>
      <c r="L190" s="4">
        <f t="shared" si="25"/>
        <v>12.481034079148506</v>
      </c>
      <c r="M190" s="4">
        <f t="shared" si="25"/>
        <v>12.912906165287561</v>
      </c>
      <c r="N190" s="1"/>
      <c r="O190" s="1"/>
      <c r="P190" s="1"/>
      <c r="Q190" s="1"/>
      <c r="R190" s="1"/>
      <c r="S190" s="1"/>
      <c r="T190" s="1"/>
      <c r="U190" s="1"/>
    </row>
    <row r="191" spans="1:22" ht="15">
      <c r="A191" s="322"/>
      <c r="B191" s="1">
        <f t="shared" si="26"/>
        <v>1.7000000000000008E-2</v>
      </c>
      <c r="C191" s="4">
        <f t="shared" si="25"/>
        <v>9.169159633454548</v>
      </c>
      <c r="D191" s="4">
        <f t="shared" si="25"/>
        <v>9.6109585314909118</v>
      </c>
      <c r="E191" s="4">
        <f t="shared" si="25"/>
        <v>10.052757429527277</v>
      </c>
      <c r="F191" s="4">
        <f t="shared" si="25"/>
        <v>10.51061768613906</v>
      </c>
      <c r="G191" s="4">
        <f t="shared" si="25"/>
        <v>10.969481777661809</v>
      </c>
      <c r="H191" s="4">
        <f t="shared" si="25"/>
        <v>11.428345869184556</v>
      </c>
      <c r="I191" s="4">
        <f t="shared" si="25"/>
        <v>11.887209960707303</v>
      </c>
      <c r="J191" s="4">
        <f t="shared" si="25"/>
        <v>12.346074052230051</v>
      </c>
      <c r="K191" s="4">
        <f t="shared" si="25"/>
        <v>12.804938143752796</v>
      </c>
      <c r="L191" s="4">
        <f t="shared" si="25"/>
        <v>13.263802235275545</v>
      </c>
      <c r="M191" s="4">
        <f t="shared" si="25"/>
        <v>13.722666326798292</v>
      </c>
      <c r="N191" s="1"/>
      <c r="O191" s="1"/>
      <c r="P191" s="1"/>
      <c r="Q191" s="1"/>
      <c r="R191" s="1"/>
      <c r="S191" s="1"/>
      <c r="T191" s="1"/>
      <c r="U191" s="1"/>
    </row>
    <row r="192" spans="1:22" ht="15">
      <c r="A192" s="322"/>
      <c r="B192" s="1">
        <f t="shared" si="26"/>
        <v>1.8000000000000009E-2</v>
      </c>
      <c r="C192" s="4">
        <f t="shared" si="25"/>
        <v>9.6889230429090958</v>
      </c>
      <c r="D192" s="4">
        <f t="shared" si="25"/>
        <v>10.159721616151078</v>
      </c>
      <c r="E192" s="4">
        <f t="shared" si="25"/>
        <v>10.645577713057518</v>
      </c>
      <c r="F192" s="4">
        <f t="shared" si="25"/>
        <v>11.131433809963955</v>
      </c>
      <c r="G192" s="4">
        <f t="shared" si="25"/>
        <v>11.617289906870395</v>
      </c>
      <c r="H192" s="4">
        <f t="shared" si="25"/>
        <v>12.103146003776832</v>
      </c>
      <c r="I192" s="4">
        <f t="shared" si="25"/>
        <v>12.589002100683272</v>
      </c>
      <c r="J192" s="4">
        <f t="shared" si="25"/>
        <v>13.074858197589711</v>
      </c>
      <c r="K192" s="4">
        <f t="shared" si="25"/>
        <v>13.560714294496147</v>
      </c>
      <c r="L192" s="4">
        <f t="shared" si="25"/>
        <v>14.046570391402588</v>
      </c>
      <c r="M192" s="4">
        <f t="shared" si="25"/>
        <v>14.532426488309024</v>
      </c>
      <c r="N192" s="1"/>
      <c r="O192" s="1"/>
      <c r="P192" s="1"/>
      <c r="Q192" s="1"/>
      <c r="R192" s="1"/>
      <c r="S192" s="1"/>
      <c r="T192" s="1"/>
      <c r="U192" s="1"/>
    </row>
    <row r="193" spans="1:22" ht="15">
      <c r="A193" s="322"/>
      <c r="B193" s="1">
        <f t="shared" si="26"/>
        <v>1.900000000000001E-2</v>
      </c>
      <c r="C193" s="4">
        <f t="shared" si="25"/>
        <v>10.213705626918461</v>
      </c>
      <c r="D193" s="4">
        <f t="shared" si="25"/>
        <v>10.72655372920859</v>
      </c>
      <c r="E193" s="4">
        <f t="shared" si="25"/>
        <v>11.23940183149872</v>
      </c>
      <c r="F193" s="4">
        <f t="shared" si="25"/>
        <v>11.752249933788848</v>
      </c>
      <c r="G193" s="4">
        <f t="shared" si="25"/>
        <v>12.26509803607898</v>
      </c>
      <c r="H193" s="4">
        <f t="shared" si="25"/>
        <v>12.777946138369108</v>
      </c>
      <c r="I193" s="4">
        <f t="shared" si="25"/>
        <v>13.290794240659237</v>
      </c>
      <c r="J193" s="4">
        <f t="shared" si="25"/>
        <v>13.803642342949367</v>
      </c>
      <c r="K193" s="4">
        <f t="shared" si="25"/>
        <v>14.316490445239497</v>
      </c>
      <c r="L193" s="4">
        <f t="shared" si="25"/>
        <v>14.829338547529625</v>
      </c>
      <c r="M193" s="4">
        <f t="shared" si="25"/>
        <v>15.342186649819755</v>
      </c>
      <c r="N193" s="1"/>
      <c r="O193" s="1"/>
      <c r="P193" s="1"/>
      <c r="Q193" s="1"/>
      <c r="R193" s="1"/>
      <c r="S193" s="1"/>
      <c r="T193" s="1"/>
      <c r="U193" s="1"/>
    </row>
    <row r="194" spans="1:22" ht="15">
      <c r="A194" s="323"/>
      <c r="B194" s="1">
        <f t="shared" si="26"/>
        <v>2.0000000000000011E-2</v>
      </c>
      <c r="C194" s="4">
        <f t="shared" si="25"/>
        <v>10.753545734592281</v>
      </c>
      <c r="D194" s="4">
        <f t="shared" si="25"/>
        <v>11.293385842266101</v>
      </c>
      <c r="E194" s="4">
        <f t="shared" si="25"/>
        <v>11.833225949939923</v>
      </c>
      <c r="F194" s="4">
        <f t="shared" si="25"/>
        <v>12.373066057613741</v>
      </c>
      <c r="G194" s="4">
        <f t="shared" si="25"/>
        <v>12.912906165287561</v>
      </c>
      <c r="H194" s="4">
        <f t="shared" si="25"/>
        <v>13.452746272961384</v>
      </c>
      <c r="I194" s="4">
        <f t="shared" si="25"/>
        <v>13.992586380635203</v>
      </c>
      <c r="J194" s="4">
        <f t="shared" si="25"/>
        <v>14.532426488309024</v>
      </c>
      <c r="K194" s="4">
        <f t="shared" si="25"/>
        <v>15.072266595982844</v>
      </c>
      <c r="L194" s="4">
        <f t="shared" si="25"/>
        <v>15.612106703656664</v>
      </c>
      <c r="M194" s="4">
        <f t="shared" si="25"/>
        <v>16.151946811330482</v>
      </c>
      <c r="N194" s="1"/>
      <c r="O194" s="1"/>
      <c r="P194" s="1"/>
      <c r="Q194" s="1"/>
      <c r="R194" s="1"/>
      <c r="S194" s="1"/>
      <c r="T194" s="1"/>
      <c r="U194" s="1"/>
    </row>
    <row r="195" spans="1:22" ht="1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2" ht="1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2" ht="21">
      <c r="B197" s="1"/>
      <c r="C197" s="327" t="s">
        <v>550</v>
      </c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1"/>
      <c r="O197" s="1"/>
      <c r="P197" s="1"/>
      <c r="Q197" s="1"/>
      <c r="R197" s="1"/>
      <c r="S197" s="1"/>
      <c r="T197" s="1"/>
      <c r="U197" s="1"/>
    </row>
    <row r="198" spans="1:22" ht="18.75">
      <c r="B198" s="1"/>
      <c r="C198" s="328" t="s">
        <v>152</v>
      </c>
      <c r="D198" s="329"/>
      <c r="E198" s="329"/>
      <c r="F198" s="329"/>
      <c r="G198" s="329"/>
      <c r="H198" s="329"/>
      <c r="I198" s="329"/>
      <c r="J198" s="329"/>
      <c r="K198" s="329"/>
      <c r="L198" s="329"/>
      <c r="M198" s="330"/>
      <c r="N198" s="1"/>
      <c r="O198" s="1"/>
      <c r="P198" s="1"/>
      <c r="Q198" s="1"/>
      <c r="R198" s="1"/>
      <c r="S198" s="1"/>
      <c r="T198" s="1"/>
      <c r="U198" s="1"/>
    </row>
    <row r="199" spans="1:22" ht="15">
      <c r="A199" s="331" t="s">
        <v>376</v>
      </c>
      <c r="B199" s="332"/>
      <c r="C199" s="2">
        <f t="shared" ref="C199:M199" si="29">C$12</f>
        <v>0</v>
      </c>
      <c r="D199" s="2">
        <f t="shared" si="29"/>
        <v>0</v>
      </c>
      <c r="E199" s="2">
        <f t="shared" si="29"/>
        <v>0</v>
      </c>
      <c r="F199" s="2">
        <f t="shared" si="29"/>
        <v>0</v>
      </c>
      <c r="G199" s="2">
        <f t="shared" si="29"/>
        <v>0</v>
      </c>
      <c r="H199" s="2">
        <f t="shared" si="29"/>
        <v>0</v>
      </c>
      <c r="I199" s="2">
        <f t="shared" si="29"/>
        <v>0</v>
      </c>
      <c r="J199" s="2">
        <f t="shared" si="29"/>
        <v>0</v>
      </c>
      <c r="K199" s="2">
        <f t="shared" si="29"/>
        <v>0</v>
      </c>
      <c r="L199" s="2">
        <f t="shared" si="29"/>
        <v>0</v>
      </c>
      <c r="M199" s="2">
        <f t="shared" si="29"/>
        <v>0</v>
      </c>
      <c r="N199" s="1"/>
      <c r="O199" s="1"/>
      <c r="P199" s="1"/>
      <c r="Q199" s="1"/>
      <c r="R199" s="1"/>
      <c r="S199" s="1"/>
      <c r="T199" s="1"/>
      <c r="U199" s="1"/>
    </row>
    <row r="200" spans="1:22" ht="15">
      <c r="A200" s="319" t="s">
        <v>46</v>
      </c>
      <c r="B200" s="320"/>
      <c r="C200" s="3">
        <f t="shared" ref="C200:M200" si="30">C$9</f>
        <v>2</v>
      </c>
      <c r="D200" s="3">
        <f t="shared" si="30"/>
        <v>2.1</v>
      </c>
      <c r="E200" s="3">
        <f t="shared" si="30"/>
        <v>2.2000000000000002</v>
      </c>
      <c r="F200" s="3">
        <f t="shared" si="30"/>
        <v>2.3000000000000003</v>
      </c>
      <c r="G200" s="3">
        <f t="shared" si="30"/>
        <v>2.4000000000000004</v>
      </c>
      <c r="H200" s="3">
        <f t="shared" si="30"/>
        <v>2.5000000000000004</v>
      </c>
      <c r="I200" s="3">
        <f t="shared" si="30"/>
        <v>2.6000000000000005</v>
      </c>
      <c r="J200" s="3">
        <f t="shared" si="30"/>
        <v>2.7000000000000006</v>
      </c>
      <c r="K200" s="3">
        <f t="shared" si="30"/>
        <v>2.8000000000000007</v>
      </c>
      <c r="L200" s="3">
        <f t="shared" si="30"/>
        <v>2.9000000000000008</v>
      </c>
      <c r="M200" s="3">
        <f t="shared" si="30"/>
        <v>3.0000000000000009</v>
      </c>
      <c r="N200" s="1"/>
      <c r="O200" s="1"/>
      <c r="P200" s="1"/>
      <c r="Q200" s="1"/>
      <c r="R200" s="1"/>
      <c r="S200" s="1"/>
      <c r="T200" s="1"/>
      <c r="U200" s="1"/>
    </row>
    <row r="201" spans="1:22" ht="15" customHeight="1">
      <c r="A201" s="321" t="s">
        <v>510</v>
      </c>
      <c r="B201" s="1">
        <f>$G$4</f>
        <v>1E-3</v>
      </c>
      <c r="C201" s="4">
        <f t="shared" ref="C201:M220" si="31">LININTERP((62.4*$B201*(C$200)),$S$205:$S$222,$R$205:$R$222)</f>
        <v>0.62584615384615383</v>
      </c>
      <c r="D201" s="4">
        <f t="shared" si="31"/>
        <v>0.65944615384615379</v>
      </c>
      <c r="E201" s="4">
        <f t="shared" si="31"/>
        <v>0.69304615384615387</v>
      </c>
      <c r="F201" s="4">
        <f t="shared" si="31"/>
        <v>0.72664615384615394</v>
      </c>
      <c r="G201" s="4">
        <f t="shared" si="31"/>
        <v>0.7602461538461539</v>
      </c>
      <c r="H201" s="4">
        <f t="shared" si="31"/>
        <v>0.79384615384615398</v>
      </c>
      <c r="I201" s="4">
        <f t="shared" si="31"/>
        <v>0.82744615384615394</v>
      </c>
      <c r="J201" s="4">
        <f t="shared" si="31"/>
        <v>0.86104615384615402</v>
      </c>
      <c r="K201" s="4">
        <f t="shared" si="31"/>
        <v>0.89464615384615409</v>
      </c>
      <c r="L201" s="4">
        <f t="shared" si="31"/>
        <v>0.92824615384615417</v>
      </c>
      <c r="M201" s="4">
        <f t="shared" si="31"/>
        <v>0.96184615384615402</v>
      </c>
      <c r="N201" s="1"/>
      <c r="O201" s="1"/>
      <c r="P201" s="1"/>
      <c r="Q201" s="1"/>
      <c r="R201" s="1"/>
      <c r="S201" s="1"/>
      <c r="T201" s="1"/>
      <c r="U201" s="1"/>
    </row>
    <row r="202" spans="1:22" ht="15">
      <c r="A202" s="322"/>
      <c r="B202" s="1">
        <f t="shared" ref="B202:B220" si="32">B201+$H$4</f>
        <v>2E-3</v>
      </c>
      <c r="C202" s="4">
        <f t="shared" si="31"/>
        <v>1.2978461538461539</v>
      </c>
      <c r="D202" s="4">
        <f t="shared" si="31"/>
        <v>1.3499862068965516</v>
      </c>
      <c r="E202" s="4">
        <f t="shared" si="31"/>
        <v>1.4016275862068968</v>
      </c>
      <c r="F202" s="4">
        <f t="shared" si="31"/>
        <v>1.4532689655172415</v>
      </c>
      <c r="G202" s="4">
        <f t="shared" si="31"/>
        <v>1.5049103448275862</v>
      </c>
      <c r="H202" s="4">
        <f t="shared" si="31"/>
        <v>1.5565517241379312</v>
      </c>
      <c r="I202" s="4">
        <f t="shared" si="31"/>
        <v>1.6081931034482762</v>
      </c>
      <c r="J202" s="4">
        <f t="shared" si="31"/>
        <v>1.6598344827586209</v>
      </c>
      <c r="K202" s="4">
        <f t="shared" si="31"/>
        <v>1.7114758620689658</v>
      </c>
      <c r="L202" s="4">
        <f t="shared" si="31"/>
        <v>1.7631172413793106</v>
      </c>
      <c r="M202" s="4">
        <f t="shared" si="31"/>
        <v>1.8147586206896555</v>
      </c>
      <c r="N202" s="1"/>
      <c r="O202" s="1"/>
      <c r="P202" s="1"/>
      <c r="Q202" s="1"/>
      <c r="R202" s="1"/>
      <c r="S202" s="1"/>
      <c r="T202" s="1"/>
      <c r="U202" s="1"/>
    </row>
    <row r="203" spans="1:22" ht="15">
      <c r="A203" s="322"/>
      <c r="B203" s="1">
        <f t="shared" si="32"/>
        <v>3.0000000000000001E-3</v>
      </c>
      <c r="C203" s="4">
        <f t="shared" si="31"/>
        <v>1.8147586206896551</v>
      </c>
      <c r="D203" s="4">
        <f t="shared" si="31"/>
        <v>1.8922206896551725</v>
      </c>
      <c r="E203" s="4">
        <f t="shared" si="31"/>
        <v>1.9696827586206898</v>
      </c>
      <c r="F203" s="4">
        <f t="shared" si="31"/>
        <v>2.047144827586207</v>
      </c>
      <c r="G203" s="4">
        <f t="shared" si="31"/>
        <v>2.1246068965517244</v>
      </c>
      <c r="H203" s="4">
        <f t="shared" si="31"/>
        <v>2.2020689655172418</v>
      </c>
      <c r="I203" s="4">
        <f t="shared" si="31"/>
        <v>2.2795310344827588</v>
      </c>
      <c r="J203" s="4">
        <f t="shared" si="31"/>
        <v>2.3569931034482763</v>
      </c>
      <c r="K203" s="4">
        <f t="shared" si="31"/>
        <v>2.4344551724137937</v>
      </c>
      <c r="L203" s="4">
        <f t="shared" si="31"/>
        <v>2.5128571428571433</v>
      </c>
      <c r="M203" s="4">
        <f t="shared" si="31"/>
        <v>2.5964285714285724</v>
      </c>
      <c r="N203" s="1"/>
      <c r="O203" s="1"/>
      <c r="P203" s="1"/>
      <c r="Q203" s="1"/>
      <c r="R203" s="1"/>
      <c r="S203" s="1"/>
      <c r="T203" s="1"/>
      <c r="U203" s="1"/>
    </row>
    <row r="204" spans="1:22" ht="15">
      <c r="A204" s="322"/>
      <c r="B204" s="1">
        <f t="shared" si="32"/>
        <v>4.0000000000000001E-3</v>
      </c>
      <c r="C204" s="4">
        <f t="shared" si="31"/>
        <v>2.3311724137931034</v>
      </c>
      <c r="D204" s="4">
        <f t="shared" si="31"/>
        <v>2.4344551724137928</v>
      </c>
      <c r="E204" s="4">
        <f t="shared" si="31"/>
        <v>2.5407142857142859</v>
      </c>
      <c r="F204" s="4">
        <f t="shared" si="31"/>
        <v>2.6521428571428571</v>
      </c>
      <c r="G204" s="4">
        <f t="shared" si="31"/>
        <v>2.7635714285714283</v>
      </c>
      <c r="H204" s="4">
        <f t="shared" si="31"/>
        <v>2.8750000000000004</v>
      </c>
      <c r="I204" s="4">
        <f t="shared" si="31"/>
        <v>2.9864285714285717</v>
      </c>
      <c r="J204" s="4">
        <f t="shared" si="31"/>
        <v>3.0978571428571429</v>
      </c>
      <c r="K204" s="4">
        <f t="shared" si="31"/>
        <v>3.209285714285715</v>
      </c>
      <c r="L204" s="4">
        <f t="shared" si="31"/>
        <v>3.3207142857142862</v>
      </c>
      <c r="M204" s="4">
        <f t="shared" si="31"/>
        <v>3.4321428571428574</v>
      </c>
      <c r="N204" s="1"/>
      <c r="O204" s="60"/>
      <c r="P204" s="60" t="s">
        <v>41</v>
      </c>
      <c r="Q204" s="60" t="s">
        <v>517</v>
      </c>
      <c r="R204" s="60" t="s">
        <v>517</v>
      </c>
      <c r="S204" s="60" t="s">
        <v>7</v>
      </c>
      <c r="T204" s="60" t="s">
        <v>48</v>
      </c>
      <c r="U204" s="1"/>
      <c r="V204" s="113" t="s">
        <v>495</v>
      </c>
    </row>
    <row r="205" spans="1:22" ht="15">
      <c r="A205" s="322"/>
      <c r="B205" s="1">
        <f t="shared" si="32"/>
        <v>5.0000000000000001E-3</v>
      </c>
      <c r="C205" s="4">
        <f t="shared" si="31"/>
        <v>2.875</v>
      </c>
      <c r="D205" s="4">
        <f t="shared" si="31"/>
        <v>3.0142857142857142</v>
      </c>
      <c r="E205" s="4">
        <f t="shared" si="31"/>
        <v>3.1535714285714285</v>
      </c>
      <c r="F205" s="4">
        <f t="shared" si="31"/>
        <v>3.2928571428571431</v>
      </c>
      <c r="G205" s="4">
        <f t="shared" si="31"/>
        <v>3.4321428571428574</v>
      </c>
      <c r="H205" s="4">
        <f t="shared" si="31"/>
        <v>3.5714285714285721</v>
      </c>
      <c r="I205" s="4">
        <f t="shared" si="31"/>
        <v>3.7107142857142863</v>
      </c>
      <c r="J205" s="4">
        <f t="shared" si="31"/>
        <v>3.8500000000000005</v>
      </c>
      <c r="K205" s="4">
        <f t="shared" si="31"/>
        <v>3.9892857142857148</v>
      </c>
      <c r="L205" s="4">
        <f t="shared" si="31"/>
        <v>4.1285714285714299</v>
      </c>
      <c r="M205" s="4">
        <f t="shared" si="31"/>
        <v>4.2678571428571441</v>
      </c>
      <c r="N205" s="1"/>
      <c r="O205" s="324" t="s">
        <v>396</v>
      </c>
      <c r="P205" s="60" t="s">
        <v>6</v>
      </c>
      <c r="Q205" s="60">
        <v>1E-3</v>
      </c>
      <c r="R205" s="60">
        <v>2E-3</v>
      </c>
      <c r="S205" s="60">
        <v>0</v>
      </c>
      <c r="T205" s="60">
        <v>2.5000000000000001E-2</v>
      </c>
      <c r="U205" s="1"/>
      <c r="V205">
        <f t="shared" ref="V205:V222" si="33">AVERAGE(Q205,R205)</f>
        <v>1.5E-3</v>
      </c>
    </row>
    <row r="206" spans="1:22" ht="15">
      <c r="A206" s="322"/>
      <c r="B206" s="1">
        <f t="shared" si="32"/>
        <v>6.0000000000000001E-3</v>
      </c>
      <c r="C206" s="4">
        <f t="shared" si="31"/>
        <v>3.4321428571428569</v>
      </c>
      <c r="D206" s="4">
        <f t="shared" si="31"/>
        <v>3.5992857142857142</v>
      </c>
      <c r="E206" s="4">
        <f t="shared" si="31"/>
        <v>3.7664285714285715</v>
      </c>
      <c r="F206" s="4">
        <f t="shared" si="31"/>
        <v>3.9335714285714287</v>
      </c>
      <c r="G206" s="4">
        <f t="shared" si="31"/>
        <v>4.100714285714286</v>
      </c>
      <c r="H206" s="4">
        <f t="shared" si="31"/>
        <v>4.2678571428571432</v>
      </c>
      <c r="I206" s="4">
        <f t="shared" si="31"/>
        <v>4.4350000000000005</v>
      </c>
      <c r="J206" s="4">
        <f t="shared" si="31"/>
        <v>4.6021428571428578</v>
      </c>
      <c r="K206" s="4">
        <f t="shared" si="31"/>
        <v>4.769285714285715</v>
      </c>
      <c r="L206" s="4">
        <f t="shared" si="31"/>
        <v>4.9364285714285723</v>
      </c>
      <c r="M206" s="4">
        <f t="shared" si="31"/>
        <v>5.0966666666666685</v>
      </c>
      <c r="N206" s="1"/>
      <c r="O206" s="325"/>
      <c r="P206" s="60" t="s">
        <v>43</v>
      </c>
      <c r="Q206" s="60">
        <v>2E-3</v>
      </c>
      <c r="R206" s="60">
        <v>3.0000000000000001E-3</v>
      </c>
      <c r="S206" s="60">
        <v>1E-3</v>
      </c>
      <c r="T206" s="60">
        <v>0.03</v>
      </c>
      <c r="U206" s="1"/>
      <c r="V206">
        <f t="shared" si="33"/>
        <v>2.5000000000000001E-3</v>
      </c>
    </row>
    <row r="207" spans="1:22" ht="15">
      <c r="A207" s="322"/>
      <c r="B207" s="1">
        <f t="shared" si="32"/>
        <v>7.0000000000000001E-3</v>
      </c>
      <c r="C207" s="4">
        <f t="shared" si="31"/>
        <v>3.9892857142857143</v>
      </c>
      <c r="D207" s="4">
        <f t="shared" si="31"/>
        <v>4.1842857142857142</v>
      </c>
      <c r="E207" s="4">
        <f t="shared" si="31"/>
        <v>4.3792857142857144</v>
      </c>
      <c r="F207" s="4">
        <f t="shared" si="31"/>
        <v>4.5742857142857147</v>
      </c>
      <c r="G207" s="4">
        <f t="shared" si="31"/>
        <v>4.769285714285715</v>
      </c>
      <c r="H207" s="4">
        <f t="shared" si="31"/>
        <v>4.9642857142857153</v>
      </c>
      <c r="I207" s="4">
        <f t="shared" si="31"/>
        <v>5.1486666666666672</v>
      </c>
      <c r="J207" s="4">
        <f t="shared" si="31"/>
        <v>5.3306666666666684</v>
      </c>
      <c r="K207" s="4">
        <f t="shared" si="31"/>
        <v>5.5126666666666679</v>
      </c>
      <c r="L207" s="4">
        <f t="shared" si="31"/>
        <v>5.6946666666666683</v>
      </c>
      <c r="M207" s="4">
        <f t="shared" si="31"/>
        <v>5.8766666666666687</v>
      </c>
      <c r="N207" s="1"/>
      <c r="O207" s="324" t="s">
        <v>370</v>
      </c>
      <c r="P207" s="60" t="s">
        <v>477</v>
      </c>
      <c r="Q207" s="60">
        <v>3.0000000000000001E-3</v>
      </c>
      <c r="R207" s="60">
        <v>5.0000000000000001E-3</v>
      </c>
      <c r="S207" s="60">
        <v>2E-3</v>
      </c>
      <c r="T207" s="60">
        <v>3.5000000000000003E-2</v>
      </c>
      <c r="U207" s="1"/>
      <c r="V207">
        <f t="shared" si="33"/>
        <v>4.0000000000000001E-3</v>
      </c>
    </row>
    <row r="208" spans="1:22" ht="15">
      <c r="A208" s="322"/>
      <c r="B208" s="1">
        <f t="shared" si="32"/>
        <v>8.0000000000000002E-3</v>
      </c>
      <c r="C208" s="4">
        <f t="shared" si="31"/>
        <v>4.5464285714285708</v>
      </c>
      <c r="D208" s="4">
        <f t="shared" si="31"/>
        <v>4.7692857142857132</v>
      </c>
      <c r="E208" s="4">
        <f t="shared" si="31"/>
        <v>4.9921428571428574</v>
      </c>
      <c r="F208" s="4">
        <f t="shared" si="31"/>
        <v>5.2006666666666668</v>
      </c>
      <c r="G208" s="4">
        <f t="shared" si="31"/>
        <v>5.408666666666667</v>
      </c>
      <c r="H208" s="4">
        <f t="shared" si="31"/>
        <v>5.6166666666666671</v>
      </c>
      <c r="I208" s="4">
        <f t="shared" si="31"/>
        <v>5.8246666666666673</v>
      </c>
      <c r="J208" s="4">
        <f t="shared" si="31"/>
        <v>6.0326666666666675</v>
      </c>
      <c r="K208" s="4">
        <f t="shared" si="31"/>
        <v>6.2406666666666677</v>
      </c>
      <c r="L208" s="4">
        <f t="shared" si="31"/>
        <v>6.4486666666666679</v>
      </c>
      <c r="M208" s="4">
        <f t="shared" si="31"/>
        <v>6.6566666666666681</v>
      </c>
      <c r="N208" s="1"/>
      <c r="O208" s="326"/>
      <c r="P208" s="60" t="s">
        <v>476</v>
      </c>
      <c r="Q208" s="60">
        <v>5.0000000000000001E-3</v>
      </c>
      <c r="R208" s="60">
        <v>0.01</v>
      </c>
      <c r="S208" s="60">
        <v>3.0000000000000001E-3</v>
      </c>
      <c r="T208" s="60">
        <v>0.04</v>
      </c>
      <c r="U208" s="1"/>
      <c r="V208">
        <f t="shared" si="33"/>
        <v>7.4999999999999997E-3</v>
      </c>
    </row>
    <row r="209" spans="1:22" ht="15">
      <c r="A209" s="322"/>
      <c r="B209" s="1">
        <f t="shared" si="32"/>
        <v>9.0000000000000011E-3</v>
      </c>
      <c r="C209" s="4">
        <f t="shared" si="31"/>
        <v>5.0966666666666676</v>
      </c>
      <c r="D209" s="4">
        <f t="shared" si="31"/>
        <v>5.3306666666666676</v>
      </c>
      <c r="E209" s="4">
        <f t="shared" si="31"/>
        <v>5.5646666666666684</v>
      </c>
      <c r="F209" s="4">
        <f t="shared" si="31"/>
        <v>5.7986666666666684</v>
      </c>
      <c r="G209" s="4">
        <f t="shared" si="31"/>
        <v>6.0326666666666684</v>
      </c>
      <c r="H209" s="4">
        <f t="shared" si="31"/>
        <v>6.2666666666666693</v>
      </c>
      <c r="I209" s="4">
        <f t="shared" si="31"/>
        <v>6.5006666666666693</v>
      </c>
      <c r="J209" s="4">
        <f t="shared" si="31"/>
        <v>6.7346666666666692</v>
      </c>
      <c r="K209" s="4">
        <f t="shared" si="31"/>
        <v>6.9686666666666701</v>
      </c>
      <c r="L209" s="4">
        <f t="shared" si="31"/>
        <v>7.2026666666666701</v>
      </c>
      <c r="M209" s="4">
        <f t="shared" si="31"/>
        <v>7.4366666666666692</v>
      </c>
      <c r="N209" s="1"/>
      <c r="O209" s="326"/>
      <c r="P209" s="60" t="s">
        <v>6</v>
      </c>
      <c r="Q209" s="60">
        <v>0.01</v>
      </c>
      <c r="R209" s="60">
        <v>0.02</v>
      </c>
      <c r="S209" s="60">
        <v>4.0000000000000001E-3</v>
      </c>
      <c r="T209" s="60">
        <v>4.4999999999999998E-2</v>
      </c>
      <c r="U209" s="1"/>
      <c r="V209">
        <f t="shared" si="33"/>
        <v>1.4999999999999999E-2</v>
      </c>
    </row>
    <row r="210" spans="1:22" ht="15">
      <c r="A210" s="322"/>
      <c r="B210" s="1">
        <f t="shared" si="32"/>
        <v>1.0000000000000002E-2</v>
      </c>
      <c r="C210" s="4">
        <f t="shared" si="31"/>
        <v>5.6166666666666671</v>
      </c>
      <c r="D210" s="4">
        <f t="shared" si="31"/>
        <v>5.8766666666666678</v>
      </c>
      <c r="E210" s="4">
        <f t="shared" si="31"/>
        <v>6.1366666666666676</v>
      </c>
      <c r="F210" s="4">
        <f t="shared" si="31"/>
        <v>6.3966666666666683</v>
      </c>
      <c r="G210" s="4">
        <f t="shared" si="31"/>
        <v>6.656666666666669</v>
      </c>
      <c r="H210" s="4">
        <f t="shared" si="31"/>
        <v>6.9166666666666687</v>
      </c>
      <c r="I210" s="4">
        <f t="shared" si="31"/>
        <v>7.1766666666666685</v>
      </c>
      <c r="J210" s="4">
        <f t="shared" si="31"/>
        <v>7.4366666666666692</v>
      </c>
      <c r="K210" s="4">
        <f t="shared" si="31"/>
        <v>7.6966666666666699</v>
      </c>
      <c r="L210" s="4">
        <f t="shared" si="31"/>
        <v>7.9566666666666706</v>
      </c>
      <c r="M210" s="4">
        <f t="shared" si="31"/>
        <v>8.2166666666666703</v>
      </c>
      <c r="N210" s="1"/>
      <c r="O210" s="326"/>
      <c r="P210" s="60" t="s">
        <v>43</v>
      </c>
      <c r="Q210" s="60">
        <v>0.02</v>
      </c>
      <c r="R210" s="60">
        <v>0.04</v>
      </c>
      <c r="S210" s="60">
        <v>6.0000000000000001E-3</v>
      </c>
      <c r="T210" s="60">
        <v>5.5E-2</v>
      </c>
      <c r="U210" s="1"/>
      <c r="V210">
        <f t="shared" si="33"/>
        <v>0.03</v>
      </c>
    </row>
    <row r="211" spans="1:22" ht="15">
      <c r="A211" s="322"/>
      <c r="B211" s="1">
        <f t="shared" si="32"/>
        <v>1.1000000000000003E-2</v>
      </c>
      <c r="C211" s="4">
        <f t="shared" si="31"/>
        <v>6.1366666666666676</v>
      </c>
      <c r="D211" s="4">
        <f t="shared" si="31"/>
        <v>6.4226666666666681</v>
      </c>
      <c r="E211" s="4">
        <f t="shared" si="31"/>
        <v>6.7086666666666677</v>
      </c>
      <c r="F211" s="4">
        <f t="shared" si="31"/>
        <v>6.994666666666669</v>
      </c>
      <c r="G211" s="4">
        <f t="shared" si="31"/>
        <v>7.2806666666666686</v>
      </c>
      <c r="H211" s="4">
        <f t="shared" si="31"/>
        <v>7.56666666666667</v>
      </c>
      <c r="I211" s="4">
        <f t="shared" si="31"/>
        <v>7.8526666666666696</v>
      </c>
      <c r="J211" s="4">
        <f t="shared" si="31"/>
        <v>8.1386666666666692</v>
      </c>
      <c r="K211" s="4">
        <f t="shared" si="31"/>
        <v>8.4246666666666705</v>
      </c>
      <c r="L211" s="4">
        <f t="shared" si="31"/>
        <v>8.7106666666666719</v>
      </c>
      <c r="M211" s="4">
        <f t="shared" si="31"/>
        <v>8.9966666666666715</v>
      </c>
      <c r="N211" s="1"/>
      <c r="O211" s="325"/>
      <c r="P211" s="60" t="s">
        <v>83</v>
      </c>
      <c r="Q211" s="60">
        <v>0.04</v>
      </c>
      <c r="R211" s="60">
        <v>0.08</v>
      </c>
      <c r="S211" s="60">
        <v>0.01</v>
      </c>
      <c r="T211" s="60">
        <v>7.0000000000000007E-2</v>
      </c>
      <c r="U211" s="1"/>
      <c r="V211">
        <f t="shared" si="33"/>
        <v>0.06</v>
      </c>
    </row>
    <row r="212" spans="1:22" ht="15">
      <c r="A212" s="322"/>
      <c r="B212" s="1">
        <f t="shared" si="32"/>
        <v>1.2000000000000004E-2</v>
      </c>
      <c r="C212" s="4">
        <f t="shared" si="31"/>
        <v>6.656666666666669</v>
      </c>
      <c r="D212" s="4">
        <f t="shared" si="31"/>
        <v>6.9686666666666692</v>
      </c>
      <c r="E212" s="4">
        <f t="shared" si="31"/>
        <v>7.2806666666666686</v>
      </c>
      <c r="F212" s="4">
        <f t="shared" si="31"/>
        <v>7.5926666666666698</v>
      </c>
      <c r="G212" s="4">
        <f t="shared" si="31"/>
        <v>7.9046666666666709</v>
      </c>
      <c r="H212" s="4">
        <f t="shared" si="31"/>
        <v>8.2166666666666721</v>
      </c>
      <c r="I212" s="4">
        <f t="shared" si="31"/>
        <v>8.5286666666666715</v>
      </c>
      <c r="J212" s="4">
        <f t="shared" si="31"/>
        <v>8.8406666666666727</v>
      </c>
      <c r="K212" s="4">
        <f t="shared" si="31"/>
        <v>9.1526666666666721</v>
      </c>
      <c r="L212" s="4">
        <f t="shared" si="31"/>
        <v>9.4646666666666732</v>
      </c>
      <c r="M212" s="4">
        <f t="shared" si="31"/>
        <v>9.7766666666666744</v>
      </c>
      <c r="N212" s="1"/>
      <c r="O212" s="324" t="s">
        <v>163</v>
      </c>
      <c r="P212" s="60" t="s">
        <v>477</v>
      </c>
      <c r="Q212" s="60">
        <v>0.08</v>
      </c>
      <c r="R212" s="60">
        <v>0.16</v>
      </c>
      <c r="S212" s="60">
        <v>0.03</v>
      </c>
      <c r="T212" s="60">
        <v>0.12</v>
      </c>
      <c r="U212" s="1"/>
      <c r="V212">
        <f t="shared" si="33"/>
        <v>0.12</v>
      </c>
    </row>
    <row r="213" spans="1:22" ht="15">
      <c r="A213" s="322"/>
      <c r="B213" s="1">
        <f t="shared" si="32"/>
        <v>1.3000000000000005E-2</v>
      </c>
      <c r="C213" s="4">
        <f t="shared" si="31"/>
        <v>7.1766666666666685</v>
      </c>
      <c r="D213" s="4">
        <f t="shared" si="31"/>
        <v>7.5146666666666695</v>
      </c>
      <c r="E213" s="4">
        <f t="shared" si="31"/>
        <v>7.8526666666666696</v>
      </c>
      <c r="F213" s="4">
        <f t="shared" si="31"/>
        <v>8.1906666666666705</v>
      </c>
      <c r="G213" s="4">
        <f t="shared" si="31"/>
        <v>8.5286666666666697</v>
      </c>
      <c r="H213" s="4">
        <f t="shared" si="31"/>
        <v>8.8666666666666707</v>
      </c>
      <c r="I213" s="4">
        <f t="shared" si="31"/>
        <v>9.2046666666666717</v>
      </c>
      <c r="J213" s="4">
        <f t="shared" si="31"/>
        <v>9.5426666666666726</v>
      </c>
      <c r="K213" s="4">
        <f t="shared" si="31"/>
        <v>9.8806666666666736</v>
      </c>
      <c r="L213" s="4">
        <f t="shared" si="31"/>
        <v>10.218666666666673</v>
      </c>
      <c r="M213" s="4">
        <f t="shared" si="31"/>
        <v>10.556666666666674</v>
      </c>
      <c r="N213" s="1"/>
      <c r="O213" s="326"/>
      <c r="P213" s="60" t="s">
        <v>476</v>
      </c>
      <c r="Q213" s="60">
        <v>0.16</v>
      </c>
      <c r="R213" s="60">
        <v>0.3</v>
      </c>
      <c r="S213" s="60">
        <v>0.06</v>
      </c>
      <c r="T213" s="60">
        <v>0.17</v>
      </c>
      <c r="U213" s="1"/>
      <c r="V213">
        <f t="shared" si="33"/>
        <v>0.22999999999999998</v>
      </c>
    </row>
    <row r="214" spans="1:22" ht="15">
      <c r="A214" s="322"/>
      <c r="B214" s="1">
        <f t="shared" si="32"/>
        <v>1.4000000000000005E-2</v>
      </c>
      <c r="C214" s="4">
        <f t="shared" si="31"/>
        <v>7.6966666666666699</v>
      </c>
      <c r="D214" s="4">
        <f t="shared" si="31"/>
        <v>8.0606666666666698</v>
      </c>
      <c r="E214" s="4">
        <f t="shared" si="31"/>
        <v>8.4246666666666705</v>
      </c>
      <c r="F214" s="4">
        <f t="shared" si="31"/>
        <v>8.7886666666666713</v>
      </c>
      <c r="G214" s="4">
        <f t="shared" si="31"/>
        <v>9.1526666666666721</v>
      </c>
      <c r="H214" s="4">
        <f t="shared" si="31"/>
        <v>9.5166666666666728</v>
      </c>
      <c r="I214" s="4">
        <f t="shared" si="31"/>
        <v>9.8806666666666736</v>
      </c>
      <c r="J214" s="4">
        <f t="shared" si="31"/>
        <v>10.244666666666674</v>
      </c>
      <c r="K214" s="4">
        <f t="shared" si="31"/>
        <v>10.608666666666673</v>
      </c>
      <c r="L214" s="4">
        <f t="shared" si="31"/>
        <v>10.972666666666676</v>
      </c>
      <c r="M214" s="4">
        <f t="shared" si="31"/>
        <v>11.336666666666675</v>
      </c>
      <c r="N214" s="1"/>
      <c r="O214" s="326"/>
      <c r="P214" s="60" t="s">
        <v>6</v>
      </c>
      <c r="Q214" s="60">
        <v>0.3</v>
      </c>
      <c r="R214" s="60">
        <v>0.6</v>
      </c>
      <c r="S214" s="60">
        <v>0.12</v>
      </c>
      <c r="T214" s="60">
        <v>0.24</v>
      </c>
      <c r="U214" s="1"/>
      <c r="V214">
        <f t="shared" si="33"/>
        <v>0.44999999999999996</v>
      </c>
    </row>
    <row r="215" spans="1:22" ht="15">
      <c r="A215" s="322"/>
      <c r="B215" s="1">
        <f t="shared" si="32"/>
        <v>1.5000000000000006E-2</v>
      </c>
      <c r="C215" s="4">
        <f t="shared" si="31"/>
        <v>8.2166666666666703</v>
      </c>
      <c r="D215" s="4">
        <f t="shared" si="31"/>
        <v>8.6066666666666709</v>
      </c>
      <c r="E215" s="4">
        <f t="shared" si="31"/>
        <v>8.9966666666666715</v>
      </c>
      <c r="F215" s="4">
        <f t="shared" si="31"/>
        <v>9.3866666666666703</v>
      </c>
      <c r="G215" s="4">
        <f t="shared" si="31"/>
        <v>9.7766666666666744</v>
      </c>
      <c r="H215" s="4">
        <f t="shared" si="31"/>
        <v>10.166666666666673</v>
      </c>
      <c r="I215" s="4">
        <f t="shared" si="31"/>
        <v>10.556666666666674</v>
      </c>
      <c r="J215" s="4">
        <f t="shared" si="31"/>
        <v>10.946666666666673</v>
      </c>
      <c r="K215" s="4">
        <f t="shared" si="31"/>
        <v>11.336666666666675</v>
      </c>
      <c r="L215" s="4">
        <f t="shared" si="31"/>
        <v>11.726666666666674</v>
      </c>
      <c r="M215" s="4">
        <f t="shared" si="31"/>
        <v>12.116666666666676</v>
      </c>
      <c r="N215" s="1"/>
      <c r="O215" s="326"/>
      <c r="P215" s="60" t="s">
        <v>43</v>
      </c>
      <c r="Q215" s="60">
        <v>0.6</v>
      </c>
      <c r="R215" s="60">
        <v>1.3</v>
      </c>
      <c r="S215" s="60">
        <v>0.25</v>
      </c>
      <c r="T215" s="60">
        <v>0.36</v>
      </c>
      <c r="U215" s="1"/>
      <c r="V215">
        <f t="shared" si="33"/>
        <v>0.95</v>
      </c>
    </row>
    <row r="216" spans="1:22" ht="15">
      <c r="A216" s="322"/>
      <c r="B216" s="1">
        <f t="shared" si="32"/>
        <v>1.6000000000000007E-2</v>
      </c>
      <c r="C216" s="4">
        <f t="shared" si="31"/>
        <v>8.7366666666666699</v>
      </c>
      <c r="D216" s="4">
        <f t="shared" si="31"/>
        <v>9.1526666666666703</v>
      </c>
      <c r="E216" s="4">
        <f t="shared" si="31"/>
        <v>9.5686666666666724</v>
      </c>
      <c r="F216" s="4">
        <f t="shared" si="31"/>
        <v>9.9846666666666728</v>
      </c>
      <c r="G216" s="4">
        <f t="shared" si="31"/>
        <v>10.400666666666673</v>
      </c>
      <c r="H216" s="4">
        <f t="shared" si="31"/>
        <v>10.816666666666674</v>
      </c>
      <c r="I216" s="4">
        <f t="shared" si="31"/>
        <v>11.232666666666674</v>
      </c>
      <c r="J216" s="4">
        <f t="shared" si="31"/>
        <v>11.648666666666674</v>
      </c>
      <c r="K216" s="4">
        <f t="shared" si="31"/>
        <v>12.064666666666675</v>
      </c>
      <c r="L216" s="4">
        <f t="shared" si="31"/>
        <v>12.480666666666675</v>
      </c>
      <c r="M216" s="4">
        <f t="shared" si="31"/>
        <v>12.896666666666675</v>
      </c>
      <c r="N216" s="1"/>
      <c r="O216" s="325"/>
      <c r="P216" s="60" t="s">
        <v>83</v>
      </c>
      <c r="Q216" s="60">
        <v>1.3</v>
      </c>
      <c r="R216" s="60">
        <v>2.5</v>
      </c>
      <c r="S216" s="60">
        <v>0.54</v>
      </c>
      <c r="T216" s="60">
        <v>0.52</v>
      </c>
      <c r="U216" s="1"/>
      <c r="V216">
        <f t="shared" si="33"/>
        <v>1.9</v>
      </c>
    </row>
    <row r="217" spans="1:22" ht="15">
      <c r="A217" s="322"/>
      <c r="B217" s="1">
        <f t="shared" si="32"/>
        <v>1.7000000000000008E-2</v>
      </c>
      <c r="C217" s="4">
        <f t="shared" si="31"/>
        <v>9.2566666666666713</v>
      </c>
      <c r="D217" s="4">
        <f t="shared" si="31"/>
        <v>9.6986666666666714</v>
      </c>
      <c r="E217" s="4">
        <f t="shared" si="31"/>
        <v>10.140666666666672</v>
      </c>
      <c r="F217" s="4">
        <f t="shared" si="31"/>
        <v>10.582666666666672</v>
      </c>
      <c r="G217" s="4">
        <f t="shared" si="31"/>
        <v>11.024666666666674</v>
      </c>
      <c r="H217" s="4">
        <f t="shared" si="31"/>
        <v>11.466666666666674</v>
      </c>
      <c r="I217" s="4">
        <f t="shared" si="31"/>
        <v>11.908666666666672</v>
      </c>
      <c r="J217" s="4">
        <f t="shared" si="31"/>
        <v>12.350666666666674</v>
      </c>
      <c r="K217" s="4">
        <f t="shared" si="31"/>
        <v>12.792666666666674</v>
      </c>
      <c r="L217" s="4">
        <f t="shared" si="31"/>
        <v>13.234666666666676</v>
      </c>
      <c r="M217" s="4">
        <f t="shared" si="31"/>
        <v>13.676666666666677</v>
      </c>
      <c r="N217" s="1"/>
      <c r="O217" s="324" t="s">
        <v>333</v>
      </c>
      <c r="P217" s="60" t="s">
        <v>42</v>
      </c>
      <c r="Q217" s="60">
        <v>2.5</v>
      </c>
      <c r="R217" s="60">
        <v>5</v>
      </c>
      <c r="S217" s="60">
        <v>1.1000000000000001</v>
      </c>
      <c r="T217" s="60">
        <v>0.75</v>
      </c>
      <c r="U217" s="1"/>
      <c r="V217">
        <f t="shared" si="33"/>
        <v>3.75</v>
      </c>
    </row>
    <row r="218" spans="1:22" ht="15">
      <c r="A218" s="322"/>
      <c r="B218" s="1">
        <f t="shared" si="32"/>
        <v>1.8000000000000009E-2</v>
      </c>
      <c r="C218" s="4">
        <f t="shared" si="31"/>
        <v>9.7766666666666744</v>
      </c>
      <c r="D218" s="4">
        <f t="shared" si="31"/>
        <v>10.244666666666673</v>
      </c>
      <c r="E218" s="4">
        <f t="shared" si="31"/>
        <v>10.712666666666674</v>
      </c>
      <c r="F218" s="4">
        <f t="shared" si="31"/>
        <v>11.180666666666674</v>
      </c>
      <c r="G218" s="4">
        <f t="shared" si="31"/>
        <v>11.648666666666676</v>
      </c>
      <c r="H218" s="4">
        <f t="shared" si="31"/>
        <v>12.116666666666676</v>
      </c>
      <c r="I218" s="4">
        <f t="shared" si="31"/>
        <v>12.584666666666678</v>
      </c>
      <c r="J218" s="4">
        <f t="shared" si="31"/>
        <v>13.052666666666678</v>
      </c>
      <c r="K218" s="4">
        <f t="shared" si="31"/>
        <v>13.520666666666676</v>
      </c>
      <c r="L218" s="4">
        <f t="shared" si="31"/>
        <v>13.988666666666678</v>
      </c>
      <c r="M218" s="4">
        <f t="shared" si="31"/>
        <v>14.456666666666678</v>
      </c>
      <c r="N218" s="1"/>
      <c r="O218" s="325"/>
      <c r="P218" s="60" t="s">
        <v>192</v>
      </c>
      <c r="Q218" s="60">
        <v>5</v>
      </c>
      <c r="R218" s="60">
        <v>10</v>
      </c>
      <c r="S218" s="60">
        <v>2.2999999999999998</v>
      </c>
      <c r="T218" s="60">
        <v>1.08</v>
      </c>
      <c r="U218" s="1"/>
      <c r="V218">
        <f t="shared" si="33"/>
        <v>7.5</v>
      </c>
    </row>
    <row r="219" spans="1:22" ht="15">
      <c r="A219" s="322"/>
      <c r="B219" s="1">
        <f t="shared" si="32"/>
        <v>1.900000000000001E-2</v>
      </c>
      <c r="C219" s="4">
        <f t="shared" si="31"/>
        <v>10.296666666666672</v>
      </c>
      <c r="D219" s="4">
        <f t="shared" si="31"/>
        <v>10.790666666666672</v>
      </c>
      <c r="E219" s="4">
        <f t="shared" si="31"/>
        <v>11.284666666666674</v>
      </c>
      <c r="F219" s="4">
        <f t="shared" si="31"/>
        <v>11.778666666666675</v>
      </c>
      <c r="G219" s="4">
        <f t="shared" si="31"/>
        <v>12.272666666666677</v>
      </c>
      <c r="H219" s="4">
        <f t="shared" si="31"/>
        <v>12.766666666666676</v>
      </c>
      <c r="I219" s="4">
        <f t="shared" si="31"/>
        <v>13.260666666666676</v>
      </c>
      <c r="J219" s="4">
        <f t="shared" si="31"/>
        <v>13.754666666666678</v>
      </c>
      <c r="K219" s="4">
        <f t="shared" si="31"/>
        <v>14.248666666666677</v>
      </c>
      <c r="L219" s="4">
        <f t="shared" si="31"/>
        <v>14.742666666666679</v>
      </c>
      <c r="M219" s="4">
        <f t="shared" si="31"/>
        <v>15.236666666666679</v>
      </c>
      <c r="N219" s="1"/>
      <c r="O219" s="324" t="s">
        <v>369</v>
      </c>
      <c r="P219" s="60" t="s">
        <v>42</v>
      </c>
      <c r="Q219" s="60">
        <v>10</v>
      </c>
      <c r="R219" s="60">
        <v>20</v>
      </c>
      <c r="S219" s="60">
        <v>4.7</v>
      </c>
      <c r="T219" s="60">
        <v>1.54</v>
      </c>
      <c r="U219" s="1"/>
      <c r="V219">
        <f t="shared" si="33"/>
        <v>15</v>
      </c>
    </row>
    <row r="220" spans="1:22" ht="15">
      <c r="A220" s="323"/>
      <c r="B220" s="1">
        <f t="shared" si="32"/>
        <v>2.0000000000000011E-2</v>
      </c>
      <c r="C220" s="4">
        <f t="shared" si="31"/>
        <v>10.816666666666674</v>
      </c>
      <c r="D220" s="4">
        <f t="shared" si="31"/>
        <v>11.336666666666673</v>
      </c>
      <c r="E220" s="4">
        <f t="shared" si="31"/>
        <v>11.856666666666674</v>
      </c>
      <c r="F220" s="4">
        <f t="shared" si="31"/>
        <v>12.376666666666676</v>
      </c>
      <c r="G220" s="4">
        <f t="shared" si="31"/>
        <v>12.896666666666675</v>
      </c>
      <c r="H220" s="4">
        <f t="shared" si="31"/>
        <v>13.416666666666677</v>
      </c>
      <c r="I220" s="4">
        <f t="shared" si="31"/>
        <v>13.936666666666676</v>
      </c>
      <c r="J220" s="4">
        <f t="shared" si="31"/>
        <v>14.456666666666678</v>
      </c>
      <c r="K220" s="4">
        <f t="shared" si="31"/>
        <v>14.976666666666679</v>
      </c>
      <c r="L220" s="4">
        <f t="shared" si="31"/>
        <v>15.496666666666679</v>
      </c>
      <c r="M220" s="4">
        <f t="shared" si="31"/>
        <v>16.01666666666668</v>
      </c>
      <c r="N220" s="1"/>
      <c r="O220" s="326"/>
      <c r="P220" s="60" t="s">
        <v>6</v>
      </c>
      <c r="Q220" s="60">
        <v>20</v>
      </c>
      <c r="R220" s="60">
        <v>40</v>
      </c>
      <c r="S220" s="60">
        <v>9.3000000000000007</v>
      </c>
      <c r="T220" s="60">
        <v>2.2000000000000002</v>
      </c>
      <c r="U220" s="1"/>
      <c r="V220">
        <f t="shared" si="33"/>
        <v>30</v>
      </c>
    </row>
    <row r="221" spans="1:22" ht="1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326"/>
      <c r="P221" s="60" t="s">
        <v>192</v>
      </c>
      <c r="Q221" s="60">
        <v>40</v>
      </c>
      <c r="R221" s="60">
        <v>80</v>
      </c>
      <c r="S221" s="60">
        <v>18.7</v>
      </c>
      <c r="T221" s="60">
        <v>3.08</v>
      </c>
      <c r="U221" s="1"/>
      <c r="V221">
        <f t="shared" si="33"/>
        <v>60</v>
      </c>
    </row>
    <row r="222" spans="1:22" ht="1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325"/>
      <c r="P222" s="60" t="s">
        <v>5</v>
      </c>
      <c r="Q222" s="60">
        <v>80</v>
      </c>
      <c r="R222" s="60">
        <v>160</v>
      </c>
      <c r="S222" s="60">
        <v>37.4</v>
      </c>
      <c r="T222" s="60">
        <v>4.3600000000000003</v>
      </c>
      <c r="U222" s="1"/>
      <c r="V222">
        <f t="shared" si="33"/>
        <v>120</v>
      </c>
    </row>
    <row r="223" spans="1:22" ht="1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2" ht="1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2:21" ht="1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2:21" ht="1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2:21" ht="1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2:21" ht="1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"/>
      <c r="T228" s="1"/>
      <c r="U228" s="1"/>
    </row>
    <row r="229" spans="2:21" ht="1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"/>
      <c r="T229" s="1"/>
      <c r="U229" s="1"/>
    </row>
    <row r="230" spans="2:21" ht="1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"/>
      <c r="T230" s="1"/>
      <c r="U230" s="1"/>
    </row>
    <row r="231" spans="2:21" ht="1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"/>
      <c r="T231" s="1"/>
      <c r="U231" s="1"/>
    </row>
    <row r="232" spans="2:21" ht="1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"/>
      <c r="T232" s="1"/>
      <c r="U232" s="1"/>
    </row>
    <row r="233" spans="2:21" ht="1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"/>
      <c r="T233" s="1"/>
      <c r="U233" s="1"/>
    </row>
    <row r="234" spans="2:21" ht="1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"/>
      <c r="T234" s="1"/>
      <c r="U234" s="1"/>
    </row>
    <row r="235" spans="2:21" ht="1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"/>
      <c r="T235" s="1"/>
      <c r="U235" s="1"/>
    </row>
    <row r="236" spans="2:21" ht="1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"/>
      <c r="T236" s="1"/>
      <c r="U236" s="1"/>
    </row>
    <row r="237" spans="2:21" ht="1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"/>
      <c r="T237" s="1"/>
      <c r="U237" s="1"/>
    </row>
    <row r="238" spans="2:21" ht="1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"/>
      <c r="T238" s="1"/>
      <c r="U238" s="1"/>
    </row>
    <row r="239" spans="2:21" ht="1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"/>
      <c r="T239" s="1"/>
      <c r="U239" s="1"/>
    </row>
    <row r="240" spans="2:21" ht="1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S240" s="1"/>
      <c r="T240" s="1"/>
      <c r="U240" s="1"/>
    </row>
    <row r="241" spans="2:21" ht="1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"/>
      <c r="T241" s="1"/>
      <c r="U241" s="1"/>
    </row>
    <row r="242" spans="2:21" ht="1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"/>
      <c r="T242" s="1"/>
      <c r="U242" s="1"/>
    </row>
    <row r="243" spans="2:21" ht="1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"/>
      <c r="T243" s="1"/>
      <c r="U243" s="1"/>
    </row>
    <row r="244" spans="2:21" ht="1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"/>
      <c r="T244" s="1"/>
      <c r="U244" s="1"/>
    </row>
    <row r="245" spans="2:21" ht="1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"/>
      <c r="T245" s="1"/>
      <c r="U245" s="1"/>
    </row>
    <row r="246" spans="2:21" ht="1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"/>
      <c r="T246" s="1"/>
      <c r="U246" s="1"/>
    </row>
    <row r="247" spans="2:21" ht="1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"/>
      <c r="T247" s="1"/>
      <c r="U247" s="1"/>
    </row>
    <row r="248" spans="2:21" ht="1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"/>
      <c r="T248" s="1"/>
      <c r="U248" s="1"/>
    </row>
    <row r="249" spans="2:21" ht="1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"/>
      <c r="T249" s="1"/>
      <c r="U249" s="1"/>
    </row>
    <row r="250" spans="2:21" ht="1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"/>
      <c r="T250" s="1"/>
      <c r="U250" s="1"/>
    </row>
    <row r="251" spans="2:21" ht="1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"/>
      <c r="T251" s="1"/>
      <c r="U251" s="1"/>
    </row>
    <row r="252" spans="2:21" ht="1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"/>
      <c r="T252" s="1"/>
      <c r="U252" s="1"/>
    </row>
    <row r="253" spans="2:21" ht="1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"/>
      <c r="T253" s="1"/>
      <c r="U253" s="1"/>
    </row>
    <row r="254" spans="2:21" ht="1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"/>
      <c r="T254" s="1"/>
      <c r="U254" s="1"/>
    </row>
    <row r="255" spans="2:21" ht="1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"/>
      <c r="T255" s="1"/>
      <c r="U255" s="1"/>
    </row>
    <row r="256" spans="2:21" ht="1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"/>
      <c r="T256" s="1"/>
      <c r="U256" s="1"/>
    </row>
    <row r="257" spans="2:21" ht="1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"/>
      <c r="T257" s="1"/>
      <c r="U257" s="1"/>
    </row>
    <row r="258" spans="2:21" ht="15">
      <c r="S258" s="1"/>
      <c r="T258" s="1"/>
      <c r="U258" s="1"/>
    </row>
    <row r="259" spans="2:21" ht="15">
      <c r="S259" s="1"/>
      <c r="T259" s="1"/>
      <c r="U259" s="1"/>
    </row>
    <row r="260" spans="2:21" ht="15">
      <c r="S260" s="1"/>
      <c r="T260" s="1"/>
      <c r="U260" s="1"/>
    </row>
    <row r="261" spans="2:21" ht="15">
      <c r="S261" s="1"/>
      <c r="T261" s="1"/>
      <c r="U261" s="1"/>
    </row>
    <row r="262" spans="2:21" ht="15">
      <c r="S262" s="1"/>
      <c r="T262" s="1"/>
      <c r="U262" s="1"/>
    </row>
    <row r="274" spans="18:18" ht="15">
      <c r="R274" s="1"/>
    </row>
    <row r="275" spans="18:18" ht="15">
      <c r="R275" s="1"/>
    </row>
    <row r="276" spans="18:18" ht="15">
      <c r="R276" s="1"/>
    </row>
    <row r="277" spans="18:18" ht="15">
      <c r="R277" s="1"/>
    </row>
    <row r="278" spans="18:18" ht="15">
      <c r="R278" s="1"/>
    </row>
    <row r="279" spans="18:18" ht="15">
      <c r="R279" s="1"/>
    </row>
    <row r="280" spans="18:18" ht="15">
      <c r="R280" s="1"/>
    </row>
    <row r="281" spans="18:18" ht="15">
      <c r="R281" s="1"/>
    </row>
    <row r="282" spans="18:18" ht="15">
      <c r="R282" s="1"/>
    </row>
    <row r="283" spans="18:18" ht="15">
      <c r="R283" s="1"/>
    </row>
    <row r="284" spans="18:18" ht="15">
      <c r="R284" s="1"/>
    </row>
    <row r="285" spans="18:18" ht="15">
      <c r="R285" s="1"/>
    </row>
    <row r="286" spans="18:18" ht="15">
      <c r="R286" s="1"/>
    </row>
    <row r="287" spans="18:18" ht="15">
      <c r="R287" s="1"/>
    </row>
    <row r="288" spans="18:18" ht="15">
      <c r="R288" s="1"/>
    </row>
    <row r="289" spans="18:18" ht="15">
      <c r="R289" s="1"/>
    </row>
    <row r="290" spans="18:18" ht="15">
      <c r="R290" s="1"/>
    </row>
    <row r="291" spans="18:18" ht="15">
      <c r="R291" s="1"/>
    </row>
    <row r="292" spans="18:18" ht="15">
      <c r="R292" s="1"/>
    </row>
    <row r="293" spans="18:18" ht="15">
      <c r="R293" s="1"/>
    </row>
    <row r="294" spans="18:18" ht="15">
      <c r="R294" s="1"/>
    </row>
    <row r="295" spans="18:18" ht="15">
      <c r="R295" s="1"/>
    </row>
    <row r="296" spans="18:18" ht="15">
      <c r="R296" s="1"/>
    </row>
    <row r="297" spans="18:18" ht="15">
      <c r="R297" s="1"/>
    </row>
  </sheetData>
  <mergeCells count="110">
    <mergeCell ref="B1:M2"/>
    <mergeCell ref="C8:M8"/>
    <mergeCell ref="C11:M11"/>
    <mergeCell ref="C14:M14"/>
    <mergeCell ref="C17:M17"/>
    <mergeCell ref="C21:M21"/>
    <mergeCell ref="C22:M22"/>
    <mergeCell ref="C27:L27"/>
    <mergeCell ref="G28:L28"/>
    <mergeCell ref="G29:L29"/>
    <mergeCell ref="G30:L30"/>
    <mergeCell ref="G31:L31"/>
    <mergeCell ref="G32:L32"/>
    <mergeCell ref="G33:K33"/>
    <mergeCell ref="C41:M41"/>
    <mergeCell ref="C42:M42"/>
    <mergeCell ref="C43:M43"/>
    <mergeCell ref="O43:V43"/>
    <mergeCell ref="Q44:V44"/>
    <mergeCell ref="A45:B45"/>
    <mergeCell ref="Q45:V45"/>
    <mergeCell ref="A46:B46"/>
    <mergeCell ref="Q46:V46"/>
    <mergeCell ref="A47:B47"/>
    <mergeCell ref="Q47:V47"/>
    <mergeCell ref="O48:V48"/>
    <mergeCell ref="A48:A67"/>
    <mergeCell ref="Q49:V49"/>
    <mergeCell ref="Q50:V50"/>
    <mergeCell ref="O51:V51"/>
    <mergeCell ref="O52:R52"/>
    <mergeCell ref="S52:V52"/>
    <mergeCell ref="O53:R53"/>
    <mergeCell ref="S53:V53"/>
    <mergeCell ref="Q54:V54"/>
    <mergeCell ref="Q55:V55"/>
    <mergeCell ref="Q56:V56"/>
    <mergeCell ref="O57:V57"/>
    <mergeCell ref="O58:V58"/>
    <mergeCell ref="O59:V59"/>
    <mergeCell ref="Q60:V60"/>
    <mergeCell ref="Q61:V61"/>
    <mergeCell ref="Q62:V62"/>
    <mergeCell ref="Q63:V63"/>
    <mergeCell ref="Q64:V64"/>
    <mergeCell ref="Q65:V65"/>
    <mergeCell ref="Q66:V66"/>
    <mergeCell ref="O67:V67"/>
    <mergeCell ref="O69:V69"/>
    <mergeCell ref="O70:V70"/>
    <mergeCell ref="O71:V71"/>
    <mergeCell ref="Q72:V72"/>
    <mergeCell ref="Q73:V73"/>
    <mergeCell ref="Q74:V74"/>
    <mergeCell ref="Q75:V75"/>
    <mergeCell ref="Q76:V76"/>
    <mergeCell ref="Q77:V77"/>
    <mergeCell ref="O78:V78"/>
    <mergeCell ref="O79:V79"/>
    <mergeCell ref="O80:V80"/>
    <mergeCell ref="P81:V81"/>
    <mergeCell ref="P82:V82"/>
    <mergeCell ref="P83:V83"/>
    <mergeCell ref="O84:O85"/>
    <mergeCell ref="P84:V85"/>
    <mergeCell ref="O86:O87"/>
    <mergeCell ref="P86:V87"/>
    <mergeCell ref="C90:M90"/>
    <mergeCell ref="C91:M91"/>
    <mergeCell ref="C92:D92"/>
    <mergeCell ref="O92:T92"/>
    <mergeCell ref="C93:D93"/>
    <mergeCell ref="BL94:BM95"/>
    <mergeCell ref="BN94:BN95"/>
    <mergeCell ref="BO94:BP95"/>
    <mergeCell ref="A95:B95"/>
    <mergeCell ref="A96:B96"/>
    <mergeCell ref="A97:A116"/>
    <mergeCell ref="O105:Q105"/>
    <mergeCell ref="V107:X107"/>
    <mergeCell ref="Y107:Z107"/>
    <mergeCell ref="V108:X108"/>
    <mergeCell ref="Y108:Z108"/>
    <mergeCell ref="V109:X109"/>
    <mergeCell ref="Y109:Z109"/>
    <mergeCell ref="C119:M119"/>
    <mergeCell ref="C120:M120"/>
    <mergeCell ref="A121:B121"/>
    <mergeCell ref="A122:B122"/>
    <mergeCell ref="A123:A142"/>
    <mergeCell ref="C145:M145"/>
    <mergeCell ref="C146:M146"/>
    <mergeCell ref="A147:B147"/>
    <mergeCell ref="A148:B148"/>
    <mergeCell ref="A200:B200"/>
    <mergeCell ref="A201:A220"/>
    <mergeCell ref="O205:O206"/>
    <mergeCell ref="O207:O211"/>
    <mergeCell ref="O212:O216"/>
    <mergeCell ref="O217:O218"/>
    <mergeCell ref="O219:O222"/>
    <mergeCell ref="A149:A168"/>
    <mergeCell ref="C171:M171"/>
    <mergeCell ref="C172:M172"/>
    <mergeCell ref="A173:B173"/>
    <mergeCell ref="A174:B174"/>
    <mergeCell ref="A175:A194"/>
    <mergeCell ref="C197:M197"/>
    <mergeCell ref="C198:M198"/>
    <mergeCell ref="A199:B199"/>
  </mergeCells>
  <conditionalFormatting sqref="C48:M67 C97:M116 C123:M142 C149:M168">
    <cfRule type="expression" dxfId="3" priority="1">
      <formula>C48&gt;($F$4)</formula>
    </cfRule>
    <cfRule type="expression" dxfId="2" priority="2">
      <formula>C48&lt;=($F$4)</formula>
    </cfRule>
  </conditionalFormatting>
  <conditionalFormatting sqref="C175:M194 C201:M220">
    <cfRule type="expression" dxfId="1" priority="10">
      <formula>C175&gt;$F$4</formula>
    </cfRule>
    <cfRule type="expression" dxfId="0" priority="11">
      <formula>C175&lt;=$F$4</formula>
    </cfRule>
  </conditionalFormatting>
  <dataValidations count="1">
    <dataValidation type="list" allowBlank="1" showInputMessage="1" showErrorMessage="1" sqref="C22" xr:uid="{00000000-0002-0000-0400-000000000000}">
      <formula1>"Wide Channel (Flow Depth), Calculated from XS"</formula1>
    </dataValidation>
  </dataValidations>
  <pageMargins left="0.7" right="0.7" top="0.75" bottom="0.75" header="0.3" footer="0.3"/>
  <pageSetup paperSize="2053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L49:M130"/>
  <sheetViews>
    <sheetView topLeftCell="A21" zoomScale="40" zoomScaleNormal="40" workbookViewId="0">
      <selection activeCell="D21" sqref="D21"/>
    </sheetView>
  </sheetViews>
  <sheetFormatPr defaultColWidth="8.85546875" defaultRowHeight="12.75"/>
  <cols>
    <col min="1" max="11" width="8.85546875" style="11"/>
    <col min="12" max="12" width="14.85546875" style="11" customWidth="1"/>
    <col min="13" max="13" width="15" style="11" customWidth="1"/>
    <col min="14" max="16384" width="8.85546875" style="11"/>
  </cols>
  <sheetData>
    <row r="49" spans="12:13" ht="15">
      <c r="L49" s="418" t="s">
        <v>360</v>
      </c>
      <c r="M49" s="419"/>
    </row>
    <row r="50" spans="12:13" ht="15">
      <c r="L50" s="111" t="s">
        <v>220</v>
      </c>
      <c r="M50" s="111" t="s">
        <v>179</v>
      </c>
    </row>
    <row r="51" spans="12:13" ht="15">
      <c r="L51" s="111">
        <v>0</v>
      </c>
      <c r="M51" s="111">
        <f>M52+(((M52-M53)/(L53-L52))*2)</f>
        <v>2.2999999999999998</v>
      </c>
    </row>
    <row r="52" spans="12:13" ht="15">
      <c r="L52" s="111">
        <v>2</v>
      </c>
      <c r="M52" s="111">
        <v>2</v>
      </c>
    </row>
    <row r="53" spans="12:13" ht="15">
      <c r="L53" s="111">
        <v>3</v>
      </c>
      <c r="M53" s="111">
        <v>1.85</v>
      </c>
    </row>
    <row r="54" spans="12:13" ht="15">
      <c r="L54" s="111">
        <v>4</v>
      </c>
      <c r="M54" s="111">
        <v>1.7</v>
      </c>
    </row>
    <row r="55" spans="12:13" ht="15">
      <c r="L55" s="111">
        <v>5</v>
      </c>
      <c r="M55" s="111">
        <v>1.56</v>
      </c>
    </row>
    <row r="56" spans="12:13" ht="15">
      <c r="L56" s="111">
        <v>6</v>
      </c>
      <c r="M56" s="111">
        <v>1.44</v>
      </c>
    </row>
    <row r="57" spans="12:13" ht="15">
      <c r="L57" s="111">
        <v>7</v>
      </c>
      <c r="M57" s="111">
        <v>1.3</v>
      </c>
    </row>
    <row r="58" spans="12:13" ht="15">
      <c r="L58" s="111">
        <v>8</v>
      </c>
      <c r="M58" s="111">
        <v>1.2</v>
      </c>
    </row>
    <row r="59" spans="12:13" ht="15">
      <c r="L59" s="111">
        <v>9</v>
      </c>
      <c r="M59" s="111">
        <v>1.1100000000000001</v>
      </c>
    </row>
    <row r="60" spans="12:13" ht="15">
      <c r="L60" s="111">
        <v>10</v>
      </c>
      <c r="M60" s="111">
        <v>1.05</v>
      </c>
    </row>
    <row r="61" spans="12:13" ht="15">
      <c r="L61" s="111">
        <v>11</v>
      </c>
      <c r="M61" s="111">
        <v>1</v>
      </c>
    </row>
    <row r="62" spans="12:13" ht="15">
      <c r="L62" s="111">
        <v>50</v>
      </c>
      <c r="M62" s="111">
        <v>1</v>
      </c>
    </row>
    <row r="89" spans="12:12">
      <c r="L89" s="11" t="s">
        <v>180</v>
      </c>
    </row>
    <row r="90" spans="12:12">
      <c r="L90" s="11" t="s">
        <v>500</v>
      </c>
    </row>
    <row r="91" spans="12:12">
      <c r="L91" s="10" t="s">
        <v>102</v>
      </c>
    </row>
    <row r="93" spans="12:12">
      <c r="L93" s="10" t="s">
        <v>31</v>
      </c>
    </row>
    <row r="130" spans="13:13">
      <c r="M130" s="10" t="s">
        <v>339</v>
      </c>
    </row>
  </sheetData>
  <mergeCells count="1">
    <mergeCell ref="L49:M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O204"/>
  <sheetViews>
    <sheetView workbookViewId="0">
      <selection activeCell="AW3" sqref="AW3"/>
    </sheetView>
  </sheetViews>
  <sheetFormatPr defaultColWidth="8.85546875" defaultRowHeight="12.75"/>
  <cols>
    <col min="1" max="1" width="11.5703125" style="11" customWidth="1"/>
    <col min="2" max="3" width="16" style="11" bestFit="1" customWidth="1"/>
    <col min="4" max="4" width="8.85546875" style="11"/>
    <col min="5" max="5" width="8.140625" style="11" customWidth="1"/>
    <col min="6" max="6" width="8" style="11" customWidth="1"/>
    <col min="7" max="7" width="8.42578125" style="11" customWidth="1"/>
    <col min="8" max="8" width="10.5703125" style="11" bestFit="1" customWidth="1"/>
    <col min="9" max="9" width="13.7109375" style="11" bestFit="1" customWidth="1"/>
    <col min="10" max="10" width="9.85546875" style="11" bestFit="1" customWidth="1"/>
    <col min="11" max="11" width="13.7109375" style="11" bestFit="1" customWidth="1"/>
    <col min="12" max="12" width="14" style="11" bestFit="1" customWidth="1"/>
    <col min="13" max="13" width="7.7109375" style="11" bestFit="1" customWidth="1"/>
    <col min="14" max="14" width="8.28515625" style="11" bestFit="1" customWidth="1"/>
    <col min="15" max="15" width="9.42578125" style="11" bestFit="1" customWidth="1"/>
    <col min="16" max="16" width="14.7109375" style="11" bestFit="1" customWidth="1"/>
    <col min="17" max="17" width="19" style="11" customWidth="1"/>
    <col min="18" max="18" width="15" style="11" bestFit="1" customWidth="1"/>
    <col min="19" max="19" width="11.7109375" style="11" bestFit="1" customWidth="1"/>
    <col min="20" max="20" width="8.85546875" style="11"/>
    <col min="21" max="21" width="8.42578125" style="11" bestFit="1" customWidth="1"/>
    <col min="22" max="22" width="17.85546875" style="11" bestFit="1" customWidth="1"/>
    <col min="23" max="23" width="15.28515625" style="11" bestFit="1" customWidth="1"/>
    <col min="24" max="24" width="13.5703125" style="11" bestFit="1" customWidth="1"/>
    <col min="25" max="25" width="8.85546875" style="11"/>
    <col min="26" max="26" width="14.7109375" style="11" customWidth="1"/>
    <col min="27" max="27" width="17" style="11" customWidth="1"/>
    <col min="28" max="28" width="13.140625" style="11" bestFit="1" customWidth="1"/>
    <col min="29" max="29" width="8.85546875" style="11"/>
    <col min="30" max="30" width="4" style="11" bestFit="1" customWidth="1"/>
    <col min="31" max="31" width="8.5703125" style="11" bestFit="1" customWidth="1"/>
    <col min="32" max="32" width="8.42578125" style="11" bestFit="1" customWidth="1"/>
    <col min="33" max="33" width="4.28515625" style="11" bestFit="1" customWidth="1"/>
    <col min="34" max="34" width="12.85546875" style="11" bestFit="1" customWidth="1"/>
    <col min="35" max="35" width="6.42578125" style="11" bestFit="1" customWidth="1"/>
    <col min="36" max="36" width="13.140625" style="11" bestFit="1" customWidth="1"/>
    <col min="37" max="37" width="12.85546875" style="11" customWidth="1"/>
    <col min="38" max="38" width="21" style="11" customWidth="1"/>
    <col min="39" max="39" width="10.42578125" style="11" bestFit="1" customWidth="1"/>
    <col min="40" max="40" width="8.5703125" style="11" bestFit="1" customWidth="1"/>
    <col min="41" max="41" width="5.5703125" style="11" customWidth="1"/>
    <col min="42" max="42" width="8.5703125" style="11" bestFit="1" customWidth="1"/>
    <col min="43" max="43" width="10.5703125" style="11" bestFit="1" customWidth="1"/>
    <col min="44" max="44" width="13.7109375" style="11" bestFit="1" customWidth="1"/>
    <col min="45" max="45" width="8.85546875" style="11"/>
    <col min="46" max="46" width="13.7109375" style="11" bestFit="1" customWidth="1"/>
    <col min="47" max="47" width="14" style="11" bestFit="1" customWidth="1"/>
    <col min="48" max="49" width="8.5703125" style="11" bestFit="1" customWidth="1"/>
    <col min="50" max="50" width="12.7109375" style="11" bestFit="1" customWidth="1"/>
    <col min="51" max="51" width="12" style="11" bestFit="1" customWidth="1"/>
    <col min="52" max="53" width="14.140625" style="11" customWidth="1"/>
    <col min="54" max="54" width="17.85546875" style="11" bestFit="1" customWidth="1"/>
    <col min="55" max="58" width="14.140625" style="11" customWidth="1"/>
    <col min="59" max="60" width="12.5703125" style="11" bestFit="1" customWidth="1"/>
    <col min="61" max="61" width="13.42578125" style="11" bestFit="1" customWidth="1"/>
    <col min="62" max="63" width="12.5703125" style="11" bestFit="1" customWidth="1"/>
    <col min="64" max="64" width="13.42578125" style="11" bestFit="1" customWidth="1"/>
    <col min="65" max="66" width="11" style="11" bestFit="1" customWidth="1"/>
    <col min="67" max="67" width="13.5703125" style="11" bestFit="1" customWidth="1"/>
    <col min="68" max="16384" width="8.85546875" style="11"/>
  </cols>
  <sheetData>
    <row r="1" spans="1:67" ht="15">
      <c r="A1" s="421" t="s">
        <v>115</v>
      </c>
      <c r="B1" s="422"/>
      <c r="C1" s="423"/>
      <c r="D1" s="10"/>
      <c r="E1" s="421" t="s">
        <v>481</v>
      </c>
      <c r="F1" s="422"/>
      <c r="G1" s="422"/>
      <c r="H1" s="423"/>
      <c r="I1" s="421" t="s">
        <v>116</v>
      </c>
      <c r="J1" s="422"/>
      <c r="K1" s="422"/>
      <c r="L1" s="423"/>
      <c r="M1" s="425" t="s">
        <v>50</v>
      </c>
      <c r="N1" s="309"/>
      <c r="O1" s="309"/>
      <c r="P1" s="309"/>
      <c r="Q1" s="309"/>
      <c r="R1" s="309"/>
      <c r="S1" s="309"/>
      <c r="T1" s="164"/>
      <c r="U1" s="291" t="s">
        <v>443</v>
      </c>
      <c r="V1" s="291"/>
      <c r="W1" s="291"/>
      <c r="X1" s="291"/>
      <c r="Y1" s="7"/>
      <c r="Z1" s="291" t="s">
        <v>402</v>
      </c>
      <c r="AA1" s="291"/>
      <c r="AB1" s="291"/>
      <c r="AD1" s="309" t="s">
        <v>358</v>
      </c>
      <c r="AE1" s="309"/>
      <c r="AF1" s="309"/>
      <c r="AG1" s="309"/>
      <c r="AH1" s="309"/>
      <c r="AI1" s="309"/>
      <c r="AJ1" s="309"/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420"/>
      <c r="AZ1" s="421" t="s">
        <v>503</v>
      </c>
      <c r="BA1" s="422"/>
      <c r="BB1" s="422"/>
      <c r="BC1" s="422"/>
      <c r="BD1" s="422"/>
      <c r="BE1" s="423"/>
    </row>
    <row r="2" spans="1:67" ht="30" customHeight="1">
      <c r="A2" s="6" t="s">
        <v>440</v>
      </c>
      <c r="B2" s="6" t="s">
        <v>114</v>
      </c>
      <c r="C2" s="6" t="s">
        <v>115</v>
      </c>
      <c r="D2" s="7"/>
      <c r="E2" s="6" t="s">
        <v>81</v>
      </c>
      <c r="F2" s="6" t="s">
        <v>40</v>
      </c>
      <c r="G2" s="6" t="s">
        <v>85</v>
      </c>
      <c r="H2" s="6" t="s">
        <v>8</v>
      </c>
      <c r="I2" s="6" t="s">
        <v>49</v>
      </c>
      <c r="J2" s="6" t="s">
        <v>282</v>
      </c>
      <c r="K2" s="6" t="s">
        <v>400</v>
      </c>
      <c r="L2" s="6" t="s">
        <v>237</v>
      </c>
      <c r="M2" s="6" t="s">
        <v>167</v>
      </c>
      <c r="N2" s="109" t="s">
        <v>401</v>
      </c>
      <c r="O2" s="6" t="s">
        <v>142</v>
      </c>
      <c r="P2" s="6" t="s">
        <v>238</v>
      </c>
      <c r="Q2" s="109" t="s">
        <v>374</v>
      </c>
      <c r="R2" s="6" t="s">
        <v>199</v>
      </c>
      <c r="S2" s="57" t="s">
        <v>89</v>
      </c>
      <c r="T2" s="7"/>
      <c r="U2" s="25" t="s">
        <v>512</v>
      </c>
      <c r="V2" s="6" t="s">
        <v>335</v>
      </c>
      <c r="W2" s="6" t="s">
        <v>189</v>
      </c>
      <c r="X2" s="32" t="s">
        <v>188</v>
      </c>
      <c r="Y2" s="7"/>
      <c r="Z2" s="183" t="s">
        <v>511</v>
      </c>
      <c r="AA2" s="120" t="s">
        <v>159</v>
      </c>
      <c r="AB2" s="120" t="s">
        <v>328</v>
      </c>
      <c r="AD2" s="25" t="s">
        <v>97</v>
      </c>
      <c r="AE2" s="72" t="s">
        <v>218</v>
      </c>
      <c r="AF2" s="171" t="s">
        <v>529</v>
      </c>
      <c r="AG2" s="25" t="s">
        <v>216</v>
      </c>
      <c r="AH2" s="25" t="s">
        <v>155</v>
      </c>
      <c r="AI2" s="25" t="s">
        <v>386</v>
      </c>
      <c r="AJ2" s="25" t="s">
        <v>130</v>
      </c>
      <c r="AK2" s="72" t="s">
        <v>527</v>
      </c>
      <c r="AL2" s="72" t="s">
        <v>497</v>
      </c>
      <c r="AM2" s="72" t="s">
        <v>496</v>
      </c>
      <c r="AN2" s="6" t="s">
        <v>81</v>
      </c>
      <c r="AO2" s="6" t="s">
        <v>40</v>
      </c>
      <c r="AP2" s="6" t="s">
        <v>85</v>
      </c>
      <c r="AQ2" s="6" t="s">
        <v>8</v>
      </c>
      <c r="AR2" s="6" t="s">
        <v>49</v>
      </c>
      <c r="AS2" s="6" t="s">
        <v>384</v>
      </c>
      <c r="AT2" s="6" t="s">
        <v>400</v>
      </c>
      <c r="AU2" s="6" t="s">
        <v>237</v>
      </c>
      <c r="AV2" s="6" t="s">
        <v>167</v>
      </c>
      <c r="AW2" s="6" t="s">
        <v>98</v>
      </c>
      <c r="AX2" s="109" t="s">
        <v>401</v>
      </c>
      <c r="AY2" s="57" t="s">
        <v>89</v>
      </c>
      <c r="AZ2" s="219" t="s">
        <v>551</v>
      </c>
      <c r="BA2" s="6" t="s">
        <v>478</v>
      </c>
      <c r="BB2" s="236" t="s">
        <v>335</v>
      </c>
      <c r="BC2" s="6" t="s">
        <v>231</v>
      </c>
      <c r="BD2" s="6" t="s">
        <v>398</v>
      </c>
      <c r="BE2" s="219" t="s">
        <v>548</v>
      </c>
      <c r="BF2" s="69" t="s">
        <v>498</v>
      </c>
      <c r="BG2" s="26" t="s">
        <v>66</v>
      </c>
      <c r="BH2" s="26" t="s">
        <v>387</v>
      </c>
      <c r="BI2" s="26" t="s">
        <v>176</v>
      </c>
      <c r="BJ2" s="26" t="s">
        <v>156</v>
      </c>
      <c r="BK2" s="26" t="s">
        <v>100</v>
      </c>
      <c r="BL2" s="26" t="s">
        <v>300</v>
      </c>
      <c r="BM2" s="26" t="s">
        <v>222</v>
      </c>
      <c r="BN2" s="26" t="s">
        <v>157</v>
      </c>
      <c r="BO2" s="26" t="s">
        <v>362</v>
      </c>
    </row>
    <row r="3" spans="1:67" ht="15">
      <c r="A3" s="59" t="str">
        <f>IF(ISNA(XS_Analyzer!AB3),"No","Yes")</f>
        <v>No</v>
      </c>
      <c r="B3" s="59" t="str">
        <f>IF(A3="Yes",XS_Analyzer!AB3,"")</f>
        <v/>
      </c>
      <c r="C3" s="59" t="s">
        <v>84</v>
      </c>
      <c r="D3" s="23"/>
      <c r="E3" s="123">
        <f>SUMIF(XS_Analyzer_Calculations!$BO$4:$BO$104,$C3,XS_Analyzer_Calculations!$BV$4:$BV$104)</f>
        <v>0</v>
      </c>
      <c r="F3" s="17">
        <f>SUMIF(XS_Analyzer_Calculations!$BO$4:$BO$104,$C3,XS_Analyzer_Calculations!$BQ$4:$BQ$104)</f>
        <v>0</v>
      </c>
      <c r="G3" s="17">
        <f t="shared" ref="G3:G11" si="0">IF(ISNUMBER(E3/F3),E3/F3,0)</f>
        <v>0</v>
      </c>
      <c r="H3" s="17">
        <f t="array" ref="H3">IF(ISNUMBER((SUMIF(XS_Analyzer_Calculations!$BO$4:$BO$104,$C3,XS_Analyzer_Calculations!$BS$4:$BS$104))),(SUMIF(XS_Analyzer_Calculations!$BO$4:$BO$104,$C3,XS_Analyzer_Calculations!$BS$4:$BS$104)),0)</f>
        <v>0</v>
      </c>
      <c r="I3" s="53">
        <f t="shared" ref="I3:I11" si="1">IF(ISNUMBER(((SUM(H3)/F3)^(2/3))),(((SUM(H3)/F3)^(2/3))),0)</f>
        <v>0</v>
      </c>
      <c r="J3" s="53">
        <f>XS_Analyzer_Calculations!$I$7</f>
        <v>0.01</v>
      </c>
      <c r="K3" s="18">
        <f t="shared" ref="K3:K11" si="2">IF(ISNUMBER((1.486/I3)*E3*((E3/F3)^(2/3))),(1.486/I3)*E3*((E3/F3)^(2/3)),0)</f>
        <v>0</v>
      </c>
      <c r="L3" s="38">
        <f>K3*XS_Analyzer_Calculations!$I$7^0.5</f>
        <v>0</v>
      </c>
      <c r="M3" s="18">
        <f t="shared" ref="M3:M11" si="3">IF(ISNUMBER(L3/E3),L3/E3,0)</f>
        <v>0</v>
      </c>
      <c r="N3" s="18">
        <f>XS_Analyzer_Calculations!$K$4</f>
        <v>5</v>
      </c>
      <c r="O3" s="17">
        <f>SUMIF(XS_Analyzer_Calculations!$BO$4:$BO$104,$C3,XS_Analyzer_Calculations!$BT$4:$BT$104)</f>
        <v>0</v>
      </c>
      <c r="P3" s="17">
        <f t="array" ref="P3">MAX(IF(XS_Analyzer_Calculations!$BO$4:$BO$104=$C3,XS_Analyzer_Calculations!$BU$4:$BU$104,""))</f>
        <v>0</v>
      </c>
      <c r="Q3" s="17">
        <f>IF(ISNUMBER(LININTERP(B4,XS_Analyzer_Calculations!$BN$4:$BN$104,XS_Analyzer_Calculations!$BU$4:$BU$104)),LININTERP(B4,XS_Analyzer_Calculations!$BN$4:$BN$104,XS_Analyzer_Calculations!$BU$4:$BU$104),P3)</f>
        <v>0</v>
      </c>
      <c r="R3" s="17">
        <f t="shared" ref="R3:R11" si="4">IF(P3&gt;Q3,P3,Q3)</f>
        <v>0</v>
      </c>
      <c r="S3" s="18">
        <f t="shared" ref="S3:S11" si="5">IF(ISNUMBER(E3/O3),E3/O3,0)</f>
        <v>0</v>
      </c>
      <c r="T3" s="10"/>
      <c r="U3" s="17">
        <f t="shared" ref="U3:U11" si="6">62.4*G3*J3</f>
        <v>0</v>
      </c>
      <c r="V3" s="17">
        <f t="shared" ref="V3:V11" si="7">((77.966*(U3^1.042)))*0.0393701</f>
        <v>0</v>
      </c>
      <c r="W3" s="17">
        <f t="shared" ref="W3:W11" si="8">((152.02*(U3^0.7355)))*0.0393701</f>
        <v>0</v>
      </c>
      <c r="X3" s="17">
        <f t="shared" ref="X3:X11" si="9">62.4*J3*L3</f>
        <v>0</v>
      </c>
      <c r="Z3" s="17">
        <f t="shared" ref="Z3:Z11" si="10">IF(ISNUMBER(M3/(SQRT(S3*32.2))),M3/(SQRT(S3*32.2)),0)</f>
        <v>0</v>
      </c>
      <c r="AA3" s="17">
        <f t="shared" ref="AA3:AA11" si="11">(M3^2)/(2*32.2)</f>
        <v>0</v>
      </c>
      <c r="AB3" s="17">
        <f t="shared" ref="AB3:AB11" si="12">AA3+N3</f>
        <v>5</v>
      </c>
      <c r="AD3" s="25">
        <v>0</v>
      </c>
      <c r="AE3" s="25" t="str">
        <f t="shared" ref="AE3:AE204" si="13">IF(AK3&lt;$AA$31,"Left",IF(ROUND(AK3,2)=$AA$31,"Thalweg","Right"))</f>
        <v>Left</v>
      </c>
      <c r="AF3" s="25" t="str">
        <f t="shared" ref="AF3:AF204" si="14">IF(AK3&lt;$B$5,"LOB",IF(AK3&gt;$B$9,"ROB","Channel"))</f>
        <v>Channel</v>
      </c>
      <c r="AG3" s="32" t="str">
        <f>IF(XS_AnalyzerSummary!$AB$24&gt;=XS_AnalyzerSummary!AD3,"Y","N")</f>
        <v>Y</v>
      </c>
      <c r="AH3" s="38">
        <v>0</v>
      </c>
      <c r="AI3" s="38">
        <f>IF(AG3="Y",$O$19/XS_AnalyzerSummary!$AB$24,0)</f>
        <v>4.4999999999999998E-2</v>
      </c>
      <c r="AJ3" s="38">
        <f t="shared" ref="AJ3:AJ204" si="15">AI3*AH3</f>
        <v>0</v>
      </c>
      <c r="AK3" s="93">
        <f>IF(AG3="Y",(AJ3+$Z$27),NA())</f>
        <v>1</v>
      </c>
      <c r="AL3" s="93">
        <f>IF(AG3="Y",LININTERP(AK3,XS_Analyzer_Calculations!$AY$4:$AY$104,XS_Analyzer_Calculations!$AZ$4:$AZ$104),AL2)</f>
        <v>3</v>
      </c>
      <c r="AM3" s="38">
        <f t="shared" ref="AM3:AM204" si="16">$N$16-AL3</f>
        <v>2</v>
      </c>
      <c r="AN3" s="18">
        <f t="shared" ref="AN3:AN204" si="17">IFERROR(IF(AND(AG3="Y",ISNUMBER(AN2)),IF(AE3="Left",AVERAGE(AM2,AM3)*(AI3),AVERAGE(AM3,AM4)*(AI4)),0),0)</f>
        <v>0</v>
      </c>
      <c r="AO3" s="100">
        <f t="shared" ref="AO3:AO204" si="18">IF(ISNUMBER(IF(AND(AG3="Y",ISNUMBER(AN2)),IF(AE3="Left",SQRT(((AK3-AK2)^2)+((AM3-AM2)^2)),SQRT(((AK4-AK3)^2)+((AM4-AM3)^2))),0)),IF(AND(AG3="Y",ISNUMBER(AN2)),IF(AE3="Left",SQRT(((AK3-AK2)^2)+((AM3-AM2)^2)),SQRT(((AK4-AK3)^2)+((AM4-AM3)^2))),0),0)</f>
        <v>0</v>
      </c>
      <c r="AP3" s="100">
        <f t="shared" ref="AP3:AP204" si="19">IFERROR(IF(AND(AE3="Right",AN4=0),0,IF(IF(ISNUMBER(IF(AND(AG3="Y",ISNUMBER(AN2)),AN3/AO3,0)),IF(AND(AG3="Y",ISNUMBER(AN2)),AN3/AO3,0),0)&gt;0,IF(ISNUMBER(IF(AND(AG3="Y",ISNUMBER(AN2)),AN3/AO3,0)),IF(AND(AG3="Y",ISNUMBER(AN2)),AN3/AO3,0),0),0)),0)</f>
        <v>0</v>
      </c>
      <c r="AQ3" s="18">
        <f t="shared" ref="AQ3:AQ204" si="20">IFERROR((AO3*(AR3^1.5)),0)</f>
        <v>0</v>
      </c>
      <c r="AR3" s="32">
        <f>IFERROR(IF(AG3="Y",VLOOKUP(AK3,XS_Analyzer_Calculations!$R$5:$T$104,3,TRUE),0),0)</f>
        <v>0.1</v>
      </c>
      <c r="AS3" s="198">
        <f t="shared" ref="AS3:AS204" si="21">$J$16</f>
        <v>0.01</v>
      </c>
      <c r="AT3" s="18">
        <f t="shared" ref="AT3:AT204" si="22">IF(ROUND(AO3,3)=0,0,IF(ISNUMBER((1.486/AR3)*AN3*((AN3/AO3)^(2/3))),(1.486/AR3)*AN3*((AN3/AO3)^(2/3)),0))</f>
        <v>0</v>
      </c>
      <c r="AU3" s="38">
        <f>AT3*XS_Analyzer_Calculations!$I$7^0.5</f>
        <v>0</v>
      </c>
      <c r="AV3" s="18">
        <f>IF(ROUND(AN3,5)=0,0,IF(ISNUMBER(AU3/AN3),AU3/AN3,0))</f>
        <v>0</v>
      </c>
      <c r="AW3" s="18">
        <f t="shared" ref="AW3:AW204" si="23">62.4*AP3*AS3</f>
        <v>0</v>
      </c>
      <c r="AX3" s="18">
        <f t="shared" ref="AX3:AX204" si="24">$N$16</f>
        <v>5</v>
      </c>
      <c r="AY3" s="32">
        <f t="shared" ref="AY3:AY204" si="25">IFERROR(AN3/AI3,0)</f>
        <v>0</v>
      </c>
      <c r="AZ3" s="18">
        <f>((AS3*AP3)/(1.65*XS_Analyzer!$Q$72))*12</f>
        <v>0</v>
      </c>
      <c r="BA3" s="18">
        <f>(AW3/((1.65*62.4)*XS_Analyzer!$Q$73))*12</f>
        <v>0</v>
      </c>
      <c r="BB3" s="18">
        <f t="shared" ref="BB3:BB204" si="26">((77.966*((62.4*AS3*(AM3))^1.042)))*0.0393701</f>
        <v>3.8665832869163288</v>
      </c>
      <c r="BC3" s="38">
        <f t="shared" ref="BC3:BC204" si="27">((152.02*((62.4*AS3*(AM3))^0.7355)))*0.0393701</f>
        <v>7.0442226363618587</v>
      </c>
      <c r="BD3" s="18">
        <f>IF(ISNUMBER(LININTERP(AW3,Permissible_Shear!$T$178:$T$188,Permissible_Shear!$V$178:$V$188)),LININTERP(AW3,Permissible_Shear!$T$178:$T$188,Permissible_Shear!$V$178:$V$188),0)</f>
        <v>0</v>
      </c>
      <c r="BE3" s="18">
        <f>LININTERP(AW3,Permissible_Shear!$S$205:$S$222,Permissible_Shear!$V$205:$V$222)</f>
        <v>1.5E-3</v>
      </c>
      <c r="BF3" s="18">
        <f>INDEX($AZ$3:$BE$204,ROW(BF3)-2,MATCH(XS_Analyzer!$S$5,XS_AnalyzerSummary!$AZ$2:$BE$2,0))</f>
        <v>3.8665832869163288</v>
      </c>
      <c r="BG3" s="26">
        <f t="shared" ref="BG3:BG204" si="28">IF($AF3="LOB",IF(ISNUMBER($AV3),$AV3,0),0)</f>
        <v>0</v>
      </c>
      <c r="BH3" s="26">
        <f t="shared" ref="BH3:BH204" si="29">IF($AF3="ROB",IF(ISNUMBER($AV3),$AV3,0),0)</f>
        <v>0</v>
      </c>
      <c r="BI3" s="26">
        <f t="shared" ref="BI3:BI204" si="30">IF($AF3="Channel",IF(ISNUMBER($AV3),$AV3,0),0)</f>
        <v>0</v>
      </c>
      <c r="BJ3" s="26">
        <f t="shared" ref="BJ3:BJ204" si="31">IF($AF3="LOB",IF(ISNUMBER($AW3),$AW3,0),0)</f>
        <v>0</v>
      </c>
      <c r="BK3" s="26">
        <f t="shared" ref="BK3:BK204" si="32">IF($AF3="ROB",IF(ISNUMBER($AW3),$AW3,0),0)</f>
        <v>0</v>
      </c>
      <c r="BL3" s="26">
        <f t="shared" ref="BL3:BL204" si="33">IF($AF3="Channel",IF(ISNUMBER($AW3),$AW3,0),0)</f>
        <v>0</v>
      </c>
      <c r="BM3" s="18">
        <f t="shared" ref="BM3:BM204" si="34">IF($AF3="LOB",IF(ISNUMBER($AP3),$AP3,0),0)</f>
        <v>0</v>
      </c>
      <c r="BN3" s="18">
        <f t="shared" ref="BN3:BN204" si="35">IF($AF3="ROB",IF(ISNUMBER($AP3),$AP3,0),0)</f>
        <v>0</v>
      </c>
      <c r="BO3" s="18">
        <f t="shared" ref="BO3:BO204" si="36">IF($AF3="CHANNEL",IF(ISNUMBER($AP3),$AP3,0),0)</f>
        <v>0</v>
      </c>
    </row>
    <row r="4" spans="1:67" ht="15">
      <c r="A4" s="59" t="str">
        <f>IF(ISNA(XS_Analyzer!AB4),"No","Yes")</f>
        <v>No</v>
      </c>
      <c r="B4" s="59" t="str">
        <f>IF(A4="Yes",XS_Analyzer!AB4,"")</f>
        <v/>
      </c>
      <c r="C4" s="59" t="s">
        <v>439</v>
      </c>
      <c r="D4" s="23"/>
      <c r="E4" s="17">
        <f>SUMIF(XS_Analyzer_Calculations!$BO$4:$BO$104,$C4,XS_Analyzer_Calculations!$BV$4:$BV$104)</f>
        <v>0</v>
      </c>
      <c r="F4" s="17">
        <f>SUMIF(XS_Analyzer_Calculations!$BO$4:$BO$104,$C4,XS_Analyzer_Calculations!$BQ$4:$BQ$104)</f>
        <v>0</v>
      </c>
      <c r="G4" s="17">
        <f t="shared" si="0"/>
        <v>0</v>
      </c>
      <c r="H4" s="17">
        <f t="array" ref="H4">IF(ISNUMBER((SUMIF(XS_Analyzer_Calculations!$BO$4:$BO$104,$C4,XS_Analyzer_Calculations!$BS$4:$BS$104))),(SUMIF(XS_Analyzer_Calculations!$BO$4:$BO$104,$C4,XS_Analyzer_Calculations!$BS$4:$BS$104)),0)</f>
        <v>0</v>
      </c>
      <c r="I4" s="53">
        <f t="shared" si="1"/>
        <v>0</v>
      </c>
      <c r="J4" s="53">
        <f>XS_Analyzer_Calculations!$I$7</f>
        <v>0.01</v>
      </c>
      <c r="K4" s="18">
        <f t="shared" si="2"/>
        <v>0</v>
      </c>
      <c r="L4" s="38">
        <f>K4*XS_Analyzer_Calculations!$I$7^0.5</f>
        <v>0</v>
      </c>
      <c r="M4" s="18">
        <f t="shared" si="3"/>
        <v>0</v>
      </c>
      <c r="N4" s="18">
        <f>XS_Analyzer_Calculations!$K$4</f>
        <v>5</v>
      </c>
      <c r="O4" s="17">
        <f>SUMIF(XS_Analyzer_Calculations!$BO$4:$BO$104,$C4,XS_Analyzer_Calculations!$BT$4:$BT$104)</f>
        <v>0</v>
      </c>
      <c r="P4" s="17">
        <f t="array" ref="P4">MAX(IF(XS_Analyzer_Calculations!$BO$4:$BO$104=$C4,XS_Analyzer_Calculations!$BU$4:$BU$104,""))</f>
        <v>0</v>
      </c>
      <c r="Q4" s="17">
        <f>IF(ISNUMBER(LININTERP(B5,XS_Analyzer_Calculations!$BN$4:$BN$104,XS_Analyzer_Calculations!$BU$4:$BU$104)),LININTERP(B5,XS_Analyzer_Calculations!$BN$4:$BN$104,XS_Analyzer_Calculations!$BU$4:$BU$104),P4)</f>
        <v>2</v>
      </c>
      <c r="R4" s="17">
        <f t="shared" si="4"/>
        <v>2</v>
      </c>
      <c r="S4" s="18">
        <f t="shared" si="5"/>
        <v>0</v>
      </c>
      <c r="U4" s="17">
        <f t="shared" si="6"/>
        <v>0</v>
      </c>
      <c r="V4" s="17">
        <f t="shared" si="7"/>
        <v>0</v>
      </c>
      <c r="W4" s="17">
        <f t="shared" si="8"/>
        <v>0</v>
      </c>
      <c r="X4" s="17">
        <f t="shared" si="9"/>
        <v>0</v>
      </c>
      <c r="Z4" s="17">
        <f t="shared" si="10"/>
        <v>0</v>
      </c>
      <c r="AA4" s="17">
        <f t="shared" si="11"/>
        <v>0</v>
      </c>
      <c r="AB4" s="17">
        <f t="shared" si="12"/>
        <v>5</v>
      </c>
      <c r="AD4" s="32">
        <v>0.1</v>
      </c>
      <c r="AE4" s="25" t="str">
        <f t="shared" si="13"/>
        <v>Left</v>
      </c>
      <c r="AF4" s="25" t="str">
        <f t="shared" si="14"/>
        <v>Channel</v>
      </c>
      <c r="AG4" s="32" t="str">
        <f>IF(XS_AnalyzerSummary!$AB$24&gt;=XS_AnalyzerSummary!AD4,"Y","N")</f>
        <v>Y</v>
      </c>
      <c r="AH4" s="38">
        <v>1</v>
      </c>
      <c r="AI4" s="38">
        <f>IF(AG4="Y",$O$19/XS_AnalyzerSummary!$AB$24,0)</f>
        <v>4.4999999999999998E-2</v>
      </c>
      <c r="AJ4" s="38">
        <f t="shared" si="15"/>
        <v>4.4999999999999998E-2</v>
      </c>
      <c r="AK4" s="93">
        <f t="shared" ref="AK4:AK204" si="37">IF(AG4="Y",IF((AK3+AJ4)&gt;$AB$29,$AB$29,AJ4+AK3),NA())</f>
        <v>1.0449999999999999</v>
      </c>
      <c r="AL4" s="93">
        <f>IF(AG4="Y",LININTERP(AK4,XS_Analyzer_Calculations!$AY$4:$AY$104,XS_Analyzer_Calculations!$AZ$4:$AZ$104),AL3)</f>
        <v>2.9662500000000001</v>
      </c>
      <c r="AM4" s="38">
        <f t="shared" si="16"/>
        <v>2.0337499999999999</v>
      </c>
      <c r="AN4" s="18">
        <f t="shared" si="17"/>
        <v>9.0759374999999989E-2</v>
      </c>
      <c r="AO4" s="100">
        <f t="shared" si="18"/>
        <v>5.6249999999999911E-2</v>
      </c>
      <c r="AP4" s="100">
        <f t="shared" si="19"/>
        <v>1.6135000000000024</v>
      </c>
      <c r="AQ4" s="18">
        <f t="shared" si="20"/>
        <v>1.7787811838447108E-3</v>
      </c>
      <c r="AR4" s="32">
        <f>IFERROR(IF(AG4="Y",VLOOKUP(AK4,XS_Analyzer_Calculations!$R$5:$T$104,3,TRUE),0),0)</f>
        <v>0.1</v>
      </c>
      <c r="AS4" s="198">
        <f t="shared" si="21"/>
        <v>0.01</v>
      </c>
      <c r="AT4" s="18">
        <f t="shared" si="22"/>
        <v>1.8553376274569913</v>
      </c>
      <c r="AU4" s="38">
        <f>AT4*XS_Analyzer_Calculations!$I$7^0.5</f>
        <v>0.18553376274569913</v>
      </c>
      <c r="AV4" s="18">
        <f t="shared" ref="AV4:AV67" si="38">IF(ROUND(AN4,5)=0,0,IF(ISNUMBER(AU4/AN4),AU4/AN4,0))</f>
        <v>2.0442379946501301</v>
      </c>
      <c r="AW4" s="18">
        <f t="shared" si="23"/>
        <v>1.0068240000000015</v>
      </c>
      <c r="AX4" s="18">
        <f t="shared" si="24"/>
        <v>5</v>
      </c>
      <c r="AY4" s="32">
        <f t="shared" si="25"/>
        <v>2.0168749999999998</v>
      </c>
      <c r="AZ4" s="18">
        <f>((AS4*AP4)/(1.65*XS_Analyzer!$Q$72))*12</f>
        <v>4.63649154149509</v>
      </c>
      <c r="BA4" s="18">
        <f>(AW4/((1.65*62.4)*XS_Analyzer!$Q$73))*12</f>
        <v>2.6076767676767716</v>
      </c>
      <c r="BB4" s="18">
        <f t="shared" si="26"/>
        <v>3.934596285628944</v>
      </c>
      <c r="BC4" s="38">
        <f t="shared" si="27"/>
        <v>7.1314587018606082</v>
      </c>
      <c r="BD4" s="18">
        <f>IF(ISNUMBER(LININTERP(AW4,Permissible_Shear!$T$178:$T$188,Permissible_Shear!$V$178:$V$188)),LININTERP(AW4,Permissible_Shear!$T$178:$T$188,Permissible_Shear!$V$178:$V$188),0)</f>
        <v>3.3849961297210784</v>
      </c>
      <c r="BE4" s="18">
        <f>LININTERP(AW4,Permissible_Shear!$S$205:$S$222,Permissible_Shear!$V$205:$V$222)</f>
        <v>3.442186428571433</v>
      </c>
      <c r="BF4" s="18">
        <f>INDEX($AZ$3:$BE$204,ROW(BF4)-2,MATCH(XS_Analyzer!$S$5,XS_AnalyzerSummary!$AZ$2:$BE$2,0))</f>
        <v>3.934596285628944</v>
      </c>
      <c r="BG4" s="26">
        <f t="shared" si="28"/>
        <v>0</v>
      </c>
      <c r="BH4" s="26">
        <f t="shared" si="29"/>
        <v>0</v>
      </c>
      <c r="BI4" s="26">
        <f t="shared" si="30"/>
        <v>2.0442379946501301</v>
      </c>
      <c r="BJ4" s="26">
        <f t="shared" si="31"/>
        <v>0</v>
      </c>
      <c r="BK4" s="26">
        <f t="shared" si="32"/>
        <v>0</v>
      </c>
      <c r="BL4" s="26">
        <f t="shared" si="33"/>
        <v>1.0068240000000015</v>
      </c>
      <c r="BM4" s="18">
        <f t="shared" si="34"/>
        <v>0</v>
      </c>
      <c r="BN4" s="18">
        <f t="shared" si="35"/>
        <v>0</v>
      </c>
      <c r="BO4" s="18">
        <f t="shared" si="36"/>
        <v>1.6135000000000024</v>
      </c>
    </row>
    <row r="5" spans="1:67" ht="15">
      <c r="A5" s="59" t="str">
        <f>IF(ISNA(XS_Analyzer!AB5),"No","Yes")</f>
        <v>Yes</v>
      </c>
      <c r="B5" s="59">
        <f>IF(A5="Yes",XS_Analyzer!AB5,"")</f>
        <v>1</v>
      </c>
      <c r="C5" s="59" t="s">
        <v>504</v>
      </c>
      <c r="D5" s="23"/>
      <c r="E5" s="17">
        <f>SUMIF(XS_Analyzer_Calculations!$BO$4:$BO$104,$C5,XS_Analyzer_Calculations!$BV$4:$BV$104)</f>
        <v>14</v>
      </c>
      <c r="F5" s="17">
        <f>SUMIF(XS_Analyzer_Calculations!$BO$4:$BO$104,$C5,XS_Analyzer_Calculations!$BQ$4:$BQ$104)</f>
        <v>5</v>
      </c>
      <c r="G5" s="17">
        <f t="shared" si="0"/>
        <v>2.8</v>
      </c>
      <c r="H5" s="84">
        <f t="array" ref="H5">IF(ISNUMBER((SUMIF(XS_Analyzer_Calculations!$BO$4:$BO$104,$C5,XS_Analyzer_Calculations!$BS$4:$BS$104))),(SUMIF(XS_Analyzer_Calculations!$BO$4:$BO$104,$C5,XS_Analyzer_Calculations!$BS$4:$BS$104)),0)</f>
        <v>0.158113883008419</v>
      </c>
      <c r="I5" s="53">
        <f t="shared" si="1"/>
        <v>0.10000000000000002</v>
      </c>
      <c r="J5" s="53">
        <f>XS_Analyzer_Calculations!$I$7</f>
        <v>0.01</v>
      </c>
      <c r="K5" s="18">
        <f t="shared" si="2"/>
        <v>413.28743263684601</v>
      </c>
      <c r="L5" s="38">
        <f>K5*XS_Analyzer_Calculations!$I$7^0.5</f>
        <v>41.328743263684601</v>
      </c>
      <c r="M5" s="18">
        <f t="shared" si="3"/>
        <v>2.9520530902631856</v>
      </c>
      <c r="N5" s="18">
        <f>XS_Analyzer_Calculations!$K$4</f>
        <v>5</v>
      </c>
      <c r="O5" s="17">
        <f>SUMIF(XS_Analyzer_Calculations!$BO$4:$BO$104,$C5,XS_Analyzer_Calculations!$BT$4:$BT$104)</f>
        <v>4</v>
      </c>
      <c r="P5" s="17">
        <f t="array" ref="P5">MAX(IF(XS_Analyzer_Calculations!$BO$4:$BO$104=$C5,XS_Analyzer_Calculations!$BU$4:$BU$104,""))</f>
        <v>2</v>
      </c>
      <c r="Q5" s="17">
        <f>IF(ISNUMBER(LININTERP(B7,XS_Analyzer_Calculations!$BN$4:$BN$104,XS_Analyzer_Calculations!$BU$4:$BU$104)),LININTERP(B7,XS_Analyzer_Calculations!$BN$4:$BN$104,XS_Analyzer_Calculations!$BU$4:$BU$104),P5)</f>
        <v>5</v>
      </c>
      <c r="R5" s="17">
        <f t="shared" si="4"/>
        <v>5</v>
      </c>
      <c r="S5" s="18">
        <f t="shared" si="5"/>
        <v>3.5</v>
      </c>
      <c r="U5" s="17">
        <f t="shared" si="6"/>
        <v>1.7472000000000001</v>
      </c>
      <c r="V5" s="17">
        <f t="shared" si="7"/>
        <v>5.4902583683399238</v>
      </c>
      <c r="W5" s="17">
        <f t="shared" si="8"/>
        <v>9.0221541666200817</v>
      </c>
      <c r="X5" s="17">
        <f t="shared" si="9"/>
        <v>25.789135796539192</v>
      </c>
      <c r="Z5" s="17">
        <f t="shared" si="10"/>
        <v>0.27807516630674789</v>
      </c>
      <c r="AA5" s="17">
        <f t="shared" si="11"/>
        <v>0.13532014670391962</v>
      </c>
      <c r="AB5" s="17">
        <f t="shared" si="12"/>
        <v>5.1353201467039193</v>
      </c>
      <c r="AD5" s="32">
        <v>1</v>
      </c>
      <c r="AE5" s="25" t="str">
        <f t="shared" si="13"/>
        <v>Left</v>
      </c>
      <c r="AF5" s="25" t="str">
        <f t="shared" si="14"/>
        <v>Channel</v>
      </c>
      <c r="AG5" s="32" t="str">
        <f>IF(XS_AnalyzerSummary!$AB$24&gt;=XS_AnalyzerSummary!AD5,"Y","N")</f>
        <v>Y</v>
      </c>
      <c r="AH5" s="38">
        <v>1</v>
      </c>
      <c r="AI5" s="38">
        <f>IF(AG5="Y",$O$19/XS_AnalyzerSummary!$AB$24,0)</f>
        <v>4.4999999999999998E-2</v>
      </c>
      <c r="AJ5" s="38">
        <f t="shared" si="15"/>
        <v>4.4999999999999998E-2</v>
      </c>
      <c r="AK5" s="93">
        <f t="shared" si="37"/>
        <v>1.0899999999999999</v>
      </c>
      <c r="AL5" s="93">
        <f>IF(AG5="Y",LININTERP(AK5,XS_Analyzer_Calculations!$AY$4:$AY$104,XS_Analyzer_Calculations!$AZ$4:$AZ$104),AL4)</f>
        <v>2.9325000000000001</v>
      </c>
      <c r="AM5" s="38">
        <f t="shared" si="16"/>
        <v>2.0674999999999999</v>
      </c>
      <c r="AN5" s="18">
        <f t="shared" si="17"/>
        <v>9.2278125000000003E-2</v>
      </c>
      <c r="AO5" s="100">
        <f t="shared" si="18"/>
        <v>5.6249999999999911E-2</v>
      </c>
      <c r="AP5" s="100">
        <f t="shared" si="19"/>
        <v>1.6405000000000027</v>
      </c>
      <c r="AQ5" s="18">
        <f t="shared" si="20"/>
        <v>1.7787811838447108E-3</v>
      </c>
      <c r="AR5" s="32">
        <f>IFERROR(IF(AG5="Y",VLOOKUP(AK5,XS_Analyzer_Calculations!$R$5:$T$104,3,TRUE),0),0)</f>
        <v>0.1</v>
      </c>
      <c r="AS5" s="198">
        <f t="shared" si="21"/>
        <v>0.01</v>
      </c>
      <c r="AT5" s="18">
        <f t="shared" si="22"/>
        <v>1.907370497062862</v>
      </c>
      <c r="AU5" s="38">
        <f>AT5*XS_Analyzer_Calculations!$I$7^0.5</f>
        <v>0.19073704970628622</v>
      </c>
      <c r="AV5" s="18">
        <f t="shared" si="38"/>
        <v>2.0669801180538312</v>
      </c>
      <c r="AW5" s="18">
        <f t="shared" si="23"/>
        <v>1.0236720000000017</v>
      </c>
      <c r="AX5" s="18">
        <f t="shared" si="24"/>
        <v>5</v>
      </c>
      <c r="AY5" s="32">
        <f t="shared" si="25"/>
        <v>2.0506250000000001</v>
      </c>
      <c r="AZ5" s="18">
        <f>((AS5*AP5)/(1.65*XS_Analyzer!$Q$72))*12</f>
        <v>4.7140777030199539</v>
      </c>
      <c r="BA5" s="18">
        <f>(AW5/((1.65*62.4)*XS_Analyzer!$Q$73))*12</f>
        <v>2.651313131313136</v>
      </c>
      <c r="BB5" s="18">
        <f t="shared" si="26"/>
        <v>4.0026567072631831</v>
      </c>
      <c r="BC5" s="38">
        <f t="shared" si="27"/>
        <v>7.2183126755838281</v>
      </c>
      <c r="BD5" s="18">
        <f>IF(ISNUMBER(LININTERP(AW5,Permissible_Shear!$T$178:$T$188,Permissible_Shear!$V$178:$V$188)),LININTERP(AW5,Permissible_Shear!$T$178:$T$188,Permissible_Shear!$V$178:$V$188),0)</f>
        <v>3.4389600960896898</v>
      </c>
      <c r="BE5" s="18">
        <f>LININTERP(AW5,Permissible_Shear!$S$205:$S$222,Permissible_Shear!$V$205:$V$222)</f>
        <v>3.4978450000000052</v>
      </c>
      <c r="BF5" s="18">
        <f>INDEX($AZ$3:$BE$204,ROW(BF5)-2,MATCH(XS_Analyzer!$S$5,XS_AnalyzerSummary!$AZ$2:$BE$2,0))</f>
        <v>4.0026567072631831</v>
      </c>
      <c r="BG5" s="26">
        <f t="shared" si="28"/>
        <v>0</v>
      </c>
      <c r="BH5" s="26">
        <f t="shared" si="29"/>
        <v>0</v>
      </c>
      <c r="BI5" s="26">
        <f t="shared" si="30"/>
        <v>2.0669801180538312</v>
      </c>
      <c r="BJ5" s="26">
        <f t="shared" si="31"/>
        <v>0</v>
      </c>
      <c r="BK5" s="26">
        <f t="shared" si="32"/>
        <v>0</v>
      </c>
      <c r="BL5" s="26">
        <f t="shared" si="33"/>
        <v>1.0236720000000017</v>
      </c>
      <c r="BM5" s="18">
        <f t="shared" si="34"/>
        <v>0</v>
      </c>
      <c r="BN5" s="18">
        <f t="shared" si="35"/>
        <v>0</v>
      </c>
      <c r="BO5" s="18">
        <f t="shared" si="36"/>
        <v>1.6405000000000027</v>
      </c>
    </row>
    <row r="6" spans="1:67" ht="15">
      <c r="A6" s="59" t="str">
        <f>IF(ISNA(XS_Analyzer!AB6),"No","Yes")</f>
        <v>No</v>
      </c>
      <c r="B6" s="59" t="str">
        <f>IF(A6="Yes",XS_Analyzer!AB6,"")</f>
        <v/>
      </c>
      <c r="C6" s="59" t="s">
        <v>230</v>
      </c>
      <c r="D6" s="23"/>
      <c r="E6" s="17">
        <f>SUMIF(XS_Analyzer_Calculations!$BO$4:$BO$104,$C6,XS_Analyzer_Calculations!$BV$4:$BV$104)</f>
        <v>0</v>
      </c>
      <c r="F6" s="17">
        <f>SUMIF(XS_Analyzer_Calculations!$BO$4:$BO$104,$C6,XS_Analyzer_Calculations!$BQ$4:$BQ$104)</f>
        <v>0</v>
      </c>
      <c r="G6" s="17">
        <f t="shared" si="0"/>
        <v>0</v>
      </c>
      <c r="H6" s="17">
        <f t="array" ref="H6">IF(ISNUMBER((SUMIF(XS_Analyzer_Calculations!$BO$4:$BO$104,$C6,XS_Analyzer_Calculations!$BS$4:$BS$104))),(SUMIF(XS_Analyzer_Calculations!$BO$4:$BO$104,$C6,XS_Analyzer_Calculations!$BS$4:$BS$104)),0)</f>
        <v>0</v>
      </c>
      <c r="I6" s="53">
        <f t="shared" si="1"/>
        <v>0</v>
      </c>
      <c r="J6" s="53">
        <f>XS_Analyzer_Calculations!$I$7</f>
        <v>0.01</v>
      </c>
      <c r="K6" s="18">
        <f t="shared" si="2"/>
        <v>0</v>
      </c>
      <c r="L6" s="38">
        <f>K6*XS_Analyzer_Calculations!$I$7^0.5</f>
        <v>0</v>
      </c>
      <c r="M6" s="18">
        <f t="shared" si="3"/>
        <v>0</v>
      </c>
      <c r="N6" s="18">
        <f>XS_Analyzer_Calculations!$K$4</f>
        <v>5</v>
      </c>
      <c r="O6" s="17">
        <f>SUMIF(XS_Analyzer_Calculations!$BO$4:$BO$104,$C6,XS_Analyzer_Calculations!$BT$4:$BT$104)</f>
        <v>0</v>
      </c>
      <c r="P6" s="17">
        <f t="array" ref="P6">MAX(IF(XS_Analyzer_Calculations!$BO$4:$BO$104=$C6,XS_Analyzer_Calculations!$BU$4:$BU$104,""))</f>
        <v>0</v>
      </c>
      <c r="Q6" s="17">
        <f>IF(ISNUMBER(LININTERP(B7,XS_Analyzer_Calculations!$BN$4:$BN$104,XS_Analyzer_Calculations!$BU$4:$BU$104)),LININTERP(B7,XS_Analyzer_Calculations!$BN$4:$BN$104,XS_Analyzer_Calculations!$BU$4:$BU$104),P6)</f>
        <v>5</v>
      </c>
      <c r="R6" s="17">
        <f t="shared" si="4"/>
        <v>5</v>
      </c>
      <c r="S6" s="18">
        <f t="shared" si="5"/>
        <v>0</v>
      </c>
      <c r="T6" s="10"/>
      <c r="U6" s="17">
        <f t="shared" si="6"/>
        <v>0</v>
      </c>
      <c r="V6" s="17">
        <f t="shared" si="7"/>
        <v>0</v>
      </c>
      <c r="W6" s="17">
        <f t="shared" si="8"/>
        <v>0</v>
      </c>
      <c r="X6" s="17">
        <f t="shared" si="9"/>
        <v>0</v>
      </c>
      <c r="Z6" s="17">
        <f t="shared" si="10"/>
        <v>0</v>
      </c>
      <c r="AA6" s="17">
        <f t="shared" si="11"/>
        <v>0</v>
      </c>
      <c r="AB6" s="17">
        <f t="shared" si="12"/>
        <v>5</v>
      </c>
      <c r="AD6" s="32">
        <v>2</v>
      </c>
      <c r="AE6" s="25" t="str">
        <f t="shared" si="13"/>
        <v>Left</v>
      </c>
      <c r="AF6" s="25" t="str">
        <f t="shared" si="14"/>
        <v>Channel</v>
      </c>
      <c r="AG6" s="32" t="str">
        <f>IF(XS_AnalyzerSummary!$AB$24&gt;=XS_AnalyzerSummary!AD6,"Y","N")</f>
        <v>Y</v>
      </c>
      <c r="AH6" s="38">
        <v>1</v>
      </c>
      <c r="AI6" s="38">
        <f>IF(AG6="Y",$O$19/XS_AnalyzerSummary!$AB$24,0)</f>
        <v>4.4999999999999998E-2</v>
      </c>
      <c r="AJ6" s="38">
        <f t="shared" si="15"/>
        <v>4.4999999999999998E-2</v>
      </c>
      <c r="AK6" s="93">
        <f t="shared" si="37"/>
        <v>1.1349999999999998</v>
      </c>
      <c r="AL6" s="93">
        <f>IF(AG6="Y",LININTERP(AK6,XS_Analyzer_Calculations!$AY$4:$AY$104,XS_Analyzer_Calculations!$AZ$4:$AZ$104),AL5)</f>
        <v>2.8987500000000002</v>
      </c>
      <c r="AM6" s="38">
        <f t="shared" si="16"/>
        <v>2.1012499999999998</v>
      </c>
      <c r="AN6" s="18">
        <f t="shared" si="17"/>
        <v>9.3796874999999974E-2</v>
      </c>
      <c r="AO6" s="100">
        <f t="shared" si="18"/>
        <v>5.6249999999999911E-2</v>
      </c>
      <c r="AP6" s="100">
        <f t="shared" si="19"/>
        <v>1.6675000000000022</v>
      </c>
      <c r="AQ6" s="18">
        <f t="shared" si="20"/>
        <v>1.7787811838447108E-3</v>
      </c>
      <c r="AR6" s="32">
        <f>IFERROR(IF(AG6="Y",VLOOKUP(AK6,XS_Analyzer_Calculations!$R$5:$T$104,3,TRUE),0),0)</f>
        <v>0.1</v>
      </c>
      <c r="AS6" s="198">
        <f t="shared" si="21"/>
        <v>0.01</v>
      </c>
      <c r="AT6" s="18">
        <f t="shared" si="22"/>
        <v>1.9599774460745734</v>
      </c>
      <c r="AU6" s="38">
        <f>AT6*XS_Analyzer_Calculations!$I$7^0.5</f>
        <v>0.19599774460745734</v>
      </c>
      <c r="AV6" s="18">
        <f t="shared" si="38"/>
        <v>2.0895978102410915</v>
      </c>
      <c r="AW6" s="18">
        <f t="shared" si="23"/>
        <v>1.0405200000000014</v>
      </c>
      <c r="AX6" s="18">
        <f t="shared" si="24"/>
        <v>5</v>
      </c>
      <c r="AY6" s="32">
        <f t="shared" si="25"/>
        <v>2.0843749999999996</v>
      </c>
      <c r="AZ6" s="18">
        <f>((AS6*AP6)/(1.65*XS_Analyzer!$Q$72))*12</f>
        <v>4.791663864544816</v>
      </c>
      <c r="BA6" s="18">
        <f>(AW6/((1.65*62.4)*XS_Analyzer!$Q$73))*12</f>
        <v>2.694949494949499</v>
      </c>
      <c r="BB6" s="18">
        <f t="shared" si="26"/>
        <v>4.0707638098771799</v>
      </c>
      <c r="BC6" s="38">
        <f t="shared" si="27"/>
        <v>7.3047924282857499</v>
      </c>
      <c r="BD6" s="18">
        <f>IF(ISNUMBER(LININTERP(AW6,Permissible_Shear!$T$178:$T$188,Permissible_Shear!$V$178:$V$188)),LININTERP(AW6,Permissible_Shear!$T$178:$T$188,Permissible_Shear!$V$178:$V$188),0)</f>
        <v>3.4929240624582993</v>
      </c>
      <c r="BE6" s="18">
        <f>LININTERP(AW6,Permissible_Shear!$S$205:$S$222,Permissible_Shear!$V$205:$V$222)</f>
        <v>3.5535035714285756</v>
      </c>
      <c r="BF6" s="18">
        <f>INDEX($AZ$3:$BE$204,ROW(BF6)-2,MATCH(XS_Analyzer!$S$5,XS_AnalyzerSummary!$AZ$2:$BE$2,0))</f>
        <v>4.0707638098771799</v>
      </c>
      <c r="BG6" s="26">
        <f t="shared" si="28"/>
        <v>0</v>
      </c>
      <c r="BH6" s="26">
        <f t="shared" si="29"/>
        <v>0</v>
      </c>
      <c r="BI6" s="26">
        <f t="shared" si="30"/>
        <v>2.0895978102410915</v>
      </c>
      <c r="BJ6" s="26">
        <f t="shared" si="31"/>
        <v>0</v>
      </c>
      <c r="BK6" s="26">
        <f t="shared" si="32"/>
        <v>0</v>
      </c>
      <c r="BL6" s="26">
        <f t="shared" si="33"/>
        <v>1.0405200000000014</v>
      </c>
      <c r="BM6" s="18">
        <f t="shared" si="34"/>
        <v>0</v>
      </c>
      <c r="BN6" s="18">
        <f t="shared" si="35"/>
        <v>0</v>
      </c>
      <c r="BO6" s="18">
        <f t="shared" si="36"/>
        <v>1.6675000000000022</v>
      </c>
    </row>
    <row r="7" spans="1:67" ht="15">
      <c r="A7" s="59" t="str">
        <f>IF(ISNA(XS_Analyzer!AB7),"No","Yes")</f>
        <v>Yes</v>
      </c>
      <c r="B7" s="59">
        <f>IF(A7="Yes",XS_Analyzer!AB7,"")</f>
        <v>5</v>
      </c>
      <c r="C7" s="59" t="s">
        <v>371</v>
      </c>
      <c r="D7" s="23"/>
      <c r="E7" s="17">
        <f>SUMIF(XS_Analyzer_Calculations!$BO$4:$BO$104,$C7,XS_Analyzer_Calculations!$BV$4:$BV$104)</f>
        <v>0</v>
      </c>
      <c r="F7" s="17">
        <f>SUMIF(XS_Analyzer_Calculations!$BO$4:$BO$104,$C7,XS_Analyzer_Calculations!$BQ$4:$BQ$104)</f>
        <v>0</v>
      </c>
      <c r="G7" s="17">
        <f t="shared" si="0"/>
        <v>0</v>
      </c>
      <c r="H7" s="17">
        <f t="array" ref="H7">IF(ISNUMBER((SUMIF(XS_Analyzer_Calculations!$BO$4:$BO$104,$C7,XS_Analyzer_Calculations!$BS$4:$BS$104))),(SUMIF(XS_Analyzer_Calculations!$BO$4:$BO$104,$C7,XS_Analyzer_Calculations!$BS$4:$BS$104)),0)</f>
        <v>0</v>
      </c>
      <c r="I7" s="53">
        <f t="shared" si="1"/>
        <v>0</v>
      </c>
      <c r="J7" s="53">
        <f>XS_Analyzer_Calculations!$I$7</f>
        <v>0.01</v>
      </c>
      <c r="K7" s="18">
        <f t="shared" si="2"/>
        <v>0</v>
      </c>
      <c r="L7" s="38">
        <f>K7*XS_Analyzer_Calculations!$I$7^0.5</f>
        <v>0</v>
      </c>
      <c r="M7" s="18">
        <f t="shared" si="3"/>
        <v>0</v>
      </c>
      <c r="N7" s="18">
        <f>XS_Analyzer_Calculations!$K$4</f>
        <v>5</v>
      </c>
      <c r="O7" s="17">
        <f>SUMIF(XS_Analyzer_Calculations!$BO$4:$BO$104,$C7,XS_Analyzer_Calculations!$BT$4:$BT$104)</f>
        <v>0</v>
      </c>
      <c r="P7" s="17">
        <f t="array" ref="P7">MAX(IF(XS_Analyzer_Calculations!$BO$4:$BO$104=$C7,XS_Analyzer_Calculations!$BU$4:$BU$104,""))</f>
        <v>5</v>
      </c>
      <c r="Q7" s="17">
        <f>IF(ISNUMBER(LININTERP(B7,XS_Analyzer_Calculations!$BN$4:$BN$104,XS_Analyzer_Calculations!$BU$4:$BU$104)),LININTERP(B7,XS_Analyzer_Calculations!$BN$4:$BN$104,XS_Analyzer_Calculations!$BU$4:$BU$104),P7)</f>
        <v>5</v>
      </c>
      <c r="R7" s="17">
        <f t="shared" si="4"/>
        <v>5</v>
      </c>
      <c r="S7" s="18">
        <f t="shared" si="5"/>
        <v>0</v>
      </c>
      <c r="U7" s="17">
        <f t="shared" si="6"/>
        <v>0</v>
      </c>
      <c r="V7" s="17">
        <f t="shared" si="7"/>
        <v>0</v>
      </c>
      <c r="W7" s="17">
        <f t="shared" si="8"/>
        <v>0</v>
      </c>
      <c r="X7" s="17">
        <f t="shared" si="9"/>
        <v>0</v>
      </c>
      <c r="Z7" s="17">
        <f t="shared" si="10"/>
        <v>0</v>
      </c>
      <c r="AA7" s="17">
        <f t="shared" si="11"/>
        <v>0</v>
      </c>
      <c r="AB7" s="17">
        <f t="shared" si="12"/>
        <v>5</v>
      </c>
      <c r="AD7" s="32">
        <v>3</v>
      </c>
      <c r="AE7" s="25" t="str">
        <f t="shared" si="13"/>
        <v>Left</v>
      </c>
      <c r="AF7" s="25" t="str">
        <f t="shared" si="14"/>
        <v>Channel</v>
      </c>
      <c r="AG7" s="32" t="str">
        <f>IF(XS_AnalyzerSummary!$AB$24&gt;=XS_AnalyzerSummary!AD7,"Y","N")</f>
        <v>Y</v>
      </c>
      <c r="AH7" s="38">
        <v>1</v>
      </c>
      <c r="AI7" s="38">
        <f>IF(AG7="Y",$O$19/XS_AnalyzerSummary!$AB$24,0)</f>
        <v>4.4999999999999998E-2</v>
      </c>
      <c r="AJ7" s="38">
        <f t="shared" si="15"/>
        <v>4.4999999999999998E-2</v>
      </c>
      <c r="AK7" s="93">
        <f t="shared" si="37"/>
        <v>1.1799999999999997</v>
      </c>
      <c r="AL7" s="93">
        <f>IF(AG7="Y",LININTERP(AK7,XS_Analyzer_Calculations!$AY$4:$AY$104,XS_Analyzer_Calculations!$AZ$4:$AZ$104),AL6)</f>
        <v>2.8650000000000002</v>
      </c>
      <c r="AM7" s="38">
        <f t="shared" si="16"/>
        <v>2.1349999999999998</v>
      </c>
      <c r="AN7" s="18">
        <f t="shared" si="17"/>
        <v>9.5315625000000001E-2</v>
      </c>
      <c r="AO7" s="100">
        <f t="shared" si="18"/>
        <v>5.6249999999999911E-2</v>
      </c>
      <c r="AP7" s="100">
        <f t="shared" si="19"/>
        <v>1.6945000000000028</v>
      </c>
      <c r="AQ7" s="18">
        <f t="shared" si="20"/>
        <v>1.7787811838447108E-3</v>
      </c>
      <c r="AR7" s="32">
        <f>IFERROR(IF(AG7="Y",VLOOKUP(AK7,XS_Analyzer_Calculations!$R$5:$T$104,3,TRUE),0),0)</f>
        <v>0.1</v>
      </c>
      <c r="AS7" s="198">
        <f t="shared" si="21"/>
        <v>0.01</v>
      </c>
      <c r="AT7" s="18">
        <f t="shared" si="22"/>
        <v>2.0131553589530462</v>
      </c>
      <c r="AU7" s="38">
        <f>AT7*XS_Analyzer_Calculations!$I$7^0.5</f>
        <v>0.20131553589530463</v>
      </c>
      <c r="AV7" s="18">
        <f t="shared" si="38"/>
        <v>2.1120937505818653</v>
      </c>
      <c r="AW7" s="18">
        <f t="shared" si="23"/>
        <v>1.0573680000000016</v>
      </c>
      <c r="AX7" s="18">
        <f t="shared" si="24"/>
        <v>5</v>
      </c>
      <c r="AY7" s="32">
        <f t="shared" si="25"/>
        <v>2.118125</v>
      </c>
      <c r="AZ7" s="18">
        <f>((AS7*AP7)/(1.65*XS_Analyzer!$Q$72))*12</f>
        <v>4.8692500260696816</v>
      </c>
      <c r="BA7" s="18">
        <f>(AW7/((1.65*62.4)*XS_Analyzer!$Q$73))*12</f>
        <v>2.7385858585858633</v>
      </c>
      <c r="BB7" s="18">
        <f t="shared" si="26"/>
        <v>4.1389168748734635</v>
      </c>
      <c r="BC7" s="38">
        <f t="shared" si="27"/>
        <v>7.3909055450162642</v>
      </c>
      <c r="BD7" s="18">
        <f>IF(ISNUMBER(LININTERP(AW7,Permissible_Shear!$T$178:$T$188,Permissible_Shear!$V$178:$V$188)),LININTERP(AW7,Permissible_Shear!$T$178:$T$188,Permissible_Shear!$V$178:$V$188),0)</f>
        <v>3.5468880288269111</v>
      </c>
      <c r="BE7" s="18">
        <f>LININTERP(AW7,Permissible_Shear!$S$205:$S$222,Permissible_Shear!$V$205:$V$222)</f>
        <v>3.6091621428571479</v>
      </c>
      <c r="BF7" s="18">
        <f>INDEX($AZ$3:$BE$204,ROW(BF7)-2,MATCH(XS_Analyzer!$S$5,XS_AnalyzerSummary!$AZ$2:$BE$2,0))</f>
        <v>4.1389168748734635</v>
      </c>
      <c r="BG7" s="26">
        <f t="shared" si="28"/>
        <v>0</v>
      </c>
      <c r="BH7" s="26">
        <f t="shared" si="29"/>
        <v>0</v>
      </c>
      <c r="BI7" s="26">
        <f t="shared" si="30"/>
        <v>2.1120937505818653</v>
      </c>
      <c r="BJ7" s="26">
        <f t="shared" si="31"/>
        <v>0</v>
      </c>
      <c r="BK7" s="26">
        <f t="shared" si="32"/>
        <v>0</v>
      </c>
      <c r="BL7" s="26">
        <f t="shared" si="33"/>
        <v>1.0573680000000016</v>
      </c>
      <c r="BM7" s="18">
        <f t="shared" si="34"/>
        <v>0</v>
      </c>
      <c r="BN7" s="18">
        <f t="shared" si="35"/>
        <v>0</v>
      </c>
      <c r="BO7" s="18">
        <f t="shared" si="36"/>
        <v>1.6945000000000028</v>
      </c>
    </row>
    <row r="8" spans="1:67" ht="15">
      <c r="A8" s="59" t="str">
        <f>IF(ISNA(XS_Analyzer!AB8),"No","Yes")</f>
        <v>No</v>
      </c>
      <c r="B8" s="59" t="str">
        <f>IF(A8="Yes",XS_Analyzer!AB8,"")</f>
        <v/>
      </c>
      <c r="C8" s="59" t="s">
        <v>334</v>
      </c>
      <c r="D8" s="23"/>
      <c r="E8" s="17">
        <f>SUMIF(XS_Analyzer_Calculations!$BO$4:$BO$104,$C8,XS_Analyzer_Calculations!$BV$4:$BV$104)</f>
        <v>0</v>
      </c>
      <c r="F8" s="17">
        <f>SUMIF(XS_Analyzer_Calculations!$BO$4:$BO$104,$C8,XS_Analyzer_Calculations!$BQ$4:$BQ$104)</f>
        <v>0</v>
      </c>
      <c r="G8" s="17">
        <f t="shared" si="0"/>
        <v>0</v>
      </c>
      <c r="H8" s="17">
        <f t="array" ref="H8">IF(ISNUMBER((SUMIF(XS_Analyzer_Calculations!$BO$4:$BO$104,$C8,XS_Analyzer_Calculations!$BS$4:$BS$104))),(SUMIF(XS_Analyzer_Calculations!$BO$4:$BO$104,$C8,XS_Analyzer_Calculations!$BS$4:$BS$104)),0)</f>
        <v>0</v>
      </c>
      <c r="I8" s="53">
        <f t="shared" si="1"/>
        <v>0</v>
      </c>
      <c r="J8" s="53">
        <f>XS_Analyzer_Calculations!$I$7</f>
        <v>0.01</v>
      </c>
      <c r="K8" s="18">
        <f t="shared" si="2"/>
        <v>0</v>
      </c>
      <c r="L8" s="38">
        <f>K8*XS_Analyzer_Calculations!$I$7^0.5</f>
        <v>0</v>
      </c>
      <c r="M8" s="18">
        <f t="shared" si="3"/>
        <v>0</v>
      </c>
      <c r="N8" s="18">
        <f>XS_Analyzer_Calculations!$K$4</f>
        <v>5</v>
      </c>
      <c r="O8" s="17">
        <f>SUMIF(XS_Analyzer_Calculations!$BO$4:$BO$104,$C8,XS_Analyzer_Calculations!$BT$4:$BT$104)</f>
        <v>0</v>
      </c>
      <c r="P8" s="17">
        <f t="array" ref="P8">MAX(IF(XS_Analyzer_Calculations!$BO$4:$BO$104=$C8,XS_Analyzer_Calculations!$BU$4:$BU$104,""))</f>
        <v>0</v>
      </c>
      <c r="Q8" s="17">
        <f>IF(ISNUMBER(LININTERP(B7,XS_Analyzer_Calculations!$BN$4:$BN$104,XS_Analyzer_Calculations!$BU$4:$BU$104)),LININTERP(B7,XS_Analyzer_Calculations!$BN$4:$BN$104,XS_Analyzer_Calculations!$BU$4:$BU$104),P8)</f>
        <v>5</v>
      </c>
      <c r="R8" s="17">
        <f t="shared" si="4"/>
        <v>5</v>
      </c>
      <c r="S8" s="18">
        <f t="shared" si="5"/>
        <v>0</v>
      </c>
      <c r="U8" s="17">
        <f t="shared" si="6"/>
        <v>0</v>
      </c>
      <c r="V8" s="17">
        <f t="shared" si="7"/>
        <v>0</v>
      </c>
      <c r="W8" s="17">
        <f t="shared" si="8"/>
        <v>0</v>
      </c>
      <c r="X8" s="17">
        <f t="shared" si="9"/>
        <v>0</v>
      </c>
      <c r="Z8" s="17">
        <f t="shared" si="10"/>
        <v>0</v>
      </c>
      <c r="AA8" s="17">
        <f t="shared" si="11"/>
        <v>0</v>
      </c>
      <c r="AB8" s="17">
        <f t="shared" si="12"/>
        <v>5</v>
      </c>
      <c r="AD8" s="32">
        <v>4</v>
      </c>
      <c r="AE8" s="25" t="str">
        <f t="shared" si="13"/>
        <v>Left</v>
      </c>
      <c r="AF8" s="25" t="str">
        <f t="shared" si="14"/>
        <v>Channel</v>
      </c>
      <c r="AG8" s="32" t="str">
        <f>IF(XS_AnalyzerSummary!$AB$24&gt;=XS_AnalyzerSummary!AD8,"Y","N")</f>
        <v>Y</v>
      </c>
      <c r="AH8" s="38">
        <v>1</v>
      </c>
      <c r="AI8" s="38">
        <f>IF(AG8="Y",$O$19/XS_AnalyzerSummary!$AB$24,0)</f>
        <v>4.4999999999999998E-2</v>
      </c>
      <c r="AJ8" s="38">
        <f t="shared" si="15"/>
        <v>4.4999999999999998E-2</v>
      </c>
      <c r="AK8" s="93">
        <f t="shared" si="37"/>
        <v>1.2249999999999996</v>
      </c>
      <c r="AL8" s="93">
        <f>IF(AG8="Y",LININTERP(AK8,XS_Analyzer_Calculations!$AY$4:$AY$104,XS_Analyzer_Calculations!$AZ$4:$AZ$104),AL7)</f>
        <v>2.8312500000000003</v>
      </c>
      <c r="AM8" s="38">
        <f t="shared" si="16"/>
        <v>2.1687499999999997</v>
      </c>
      <c r="AN8" s="18">
        <f t="shared" si="17"/>
        <v>9.6834374999999973E-2</v>
      </c>
      <c r="AO8" s="100">
        <f t="shared" si="18"/>
        <v>5.6249999999999911E-2</v>
      </c>
      <c r="AP8" s="100">
        <f t="shared" si="19"/>
        <v>1.7215000000000023</v>
      </c>
      <c r="AQ8" s="18">
        <f t="shared" si="20"/>
        <v>1.7787811838447108E-3</v>
      </c>
      <c r="AR8" s="32">
        <f>IFERROR(IF(AG8="Y",VLOOKUP(AK8,XS_Analyzer_Calculations!$R$5:$T$104,3,TRUE),0),0)</f>
        <v>0.1</v>
      </c>
      <c r="AS8" s="198">
        <f t="shared" si="21"/>
        <v>0.01</v>
      </c>
      <c r="AT8" s="18">
        <f t="shared" si="22"/>
        <v>2.0669011867118479</v>
      </c>
      <c r="AU8" s="38">
        <f>AT8*XS_Analyzer_Calculations!$I$7^0.5</f>
        <v>0.20669011867118481</v>
      </c>
      <c r="AV8" s="18">
        <f t="shared" si="38"/>
        <v>2.134470519081523</v>
      </c>
      <c r="AW8" s="18">
        <f t="shared" si="23"/>
        <v>1.0742160000000014</v>
      </c>
      <c r="AX8" s="18">
        <f t="shared" si="24"/>
        <v>5</v>
      </c>
      <c r="AY8" s="32">
        <f t="shared" si="25"/>
        <v>2.1518749999999995</v>
      </c>
      <c r="AZ8" s="18">
        <f>((AS8*AP8)/(1.65*XS_Analyzer!$Q$72))*12</f>
        <v>4.9468361875945428</v>
      </c>
      <c r="BA8" s="18">
        <f>(AW8/((1.65*62.4)*XS_Analyzer!$Q$73))*12</f>
        <v>2.7822222222222259</v>
      </c>
      <c r="BB8" s="18">
        <f t="shared" si="26"/>
        <v>4.2071152059068098</v>
      </c>
      <c r="BC8" s="38">
        <f t="shared" si="27"/>
        <v>7.4766593398362726</v>
      </c>
      <c r="BD8" s="18">
        <f>IF(ISNUMBER(LININTERP(AW8,Permissible_Shear!$T$178:$T$188,Permissible_Shear!$V$178:$V$188)),LININTERP(AW8,Permissible_Shear!$T$178:$T$188,Permissible_Shear!$V$178:$V$188),0)</f>
        <v>3.6008519951955211</v>
      </c>
      <c r="BE8" s="18">
        <f>LININTERP(AW8,Permissible_Shear!$S$205:$S$222,Permissible_Shear!$V$205:$V$222)</f>
        <v>3.6648207142857188</v>
      </c>
      <c r="BF8" s="18">
        <f>INDEX($AZ$3:$BE$204,ROW(BF8)-2,MATCH(XS_Analyzer!$S$5,XS_AnalyzerSummary!$AZ$2:$BE$2,0))</f>
        <v>4.2071152059068098</v>
      </c>
      <c r="BG8" s="26">
        <f t="shared" si="28"/>
        <v>0</v>
      </c>
      <c r="BH8" s="26">
        <f t="shared" si="29"/>
        <v>0</v>
      </c>
      <c r="BI8" s="26">
        <f t="shared" si="30"/>
        <v>2.134470519081523</v>
      </c>
      <c r="BJ8" s="26">
        <f t="shared" si="31"/>
        <v>0</v>
      </c>
      <c r="BK8" s="26">
        <f t="shared" si="32"/>
        <v>0</v>
      </c>
      <c r="BL8" s="26">
        <f t="shared" si="33"/>
        <v>1.0742160000000014</v>
      </c>
      <c r="BM8" s="18">
        <f t="shared" si="34"/>
        <v>0</v>
      </c>
      <c r="BN8" s="18">
        <f t="shared" si="35"/>
        <v>0</v>
      </c>
      <c r="BO8" s="18">
        <f t="shared" si="36"/>
        <v>1.7215000000000023</v>
      </c>
    </row>
    <row r="9" spans="1:67" ht="15">
      <c r="A9" s="59" t="str">
        <f>IF(ISNA(XS_Analyzer!AB9),"No","Yes")</f>
        <v>Yes</v>
      </c>
      <c r="B9" s="59">
        <f>IF(A9="Yes",XS_Analyzer!AB9,"")</f>
        <v>10</v>
      </c>
      <c r="C9" s="147" t="s">
        <v>262</v>
      </c>
      <c r="D9" s="23"/>
      <c r="E9" s="17">
        <f>SUMIF(XS_Analyzer_Calculations!$BO$4:$BO$104,$C9,XS_Analyzer_Calculations!$BV$4:$BV$104)</f>
        <v>17.5</v>
      </c>
      <c r="F9" s="17">
        <f>SUMIF(XS_Analyzer_Calculations!$BO$4:$BO$104,$C9,XS_Analyzer_Calculations!$BQ$4:$BQ$104)</f>
        <v>7.8309518948453007</v>
      </c>
      <c r="G9" s="17">
        <f t="shared" si="0"/>
        <v>2.2347219386597583</v>
      </c>
      <c r="H9" s="17">
        <f t="array" ref="H9">IF(ISNUMBER((SUMIF(XS_Analyzer_Calculations!$BO$4:$BO$104,$C9,XS_Analyzer_Calculations!$BS$4:$BS$104))),(SUMIF(XS_Analyzer_Calculations!$BO$4:$BO$104,$C9,XS_Analyzer_Calculations!$BS$4:$BS$104)),0)</f>
        <v>0.24763644234922538</v>
      </c>
      <c r="I9" s="53">
        <f t="shared" si="1"/>
        <v>0.10000000000000002</v>
      </c>
      <c r="J9" s="53">
        <f>XS_Analyzer_Calculations!$I$7</f>
        <v>0.01</v>
      </c>
      <c r="K9" s="18">
        <f t="shared" si="2"/>
        <v>444.50077224255227</v>
      </c>
      <c r="L9" s="38">
        <f>K9*XS_Analyzer_Calculations!$I$7^0.5</f>
        <v>44.450077224255232</v>
      </c>
      <c r="M9" s="18">
        <f t="shared" si="3"/>
        <v>2.5400044128145844</v>
      </c>
      <c r="N9" s="18">
        <f>XS_Analyzer_Calculations!$K$4</f>
        <v>5</v>
      </c>
      <c r="O9" s="17">
        <f>SUMIF(XS_Analyzer_Calculations!$BO$4:$BO$104,$C9,XS_Analyzer_Calculations!$BT$4:$BT$104)</f>
        <v>5</v>
      </c>
      <c r="P9" s="17">
        <f t="array" ref="P9">MAX(IF(XS_Analyzer_Calculations!$BO$4:$BO$104=$C9,XS_Analyzer_Calculations!$BU$4:$BU$104,""))</f>
        <v>2</v>
      </c>
      <c r="Q9" s="17">
        <f>IF(ISNUMBER(LININTERP(B7,XS_Analyzer_Calculations!$BN$4:$BN$104,XS_Analyzer_Calculations!$BU$4:$BU$104)),LININTERP(B7,XS_Analyzer_Calculations!$BN$4:$BN$104,XS_Analyzer_Calculations!$BU$4:$BU$104),P9)</f>
        <v>5</v>
      </c>
      <c r="R9" s="17">
        <f t="shared" si="4"/>
        <v>5</v>
      </c>
      <c r="S9" s="18">
        <f t="shared" si="5"/>
        <v>3.5</v>
      </c>
      <c r="U9" s="17">
        <f t="shared" si="6"/>
        <v>1.3944664897236891</v>
      </c>
      <c r="V9" s="17">
        <f t="shared" si="7"/>
        <v>4.3405522969282853</v>
      </c>
      <c r="W9" s="17">
        <f t="shared" si="8"/>
        <v>7.6432733296435691</v>
      </c>
      <c r="X9" s="17">
        <f t="shared" si="9"/>
        <v>27.736848187935266</v>
      </c>
      <c r="Z9" s="17">
        <f t="shared" si="10"/>
        <v>0.23926133030700977</v>
      </c>
      <c r="AA9" s="17">
        <f t="shared" si="11"/>
        <v>0.10018047231549009</v>
      </c>
      <c r="AB9" s="17">
        <f t="shared" si="12"/>
        <v>5.1001804723154898</v>
      </c>
      <c r="AD9" s="32">
        <v>5</v>
      </c>
      <c r="AE9" s="25" t="str">
        <f t="shared" si="13"/>
        <v>Left</v>
      </c>
      <c r="AF9" s="25" t="str">
        <f t="shared" si="14"/>
        <v>Channel</v>
      </c>
      <c r="AG9" s="32" t="str">
        <f>IF(XS_AnalyzerSummary!$AB$24&gt;=XS_AnalyzerSummary!AD9,"Y","N")</f>
        <v>Y</v>
      </c>
      <c r="AH9" s="38">
        <v>1</v>
      </c>
      <c r="AI9" s="38">
        <f>IF(AG9="Y",$O$19/XS_AnalyzerSummary!$AB$24,0)</f>
        <v>4.4999999999999998E-2</v>
      </c>
      <c r="AJ9" s="38">
        <f t="shared" si="15"/>
        <v>4.4999999999999998E-2</v>
      </c>
      <c r="AK9" s="93">
        <f t="shared" si="37"/>
        <v>1.2699999999999996</v>
      </c>
      <c r="AL9" s="93">
        <f>IF(AG9="Y",LININTERP(AK9,XS_Analyzer_Calculations!$AY$4:$AY$104,XS_Analyzer_Calculations!$AZ$4:$AZ$104),AL8)</f>
        <v>2.7975000000000003</v>
      </c>
      <c r="AM9" s="38">
        <f t="shared" si="16"/>
        <v>2.2024999999999997</v>
      </c>
      <c r="AN9" s="18">
        <f t="shared" si="17"/>
        <v>9.8353125E-2</v>
      </c>
      <c r="AO9" s="100">
        <f t="shared" si="18"/>
        <v>5.6249999999999911E-2</v>
      </c>
      <c r="AP9" s="100">
        <f t="shared" si="19"/>
        <v>1.7485000000000028</v>
      </c>
      <c r="AQ9" s="18">
        <f t="shared" si="20"/>
        <v>1.7787811838447108E-3</v>
      </c>
      <c r="AR9" s="32">
        <f>IFERROR(IF(AG9="Y",VLOOKUP(AK9,XS_Analyzer_Calculations!$R$5:$T$104,3,TRUE),0),0)</f>
        <v>0.1</v>
      </c>
      <c r="AS9" s="198">
        <f t="shared" si="21"/>
        <v>0.01</v>
      </c>
      <c r="AT9" s="18">
        <f t="shared" si="22"/>
        <v>2.1212119444683868</v>
      </c>
      <c r="AU9" s="38">
        <f>AT9*XS_Analyzer_Calculations!$I$7^0.5</f>
        <v>0.21212119444683869</v>
      </c>
      <c r="AV9" s="18">
        <f t="shared" si="38"/>
        <v>2.1567306015628755</v>
      </c>
      <c r="AW9" s="18">
        <f t="shared" si="23"/>
        <v>1.0910640000000018</v>
      </c>
      <c r="AX9" s="18">
        <f t="shared" si="24"/>
        <v>5</v>
      </c>
      <c r="AY9" s="32">
        <f t="shared" si="25"/>
        <v>2.1856249999999999</v>
      </c>
      <c r="AZ9" s="18">
        <f>((AS9*AP9)/(1.65*XS_Analyzer!$Q$72))*12</f>
        <v>5.0244223491194084</v>
      </c>
      <c r="BA9" s="18">
        <f>(AW9/((1.65*62.4)*XS_Analyzer!$Q$73))*12</f>
        <v>2.8258585858585912</v>
      </c>
      <c r="BB9" s="18">
        <f t="shared" si="26"/>
        <v>4.2753581278594277</v>
      </c>
      <c r="BC9" s="38">
        <f t="shared" si="27"/>
        <v>7.5620608695582945</v>
      </c>
      <c r="BD9" s="18">
        <f>IF(ISNUMBER(LININTERP(AW9,Permissible_Shear!$T$178:$T$188,Permissible_Shear!$V$178:$V$188)),LININTERP(AW9,Permissible_Shear!$T$178:$T$188,Permissible_Shear!$V$178:$V$188),0)</f>
        <v>3.6548159615641334</v>
      </c>
      <c r="BE9" s="18">
        <f>LININTERP(AW9,Permissible_Shear!$S$205:$S$222,Permissible_Shear!$V$205:$V$222)</f>
        <v>3.7204792857142914</v>
      </c>
      <c r="BF9" s="18">
        <f>INDEX($AZ$3:$BE$204,ROW(BF9)-2,MATCH(XS_Analyzer!$S$5,XS_AnalyzerSummary!$AZ$2:$BE$2,0))</f>
        <v>4.2753581278594277</v>
      </c>
      <c r="BG9" s="26">
        <f t="shared" si="28"/>
        <v>0</v>
      </c>
      <c r="BH9" s="26">
        <f t="shared" si="29"/>
        <v>0</v>
      </c>
      <c r="BI9" s="26">
        <f t="shared" si="30"/>
        <v>2.1567306015628755</v>
      </c>
      <c r="BJ9" s="26">
        <f t="shared" si="31"/>
        <v>0</v>
      </c>
      <c r="BK9" s="26">
        <f t="shared" si="32"/>
        <v>0</v>
      </c>
      <c r="BL9" s="26">
        <f t="shared" si="33"/>
        <v>1.0910640000000018</v>
      </c>
      <c r="BM9" s="18">
        <f t="shared" si="34"/>
        <v>0</v>
      </c>
      <c r="BN9" s="18">
        <f t="shared" si="35"/>
        <v>0</v>
      </c>
      <c r="BO9" s="18">
        <f t="shared" si="36"/>
        <v>1.7485000000000028</v>
      </c>
    </row>
    <row r="10" spans="1:67" ht="15">
      <c r="A10" s="59" t="str">
        <f>IF(ISNA(XS_Analyzer!AB10),"No","Yes")</f>
        <v>No</v>
      </c>
      <c r="B10" s="59" t="str">
        <f>IF(A10="Yes",XS_Analyzer!AB10,"")</f>
        <v/>
      </c>
      <c r="C10" s="147" t="s">
        <v>44</v>
      </c>
      <c r="D10" s="23"/>
      <c r="E10" s="17">
        <f>SUMIF(XS_Analyzer_Calculations!$BO$4:$BO$104,$C10,XS_Analyzer_Calculations!$BV$4:$BV$104)</f>
        <v>0</v>
      </c>
      <c r="F10" s="17">
        <f>SUMIF(XS_Analyzer_Calculations!$BO$4:$BO$104,$C10,XS_Analyzer_Calculations!$BQ$4:$BQ$104)</f>
        <v>0</v>
      </c>
      <c r="G10" s="17">
        <f t="shared" si="0"/>
        <v>0</v>
      </c>
      <c r="H10" s="17">
        <f t="array" ref="H10">IF(ISNUMBER((SUMIF(XS_Analyzer_Calculations!$BO$4:$BO$104,$C10,XS_Analyzer_Calculations!$BS$4:$BS$104))),(SUMIF(XS_Analyzer_Calculations!$BO$4:$BO$104,$C10,XS_Analyzer_Calculations!$BS$4:$BS$104)),0)</f>
        <v>0</v>
      </c>
      <c r="I10" s="53">
        <f t="shared" si="1"/>
        <v>0</v>
      </c>
      <c r="J10" s="53">
        <f>XS_Analyzer_Calculations!$I$7</f>
        <v>0.01</v>
      </c>
      <c r="K10" s="18">
        <f t="shared" si="2"/>
        <v>0</v>
      </c>
      <c r="L10" s="38">
        <f>K10*XS_Analyzer_Calculations!$I$7^0.5</f>
        <v>0</v>
      </c>
      <c r="M10" s="18">
        <f t="shared" si="3"/>
        <v>0</v>
      </c>
      <c r="N10" s="18">
        <f>XS_Analyzer_Calculations!$K$4</f>
        <v>5</v>
      </c>
      <c r="O10" s="17">
        <f>SUMIF(XS_Analyzer_Calculations!$BO$4:$BO$104,$C10,XS_Analyzer_Calculations!$BT$4:$BT$104)</f>
        <v>0</v>
      </c>
      <c r="P10" s="17">
        <f t="array" ref="P10">MAX(IF(XS_Analyzer_Calculations!$BO$4:$BO$104=$C10,XS_Analyzer_Calculations!$BU$4:$BU$104,""))</f>
        <v>0</v>
      </c>
      <c r="Q10" s="17">
        <f>IF(ISNUMBER(LININTERP(B9,XS_Analyzer_Calculations!$BN$4:$BN$104,XS_Analyzer_Calculations!$BU$4:$BU$104)),LININTERP(B9,XS_Analyzer_Calculations!$BN$4:$BN$104,XS_Analyzer_Calculations!$BU$4:$BU$104),P10)</f>
        <v>0</v>
      </c>
      <c r="R10" s="17">
        <f t="shared" si="4"/>
        <v>0</v>
      </c>
      <c r="S10" s="18">
        <f t="shared" si="5"/>
        <v>0</v>
      </c>
      <c r="U10" s="17">
        <f t="shared" si="6"/>
        <v>0</v>
      </c>
      <c r="V10" s="17">
        <f t="shared" si="7"/>
        <v>0</v>
      </c>
      <c r="W10" s="17">
        <f t="shared" si="8"/>
        <v>0</v>
      </c>
      <c r="X10" s="17">
        <f t="shared" si="9"/>
        <v>0</v>
      </c>
      <c r="Z10" s="17">
        <f t="shared" si="10"/>
        <v>0</v>
      </c>
      <c r="AA10" s="17">
        <f t="shared" si="11"/>
        <v>0</v>
      </c>
      <c r="AB10" s="17">
        <f t="shared" si="12"/>
        <v>5</v>
      </c>
      <c r="AD10" s="32">
        <v>6</v>
      </c>
      <c r="AE10" s="25" t="str">
        <f t="shared" si="13"/>
        <v>Left</v>
      </c>
      <c r="AF10" s="25" t="str">
        <f t="shared" si="14"/>
        <v>Channel</v>
      </c>
      <c r="AG10" s="32" t="str">
        <f>IF(XS_AnalyzerSummary!$AB$24&gt;=XS_AnalyzerSummary!AD10,"Y","N")</f>
        <v>Y</v>
      </c>
      <c r="AH10" s="38">
        <v>1</v>
      </c>
      <c r="AI10" s="38">
        <f>IF(AG10="Y",$O$19/XS_AnalyzerSummary!$AB$24,0)</f>
        <v>4.4999999999999998E-2</v>
      </c>
      <c r="AJ10" s="38">
        <f t="shared" si="15"/>
        <v>4.4999999999999998E-2</v>
      </c>
      <c r="AK10" s="93">
        <f t="shared" si="37"/>
        <v>1.3149999999999995</v>
      </c>
      <c r="AL10" s="93">
        <f>IF(AG10="Y",LININTERP(AK10,XS_Analyzer_Calculations!$AY$4:$AY$104,XS_Analyzer_Calculations!$AZ$4:$AZ$104),AL9)</f>
        <v>2.7637500000000004</v>
      </c>
      <c r="AM10" s="38">
        <f t="shared" si="16"/>
        <v>2.2362499999999996</v>
      </c>
      <c r="AN10" s="18">
        <f t="shared" si="17"/>
        <v>9.9871874999999971E-2</v>
      </c>
      <c r="AO10" s="100">
        <f t="shared" si="18"/>
        <v>5.6249999999999911E-2</v>
      </c>
      <c r="AP10" s="100">
        <f t="shared" si="19"/>
        <v>1.7755000000000023</v>
      </c>
      <c r="AQ10" s="18">
        <f t="shared" si="20"/>
        <v>1.7787811838447108E-3</v>
      </c>
      <c r="AR10" s="32">
        <f>IFERROR(IF(AG10="Y",VLOOKUP(AK10,XS_Analyzer_Calculations!$R$5:$T$104,3,TRUE),0),0)</f>
        <v>0.1</v>
      </c>
      <c r="AS10" s="198">
        <f t="shared" si="21"/>
        <v>0.01</v>
      </c>
      <c r="AT10" s="18">
        <f t="shared" si="22"/>
        <v>2.1760847091218061</v>
      </c>
      <c r="AU10" s="38">
        <f>AT10*XS_Analyzer_Calculations!$I$7^0.5</f>
        <v>0.21760847091218061</v>
      </c>
      <c r="AV10" s="18">
        <f t="shared" si="38"/>
        <v>2.1788763945022627</v>
      </c>
      <c r="AW10" s="18">
        <f t="shared" si="23"/>
        <v>1.1079120000000016</v>
      </c>
      <c r="AX10" s="18">
        <f t="shared" si="24"/>
        <v>5</v>
      </c>
      <c r="AY10" s="32">
        <f t="shared" si="25"/>
        <v>2.2193749999999994</v>
      </c>
      <c r="AZ10" s="18">
        <f>((AS10*AP10)/(1.65*XS_Analyzer!$Q$72))*12</f>
        <v>5.1020085106442705</v>
      </c>
      <c r="BA10" s="18">
        <f>(AW10/((1.65*62.4)*XS_Analyzer!$Q$73))*12</f>
        <v>2.8694949494949538</v>
      </c>
      <c r="BB10" s="18">
        <f t="shared" si="26"/>
        <v>4.3436449858783055</v>
      </c>
      <c r="BC10" s="38">
        <f t="shared" si="27"/>
        <v>7.6471169465908266</v>
      </c>
      <c r="BD10" s="18">
        <f>IF(ISNUMBER(LININTERP(AW10,Permissible_Shear!$T$178:$T$188,Permissible_Shear!$V$178:$V$188)),LININTERP(AW10,Permissible_Shear!$T$178:$T$188,Permissible_Shear!$V$178:$V$188),0)</f>
        <v>3.7087799279327429</v>
      </c>
      <c r="BE10" s="18">
        <f>LININTERP(AW10,Permissible_Shear!$S$205:$S$222,Permissible_Shear!$V$205:$V$222)</f>
        <v>3.7747250000000045</v>
      </c>
      <c r="BF10" s="18">
        <f>INDEX($AZ$3:$BE$204,ROW(BF10)-2,MATCH(XS_Analyzer!$S$5,XS_AnalyzerSummary!$AZ$2:$BE$2,0))</f>
        <v>4.3436449858783055</v>
      </c>
      <c r="BG10" s="26">
        <f t="shared" si="28"/>
        <v>0</v>
      </c>
      <c r="BH10" s="26">
        <f t="shared" si="29"/>
        <v>0</v>
      </c>
      <c r="BI10" s="26">
        <f t="shared" si="30"/>
        <v>2.1788763945022627</v>
      </c>
      <c r="BJ10" s="26">
        <f t="shared" si="31"/>
        <v>0</v>
      </c>
      <c r="BK10" s="26">
        <f t="shared" si="32"/>
        <v>0</v>
      </c>
      <c r="BL10" s="26">
        <f t="shared" si="33"/>
        <v>1.1079120000000016</v>
      </c>
      <c r="BM10" s="18">
        <f t="shared" si="34"/>
        <v>0</v>
      </c>
      <c r="BN10" s="18">
        <f t="shared" si="35"/>
        <v>0</v>
      </c>
      <c r="BO10" s="18">
        <f t="shared" si="36"/>
        <v>1.7755000000000023</v>
      </c>
    </row>
    <row r="11" spans="1:67" ht="15">
      <c r="A11" s="59" t="str">
        <f>IF(ISNA(XS_Analyzer!AB11),"No","Yes")</f>
        <v>No</v>
      </c>
      <c r="B11" s="59" t="str">
        <f>IF(A11="Yes",XS_Analyzer!AB11,"")</f>
        <v/>
      </c>
      <c r="C11" s="59" t="s">
        <v>193</v>
      </c>
      <c r="D11" s="23"/>
      <c r="E11" s="17">
        <f>SUMIF(XS_Analyzer_Calculations!$BO$4:$BO$104,$C11,XS_Analyzer_Calculations!$BV$4:$BV$104)</f>
        <v>0</v>
      </c>
      <c r="F11" s="17">
        <f>SUMIF(XS_Analyzer_Calculations!$BO$4:$BO$104,$C11,XS_Analyzer_Calculations!$BQ$4:$BQ$104)</f>
        <v>0</v>
      </c>
      <c r="G11" s="17">
        <f t="shared" si="0"/>
        <v>0</v>
      </c>
      <c r="H11" s="17">
        <f t="array" ref="H11">IF(ISNUMBER((SUMIF(XS_Analyzer_Calculations!$BO$4:$BO$104,$C11,XS_Analyzer_Calculations!$BS$4:$BS$104))),(SUMIF(XS_Analyzer_Calculations!$BO$4:$BO$104,$C11,XS_Analyzer_Calculations!$BS$4:$BS$104)),0)</f>
        <v>0</v>
      </c>
      <c r="I11" s="53">
        <f t="shared" si="1"/>
        <v>0</v>
      </c>
      <c r="J11" s="53">
        <f>XS_Analyzer_Calculations!$I$7</f>
        <v>0.01</v>
      </c>
      <c r="K11" s="18">
        <f t="shared" si="2"/>
        <v>0</v>
      </c>
      <c r="L11" s="38">
        <f>K11*XS_Analyzer_Calculations!$I$7^0.5</f>
        <v>0</v>
      </c>
      <c r="M11" s="18">
        <f t="shared" si="3"/>
        <v>0</v>
      </c>
      <c r="N11" s="18">
        <f>XS_Analyzer_Calculations!$K$4</f>
        <v>5</v>
      </c>
      <c r="O11" s="17">
        <f>SUMIF(XS_Analyzer_Calculations!$BO$4:$BO$104,$C11,XS_Analyzer_Calculations!$BT$4:$BT$104)</f>
        <v>0</v>
      </c>
      <c r="P11" s="17">
        <f t="array" ref="P11">MAX(IF(XS_Analyzer_Calculations!$BO$4:$BO$104=$C11,XS_Analyzer_Calculations!$BU$4:$BU$104,""))</f>
        <v>0</v>
      </c>
      <c r="Q11" s="17">
        <f>IF(ISNUMBER(LININTERP(B10,XS_Analyzer_Calculations!$BN$4:$BN$104,XS_Analyzer_Calculations!$BU$4:$BU$104)),LININTERP(B10,XS_Analyzer_Calculations!$BN$4:$BN$104,XS_Analyzer_Calculations!$BU$4:$BU$104),P11)</f>
        <v>0</v>
      </c>
      <c r="R11" s="17">
        <f t="shared" si="4"/>
        <v>0</v>
      </c>
      <c r="S11" s="18">
        <f t="shared" si="5"/>
        <v>0</v>
      </c>
      <c r="U11" s="17">
        <f t="shared" si="6"/>
        <v>0</v>
      </c>
      <c r="V11" s="17">
        <f t="shared" si="7"/>
        <v>0</v>
      </c>
      <c r="W11" s="17">
        <f t="shared" si="8"/>
        <v>0</v>
      </c>
      <c r="X11" s="17">
        <f t="shared" si="9"/>
        <v>0</v>
      </c>
      <c r="Z11" s="17">
        <f t="shared" si="10"/>
        <v>0</v>
      </c>
      <c r="AA11" s="17">
        <f t="shared" si="11"/>
        <v>0</v>
      </c>
      <c r="AB11" s="17">
        <f t="shared" si="12"/>
        <v>5</v>
      </c>
      <c r="AD11" s="32">
        <v>7</v>
      </c>
      <c r="AE11" s="25" t="str">
        <f t="shared" si="13"/>
        <v>Left</v>
      </c>
      <c r="AF11" s="25" t="str">
        <f t="shared" si="14"/>
        <v>Channel</v>
      </c>
      <c r="AG11" s="32" t="str">
        <f>IF(XS_AnalyzerSummary!$AB$24&gt;=XS_AnalyzerSummary!AD11,"Y","N")</f>
        <v>Y</v>
      </c>
      <c r="AH11" s="38">
        <v>1</v>
      </c>
      <c r="AI11" s="38">
        <f>IF(AG11="Y",$O$19/XS_AnalyzerSummary!$AB$24,0)</f>
        <v>4.4999999999999998E-2</v>
      </c>
      <c r="AJ11" s="38">
        <f t="shared" si="15"/>
        <v>4.4999999999999998E-2</v>
      </c>
      <c r="AK11" s="93">
        <f t="shared" si="37"/>
        <v>1.3599999999999994</v>
      </c>
      <c r="AL11" s="93">
        <f>IF(AG11="Y",LININTERP(AK11,XS_Analyzer_Calculations!$AY$4:$AY$104,XS_Analyzer_Calculations!$AZ$4:$AZ$104),AL10)</f>
        <v>2.7300000000000004</v>
      </c>
      <c r="AM11" s="38">
        <f t="shared" si="16"/>
        <v>2.2699999999999996</v>
      </c>
      <c r="AN11" s="18">
        <f t="shared" si="17"/>
        <v>0.10139062499999998</v>
      </c>
      <c r="AO11" s="100">
        <f t="shared" si="18"/>
        <v>5.6249999999999911E-2</v>
      </c>
      <c r="AP11" s="100">
        <f t="shared" si="19"/>
        <v>1.8025000000000027</v>
      </c>
      <c r="AQ11" s="18">
        <f t="shared" si="20"/>
        <v>1.7787811838447108E-3</v>
      </c>
      <c r="AR11" s="32">
        <f>IFERROR(IF(AG11="Y",VLOOKUP(AK11,XS_Analyzer_Calculations!$R$5:$T$104,3,TRUE),0),0)</f>
        <v>0.1</v>
      </c>
      <c r="AS11" s="198">
        <f t="shared" si="21"/>
        <v>0.01</v>
      </c>
      <c r="AT11" s="18">
        <f t="shared" si="22"/>
        <v>2.2315166171492438</v>
      </c>
      <c r="AU11" s="38">
        <f>AT11*XS_Analyzer_Calculations!$I$7^0.5</f>
        <v>0.2231516617149244</v>
      </c>
      <c r="AV11" s="18">
        <f t="shared" si="38"/>
        <v>2.2009102095477213</v>
      </c>
      <c r="AW11" s="18">
        <f t="shared" si="23"/>
        <v>1.1247600000000018</v>
      </c>
      <c r="AX11" s="18">
        <f t="shared" si="24"/>
        <v>5</v>
      </c>
      <c r="AY11" s="32">
        <f t="shared" si="25"/>
        <v>2.2531249999999998</v>
      </c>
      <c r="AZ11" s="18">
        <f>((AS11*AP11)/(1.65*XS_Analyzer!$Q$72))*12</f>
        <v>5.1795946721691344</v>
      </c>
      <c r="BA11" s="18">
        <f>(AW11/((1.65*62.4)*XS_Analyzer!$Q$73))*12</f>
        <v>2.9131313131313181</v>
      </c>
      <c r="BB11" s="18">
        <f t="shared" si="26"/>
        <v>4.4119751444701185</v>
      </c>
      <c r="BC11" s="38">
        <f t="shared" si="27"/>
        <v>7.7318341509575168</v>
      </c>
      <c r="BD11" s="18">
        <f>IF(ISNUMBER(LININTERP(AW11,Permissible_Shear!$T$178:$T$188,Permissible_Shear!$V$178:$V$188)),LININTERP(AW11,Permissible_Shear!$T$178:$T$188,Permissible_Shear!$V$178:$V$188),0)</f>
        <v>3.7627438943013543</v>
      </c>
      <c r="BE11" s="18">
        <f>LININTERP(AW11,Permissible_Shear!$S$205:$S$222,Permissible_Shear!$V$205:$V$222)</f>
        <v>3.8273750000000053</v>
      </c>
      <c r="BF11" s="18">
        <f>INDEX($AZ$3:$BE$204,ROW(BF11)-2,MATCH(XS_Analyzer!$S$5,XS_AnalyzerSummary!$AZ$2:$BE$2,0))</f>
        <v>4.4119751444701185</v>
      </c>
      <c r="BG11" s="26">
        <f t="shared" si="28"/>
        <v>0</v>
      </c>
      <c r="BH11" s="26">
        <f t="shared" si="29"/>
        <v>0</v>
      </c>
      <c r="BI11" s="26">
        <f t="shared" si="30"/>
        <v>2.2009102095477213</v>
      </c>
      <c r="BJ11" s="26">
        <f t="shared" si="31"/>
        <v>0</v>
      </c>
      <c r="BK11" s="26">
        <f t="shared" si="32"/>
        <v>0</v>
      </c>
      <c r="BL11" s="26">
        <f t="shared" si="33"/>
        <v>1.1247600000000018</v>
      </c>
      <c r="BM11" s="18">
        <f t="shared" si="34"/>
        <v>0</v>
      </c>
      <c r="BN11" s="18">
        <f t="shared" si="35"/>
        <v>0</v>
      </c>
      <c r="BO11" s="18">
        <f t="shared" si="36"/>
        <v>1.8025000000000027</v>
      </c>
    </row>
    <row r="12" spans="1:67" ht="15">
      <c r="A12" s="21"/>
      <c r="B12" s="21"/>
      <c r="C12" s="6"/>
      <c r="D12" s="23"/>
      <c r="E12" s="14"/>
      <c r="F12" s="14"/>
      <c r="G12" s="14"/>
      <c r="H12" s="14"/>
      <c r="I12" s="46"/>
      <c r="J12" s="46"/>
      <c r="K12" s="20"/>
      <c r="L12" s="102"/>
      <c r="M12" s="20"/>
      <c r="N12" s="20"/>
      <c r="O12" s="14"/>
      <c r="P12" s="14"/>
      <c r="Q12" s="14"/>
      <c r="R12" s="14"/>
      <c r="T12" s="9"/>
      <c r="U12" s="9"/>
      <c r="V12" s="9"/>
      <c r="W12" s="9"/>
      <c r="X12" s="9"/>
      <c r="Z12" s="7"/>
      <c r="AA12" s="7"/>
      <c r="AD12" s="32">
        <v>8</v>
      </c>
      <c r="AE12" s="25" t="str">
        <f t="shared" si="13"/>
        <v>Left</v>
      </c>
      <c r="AF12" s="25" t="str">
        <f t="shared" si="14"/>
        <v>Channel</v>
      </c>
      <c r="AG12" s="32" t="str">
        <f>IF(XS_AnalyzerSummary!$AB$24&gt;=XS_AnalyzerSummary!AD12,"Y","N")</f>
        <v>Y</v>
      </c>
      <c r="AH12" s="38">
        <v>1</v>
      </c>
      <c r="AI12" s="38">
        <f>IF(AG12="Y",$O$19/XS_AnalyzerSummary!$AB$24,0)</f>
        <v>4.4999999999999998E-2</v>
      </c>
      <c r="AJ12" s="38">
        <f t="shared" si="15"/>
        <v>4.4999999999999998E-2</v>
      </c>
      <c r="AK12" s="93">
        <f t="shared" si="37"/>
        <v>1.4049999999999994</v>
      </c>
      <c r="AL12" s="93">
        <f>IF(AG12="Y",LININTERP(AK12,XS_Analyzer_Calculations!$AY$4:$AY$104,XS_Analyzer_Calculations!$AZ$4:$AZ$104),AL11)</f>
        <v>2.6962500000000005</v>
      </c>
      <c r="AM12" s="38">
        <f t="shared" si="16"/>
        <v>2.3037499999999995</v>
      </c>
      <c r="AN12" s="18">
        <f t="shared" si="17"/>
        <v>0.10290937499999997</v>
      </c>
      <c r="AO12" s="100">
        <f t="shared" si="18"/>
        <v>5.6249999999999911E-2</v>
      </c>
      <c r="AP12" s="100">
        <f t="shared" si="19"/>
        <v>1.8295000000000023</v>
      </c>
      <c r="AQ12" s="18">
        <f t="shared" si="20"/>
        <v>1.7787811838447108E-3</v>
      </c>
      <c r="AR12" s="32">
        <f>IFERROR(IF(AG12="Y",VLOOKUP(AK12,XS_Analyzer_Calculations!$R$5:$T$104,3,TRUE),0),0)</f>
        <v>0.1</v>
      </c>
      <c r="AS12" s="198">
        <f t="shared" si="21"/>
        <v>0.01</v>
      </c>
      <c r="AT12" s="18">
        <f t="shared" si="22"/>
        <v>2.2875048625126726</v>
      </c>
      <c r="AU12" s="38">
        <f>AT12*XS_Analyzer_Calculations!$I$7^0.5</f>
        <v>0.22875048625126726</v>
      </c>
      <c r="AV12" s="18">
        <f t="shared" si="38"/>
        <v>2.2228342777445431</v>
      </c>
      <c r="AW12" s="18">
        <f t="shared" si="23"/>
        <v>1.1416080000000013</v>
      </c>
      <c r="AX12" s="18">
        <f t="shared" si="24"/>
        <v>5</v>
      </c>
      <c r="AY12" s="32">
        <f t="shared" si="25"/>
        <v>2.2868749999999993</v>
      </c>
      <c r="AZ12" s="18">
        <f>((AS12*AP12)/(1.65*XS_Analyzer!$Q$72))*12</f>
        <v>5.2571808336939974</v>
      </c>
      <c r="BA12" s="18">
        <f>(AW12/((1.65*62.4)*XS_Analyzer!$Q$73))*12</f>
        <v>2.9567676767676803</v>
      </c>
      <c r="BB12" s="18">
        <f t="shared" si="26"/>
        <v>4.4803479866494014</v>
      </c>
      <c r="BC12" s="38">
        <f t="shared" si="27"/>
        <v>7.8162188415556475</v>
      </c>
      <c r="BD12" s="18">
        <f>IF(ISNUMBER(LININTERP(AW12,Permissible_Shear!$T$178:$T$188,Permissible_Shear!$V$178:$V$188)),LININTERP(AW12,Permissible_Shear!$T$178:$T$188,Permissible_Shear!$V$178:$V$188),0)</f>
        <v>3.8157860350100914</v>
      </c>
      <c r="BE12" s="18">
        <f>LININTERP(AW12,Permissible_Shear!$S$205:$S$222,Permissible_Shear!$V$205:$V$222)</f>
        <v>3.8800250000000038</v>
      </c>
      <c r="BF12" s="18">
        <f>INDEX($AZ$3:$BE$204,ROW(BF12)-2,MATCH(XS_Analyzer!$S$5,XS_AnalyzerSummary!$AZ$2:$BE$2,0))</f>
        <v>4.4803479866494014</v>
      </c>
      <c r="BG12" s="26">
        <f t="shared" si="28"/>
        <v>0</v>
      </c>
      <c r="BH12" s="26">
        <f t="shared" si="29"/>
        <v>0</v>
      </c>
      <c r="BI12" s="26">
        <f t="shared" si="30"/>
        <v>2.2228342777445431</v>
      </c>
      <c r="BJ12" s="26">
        <f t="shared" si="31"/>
        <v>0</v>
      </c>
      <c r="BK12" s="26">
        <f t="shared" si="32"/>
        <v>0</v>
      </c>
      <c r="BL12" s="26">
        <f t="shared" si="33"/>
        <v>1.1416080000000013</v>
      </c>
      <c r="BM12" s="18">
        <f t="shared" si="34"/>
        <v>0</v>
      </c>
      <c r="BN12" s="18">
        <f t="shared" si="35"/>
        <v>0</v>
      </c>
      <c r="BO12" s="18">
        <f t="shared" si="36"/>
        <v>1.8295000000000023</v>
      </c>
    </row>
    <row r="13" spans="1:67" ht="15">
      <c r="A13" s="7"/>
      <c r="B13" s="7"/>
      <c r="C13" s="6" t="s">
        <v>329</v>
      </c>
      <c r="D13" s="23"/>
      <c r="E13" s="17">
        <f t="shared" ref="E13:F13" si="39">SUM(E6:E8)</f>
        <v>0</v>
      </c>
      <c r="F13" s="17">
        <f t="shared" si="39"/>
        <v>0</v>
      </c>
      <c r="G13" s="17">
        <f>IF(ISNUMBER(E13/F13),E13/F13,0)</f>
        <v>0</v>
      </c>
      <c r="H13" s="84">
        <f>SUM(H6:H8)</f>
        <v>0</v>
      </c>
      <c r="I13" s="53">
        <f>IF(ISNUMBER(((SUM(H13)/F13)^(2/3))),(((SUM(H13)/F13)^(2/3))),0)</f>
        <v>0</v>
      </c>
      <c r="J13" s="53">
        <f>XS_Analyzer_Calculations!$I$7</f>
        <v>0.01</v>
      </c>
      <c r="K13" s="18">
        <f>IF(ISNUMBER((1.486/I13)*E13*((E13/F13)^(2/3))),(1.486/I13)*E13*((E13/F13)^(2/3)),0)</f>
        <v>0</v>
      </c>
      <c r="L13" s="38">
        <f>K13*XS_Analyzer_Calculations!$I$7^0.5</f>
        <v>0</v>
      </c>
      <c r="M13" s="18">
        <f>IF(ISNUMBER(L13/E13),L13/E13,0)</f>
        <v>0</v>
      </c>
      <c r="N13" s="18">
        <f>XS_Analyzer_Calculations!$K$4</f>
        <v>5</v>
      </c>
      <c r="O13" s="17">
        <f>SUM(O6:O8)</f>
        <v>0</v>
      </c>
      <c r="P13" s="6" t="s">
        <v>342</v>
      </c>
      <c r="Q13" s="6" t="s">
        <v>342</v>
      </c>
      <c r="R13" s="17">
        <f>MAX(R6:R8)</f>
        <v>5</v>
      </c>
      <c r="S13" s="18">
        <f>IF(ISNUMBER(E13/O13),E13/O13,0)</f>
        <v>0</v>
      </c>
      <c r="T13" s="9"/>
      <c r="U13" s="17">
        <f>62.4*G13*J13</f>
        <v>0</v>
      </c>
      <c r="V13" s="17">
        <f>((77.966*(U13^1.042)))*0.0393701</f>
        <v>0</v>
      </c>
      <c r="W13" s="17">
        <f>((152.02*(U13^0.7355)))*0.0393701</f>
        <v>0</v>
      </c>
      <c r="X13" s="17">
        <f>62.4*J13*L13</f>
        <v>0</v>
      </c>
      <c r="Z13" s="17">
        <f>IF(ISNUMBER(M13/(SQRT(S13*32.2))),M13/(SQRT(S13*32.2)),0)</f>
        <v>0</v>
      </c>
      <c r="AA13" s="17">
        <f>(M13^2)/(2*32.2)</f>
        <v>0</v>
      </c>
      <c r="AB13" s="17">
        <f>AA13+N13</f>
        <v>5</v>
      </c>
      <c r="AD13" s="32">
        <v>9</v>
      </c>
      <c r="AE13" s="25" t="str">
        <f t="shared" si="13"/>
        <v>Left</v>
      </c>
      <c r="AF13" s="25" t="str">
        <f t="shared" si="14"/>
        <v>Channel</v>
      </c>
      <c r="AG13" s="32" t="str">
        <f>IF(XS_AnalyzerSummary!$AB$24&gt;=XS_AnalyzerSummary!AD13,"Y","N")</f>
        <v>Y</v>
      </c>
      <c r="AH13" s="38">
        <v>1</v>
      </c>
      <c r="AI13" s="38">
        <f>IF(AG13="Y",$O$19/XS_AnalyzerSummary!$AB$24,0)</f>
        <v>4.4999999999999998E-2</v>
      </c>
      <c r="AJ13" s="38">
        <f t="shared" si="15"/>
        <v>4.4999999999999998E-2</v>
      </c>
      <c r="AK13" s="93">
        <f t="shared" si="37"/>
        <v>1.4499999999999993</v>
      </c>
      <c r="AL13" s="93">
        <f>IF(AG13="Y",LININTERP(AK13,XS_Analyzer_Calculations!$AY$4:$AY$104,XS_Analyzer_Calculations!$AZ$4:$AZ$104),AL12)</f>
        <v>2.6625000000000005</v>
      </c>
      <c r="AM13" s="38">
        <f t="shared" si="16"/>
        <v>2.3374999999999995</v>
      </c>
      <c r="AN13" s="18">
        <f t="shared" si="17"/>
        <v>0.10442812499999998</v>
      </c>
      <c r="AO13" s="100">
        <f t="shared" si="18"/>
        <v>5.6249999999999911E-2</v>
      </c>
      <c r="AP13" s="100">
        <f t="shared" si="19"/>
        <v>1.8565000000000027</v>
      </c>
      <c r="AQ13" s="18">
        <f t="shared" si="20"/>
        <v>1.7787811838447108E-3</v>
      </c>
      <c r="AR13" s="32">
        <f>IFERROR(IF(AG13="Y",VLOOKUP(AK13,XS_Analyzer_Calculations!$R$5:$T$104,3,TRUE),0),0)</f>
        <v>0.1</v>
      </c>
      <c r="AS13" s="198">
        <f t="shared" si="21"/>
        <v>0.01</v>
      </c>
      <c r="AT13" s="18">
        <f t="shared" si="22"/>
        <v>2.3440466946692697</v>
      </c>
      <c r="AU13" s="38">
        <f>AT13*XS_Analyzer_Calculations!$I$7^0.5</f>
        <v>0.23440466946692698</v>
      </c>
      <c r="AV13" s="18">
        <f t="shared" si="38"/>
        <v>2.2446507534912366</v>
      </c>
      <c r="AW13" s="18">
        <f t="shared" si="23"/>
        <v>1.1584560000000017</v>
      </c>
      <c r="AX13" s="18">
        <f t="shared" si="24"/>
        <v>5</v>
      </c>
      <c r="AY13" s="32">
        <f t="shared" si="25"/>
        <v>2.3206249999999997</v>
      </c>
      <c r="AZ13" s="18">
        <f>((AS13*AP13)/(1.65*XS_Analyzer!$Q$72))*12</f>
        <v>5.3347669952188612</v>
      </c>
      <c r="BA13" s="18">
        <f>(AW13/((1.65*62.4)*XS_Analyzer!$Q$73))*12</f>
        <v>3.0004040404040451</v>
      </c>
      <c r="BB13" s="18">
        <f t="shared" si="26"/>
        <v>4.5487629131361569</v>
      </c>
      <c r="BC13" s="38">
        <f t="shared" si="27"/>
        <v>7.9002771667124856</v>
      </c>
      <c r="BD13" s="18">
        <f>IF(ISNUMBER(LININTERP(AW13,Permissible_Shear!$T$178:$T$188,Permissible_Shear!$V$178:$V$188)),LININTERP(AW13,Permissible_Shear!$T$178:$T$188,Permissible_Shear!$V$178:$V$188),0)</f>
        <v>3.8684120517993161</v>
      </c>
      <c r="BE13" s="18">
        <f>LININTERP(AW13,Permissible_Shear!$S$205:$S$222,Permissible_Shear!$V$205:$V$222)</f>
        <v>3.932675000000005</v>
      </c>
      <c r="BF13" s="18">
        <f>INDEX($AZ$3:$BE$204,ROW(BF13)-2,MATCH(XS_Analyzer!$S$5,XS_AnalyzerSummary!$AZ$2:$BE$2,0))</f>
        <v>4.5487629131361569</v>
      </c>
      <c r="BG13" s="26">
        <f t="shared" si="28"/>
        <v>0</v>
      </c>
      <c r="BH13" s="26">
        <f t="shared" si="29"/>
        <v>0</v>
      </c>
      <c r="BI13" s="26">
        <f t="shared" si="30"/>
        <v>2.2446507534912366</v>
      </c>
      <c r="BJ13" s="26">
        <f t="shared" si="31"/>
        <v>0</v>
      </c>
      <c r="BK13" s="26">
        <f t="shared" si="32"/>
        <v>0</v>
      </c>
      <c r="BL13" s="26">
        <f t="shared" si="33"/>
        <v>1.1584560000000017</v>
      </c>
      <c r="BM13" s="18">
        <f t="shared" si="34"/>
        <v>0</v>
      </c>
      <c r="BN13" s="18">
        <f t="shared" si="35"/>
        <v>0</v>
      </c>
      <c r="BO13" s="18">
        <f t="shared" si="36"/>
        <v>1.8565000000000027</v>
      </c>
    </row>
    <row r="14" spans="1:67" ht="15">
      <c r="A14" s="7"/>
      <c r="B14" s="7"/>
      <c r="C14" s="32"/>
      <c r="D14" s="23"/>
      <c r="E14" s="14"/>
      <c r="F14" s="14"/>
      <c r="G14" s="14"/>
      <c r="H14" s="14"/>
      <c r="I14" s="14"/>
      <c r="J14" s="14"/>
      <c r="K14" s="14"/>
      <c r="L14" s="187"/>
      <c r="M14" s="14"/>
      <c r="N14" s="14"/>
      <c r="O14" s="14"/>
      <c r="P14" s="14"/>
      <c r="Q14" s="14"/>
      <c r="R14" s="9"/>
      <c r="T14" s="9"/>
      <c r="U14" s="9"/>
      <c r="V14" s="9"/>
      <c r="W14" s="9"/>
      <c r="X14" s="9"/>
      <c r="Z14" s="7"/>
      <c r="AA14" s="7"/>
      <c r="AD14" s="32">
        <v>10</v>
      </c>
      <c r="AE14" s="25" t="str">
        <f t="shared" si="13"/>
        <v>Left</v>
      </c>
      <c r="AF14" s="25" t="str">
        <f t="shared" si="14"/>
        <v>Channel</v>
      </c>
      <c r="AG14" s="32" t="str">
        <f>IF(XS_AnalyzerSummary!$AB$24&gt;=XS_AnalyzerSummary!AD14,"Y","N")</f>
        <v>Y</v>
      </c>
      <c r="AH14" s="38">
        <v>1</v>
      </c>
      <c r="AI14" s="38">
        <f>IF(AG14="Y",$O$19/XS_AnalyzerSummary!$AB$24,0)</f>
        <v>4.4999999999999998E-2</v>
      </c>
      <c r="AJ14" s="38">
        <f t="shared" si="15"/>
        <v>4.4999999999999998E-2</v>
      </c>
      <c r="AK14" s="93">
        <f t="shared" si="37"/>
        <v>1.4949999999999992</v>
      </c>
      <c r="AL14" s="93">
        <f>IF(AG14="Y",LININTERP(AK14,XS_Analyzer_Calculations!$AY$4:$AY$104,XS_Analyzer_Calculations!$AZ$4:$AZ$104),AL13)</f>
        <v>2.6287500000000006</v>
      </c>
      <c r="AM14" s="38">
        <f t="shared" si="16"/>
        <v>2.3712499999999994</v>
      </c>
      <c r="AN14" s="18">
        <f t="shared" si="17"/>
        <v>0.10594687499999995</v>
      </c>
      <c r="AO14" s="100">
        <f t="shared" si="18"/>
        <v>5.6249999999999911E-2</v>
      </c>
      <c r="AP14" s="100">
        <f t="shared" si="19"/>
        <v>1.8835000000000022</v>
      </c>
      <c r="AQ14" s="18">
        <f t="shared" si="20"/>
        <v>1.7787811838447108E-3</v>
      </c>
      <c r="AR14" s="32">
        <f>IFERROR(IF(AG14="Y",VLOOKUP(AK14,XS_Analyzer_Calculations!$R$5:$T$104,3,TRUE),0),0)</f>
        <v>0.1</v>
      </c>
      <c r="AS14" s="198">
        <f t="shared" si="21"/>
        <v>0.01</v>
      </c>
      <c r="AT14" s="18">
        <f t="shared" si="22"/>
        <v>2.4011394166787068</v>
      </c>
      <c r="AU14" s="38">
        <f>AT14*XS_Analyzer_Calculations!$I$7^0.5</f>
        <v>0.2401139416678707</v>
      </c>
      <c r="AV14" s="18">
        <f t="shared" si="38"/>
        <v>2.2663617182467233</v>
      </c>
      <c r="AW14" s="18">
        <f t="shared" si="23"/>
        <v>1.1753040000000012</v>
      </c>
      <c r="AX14" s="18">
        <f t="shared" si="24"/>
        <v>5</v>
      </c>
      <c r="AY14" s="32">
        <f t="shared" si="25"/>
        <v>2.3543749999999992</v>
      </c>
      <c r="AZ14" s="18">
        <f>((AS14*AP14)/(1.65*XS_Analyzer!$Q$72))*12</f>
        <v>5.4123531567437233</v>
      </c>
      <c r="BA14" s="18">
        <f>(AW14/((1.65*62.4)*XS_Analyzer!$Q$73))*12</f>
        <v>3.0440404040404081</v>
      </c>
      <c r="BB14" s="18">
        <f t="shared" si="26"/>
        <v>4.6172193415993279</v>
      </c>
      <c r="BC14" s="38">
        <f t="shared" si="27"/>
        <v>7.9840150740927696</v>
      </c>
      <c r="BD14" s="18">
        <f>IF(ISNUMBER(LININTERP(AW14,Permissible_Shear!$T$178:$T$188,Permissible_Shear!$V$178:$V$188)),LININTERP(AW14,Permissible_Shear!$T$178:$T$188,Permissible_Shear!$V$178:$V$188),0)</f>
        <v>3.9210380685885386</v>
      </c>
      <c r="BE14" s="18">
        <f>LININTERP(AW14,Permissible_Shear!$S$205:$S$222,Permissible_Shear!$V$205:$V$222)</f>
        <v>3.9853250000000036</v>
      </c>
      <c r="BF14" s="18">
        <f>INDEX($AZ$3:$BE$204,ROW(BF14)-2,MATCH(XS_Analyzer!$S$5,XS_AnalyzerSummary!$AZ$2:$BE$2,0))</f>
        <v>4.6172193415993279</v>
      </c>
      <c r="BG14" s="26">
        <f t="shared" si="28"/>
        <v>0</v>
      </c>
      <c r="BH14" s="26">
        <f t="shared" si="29"/>
        <v>0</v>
      </c>
      <c r="BI14" s="26">
        <f t="shared" si="30"/>
        <v>2.2663617182467233</v>
      </c>
      <c r="BJ14" s="26">
        <f t="shared" si="31"/>
        <v>0</v>
      </c>
      <c r="BK14" s="26">
        <f t="shared" si="32"/>
        <v>0</v>
      </c>
      <c r="BL14" s="26">
        <f t="shared" si="33"/>
        <v>1.1753040000000012</v>
      </c>
      <c r="BM14" s="18">
        <f t="shared" si="34"/>
        <v>0</v>
      </c>
      <c r="BN14" s="18">
        <f t="shared" si="35"/>
        <v>0</v>
      </c>
      <c r="BO14" s="18">
        <f t="shared" si="36"/>
        <v>1.8835000000000022</v>
      </c>
    </row>
    <row r="15" spans="1:67" ht="15">
      <c r="A15" s="7"/>
      <c r="B15" s="7"/>
      <c r="C15" s="25" t="s">
        <v>11</v>
      </c>
      <c r="D15" s="23"/>
      <c r="E15" s="17">
        <f t="shared" ref="E15:F15" si="40">SUM(E5:E9)</f>
        <v>31.5</v>
      </c>
      <c r="F15" s="17">
        <f t="shared" si="40"/>
        <v>12.830951894845301</v>
      </c>
      <c r="G15" s="17">
        <f t="shared" ref="G15:G17" si="41">IF(ISNUMBER(E15/F15),E15/F15,0)</f>
        <v>2.4550010208248692</v>
      </c>
      <c r="H15" s="84">
        <f>SUM(H5:H9)</f>
        <v>0.40575032535764438</v>
      </c>
      <c r="I15" s="53">
        <f t="shared" ref="I15:I17" si="42">IF(ISNUMBER(((SUM(H15)/F15)^(2/3))),(((SUM(H15)/F15)^(2/3))),0)</f>
        <v>0.10000000000000002</v>
      </c>
      <c r="J15" s="53">
        <f>XS_Analyzer_Calculations!$I$7</f>
        <v>0.01</v>
      </c>
      <c r="K15" s="18">
        <f t="shared" ref="K15:K17" si="43">IF(ISNUMBER((1.486/I15)*E15*((E15/F15)^(2/3))),(1.486/I15)*E15*((E15/F15)^(2/3)),0)</f>
        <v>851.8513472049533</v>
      </c>
      <c r="L15" s="38">
        <f>K15*XS_Analyzer_Calculations!$I$7^0.5</f>
        <v>85.185134720495341</v>
      </c>
      <c r="M15" s="18">
        <f t="shared" ref="M15:M17" si="44">IF(ISNUMBER(L15/E15),L15/E15,0)</f>
        <v>2.7042899911268363</v>
      </c>
      <c r="N15" s="18">
        <f>XS_Analyzer_Calculations!$K$4</f>
        <v>5</v>
      </c>
      <c r="O15" s="17">
        <f>SUM(O5:O9)</f>
        <v>9</v>
      </c>
      <c r="P15" s="6" t="s">
        <v>342</v>
      </c>
      <c r="Q15" s="6" t="s">
        <v>342</v>
      </c>
      <c r="R15" s="17">
        <f>MAX(R5:R9)</f>
        <v>5</v>
      </c>
      <c r="S15" s="18">
        <f t="shared" ref="S15:S17" si="45">IF(ISNUMBER(E15/O15),E15/O15,0)</f>
        <v>3.5</v>
      </c>
      <c r="T15" s="9"/>
      <c r="U15" s="17">
        <f t="shared" ref="U15:U17" si="46">62.4*G15*J15</f>
        <v>1.5319206369947185</v>
      </c>
      <c r="V15" s="17">
        <f t="shared" ref="V15:V17" si="47">((77.966*(U15^1.042)))*0.0393701</f>
        <v>4.7872704320990875</v>
      </c>
      <c r="W15" s="17">
        <f t="shared" ref="W15:W17" si="48">((152.02*(U15^0.7355)))*0.0393701</f>
        <v>8.1904642733088426</v>
      </c>
      <c r="X15" s="17">
        <f t="shared" ref="X15:X17" si="49">62.4*J15*L15</f>
        <v>53.155524065589091</v>
      </c>
      <c r="Z15" s="17">
        <f t="shared" ref="Z15:Z17" si="50">IF(ISNUMBER(M15/(SQRT(S15*32.2))),M15/(SQRT(S15*32.2)),0)</f>
        <v>0.25473657350695739</v>
      </c>
      <c r="AA15" s="17">
        <f t="shared" ref="AA15:AA17" si="51">(M15^2)/(2*32.2)</f>
        <v>0.11355876329361467</v>
      </c>
      <c r="AB15" s="17">
        <f t="shared" ref="AB15:AB17" si="52">AA15+N15</f>
        <v>5.1135587632936144</v>
      </c>
      <c r="AD15" s="32">
        <v>11</v>
      </c>
      <c r="AE15" s="25" t="str">
        <f t="shared" si="13"/>
        <v>Left</v>
      </c>
      <c r="AF15" s="25" t="str">
        <f t="shared" si="14"/>
        <v>Channel</v>
      </c>
      <c r="AG15" s="32" t="str">
        <f>IF(XS_AnalyzerSummary!$AB$24&gt;=XS_AnalyzerSummary!AD15,"Y","N")</f>
        <v>Y</v>
      </c>
      <c r="AH15" s="38">
        <v>1</v>
      </c>
      <c r="AI15" s="38">
        <f>IF(AG15="Y",$O$19/XS_AnalyzerSummary!$AB$24,0)</f>
        <v>4.4999999999999998E-2</v>
      </c>
      <c r="AJ15" s="38">
        <f t="shared" si="15"/>
        <v>4.4999999999999998E-2</v>
      </c>
      <c r="AK15" s="93">
        <f t="shared" si="37"/>
        <v>1.5399999999999991</v>
      </c>
      <c r="AL15" s="93">
        <f>IF(AG15="Y",LININTERP(AK15,XS_Analyzer_Calculations!$AY$4:$AY$104,XS_Analyzer_Calculations!$AZ$4:$AZ$104),AL14)</f>
        <v>2.5950000000000006</v>
      </c>
      <c r="AM15" s="38">
        <f t="shared" si="16"/>
        <v>2.4049999999999994</v>
      </c>
      <c r="AN15" s="18">
        <f t="shared" si="17"/>
        <v>0.10746562499999998</v>
      </c>
      <c r="AO15" s="100">
        <f t="shared" si="18"/>
        <v>5.6249999999999911E-2</v>
      </c>
      <c r="AP15" s="100">
        <f t="shared" si="19"/>
        <v>1.9105000000000028</v>
      </c>
      <c r="AQ15" s="18">
        <f t="shared" si="20"/>
        <v>1.7787811838447108E-3</v>
      </c>
      <c r="AR15" s="32">
        <f>IFERROR(IF(AG15="Y",VLOOKUP(AK15,XS_Analyzer_Calculations!$R$5:$T$104,3,TRUE),0),0)</f>
        <v>0.1</v>
      </c>
      <c r="AS15" s="198">
        <f t="shared" si="21"/>
        <v>0.01</v>
      </c>
      <c r="AT15" s="18">
        <f t="shared" si="22"/>
        <v>2.458780383401356</v>
      </c>
      <c r="AU15" s="38">
        <f>AT15*XS_Analyzer_Calculations!$I$7^0.5</f>
        <v>0.24587803834013561</v>
      </c>
      <c r="AV15" s="18">
        <f t="shared" si="38"/>
        <v>2.287969184007776</v>
      </c>
      <c r="AW15" s="18">
        <f t="shared" si="23"/>
        <v>1.1921520000000017</v>
      </c>
      <c r="AX15" s="18">
        <f t="shared" si="24"/>
        <v>5</v>
      </c>
      <c r="AY15" s="32">
        <f t="shared" si="25"/>
        <v>2.3881249999999996</v>
      </c>
      <c r="AZ15" s="18">
        <f>((AS15*AP15)/(1.65*XS_Analyzer!$Q$72))*12</f>
        <v>5.4899393182685889</v>
      </c>
      <c r="BA15" s="18">
        <f>(AW15/((1.65*62.4)*XS_Analyzer!$Q$73))*12</f>
        <v>3.0876767676767725</v>
      </c>
      <c r="BB15" s="18">
        <f t="shared" si="26"/>
        <v>4.685716705942915</v>
      </c>
      <c r="BC15" s="38">
        <f t="shared" si="27"/>
        <v>8.0674383200059019</v>
      </c>
      <c r="BD15" s="18">
        <f>IF(ISNUMBER(LININTERP(AW15,Permissible_Shear!$T$178:$T$188,Permissible_Shear!$V$178:$V$188)),LININTERP(AW15,Permissible_Shear!$T$178:$T$188,Permissible_Shear!$V$178:$V$188),0)</f>
        <v>3.9736640853777634</v>
      </c>
      <c r="BE15" s="18">
        <f>LININTERP(AW15,Permissible_Shear!$S$205:$S$222,Permissible_Shear!$V$205:$V$222)</f>
        <v>4.0379750000000048</v>
      </c>
      <c r="BF15" s="18">
        <f>INDEX($AZ$3:$BE$204,ROW(BF15)-2,MATCH(XS_Analyzer!$S$5,XS_AnalyzerSummary!$AZ$2:$BE$2,0))</f>
        <v>4.685716705942915</v>
      </c>
      <c r="BG15" s="26">
        <f t="shared" si="28"/>
        <v>0</v>
      </c>
      <c r="BH15" s="26">
        <f t="shared" si="29"/>
        <v>0</v>
      </c>
      <c r="BI15" s="26">
        <f t="shared" si="30"/>
        <v>2.287969184007776</v>
      </c>
      <c r="BJ15" s="26">
        <f t="shared" si="31"/>
        <v>0</v>
      </c>
      <c r="BK15" s="26">
        <f t="shared" si="32"/>
        <v>0</v>
      </c>
      <c r="BL15" s="26">
        <f t="shared" si="33"/>
        <v>1.1921520000000017</v>
      </c>
      <c r="BM15" s="18">
        <f t="shared" si="34"/>
        <v>0</v>
      </c>
      <c r="BN15" s="18">
        <f t="shared" si="35"/>
        <v>0</v>
      </c>
      <c r="BO15" s="18">
        <f t="shared" si="36"/>
        <v>1.9105000000000028</v>
      </c>
    </row>
    <row r="16" spans="1:67" ht="15">
      <c r="A16" s="7"/>
      <c r="B16" s="7"/>
      <c r="C16" s="25" t="s">
        <v>279</v>
      </c>
      <c r="D16" s="23"/>
      <c r="E16" s="17">
        <f t="shared" ref="E16:F16" si="53">SUM(E3:E4)</f>
        <v>0</v>
      </c>
      <c r="F16" s="17">
        <f t="shared" si="53"/>
        <v>0</v>
      </c>
      <c r="G16" s="17">
        <f t="shared" si="41"/>
        <v>0</v>
      </c>
      <c r="H16" s="84">
        <f>SUM(H3:H4)</f>
        <v>0</v>
      </c>
      <c r="I16" s="53">
        <f t="shared" si="42"/>
        <v>0</v>
      </c>
      <c r="J16" s="53">
        <f>XS_Analyzer_Calculations!$I$7</f>
        <v>0.01</v>
      </c>
      <c r="K16" s="18">
        <f t="shared" si="43"/>
        <v>0</v>
      </c>
      <c r="L16" s="38">
        <f>K16*XS_Analyzer_Calculations!$I$7^0.5</f>
        <v>0</v>
      </c>
      <c r="M16" s="18">
        <f t="shared" si="44"/>
        <v>0</v>
      </c>
      <c r="N16" s="18">
        <f>XS_Analyzer_Calculations!$K$4</f>
        <v>5</v>
      </c>
      <c r="O16" s="17">
        <f>SUM(O3:O4)</f>
        <v>0</v>
      </c>
      <c r="P16" s="6" t="s">
        <v>342</v>
      </c>
      <c r="Q16" s="6" t="s">
        <v>342</v>
      </c>
      <c r="R16" s="17">
        <f>MAX(R3:R4)</f>
        <v>2</v>
      </c>
      <c r="S16" s="18">
        <f t="shared" si="45"/>
        <v>0</v>
      </c>
      <c r="T16" s="9"/>
      <c r="U16" s="17">
        <f t="shared" si="46"/>
        <v>0</v>
      </c>
      <c r="V16" s="17">
        <f t="shared" si="47"/>
        <v>0</v>
      </c>
      <c r="W16" s="17">
        <f t="shared" si="48"/>
        <v>0</v>
      </c>
      <c r="X16" s="17">
        <f t="shared" si="49"/>
        <v>0</v>
      </c>
      <c r="Z16" s="17">
        <f t="shared" si="50"/>
        <v>0</v>
      </c>
      <c r="AA16" s="17">
        <f t="shared" si="51"/>
        <v>0</v>
      </c>
      <c r="AB16" s="17">
        <f t="shared" si="52"/>
        <v>5</v>
      </c>
      <c r="AD16" s="32">
        <v>12</v>
      </c>
      <c r="AE16" s="25" t="str">
        <f t="shared" si="13"/>
        <v>Left</v>
      </c>
      <c r="AF16" s="25" t="str">
        <f t="shared" si="14"/>
        <v>Channel</v>
      </c>
      <c r="AG16" s="32" t="str">
        <f>IF(XS_AnalyzerSummary!$AB$24&gt;=XS_AnalyzerSummary!AD16,"Y","N")</f>
        <v>Y</v>
      </c>
      <c r="AH16" s="38">
        <v>1</v>
      </c>
      <c r="AI16" s="38">
        <f>IF(AG16="Y",$O$19/XS_AnalyzerSummary!$AB$24,0)</f>
        <v>4.4999999999999998E-2</v>
      </c>
      <c r="AJ16" s="38">
        <f t="shared" si="15"/>
        <v>4.4999999999999998E-2</v>
      </c>
      <c r="AK16" s="93">
        <f t="shared" si="37"/>
        <v>1.5849999999999991</v>
      </c>
      <c r="AL16" s="93">
        <f>IF(AG16="Y",LININTERP(AK16,XS_Analyzer_Calculations!$AY$4:$AY$104,XS_Analyzer_Calculations!$AZ$4:$AZ$104),AL15)</f>
        <v>2.5612500000000007</v>
      </c>
      <c r="AM16" s="38">
        <f t="shared" si="16"/>
        <v>2.4387499999999993</v>
      </c>
      <c r="AN16" s="18">
        <f t="shared" si="17"/>
        <v>0.10898437499999995</v>
      </c>
      <c r="AO16" s="100">
        <f t="shared" si="18"/>
        <v>5.6249999999999911E-2</v>
      </c>
      <c r="AP16" s="100">
        <f t="shared" si="19"/>
        <v>1.9375000000000022</v>
      </c>
      <c r="AQ16" s="18">
        <f t="shared" si="20"/>
        <v>1.7787811838447108E-3</v>
      </c>
      <c r="AR16" s="32">
        <f>IFERROR(IF(AG16="Y",VLOOKUP(AK16,XS_Analyzer_Calculations!$R$5:$T$104,3,TRUE),0),0)</f>
        <v>0.1</v>
      </c>
      <c r="AS16" s="198">
        <f t="shared" si="21"/>
        <v>0.01</v>
      </c>
      <c r="AT16" s="18">
        <f t="shared" si="22"/>
        <v>2.5169669997817676</v>
      </c>
      <c r="AU16" s="38">
        <f>AT16*XS_Analyzer_Calculations!$I$7^0.5</f>
        <v>0.25169669997817679</v>
      </c>
      <c r="AV16" s="18">
        <f t="shared" si="38"/>
        <v>2.3094750965739528</v>
      </c>
      <c r="AW16" s="18">
        <f t="shared" si="23"/>
        <v>1.2090000000000014</v>
      </c>
      <c r="AX16" s="18">
        <f t="shared" si="24"/>
        <v>5</v>
      </c>
      <c r="AY16" s="32">
        <f t="shared" si="25"/>
        <v>2.4218749999999991</v>
      </c>
      <c r="AZ16" s="18">
        <f>((AS16*AP16)/(1.65*XS_Analyzer!$Q$72))*12</f>
        <v>5.567525479793451</v>
      </c>
      <c r="BA16" s="18">
        <f>(AW16/((1.65*62.4)*XS_Analyzer!$Q$73))*12</f>
        <v>3.131313131313135</v>
      </c>
      <c r="BB16" s="18">
        <f t="shared" si="26"/>
        <v>4.7542544556317639</v>
      </c>
      <c r="BC16" s="38">
        <f t="shared" si="27"/>
        <v>8.1505524781570653</v>
      </c>
      <c r="BD16" s="18">
        <f>IF(ISNUMBER(LININTERP(AW16,Permissible_Shear!$T$178:$T$188,Permissible_Shear!$V$178:$V$188)),LININTERP(AW16,Permissible_Shear!$T$178:$T$188,Permissible_Shear!$V$178:$V$188),0)</f>
        <v>4.0262901021669864</v>
      </c>
      <c r="BE16" s="18">
        <f>LININTERP(AW16,Permissible_Shear!$S$205:$S$222,Permissible_Shear!$V$205:$V$222)</f>
        <v>4.0906250000000046</v>
      </c>
      <c r="BF16" s="18">
        <f>INDEX($AZ$3:$BE$204,ROW(BF16)-2,MATCH(XS_Analyzer!$S$5,XS_AnalyzerSummary!$AZ$2:$BE$2,0))</f>
        <v>4.7542544556317639</v>
      </c>
      <c r="BG16" s="26">
        <f t="shared" si="28"/>
        <v>0</v>
      </c>
      <c r="BH16" s="26">
        <f t="shared" si="29"/>
        <v>0</v>
      </c>
      <c r="BI16" s="26">
        <f t="shared" si="30"/>
        <v>2.3094750965739528</v>
      </c>
      <c r="BJ16" s="26">
        <f t="shared" si="31"/>
        <v>0</v>
      </c>
      <c r="BK16" s="26">
        <f t="shared" si="32"/>
        <v>0</v>
      </c>
      <c r="BL16" s="26">
        <f t="shared" si="33"/>
        <v>1.2090000000000014</v>
      </c>
      <c r="BM16" s="18">
        <f t="shared" si="34"/>
        <v>0</v>
      </c>
      <c r="BN16" s="18">
        <f t="shared" si="35"/>
        <v>0</v>
      </c>
      <c r="BO16" s="18">
        <f t="shared" si="36"/>
        <v>1.9375000000000022</v>
      </c>
    </row>
    <row r="17" spans="1:67" ht="15">
      <c r="A17" s="7"/>
      <c r="B17" s="7"/>
      <c r="C17" s="25" t="s">
        <v>280</v>
      </c>
      <c r="D17" s="23"/>
      <c r="E17" s="17">
        <f t="shared" ref="E17:F17" si="54">SUM(E10:E11)</f>
        <v>0</v>
      </c>
      <c r="F17" s="17">
        <f t="shared" si="54"/>
        <v>0</v>
      </c>
      <c r="G17" s="17">
        <f t="shared" si="41"/>
        <v>0</v>
      </c>
      <c r="H17" s="84">
        <f>SUM(H10:H11)</f>
        <v>0</v>
      </c>
      <c r="I17" s="53">
        <f t="shared" si="42"/>
        <v>0</v>
      </c>
      <c r="J17" s="53">
        <f>XS_Analyzer_Calculations!$I$7</f>
        <v>0.01</v>
      </c>
      <c r="K17" s="18">
        <f t="shared" si="43"/>
        <v>0</v>
      </c>
      <c r="L17" s="38">
        <f>K17*XS_Analyzer_Calculations!$I$7^0.5</f>
        <v>0</v>
      </c>
      <c r="M17" s="18">
        <f t="shared" si="44"/>
        <v>0</v>
      </c>
      <c r="N17" s="18">
        <f>XS_Analyzer_Calculations!$K$4</f>
        <v>5</v>
      </c>
      <c r="O17" s="17">
        <f>SUM(O10:O11)</f>
        <v>0</v>
      </c>
      <c r="P17" s="6" t="s">
        <v>342</v>
      </c>
      <c r="Q17" s="6" t="s">
        <v>342</v>
      </c>
      <c r="R17" s="17">
        <f>MAX(R10:R11)</f>
        <v>0</v>
      </c>
      <c r="S17" s="18">
        <f t="shared" si="45"/>
        <v>0</v>
      </c>
      <c r="U17" s="17">
        <f t="shared" si="46"/>
        <v>0</v>
      </c>
      <c r="V17" s="17">
        <f t="shared" si="47"/>
        <v>0</v>
      </c>
      <c r="W17" s="17">
        <f t="shared" si="48"/>
        <v>0</v>
      </c>
      <c r="X17" s="17">
        <f t="shared" si="49"/>
        <v>0</v>
      </c>
      <c r="Y17" s="7"/>
      <c r="Z17" s="17">
        <f t="shared" si="50"/>
        <v>0</v>
      </c>
      <c r="AA17" s="17">
        <f t="shared" si="51"/>
        <v>0</v>
      </c>
      <c r="AB17" s="17">
        <f t="shared" si="52"/>
        <v>5</v>
      </c>
      <c r="AD17" s="32">
        <v>13</v>
      </c>
      <c r="AE17" s="25" t="str">
        <f t="shared" si="13"/>
        <v>Left</v>
      </c>
      <c r="AF17" s="25" t="str">
        <f t="shared" si="14"/>
        <v>Channel</v>
      </c>
      <c r="AG17" s="32" t="str">
        <f>IF(XS_AnalyzerSummary!$AB$24&gt;=XS_AnalyzerSummary!AD17,"Y","N")</f>
        <v>Y</v>
      </c>
      <c r="AH17" s="38">
        <v>1</v>
      </c>
      <c r="AI17" s="38">
        <f>IF(AG17="Y",$O$19/XS_AnalyzerSummary!$AB$24,0)</f>
        <v>4.4999999999999998E-2</v>
      </c>
      <c r="AJ17" s="38">
        <f t="shared" si="15"/>
        <v>4.4999999999999998E-2</v>
      </c>
      <c r="AK17" s="93">
        <f t="shared" si="37"/>
        <v>1.629999999999999</v>
      </c>
      <c r="AL17" s="93">
        <f>IF(AG17="Y",LININTERP(AK17,XS_Analyzer_Calculations!$AY$4:$AY$104,XS_Analyzer_Calculations!$AZ$4:$AZ$104),AL16)</f>
        <v>2.5275000000000007</v>
      </c>
      <c r="AM17" s="38">
        <f t="shared" si="16"/>
        <v>2.4724999999999993</v>
      </c>
      <c r="AN17" s="18">
        <f t="shared" si="17"/>
        <v>0.11050312499999998</v>
      </c>
      <c r="AO17" s="100">
        <f t="shared" si="18"/>
        <v>5.6249999999999911E-2</v>
      </c>
      <c r="AP17" s="100">
        <f t="shared" si="19"/>
        <v>1.9645000000000028</v>
      </c>
      <c r="AQ17" s="18">
        <f t="shared" si="20"/>
        <v>1.7787811838447108E-3</v>
      </c>
      <c r="AR17" s="32">
        <f>IFERROR(IF(AG17="Y",VLOOKUP(AK17,XS_Analyzer_Calculations!$R$5:$T$104,3,TRUE),0),0)</f>
        <v>0.1</v>
      </c>
      <c r="AS17" s="198">
        <f t="shared" si="21"/>
        <v>0.01</v>
      </c>
      <c r="AT17" s="18">
        <f t="shared" si="22"/>
        <v>2.575696719212301</v>
      </c>
      <c r="AU17" s="38">
        <f>AT17*XS_Analyzer_Calculations!$I$7^0.5</f>
        <v>0.25756967192123009</v>
      </c>
      <c r="AV17" s="18">
        <f t="shared" si="38"/>
        <v>2.3308813386158098</v>
      </c>
      <c r="AW17" s="18">
        <f t="shared" si="23"/>
        <v>1.2258480000000018</v>
      </c>
      <c r="AX17" s="18">
        <f t="shared" si="24"/>
        <v>5</v>
      </c>
      <c r="AY17" s="32">
        <f t="shared" si="25"/>
        <v>2.4556249999999995</v>
      </c>
      <c r="AZ17" s="18">
        <f>((AS17*AP17)/(1.65*XS_Analyzer!$Q$72))*12</f>
        <v>5.6451116413183158</v>
      </c>
      <c r="BA17" s="18">
        <f>(AW17/((1.65*62.4)*XS_Analyzer!$Q$73))*12</f>
        <v>3.1749494949495003</v>
      </c>
      <c r="BB17" s="18">
        <f t="shared" si="26"/>
        <v>4.8228320550543007</v>
      </c>
      <c r="BC17" s="38">
        <f t="shared" si="27"/>
        <v>8.2333629478827888</v>
      </c>
      <c r="BD17" s="18">
        <f>IF(ISNUMBER(LININTERP(AW17,Permissible_Shear!$T$178:$T$188,Permissible_Shear!$V$178:$V$188)),LININTERP(AW17,Permissible_Shear!$T$178:$T$188,Permissible_Shear!$V$178:$V$188),0)</f>
        <v>4.0789161189562115</v>
      </c>
      <c r="BE17" s="18">
        <f>LININTERP(AW17,Permissible_Shear!$S$205:$S$222,Permissible_Shear!$V$205:$V$222)</f>
        <v>4.1432750000000054</v>
      </c>
      <c r="BF17" s="18">
        <f>INDEX($AZ$3:$BE$204,ROW(BF17)-2,MATCH(XS_Analyzer!$S$5,XS_AnalyzerSummary!$AZ$2:$BE$2,0))</f>
        <v>4.8228320550543007</v>
      </c>
      <c r="BG17" s="26">
        <f t="shared" si="28"/>
        <v>0</v>
      </c>
      <c r="BH17" s="26">
        <f t="shared" si="29"/>
        <v>0</v>
      </c>
      <c r="BI17" s="26">
        <f t="shared" si="30"/>
        <v>2.3308813386158098</v>
      </c>
      <c r="BJ17" s="26">
        <f t="shared" si="31"/>
        <v>0</v>
      </c>
      <c r="BK17" s="26">
        <f t="shared" si="32"/>
        <v>0</v>
      </c>
      <c r="BL17" s="26">
        <f t="shared" si="33"/>
        <v>1.2258480000000018</v>
      </c>
      <c r="BM17" s="18">
        <f t="shared" si="34"/>
        <v>0</v>
      </c>
      <c r="BN17" s="18">
        <f t="shared" si="35"/>
        <v>0</v>
      </c>
      <c r="BO17" s="18">
        <f t="shared" si="36"/>
        <v>1.9645000000000028</v>
      </c>
    </row>
    <row r="18" spans="1:67" ht="15">
      <c r="A18" s="9"/>
      <c r="B18" s="9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D18" s="32">
        <v>14</v>
      </c>
      <c r="AE18" s="25" t="str">
        <f t="shared" si="13"/>
        <v>Left</v>
      </c>
      <c r="AF18" s="25" t="str">
        <f t="shared" si="14"/>
        <v>Channel</v>
      </c>
      <c r="AG18" s="32" t="str">
        <f>IF(XS_AnalyzerSummary!$AB$24&gt;=XS_AnalyzerSummary!AD18,"Y","N")</f>
        <v>Y</v>
      </c>
      <c r="AH18" s="38">
        <v>1</v>
      </c>
      <c r="AI18" s="38">
        <f>IF(AG18="Y",$O$19/XS_AnalyzerSummary!$AB$24,0)</f>
        <v>4.4999999999999998E-2</v>
      </c>
      <c r="AJ18" s="38">
        <f t="shared" si="15"/>
        <v>4.4999999999999998E-2</v>
      </c>
      <c r="AK18" s="93">
        <f t="shared" si="37"/>
        <v>1.6749999999999989</v>
      </c>
      <c r="AL18" s="93">
        <f>IF(AG18="Y",LININTERP(AK18,XS_Analyzer_Calculations!$AY$4:$AY$104,XS_Analyzer_Calculations!$AZ$4:$AZ$104),AL17)</f>
        <v>2.4937500000000008</v>
      </c>
      <c r="AM18" s="38">
        <f t="shared" si="16"/>
        <v>2.5062499999999992</v>
      </c>
      <c r="AN18" s="18">
        <f t="shared" si="17"/>
        <v>0.11202187499999995</v>
      </c>
      <c r="AO18" s="100">
        <f t="shared" si="18"/>
        <v>5.6249999999999911E-2</v>
      </c>
      <c r="AP18" s="100">
        <f t="shared" si="19"/>
        <v>1.9915000000000023</v>
      </c>
      <c r="AQ18" s="18">
        <f t="shared" si="20"/>
        <v>1.7787811838447108E-3</v>
      </c>
      <c r="AR18" s="32">
        <f>IFERROR(IF(AG18="Y",VLOOKUP(AK18,XS_Analyzer_Calculations!$R$5:$T$104,3,TRUE),0),0)</f>
        <v>0.1</v>
      </c>
      <c r="AS18" s="198">
        <f t="shared" si="21"/>
        <v>0.01</v>
      </c>
      <c r="AT18" s="18">
        <f t="shared" si="22"/>
        <v>2.634967041972049</v>
      </c>
      <c r="AU18" s="38">
        <f>AT18*XS_Analyzer_Calculations!$I$7^0.5</f>
        <v>0.26349670419720489</v>
      </c>
      <c r="AV18" s="18">
        <f t="shared" si="38"/>
        <v>2.352189732560761</v>
      </c>
      <c r="AW18" s="18">
        <f t="shared" si="23"/>
        <v>1.2426960000000014</v>
      </c>
      <c r="AX18" s="18">
        <f t="shared" si="24"/>
        <v>5</v>
      </c>
      <c r="AY18" s="32">
        <f t="shared" si="25"/>
        <v>2.489374999999999</v>
      </c>
      <c r="AZ18" s="18">
        <f>((AS18*AP18)/(1.65*XS_Analyzer!$Q$72))*12</f>
        <v>5.7226978028431779</v>
      </c>
      <c r="BA18" s="18">
        <f>(AW18/((1.65*62.4)*XS_Analyzer!$Q$73))*12</f>
        <v>3.218585858585862</v>
      </c>
      <c r="BB18" s="18">
        <f t="shared" si="26"/>
        <v>4.8914489829197016</v>
      </c>
      <c r="BC18" s="38">
        <f t="shared" si="27"/>
        <v>8.3158749619078627</v>
      </c>
      <c r="BD18" s="18">
        <f>IF(ISNUMBER(LININTERP(AW18,Permissible_Shear!$T$178:$T$188,Permissible_Shear!$V$178:$V$188)),LININTERP(AW18,Permissible_Shear!$T$178:$T$188,Permissible_Shear!$V$178:$V$188),0)</f>
        <v>4.1315421357454332</v>
      </c>
      <c r="BE18" s="18">
        <f>LININTERP(AW18,Permissible_Shear!$S$205:$S$222,Permissible_Shear!$V$205:$V$222)</f>
        <v>4.1959250000000043</v>
      </c>
      <c r="BF18" s="18">
        <f>INDEX($AZ$3:$BE$204,ROW(BF18)-2,MATCH(XS_Analyzer!$S$5,XS_AnalyzerSummary!$AZ$2:$BE$2,0))</f>
        <v>4.8914489829197016</v>
      </c>
      <c r="BG18" s="26">
        <f t="shared" si="28"/>
        <v>0</v>
      </c>
      <c r="BH18" s="26">
        <f t="shared" si="29"/>
        <v>0</v>
      </c>
      <c r="BI18" s="26">
        <f t="shared" si="30"/>
        <v>2.352189732560761</v>
      </c>
      <c r="BJ18" s="26">
        <f t="shared" si="31"/>
        <v>0</v>
      </c>
      <c r="BK18" s="26">
        <f t="shared" si="32"/>
        <v>0</v>
      </c>
      <c r="BL18" s="26">
        <f t="shared" si="33"/>
        <v>1.2426960000000014</v>
      </c>
      <c r="BM18" s="18">
        <f t="shared" si="34"/>
        <v>0</v>
      </c>
      <c r="BN18" s="18">
        <f t="shared" si="35"/>
        <v>0</v>
      </c>
      <c r="BO18" s="18">
        <f t="shared" si="36"/>
        <v>1.9915000000000023</v>
      </c>
    </row>
    <row r="19" spans="1:67" ht="15">
      <c r="A19" s="7"/>
      <c r="B19" s="7"/>
      <c r="C19" s="25" t="s">
        <v>341</v>
      </c>
      <c r="D19" s="23"/>
      <c r="E19" s="90">
        <f t="shared" ref="E19:F19" si="55">SUM(E15:E17)</f>
        <v>31.5</v>
      </c>
      <c r="F19" s="90">
        <f t="shared" si="55"/>
        <v>12.830951894845301</v>
      </c>
      <c r="G19" s="90">
        <f>IF(ISNUMBER(E19/F19),E19/F19,0)</f>
        <v>2.4550010208248692</v>
      </c>
      <c r="H19" s="142">
        <f>SUM(H15:H17)</f>
        <v>0.40575032535764438</v>
      </c>
      <c r="I19" s="114">
        <f>IF(ISNUMBER(((SUM(H19)/F19)^(2/3))),(((SUM(H19)/F19)^(2/3))),0)</f>
        <v>0.10000000000000002</v>
      </c>
      <c r="J19" s="114">
        <f>XS_Analyzer_Calculations!$I$7</f>
        <v>0.01</v>
      </c>
      <c r="K19" s="17">
        <f>SUM(K15:K17)</f>
        <v>851.8513472049533</v>
      </c>
      <c r="L19" s="38">
        <f>K19*XS_Analyzer_Calculations!$I$7^0.5</f>
        <v>85.185134720495341</v>
      </c>
      <c r="M19" s="18">
        <f>IF(ISNUMBER(L19/E19),L19/E19,0)</f>
        <v>2.7042899911268363</v>
      </c>
      <c r="N19" s="18">
        <f>XS_Analyzer_Calculations!$K$4</f>
        <v>5</v>
      </c>
      <c r="O19" s="17">
        <f>SUM(O15:O17)</f>
        <v>9</v>
      </c>
      <c r="P19" s="6" t="s">
        <v>342</v>
      </c>
      <c r="Q19" s="6" t="s">
        <v>342</v>
      </c>
      <c r="R19" s="182">
        <f>MAX(R15:R17)</f>
        <v>5</v>
      </c>
      <c r="S19" s="18">
        <f>IF(ISNUMBER(E19/O19),E19/O19,0)</f>
        <v>3.5</v>
      </c>
      <c r="U19" s="17">
        <f>62.4*G19*J19</f>
        <v>1.5319206369947185</v>
      </c>
      <c r="V19" s="17">
        <f>((77.966*(U19^1.042)))*0.0393701</f>
        <v>4.7872704320990875</v>
      </c>
      <c r="W19" s="17">
        <f>((152.02*(U19^0.7355)))*0.0393701</f>
        <v>8.1904642733088426</v>
      </c>
      <c r="X19" s="17">
        <f>62.4*J19*L19</f>
        <v>53.155524065589091</v>
      </c>
      <c r="Y19" s="7"/>
      <c r="Z19" s="17">
        <f>IF(ISNUMBER(M19/(SQRT(S19*32.2))),M19/(SQRT(S19*32.2)),0)</f>
        <v>0.25473657350695739</v>
      </c>
      <c r="AA19" s="17">
        <f>(M19^2)/(2*32.2)</f>
        <v>0.11355876329361467</v>
      </c>
      <c r="AB19" s="17">
        <f>AA19+N19</f>
        <v>5.1135587632936144</v>
      </c>
      <c r="AD19" s="32">
        <v>15</v>
      </c>
      <c r="AE19" s="25" t="str">
        <f t="shared" si="13"/>
        <v>Left</v>
      </c>
      <c r="AF19" s="25" t="str">
        <f t="shared" si="14"/>
        <v>Channel</v>
      </c>
      <c r="AG19" s="32" t="str">
        <f>IF(XS_AnalyzerSummary!$AB$24&gt;=XS_AnalyzerSummary!AD19,"Y","N")</f>
        <v>Y</v>
      </c>
      <c r="AH19" s="38">
        <v>1</v>
      </c>
      <c r="AI19" s="38">
        <f>IF(AG19="Y",$O$19/XS_AnalyzerSummary!$AB$24,0)</f>
        <v>4.4999999999999998E-2</v>
      </c>
      <c r="AJ19" s="38">
        <f t="shared" si="15"/>
        <v>4.4999999999999998E-2</v>
      </c>
      <c r="AK19" s="93">
        <f t="shared" si="37"/>
        <v>1.7199999999999989</v>
      </c>
      <c r="AL19" s="93">
        <f>IF(AG19="Y",LININTERP(AK19,XS_Analyzer_Calculations!$AY$4:$AY$104,XS_Analyzer_Calculations!$AZ$4:$AZ$104),AL18)</f>
        <v>2.4600000000000009</v>
      </c>
      <c r="AM19" s="38">
        <f t="shared" si="16"/>
        <v>2.5399999999999991</v>
      </c>
      <c r="AN19" s="18">
        <f t="shared" si="17"/>
        <v>0.11354062499999996</v>
      </c>
      <c r="AO19" s="100">
        <f t="shared" si="18"/>
        <v>5.6249999999999911E-2</v>
      </c>
      <c r="AP19" s="100">
        <f t="shared" si="19"/>
        <v>2.0185000000000026</v>
      </c>
      <c r="AQ19" s="18">
        <f t="shared" si="20"/>
        <v>1.7787811838447108E-3</v>
      </c>
      <c r="AR19" s="32">
        <f>IFERROR(IF(AG19="Y",VLOOKUP(AK19,XS_Analyzer_Calculations!$R$5:$T$104,3,TRUE),0),0)</f>
        <v>0.1</v>
      </c>
      <c r="AS19" s="198">
        <f t="shared" si="21"/>
        <v>0.01</v>
      </c>
      <c r="AT19" s="18">
        <f t="shared" si="22"/>
        <v>2.694775513736678</v>
      </c>
      <c r="AU19" s="38">
        <f>AT19*XS_Analyzer_Calculations!$I$7^0.5</f>
        <v>0.2694775513736678</v>
      </c>
      <c r="AV19" s="18">
        <f t="shared" si="38"/>
        <v>2.373402043309766</v>
      </c>
      <c r="AW19" s="18">
        <f t="shared" si="23"/>
        <v>1.2595440000000016</v>
      </c>
      <c r="AX19" s="18">
        <f t="shared" si="24"/>
        <v>5</v>
      </c>
      <c r="AY19" s="32">
        <f t="shared" si="25"/>
        <v>2.5231249999999994</v>
      </c>
      <c r="AZ19" s="18">
        <f>((AS19*AP19)/(1.65*XS_Analyzer!$Q$72))*12</f>
        <v>5.8002839643680426</v>
      </c>
      <c r="BA19" s="18">
        <f>(AW19/((1.65*62.4)*XS_Analyzer!$Q$73))*12</f>
        <v>3.2622222222222268</v>
      </c>
      <c r="BB19" s="18">
        <f t="shared" si="26"/>
        <v>4.9601047316872267</v>
      </c>
      <c r="BC19" s="38">
        <f t="shared" si="27"/>
        <v>8.3980935936575545</v>
      </c>
      <c r="BD19" s="18">
        <f>IF(ISNUMBER(LININTERP(AW19,Permissible_Shear!$T$178:$T$188,Permissible_Shear!$V$178:$V$188)),LININTERP(AW19,Permissible_Shear!$T$178:$T$188,Permissible_Shear!$V$178:$V$188),0)</f>
        <v>4.1841681525346575</v>
      </c>
      <c r="BE19" s="18">
        <f>LININTERP(AW19,Permissible_Shear!$S$205:$S$222,Permissible_Shear!$V$205:$V$222)</f>
        <v>4.2485750000000051</v>
      </c>
      <c r="BF19" s="18">
        <f>INDEX($AZ$3:$BE$204,ROW(BF19)-2,MATCH(XS_Analyzer!$S$5,XS_AnalyzerSummary!$AZ$2:$BE$2,0))</f>
        <v>4.9601047316872267</v>
      </c>
      <c r="BG19" s="26">
        <f t="shared" si="28"/>
        <v>0</v>
      </c>
      <c r="BH19" s="26">
        <f t="shared" si="29"/>
        <v>0</v>
      </c>
      <c r="BI19" s="26">
        <f t="shared" si="30"/>
        <v>2.373402043309766</v>
      </c>
      <c r="BJ19" s="26">
        <f t="shared" si="31"/>
        <v>0</v>
      </c>
      <c r="BK19" s="26">
        <f t="shared" si="32"/>
        <v>0</v>
      </c>
      <c r="BL19" s="26">
        <f t="shared" si="33"/>
        <v>1.2595440000000016</v>
      </c>
      <c r="BM19" s="18">
        <f t="shared" si="34"/>
        <v>0</v>
      </c>
      <c r="BN19" s="18">
        <f t="shared" si="35"/>
        <v>0</v>
      </c>
      <c r="BO19" s="18">
        <f t="shared" si="36"/>
        <v>2.0185000000000026</v>
      </c>
    </row>
    <row r="20" spans="1:67" ht="15">
      <c r="A20" s="7"/>
      <c r="B20" s="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P20" s="9"/>
      <c r="S20" s="9"/>
      <c r="V20" s="7"/>
      <c r="W20" s="7"/>
      <c r="AB20" s="7"/>
      <c r="AD20" s="32">
        <v>16</v>
      </c>
      <c r="AE20" s="25" t="str">
        <f t="shared" si="13"/>
        <v>Left</v>
      </c>
      <c r="AF20" s="25" t="str">
        <f t="shared" si="14"/>
        <v>Channel</v>
      </c>
      <c r="AG20" s="32" t="str">
        <f>IF(XS_AnalyzerSummary!$AB$24&gt;=XS_AnalyzerSummary!AD20,"Y","N")</f>
        <v>Y</v>
      </c>
      <c r="AH20" s="38">
        <v>1</v>
      </c>
      <c r="AI20" s="38">
        <f>IF(AG20="Y",$O$19/XS_AnalyzerSummary!$AB$24,0)</f>
        <v>4.4999999999999998E-2</v>
      </c>
      <c r="AJ20" s="38">
        <f t="shared" si="15"/>
        <v>4.4999999999999998E-2</v>
      </c>
      <c r="AK20" s="93">
        <f t="shared" si="37"/>
        <v>1.7649999999999988</v>
      </c>
      <c r="AL20" s="93">
        <f>IF(AG20="Y",LININTERP(AK20,XS_Analyzer_Calculations!$AY$4:$AY$104,XS_Analyzer_Calculations!$AZ$4:$AZ$104),AL19)</f>
        <v>2.4262500000000009</v>
      </c>
      <c r="AM20" s="38">
        <f t="shared" si="16"/>
        <v>2.5737499999999991</v>
      </c>
      <c r="AN20" s="18">
        <f t="shared" si="17"/>
        <v>0.11505937499999995</v>
      </c>
      <c r="AO20" s="100">
        <f t="shared" si="18"/>
        <v>5.6249999999999911E-2</v>
      </c>
      <c r="AP20" s="100">
        <f t="shared" si="19"/>
        <v>2.0455000000000023</v>
      </c>
      <c r="AQ20" s="18">
        <f t="shared" si="20"/>
        <v>1.7787811838447108E-3</v>
      </c>
      <c r="AR20" s="32">
        <f>IFERROR(IF(AG20="Y",VLOOKUP(AK20,XS_Analyzer_Calculations!$R$5:$T$104,3,TRUE),0),0)</f>
        <v>0.1</v>
      </c>
      <c r="AS20" s="198">
        <f t="shared" si="21"/>
        <v>0.01</v>
      </c>
      <c r="AT20" s="18">
        <f t="shared" si="22"/>
        <v>2.755119724154985</v>
      </c>
      <c r="AU20" s="38">
        <f>AT20*XS_Analyzer_Calculations!$I$7^0.5</f>
        <v>0.27551197241549852</v>
      </c>
      <c r="AV20" s="18">
        <f t="shared" si="38"/>
        <v>2.3945199807968591</v>
      </c>
      <c r="AW20" s="18">
        <f t="shared" si="23"/>
        <v>1.2763920000000015</v>
      </c>
      <c r="AX20" s="18">
        <f t="shared" si="24"/>
        <v>5</v>
      </c>
      <c r="AY20" s="32">
        <f t="shared" si="25"/>
        <v>2.5568749999999989</v>
      </c>
      <c r="AZ20" s="18">
        <f>((AS20*AP20)/(1.65*XS_Analyzer!$Q$72))*12</f>
        <v>5.8778701258929056</v>
      </c>
      <c r="BA20" s="18">
        <f>(AW20/((1.65*62.4)*XS_Analyzer!$Q$73))*12</f>
        <v>3.3058585858585898</v>
      </c>
      <c r="BB20" s="18">
        <f t="shared" si="26"/>
        <v>5.0287988070255611</v>
      </c>
      <c r="BC20" s="38">
        <f t="shared" si="27"/>
        <v>8.4800237641561402</v>
      </c>
      <c r="BD20" s="18">
        <f>IF(ISNUMBER(LININTERP(AW20,Permissible_Shear!$T$178:$T$188,Permissible_Shear!$V$178:$V$188)),LININTERP(AW20,Permissible_Shear!$T$178:$T$188,Permissible_Shear!$V$178:$V$188),0)</f>
        <v>4.2367941693238818</v>
      </c>
      <c r="BE20" s="18">
        <f>LININTERP(AW20,Permissible_Shear!$S$205:$S$222,Permissible_Shear!$V$205:$V$222)</f>
        <v>4.3012250000000041</v>
      </c>
      <c r="BF20" s="18">
        <f>INDEX($AZ$3:$BE$204,ROW(BF20)-2,MATCH(XS_Analyzer!$S$5,XS_AnalyzerSummary!$AZ$2:$BE$2,0))</f>
        <v>5.0287988070255611</v>
      </c>
      <c r="BG20" s="26">
        <f t="shared" si="28"/>
        <v>0</v>
      </c>
      <c r="BH20" s="26">
        <f t="shared" si="29"/>
        <v>0</v>
      </c>
      <c r="BI20" s="26">
        <f t="shared" si="30"/>
        <v>2.3945199807968591</v>
      </c>
      <c r="BJ20" s="26">
        <f t="shared" si="31"/>
        <v>0</v>
      </c>
      <c r="BK20" s="26">
        <f t="shared" si="32"/>
        <v>0</v>
      </c>
      <c r="BL20" s="26">
        <f t="shared" si="33"/>
        <v>1.2763920000000015</v>
      </c>
      <c r="BM20" s="18">
        <f t="shared" si="34"/>
        <v>0</v>
      </c>
      <c r="BN20" s="18">
        <f t="shared" si="35"/>
        <v>0</v>
      </c>
      <c r="BO20" s="18">
        <f t="shared" si="36"/>
        <v>2.0455000000000023</v>
      </c>
    </row>
    <row r="21" spans="1:67" ht="15">
      <c r="A21" s="123" t="str">
        <f t="shared" ref="A21:B25" si="56">B3</f>
        <v/>
      </c>
      <c r="B21" s="6" t="str">
        <f t="shared" si="56"/>
        <v>Left 3rd Stage</v>
      </c>
      <c r="J21" s="23"/>
      <c r="K21" s="23"/>
      <c r="L21" s="23"/>
      <c r="M21" s="23"/>
      <c r="P21" s="9"/>
      <c r="S21" s="9"/>
      <c r="V21" s="7"/>
      <c r="W21" s="7"/>
      <c r="AB21" s="7"/>
      <c r="AD21" s="32">
        <v>17</v>
      </c>
      <c r="AE21" s="25" t="str">
        <f t="shared" si="13"/>
        <v>Left</v>
      </c>
      <c r="AF21" s="25" t="str">
        <f t="shared" si="14"/>
        <v>Channel</v>
      </c>
      <c r="AG21" s="32" t="str">
        <f>IF(XS_AnalyzerSummary!$AB$24&gt;=XS_AnalyzerSummary!AD21,"Y","N")</f>
        <v>Y</v>
      </c>
      <c r="AH21" s="38">
        <v>1</v>
      </c>
      <c r="AI21" s="38">
        <f>IF(AG21="Y",$O$19/XS_AnalyzerSummary!$AB$24,0)</f>
        <v>4.4999999999999998E-2</v>
      </c>
      <c r="AJ21" s="38">
        <f t="shared" si="15"/>
        <v>4.4999999999999998E-2</v>
      </c>
      <c r="AK21" s="93">
        <f t="shared" si="37"/>
        <v>1.8099999999999987</v>
      </c>
      <c r="AL21" s="93">
        <f>IF(AG21="Y",LININTERP(AK21,XS_Analyzer_Calculations!$AY$4:$AY$104,XS_Analyzer_Calculations!$AZ$4:$AZ$104),AL20)</f>
        <v>2.392500000000001</v>
      </c>
      <c r="AM21" s="38">
        <f t="shared" si="16"/>
        <v>2.607499999999999</v>
      </c>
      <c r="AN21" s="18">
        <f t="shared" si="17"/>
        <v>0.11657812499999996</v>
      </c>
      <c r="AO21" s="100">
        <f t="shared" si="18"/>
        <v>5.6249999999999911E-2</v>
      </c>
      <c r="AP21" s="100">
        <f t="shared" si="19"/>
        <v>2.0725000000000025</v>
      </c>
      <c r="AQ21" s="18">
        <f t="shared" si="20"/>
        <v>1.7787811838447108E-3</v>
      </c>
      <c r="AR21" s="32">
        <f>IFERROR(IF(AG21="Y",VLOOKUP(AK21,XS_Analyzer_Calculations!$R$5:$T$104,3,TRUE),0),0)</f>
        <v>0.1</v>
      </c>
      <c r="AS21" s="198">
        <f t="shared" si="21"/>
        <v>0.01</v>
      </c>
      <c r="AT21" s="18">
        <f t="shared" si="22"/>
        <v>2.815997305488406</v>
      </c>
      <c r="AU21" s="38">
        <f>AT21*XS_Analyzer_Calculations!$I$7^0.5</f>
        <v>0.28159973054884063</v>
      </c>
      <c r="AV21" s="18">
        <f t="shared" si="38"/>
        <v>2.4155452024026012</v>
      </c>
      <c r="AW21" s="18">
        <f t="shared" si="23"/>
        <v>1.2932400000000015</v>
      </c>
      <c r="AX21" s="18">
        <f t="shared" si="24"/>
        <v>5</v>
      </c>
      <c r="AY21" s="32">
        <f t="shared" si="25"/>
        <v>2.5906249999999993</v>
      </c>
      <c r="AZ21" s="18">
        <f>((AS21*AP21)/(1.65*XS_Analyzer!$Q$72))*12</f>
        <v>5.9554562874177694</v>
      </c>
      <c r="BA21" s="18">
        <f>(AW21/((1.65*62.4)*XS_Analyzer!$Q$73))*12</f>
        <v>3.3494949494949537</v>
      </c>
      <c r="BB21" s="18">
        <f t="shared" si="26"/>
        <v>5.0975307273002413</v>
      </c>
      <c r="BC21" s="38">
        <f t="shared" si="27"/>
        <v>8.5616702485402865</v>
      </c>
      <c r="BD21" s="18">
        <f>IF(ISNUMBER(LININTERP(AW21,Permissible_Shear!$T$178:$T$188,Permissible_Shear!$V$178:$V$188)),LININTERP(AW21,Permissible_Shear!$T$178:$T$188,Permissible_Shear!$V$178:$V$188),0)</f>
        <v>4.2894201861131052</v>
      </c>
      <c r="BE21" s="18">
        <f>LININTERP(AW21,Permissible_Shear!$S$205:$S$222,Permissible_Shear!$V$205:$V$222)</f>
        <v>4.3538750000000048</v>
      </c>
      <c r="BF21" s="18">
        <f>INDEX($AZ$3:$BE$204,ROW(BF21)-2,MATCH(XS_Analyzer!$S$5,XS_AnalyzerSummary!$AZ$2:$BE$2,0))</f>
        <v>5.0975307273002413</v>
      </c>
      <c r="BG21" s="26">
        <f t="shared" si="28"/>
        <v>0</v>
      </c>
      <c r="BH21" s="26">
        <f t="shared" si="29"/>
        <v>0</v>
      </c>
      <c r="BI21" s="26">
        <f t="shared" si="30"/>
        <v>2.4155452024026012</v>
      </c>
      <c r="BJ21" s="26">
        <f t="shared" si="31"/>
        <v>0</v>
      </c>
      <c r="BK21" s="26">
        <f t="shared" si="32"/>
        <v>0</v>
      </c>
      <c r="BL21" s="26">
        <f t="shared" si="33"/>
        <v>1.2932400000000015</v>
      </c>
      <c r="BM21" s="18">
        <f t="shared" si="34"/>
        <v>0</v>
      </c>
      <c r="BN21" s="18">
        <f t="shared" si="35"/>
        <v>0</v>
      </c>
      <c r="BO21" s="18">
        <f t="shared" si="36"/>
        <v>2.0725000000000025</v>
      </c>
    </row>
    <row r="22" spans="1:67" ht="15">
      <c r="A22" s="123" t="str">
        <f t="shared" si="56"/>
        <v/>
      </c>
      <c r="B22" s="6" t="str">
        <f t="shared" si="56"/>
        <v>Left 2nd Stage</v>
      </c>
      <c r="C22" s="7"/>
      <c r="D22" s="7"/>
      <c r="E22" s="7"/>
      <c r="F22" s="7"/>
      <c r="G22" s="7"/>
      <c r="H22" s="7"/>
      <c r="I22" s="7"/>
      <c r="J22" s="23"/>
      <c r="K22" s="23"/>
      <c r="L22" s="23"/>
      <c r="M22" s="23"/>
      <c r="P22" s="9"/>
      <c r="S22" s="9"/>
      <c r="V22" s="7"/>
      <c r="W22" s="7"/>
      <c r="AB22" s="7"/>
      <c r="AD22" s="32">
        <v>18</v>
      </c>
      <c r="AE22" s="25" t="str">
        <f t="shared" si="13"/>
        <v>Left</v>
      </c>
      <c r="AF22" s="25" t="str">
        <f t="shared" si="14"/>
        <v>Channel</v>
      </c>
      <c r="AG22" s="32" t="str">
        <f>IF(XS_AnalyzerSummary!$AB$24&gt;=XS_AnalyzerSummary!AD22,"Y","N")</f>
        <v>Y</v>
      </c>
      <c r="AH22" s="38">
        <v>1</v>
      </c>
      <c r="AI22" s="38">
        <f>IF(AG22="Y",$O$19/XS_AnalyzerSummary!$AB$24,0)</f>
        <v>4.4999999999999998E-2</v>
      </c>
      <c r="AJ22" s="38">
        <f t="shared" si="15"/>
        <v>4.4999999999999998E-2</v>
      </c>
      <c r="AK22" s="93">
        <f t="shared" si="37"/>
        <v>1.8549999999999986</v>
      </c>
      <c r="AL22" s="93">
        <f>IF(AG22="Y",LININTERP(AK22,XS_Analyzer_Calculations!$AY$4:$AY$104,XS_Analyzer_Calculations!$AZ$4:$AZ$104),AL21)</f>
        <v>2.358750000000001</v>
      </c>
      <c r="AM22" s="38">
        <f t="shared" si="16"/>
        <v>2.641249999999999</v>
      </c>
      <c r="AN22" s="18">
        <f t="shared" si="17"/>
        <v>0.11809687499999993</v>
      </c>
      <c r="AO22" s="100">
        <f t="shared" si="18"/>
        <v>5.6249999999999911E-2</v>
      </c>
      <c r="AP22" s="100">
        <f t="shared" si="19"/>
        <v>2.0995000000000021</v>
      </c>
      <c r="AQ22" s="18">
        <f t="shared" si="20"/>
        <v>1.7787811838447108E-3</v>
      </c>
      <c r="AR22" s="32">
        <f>IFERROR(IF(AG22="Y",VLOOKUP(AK22,XS_Analyzer_Calculations!$R$5:$T$104,3,TRUE),0),0)</f>
        <v>0.1</v>
      </c>
      <c r="AS22" s="198">
        <f t="shared" si="21"/>
        <v>0.01</v>
      </c>
      <c r="AT22" s="18">
        <f t="shared" si="22"/>
        <v>2.8774059313098426</v>
      </c>
      <c r="AU22" s="38">
        <f>AT22*XS_Analyzer_Calculations!$I$7^0.5</f>
        <v>0.28774059313098427</v>
      </c>
      <c r="AV22" s="18">
        <f t="shared" si="38"/>
        <v>2.4364793152315372</v>
      </c>
      <c r="AW22" s="18">
        <f t="shared" si="23"/>
        <v>1.3100880000000013</v>
      </c>
      <c r="AX22" s="18">
        <f t="shared" si="24"/>
        <v>5</v>
      </c>
      <c r="AY22" s="32">
        <f t="shared" si="25"/>
        <v>2.6243749999999988</v>
      </c>
      <c r="AZ22" s="18">
        <f>((AS22*AP22)/(1.65*XS_Analyzer!$Q$72))*12</f>
        <v>6.0330424489426306</v>
      </c>
      <c r="BA22" s="18">
        <f>(AW22/((1.65*62.4)*XS_Analyzer!$Q$73))*12</f>
        <v>3.3931313131313168</v>
      </c>
      <c r="BB22" s="18">
        <f t="shared" si="26"/>
        <v>5.1663000230873379</v>
      </c>
      <c r="BC22" s="38">
        <f t="shared" si="27"/>
        <v>8.6430376822134711</v>
      </c>
      <c r="BD22" s="18">
        <f>IF(ISNUMBER(LININTERP(AW22,Permissible_Shear!$T$178:$T$188,Permissible_Shear!$V$178:$V$188)),LININTERP(AW22,Permissible_Shear!$T$178:$T$188,Permissible_Shear!$V$178:$V$188),0)</f>
        <v>4.3420462029023277</v>
      </c>
      <c r="BE22" s="18">
        <f>LININTERP(AW22,Permissible_Shear!$S$205:$S$222,Permissible_Shear!$V$205:$V$222)</f>
        <v>4.4065250000000038</v>
      </c>
      <c r="BF22" s="18">
        <f>INDEX($AZ$3:$BE$204,ROW(BF22)-2,MATCH(XS_Analyzer!$S$5,XS_AnalyzerSummary!$AZ$2:$BE$2,0))</f>
        <v>5.1663000230873379</v>
      </c>
      <c r="BG22" s="26">
        <f t="shared" si="28"/>
        <v>0</v>
      </c>
      <c r="BH22" s="26">
        <f t="shared" si="29"/>
        <v>0</v>
      </c>
      <c r="BI22" s="26">
        <f t="shared" si="30"/>
        <v>2.4364793152315372</v>
      </c>
      <c r="BJ22" s="26">
        <f t="shared" si="31"/>
        <v>0</v>
      </c>
      <c r="BK22" s="26">
        <f t="shared" si="32"/>
        <v>0</v>
      </c>
      <c r="BL22" s="26">
        <f t="shared" si="33"/>
        <v>1.3100880000000013</v>
      </c>
      <c r="BM22" s="18">
        <f t="shared" si="34"/>
        <v>0</v>
      </c>
      <c r="BN22" s="18">
        <f t="shared" si="35"/>
        <v>0</v>
      </c>
      <c r="BO22" s="18">
        <f t="shared" si="36"/>
        <v>2.0995000000000021</v>
      </c>
    </row>
    <row r="23" spans="1:67" ht="15">
      <c r="A23" s="123">
        <f t="shared" si="56"/>
        <v>1</v>
      </c>
      <c r="B23" s="6" t="str">
        <f t="shared" si="56"/>
        <v>Left Bank</v>
      </c>
      <c r="C23" s="20"/>
      <c r="D23" s="46"/>
      <c r="E23" s="96"/>
      <c r="F23" s="20"/>
      <c r="G23" s="20"/>
      <c r="H23" s="20"/>
      <c r="I23" s="20"/>
      <c r="J23" s="23"/>
      <c r="K23" s="23"/>
      <c r="L23" s="23"/>
      <c r="M23" s="23"/>
      <c r="P23" s="9"/>
      <c r="S23" s="9"/>
      <c r="V23" s="7"/>
      <c r="W23" s="7"/>
      <c r="AB23" s="6" t="s">
        <v>99</v>
      </c>
      <c r="AD23" s="32">
        <v>19</v>
      </c>
      <c r="AE23" s="25" t="str">
        <f t="shared" si="13"/>
        <v>Left</v>
      </c>
      <c r="AF23" s="25" t="str">
        <f t="shared" si="14"/>
        <v>Channel</v>
      </c>
      <c r="AG23" s="32" t="str">
        <f>IF(XS_AnalyzerSummary!$AB$24&gt;=XS_AnalyzerSummary!AD23,"Y","N")</f>
        <v>Y</v>
      </c>
      <c r="AH23" s="38">
        <v>1</v>
      </c>
      <c r="AI23" s="38">
        <f>IF(AG23="Y",$O$19/XS_AnalyzerSummary!$AB$24,0)</f>
        <v>4.4999999999999998E-2</v>
      </c>
      <c r="AJ23" s="38">
        <f t="shared" si="15"/>
        <v>4.4999999999999998E-2</v>
      </c>
      <c r="AK23" s="93">
        <f t="shared" si="37"/>
        <v>1.8999999999999986</v>
      </c>
      <c r="AL23" s="93">
        <f>IF(AG23="Y",LININTERP(AK23,XS_Analyzer_Calculations!$AY$4:$AY$104,XS_Analyzer_Calculations!$AZ$4:$AZ$104),AL22)</f>
        <v>2.3250000000000011</v>
      </c>
      <c r="AM23" s="38">
        <f t="shared" si="16"/>
        <v>2.6749999999999989</v>
      </c>
      <c r="AN23" s="18">
        <f t="shared" si="17"/>
        <v>0.11961562499999996</v>
      </c>
      <c r="AO23" s="100">
        <f t="shared" si="18"/>
        <v>5.6249999999999911E-2</v>
      </c>
      <c r="AP23" s="100">
        <f t="shared" si="19"/>
        <v>2.1265000000000027</v>
      </c>
      <c r="AQ23" s="18">
        <f t="shared" si="20"/>
        <v>1.7787811838447108E-3</v>
      </c>
      <c r="AR23" s="32">
        <f>IFERROR(IF(AG23="Y",VLOOKUP(AK23,XS_Analyzer_Calculations!$R$5:$T$104,3,TRUE),0),0)</f>
        <v>0.1</v>
      </c>
      <c r="AS23" s="198">
        <f t="shared" si="21"/>
        <v>0.01</v>
      </c>
      <c r="AT23" s="18">
        <f t="shared" si="22"/>
        <v>2.939343315258546</v>
      </c>
      <c r="AU23" s="38">
        <f>AT23*XS_Analyzer_Calculations!$I$7^0.5</f>
        <v>0.29393433152585463</v>
      </c>
      <c r="AV23" s="18">
        <f t="shared" si="38"/>
        <v>2.4573238782630171</v>
      </c>
      <c r="AW23" s="18">
        <f t="shared" si="23"/>
        <v>1.3269360000000017</v>
      </c>
      <c r="AX23" s="18">
        <f t="shared" si="24"/>
        <v>5</v>
      </c>
      <c r="AY23" s="32">
        <f t="shared" si="25"/>
        <v>2.6581249999999992</v>
      </c>
      <c r="AZ23" s="18">
        <f>((AS23*AP23)/(1.65*XS_Analyzer!$Q$72))*12</f>
        <v>6.1106286104674963</v>
      </c>
      <c r="BA23" s="18">
        <f>(AW23/((1.65*62.4)*XS_Analyzer!$Q$73))*12</f>
        <v>3.4367676767676811</v>
      </c>
      <c r="BB23" s="18">
        <f t="shared" si="26"/>
        <v>5.2351062367117667</v>
      </c>
      <c r="BC23" s="38">
        <f t="shared" si="27"/>
        <v>8.7241305666655666</v>
      </c>
      <c r="BD23" s="18">
        <f>IF(ISNUMBER(LININTERP(AW23,Permissible_Shear!$T$178:$T$188,Permissible_Shear!$V$178:$V$188)),LININTERP(AW23,Permissible_Shear!$T$178:$T$188,Permissible_Shear!$V$178:$V$188),0)</f>
        <v>4.3946722196915529</v>
      </c>
      <c r="BE23" s="18">
        <f>LININTERP(AW23,Permissible_Shear!$S$205:$S$222,Permissible_Shear!$V$205:$V$222)</f>
        <v>4.4591750000000054</v>
      </c>
      <c r="BF23" s="18">
        <f>INDEX($AZ$3:$BE$204,ROW(BF23)-2,MATCH(XS_Analyzer!$S$5,XS_AnalyzerSummary!$AZ$2:$BE$2,0))</f>
        <v>5.2351062367117667</v>
      </c>
      <c r="BG23" s="26">
        <f t="shared" si="28"/>
        <v>0</v>
      </c>
      <c r="BH23" s="26">
        <f t="shared" si="29"/>
        <v>0</v>
      </c>
      <c r="BI23" s="26">
        <f t="shared" si="30"/>
        <v>2.4573238782630171</v>
      </c>
      <c r="BJ23" s="26">
        <f t="shared" si="31"/>
        <v>0</v>
      </c>
      <c r="BK23" s="26">
        <f t="shared" si="32"/>
        <v>0</v>
      </c>
      <c r="BL23" s="26">
        <f t="shared" si="33"/>
        <v>1.3269360000000017</v>
      </c>
      <c r="BM23" s="18">
        <f t="shared" si="34"/>
        <v>0</v>
      </c>
      <c r="BN23" s="18">
        <f t="shared" si="35"/>
        <v>0</v>
      </c>
      <c r="BO23" s="18">
        <f t="shared" si="36"/>
        <v>2.1265000000000027</v>
      </c>
    </row>
    <row r="24" spans="1:67" ht="15">
      <c r="A24" s="123" t="str">
        <f t="shared" si="56"/>
        <v/>
      </c>
      <c r="B24" s="6" t="str">
        <f t="shared" si="56"/>
        <v>Left Inner Berm</v>
      </c>
      <c r="C24" s="14"/>
      <c r="D24" s="46"/>
      <c r="E24" s="76"/>
      <c r="F24" s="14"/>
      <c r="G24" s="20"/>
      <c r="H24" s="14"/>
      <c r="I24" s="20"/>
      <c r="J24" s="23"/>
      <c r="K24" s="23"/>
      <c r="L24" s="23"/>
      <c r="M24" s="23"/>
      <c r="P24" s="9"/>
      <c r="S24" s="9"/>
      <c r="V24" s="7"/>
      <c r="W24" s="7"/>
      <c r="AB24" s="177">
        <v>200</v>
      </c>
      <c r="AD24" s="32">
        <v>20</v>
      </c>
      <c r="AE24" s="25" t="str">
        <f t="shared" si="13"/>
        <v>Left</v>
      </c>
      <c r="AF24" s="25" t="str">
        <f t="shared" si="14"/>
        <v>Channel</v>
      </c>
      <c r="AG24" s="32" t="str">
        <f>IF(XS_AnalyzerSummary!$AB$24&gt;=XS_AnalyzerSummary!AD24,"Y","N")</f>
        <v>Y</v>
      </c>
      <c r="AH24" s="38">
        <v>1</v>
      </c>
      <c r="AI24" s="38">
        <f>IF(AG24="Y",$O$19/XS_AnalyzerSummary!$AB$24,0)</f>
        <v>4.4999999999999998E-2</v>
      </c>
      <c r="AJ24" s="38">
        <f t="shared" si="15"/>
        <v>4.4999999999999998E-2</v>
      </c>
      <c r="AK24" s="93">
        <f t="shared" si="37"/>
        <v>1.9449999999999985</v>
      </c>
      <c r="AL24" s="93">
        <f>IF(AG24="Y",LININTERP(AK24,XS_Analyzer_Calculations!$AY$4:$AY$104,XS_Analyzer_Calculations!$AZ$4:$AZ$104),AL23)</f>
        <v>2.2912500000000011</v>
      </c>
      <c r="AM24" s="38">
        <f t="shared" si="16"/>
        <v>2.7087499999999989</v>
      </c>
      <c r="AN24" s="18">
        <f t="shared" si="17"/>
        <v>0.12113437499999993</v>
      </c>
      <c r="AO24" s="100">
        <f t="shared" si="18"/>
        <v>5.6249999999999911E-2</v>
      </c>
      <c r="AP24" s="100">
        <f t="shared" si="19"/>
        <v>2.1535000000000024</v>
      </c>
      <c r="AQ24" s="18">
        <f t="shared" si="20"/>
        <v>1.7787811838447108E-3</v>
      </c>
      <c r="AR24" s="32">
        <f>IFERROR(IF(AG24="Y",VLOOKUP(AK24,XS_Analyzer_Calculations!$R$5:$T$104,3,TRUE),0),0)</f>
        <v>0.1</v>
      </c>
      <c r="AS24" s="198">
        <f t="shared" si="21"/>
        <v>0.01</v>
      </c>
      <c r="AT24" s="18">
        <f t="shared" si="22"/>
        <v>3.0018072098478941</v>
      </c>
      <c r="AU24" s="38">
        <f>AT24*XS_Analyzer_Calculations!$I$7^0.5</f>
        <v>0.30018072098478943</v>
      </c>
      <c r="AV24" s="18">
        <f t="shared" si="38"/>
        <v>2.4780804043838884</v>
      </c>
      <c r="AW24" s="18">
        <f t="shared" si="23"/>
        <v>1.3437840000000014</v>
      </c>
      <c r="AX24" s="18">
        <f t="shared" si="24"/>
        <v>5</v>
      </c>
      <c r="AY24" s="32">
        <f t="shared" si="25"/>
        <v>2.6918749999999987</v>
      </c>
      <c r="AZ24" s="18">
        <f>((AS24*AP24)/(1.65*XS_Analyzer!$Q$72))*12</f>
        <v>6.1882147719923593</v>
      </c>
      <c r="BA24" s="18">
        <f>(AW24/((1.65*62.4)*XS_Analyzer!$Q$73))*12</f>
        <v>3.4804040404040446</v>
      </c>
      <c r="BB24" s="18">
        <f t="shared" si="26"/>
        <v>5.3039489218086429</v>
      </c>
      <c r="BC24" s="38">
        <f t="shared" si="27"/>
        <v>8.8049532749797859</v>
      </c>
      <c r="BD24" s="18">
        <f>IF(ISNUMBER(LININTERP(AW24,Permissible_Shear!$T$178:$T$188,Permissible_Shear!$V$178:$V$188)),LININTERP(AW24,Permissible_Shear!$T$178:$T$188,Permissible_Shear!$V$178:$V$188),0)</f>
        <v>4.4472982364807754</v>
      </c>
      <c r="BE24" s="18">
        <f>LININTERP(AW24,Permissible_Shear!$S$205:$S$222,Permissible_Shear!$V$205:$V$222)</f>
        <v>4.5118250000000044</v>
      </c>
      <c r="BF24" s="18">
        <f>INDEX($AZ$3:$BE$204,ROW(BF24)-2,MATCH(XS_Analyzer!$S$5,XS_AnalyzerSummary!$AZ$2:$BE$2,0))</f>
        <v>5.3039489218086429</v>
      </c>
      <c r="BG24" s="26">
        <f t="shared" si="28"/>
        <v>0</v>
      </c>
      <c r="BH24" s="26">
        <f t="shared" si="29"/>
        <v>0</v>
      </c>
      <c r="BI24" s="26">
        <f t="shared" si="30"/>
        <v>2.4780804043838884</v>
      </c>
      <c r="BJ24" s="26">
        <f t="shared" si="31"/>
        <v>0</v>
      </c>
      <c r="BK24" s="26">
        <f t="shared" si="32"/>
        <v>0</v>
      </c>
      <c r="BL24" s="26">
        <f t="shared" si="33"/>
        <v>1.3437840000000014</v>
      </c>
      <c r="BM24" s="18">
        <f t="shared" si="34"/>
        <v>0</v>
      </c>
      <c r="BN24" s="18">
        <f t="shared" si="35"/>
        <v>0</v>
      </c>
      <c r="BO24" s="18">
        <f t="shared" si="36"/>
        <v>2.1535000000000024</v>
      </c>
    </row>
    <row r="25" spans="1:67" ht="15">
      <c r="A25" s="123">
        <f t="shared" si="56"/>
        <v>5</v>
      </c>
      <c r="B25" s="6" t="str">
        <f t="shared" si="56"/>
        <v>Thalweg</v>
      </c>
      <c r="C25" s="14"/>
      <c r="D25" s="46"/>
      <c r="E25" s="76"/>
      <c r="F25" s="14"/>
      <c r="G25" s="20"/>
      <c r="H25" s="14"/>
      <c r="I25" s="20"/>
      <c r="J25" s="23"/>
      <c r="K25" s="23"/>
      <c r="L25" s="23"/>
      <c r="M25" s="23"/>
      <c r="P25" s="9"/>
      <c r="S25" s="9"/>
      <c r="V25" s="7"/>
      <c r="W25" s="7"/>
      <c r="AB25" s="7"/>
      <c r="AD25" s="32">
        <v>21</v>
      </c>
      <c r="AE25" s="25" t="str">
        <f t="shared" si="13"/>
        <v>Left</v>
      </c>
      <c r="AF25" s="25" t="str">
        <f t="shared" si="14"/>
        <v>Channel</v>
      </c>
      <c r="AG25" s="32" t="str">
        <f>IF(XS_AnalyzerSummary!$AB$24&gt;=XS_AnalyzerSummary!AD25,"Y","N")</f>
        <v>Y</v>
      </c>
      <c r="AH25" s="38">
        <v>1</v>
      </c>
      <c r="AI25" s="38">
        <f>IF(AG25="Y",$O$19/XS_AnalyzerSummary!$AB$24,0)</f>
        <v>4.4999999999999998E-2</v>
      </c>
      <c r="AJ25" s="38">
        <f t="shared" si="15"/>
        <v>4.4999999999999998E-2</v>
      </c>
      <c r="AK25" s="93">
        <f t="shared" si="37"/>
        <v>1.9899999999999984</v>
      </c>
      <c r="AL25" s="93">
        <f>IF(AG25="Y",LININTERP(AK25,XS_Analyzer_Calculations!$AY$4:$AY$104,XS_Analyzer_Calculations!$AZ$4:$AZ$104),AL24)</f>
        <v>2.2575000000000012</v>
      </c>
      <c r="AM25" s="38">
        <f t="shared" si="16"/>
        <v>2.7424999999999988</v>
      </c>
      <c r="AN25" s="18">
        <f t="shared" si="17"/>
        <v>0.12265312499999996</v>
      </c>
      <c r="AO25" s="100">
        <f t="shared" si="18"/>
        <v>5.6249999999999911E-2</v>
      </c>
      <c r="AP25" s="100">
        <f t="shared" si="19"/>
        <v>2.1805000000000025</v>
      </c>
      <c r="AQ25" s="18">
        <f t="shared" si="20"/>
        <v>1.7787811838447108E-3</v>
      </c>
      <c r="AR25" s="32">
        <f>IFERROR(IF(AG25="Y",VLOOKUP(AK25,XS_Analyzer_Calculations!$R$5:$T$104,3,TRUE),0),0)</f>
        <v>0.1</v>
      </c>
      <c r="AS25" s="198">
        <f t="shared" si="21"/>
        <v>0.01</v>
      </c>
      <c r="AT25" s="18">
        <f t="shared" si="22"/>
        <v>3.0647954053232525</v>
      </c>
      <c r="AU25" s="38">
        <f>AT25*XS_Analyzer_Calculations!$I$7^0.5</f>
        <v>0.30647954053232529</v>
      </c>
      <c r="AV25" s="18">
        <f t="shared" si="38"/>
        <v>2.4987503623109921</v>
      </c>
      <c r="AW25" s="18">
        <f t="shared" si="23"/>
        <v>1.3606320000000016</v>
      </c>
      <c r="AX25" s="18">
        <f t="shared" si="24"/>
        <v>5</v>
      </c>
      <c r="AY25" s="32">
        <f t="shared" si="25"/>
        <v>2.7256249999999991</v>
      </c>
      <c r="AZ25" s="18">
        <f>((AS25*AP25)/(1.65*XS_Analyzer!$Q$72))*12</f>
        <v>6.2658009335172231</v>
      </c>
      <c r="BA25" s="18">
        <f>(AW25/((1.65*62.4)*XS_Analyzer!$Q$73))*12</f>
        <v>3.5240404040404085</v>
      </c>
      <c r="BB25" s="18">
        <f t="shared" si="26"/>
        <v>5.3728276429062767</v>
      </c>
      <c r="BC25" s="38">
        <f t="shared" si="27"/>
        <v>8.8855100570474654</v>
      </c>
      <c r="BD25" s="18">
        <f>IF(ISNUMBER(LININTERP(AW25,Permissible_Shear!$T$178:$T$188,Permissible_Shear!$V$178:$V$188)),LININTERP(AW25,Permissible_Shear!$T$178:$T$188,Permissible_Shear!$V$178:$V$188),0)</f>
        <v>4.4999242532699997</v>
      </c>
      <c r="BE25" s="18">
        <f>LININTERP(AW25,Permissible_Shear!$S$205:$S$222,Permissible_Shear!$V$205:$V$222)</f>
        <v>4.5644750000000052</v>
      </c>
      <c r="BF25" s="18">
        <f>INDEX($AZ$3:$BE$204,ROW(BF25)-2,MATCH(XS_Analyzer!$S$5,XS_AnalyzerSummary!$AZ$2:$BE$2,0))</f>
        <v>5.3728276429062767</v>
      </c>
      <c r="BG25" s="26">
        <f t="shared" si="28"/>
        <v>0</v>
      </c>
      <c r="BH25" s="26">
        <f t="shared" si="29"/>
        <v>0</v>
      </c>
      <c r="BI25" s="26">
        <f t="shared" si="30"/>
        <v>2.4987503623109921</v>
      </c>
      <c r="BJ25" s="26">
        <f t="shared" si="31"/>
        <v>0</v>
      </c>
      <c r="BK25" s="26">
        <f t="shared" si="32"/>
        <v>0</v>
      </c>
      <c r="BL25" s="26">
        <f t="shared" si="33"/>
        <v>1.3606320000000016</v>
      </c>
      <c r="BM25" s="18">
        <f t="shared" si="34"/>
        <v>0</v>
      </c>
      <c r="BN25" s="18">
        <f t="shared" si="35"/>
        <v>0</v>
      </c>
      <c r="BO25" s="18">
        <f t="shared" si="36"/>
        <v>2.1805000000000025</v>
      </c>
    </row>
    <row r="26" spans="1:67" ht="15">
      <c r="A26" s="21"/>
      <c r="B26" s="14"/>
      <c r="C26" s="14"/>
      <c r="D26" s="46"/>
      <c r="E26" s="76"/>
      <c r="F26" s="14"/>
      <c r="G26" s="20"/>
      <c r="H26" s="14"/>
      <c r="I26" s="20"/>
      <c r="J26" s="23"/>
      <c r="K26" s="23"/>
      <c r="L26" s="23"/>
      <c r="M26" s="23"/>
      <c r="P26" s="9"/>
      <c r="S26" s="9"/>
      <c r="V26" s="7"/>
      <c r="W26" s="7"/>
      <c r="Z26" s="25" t="s">
        <v>65</v>
      </c>
      <c r="AA26" s="25" t="s">
        <v>254</v>
      </c>
      <c r="AB26" s="25" t="s">
        <v>217</v>
      </c>
      <c r="AD26" s="32">
        <v>22</v>
      </c>
      <c r="AE26" s="25" t="str">
        <f t="shared" si="13"/>
        <v>Left</v>
      </c>
      <c r="AF26" s="25" t="str">
        <f t="shared" si="14"/>
        <v>Channel</v>
      </c>
      <c r="AG26" s="32" t="str">
        <f>IF(XS_AnalyzerSummary!$AB$24&gt;=XS_AnalyzerSummary!AD26,"Y","N")</f>
        <v>Y</v>
      </c>
      <c r="AH26" s="38">
        <v>1</v>
      </c>
      <c r="AI26" s="38">
        <f>IF(AG26="Y",$O$19/XS_AnalyzerSummary!$AB$24,0)</f>
        <v>4.4999999999999998E-2</v>
      </c>
      <c r="AJ26" s="38">
        <f t="shared" si="15"/>
        <v>4.4999999999999998E-2</v>
      </c>
      <c r="AK26" s="93">
        <f t="shared" si="37"/>
        <v>2.0349999999999984</v>
      </c>
      <c r="AL26" s="93">
        <f>IF(AG26="Y",LININTERP(AK26,XS_Analyzer_Calculations!$AY$4:$AY$104,XS_Analyzer_Calculations!$AZ$4:$AZ$104),AL25)</f>
        <v>2.2237500000000012</v>
      </c>
      <c r="AM26" s="38">
        <f t="shared" si="16"/>
        <v>2.7762499999999988</v>
      </c>
      <c r="AN26" s="18">
        <f t="shared" si="17"/>
        <v>0.12417187499999993</v>
      </c>
      <c r="AO26" s="100">
        <f t="shared" si="18"/>
        <v>5.6249999999999911E-2</v>
      </c>
      <c r="AP26" s="100">
        <f t="shared" si="19"/>
        <v>2.2075000000000022</v>
      </c>
      <c r="AQ26" s="18">
        <f t="shared" si="20"/>
        <v>1.7787811838447108E-3</v>
      </c>
      <c r="AR26" s="32">
        <f>IFERROR(IF(AG26="Y",VLOOKUP(AK26,XS_Analyzer_Calculations!$R$5:$T$104,3,TRUE),0),0)</f>
        <v>0.1</v>
      </c>
      <c r="AS26" s="198">
        <f t="shared" si="21"/>
        <v>0.01</v>
      </c>
      <c r="AT26" s="18">
        <f t="shared" si="22"/>
        <v>3.1283057285671423</v>
      </c>
      <c r="AU26" s="38">
        <f>AT26*XS_Analyzer_Calculations!$I$7^0.5</f>
        <v>0.31283057285671423</v>
      </c>
      <c r="AV26" s="18">
        <f t="shared" si="38"/>
        <v>2.5193351784106861</v>
      </c>
      <c r="AW26" s="18">
        <f t="shared" si="23"/>
        <v>1.3774800000000014</v>
      </c>
      <c r="AX26" s="18">
        <f t="shared" si="24"/>
        <v>5</v>
      </c>
      <c r="AY26" s="32">
        <f t="shared" si="25"/>
        <v>2.7593749999999986</v>
      </c>
      <c r="AZ26" s="18">
        <f>((AS26*AP26)/(1.65*XS_Analyzer!$Q$72))*12</f>
        <v>6.3433870950420852</v>
      </c>
      <c r="BA26" s="18">
        <f>(AW26/((1.65*62.4)*XS_Analyzer!$Q$73))*12</f>
        <v>3.5676767676767716</v>
      </c>
      <c r="BB26" s="18">
        <f t="shared" si="26"/>
        <v>5.4417419750295126</v>
      </c>
      <c r="BC26" s="38">
        <f t="shared" si="27"/>
        <v>8.9658050445095832</v>
      </c>
      <c r="BD26" s="18">
        <f>IF(ISNUMBER(LININTERP(AW26,Permissible_Shear!$T$178:$T$188,Permissible_Shear!$V$178:$V$188)),LININTERP(AW26,Permissible_Shear!$T$178:$T$188,Permissible_Shear!$V$178:$V$188),0)</f>
        <v>4.5525502700592231</v>
      </c>
      <c r="BE26" s="18">
        <f>LININTERP(AW26,Permissible_Shear!$S$205:$S$222,Permissible_Shear!$V$205:$V$222)</f>
        <v>4.6171250000000041</v>
      </c>
      <c r="BF26" s="18">
        <f>INDEX($AZ$3:$BE$204,ROW(BF26)-2,MATCH(XS_Analyzer!$S$5,XS_AnalyzerSummary!$AZ$2:$BE$2,0))</f>
        <v>5.4417419750295126</v>
      </c>
      <c r="BG26" s="26">
        <f t="shared" si="28"/>
        <v>0</v>
      </c>
      <c r="BH26" s="26">
        <f t="shared" si="29"/>
        <v>0</v>
      </c>
      <c r="BI26" s="26">
        <f t="shared" si="30"/>
        <v>2.5193351784106861</v>
      </c>
      <c r="BJ26" s="26">
        <f t="shared" si="31"/>
        <v>0</v>
      </c>
      <c r="BK26" s="26">
        <f t="shared" si="32"/>
        <v>0</v>
      </c>
      <c r="BL26" s="26">
        <f t="shared" si="33"/>
        <v>1.3774800000000014</v>
      </c>
      <c r="BM26" s="18">
        <f t="shared" si="34"/>
        <v>0</v>
      </c>
      <c r="BN26" s="18">
        <f t="shared" si="35"/>
        <v>0</v>
      </c>
      <c r="BO26" s="18">
        <f t="shared" si="36"/>
        <v>2.2075000000000022</v>
      </c>
    </row>
    <row r="27" spans="1:67" ht="15.75">
      <c r="A27" s="199"/>
      <c r="B27" s="201"/>
      <c r="C27" s="20"/>
      <c r="D27" s="46"/>
      <c r="E27" s="96"/>
      <c r="F27" s="20"/>
      <c r="G27" s="20"/>
      <c r="H27" s="20"/>
      <c r="I27" s="20"/>
      <c r="J27" s="23"/>
      <c r="K27" s="23"/>
      <c r="L27" s="23"/>
      <c r="M27" s="23"/>
      <c r="P27" s="9"/>
      <c r="S27" s="9"/>
      <c r="V27" s="7"/>
      <c r="W27" s="7"/>
      <c r="Z27" s="18">
        <f>XS_Analyzer_Calculations!BX104</f>
        <v>1</v>
      </c>
      <c r="AA27" s="32">
        <f>$B$5</f>
        <v>1</v>
      </c>
      <c r="AB27" s="32">
        <f>$B$9</f>
        <v>10</v>
      </c>
      <c r="AD27" s="32">
        <v>23</v>
      </c>
      <c r="AE27" s="25" t="str">
        <f t="shared" si="13"/>
        <v>Left</v>
      </c>
      <c r="AF27" s="25" t="str">
        <f t="shared" si="14"/>
        <v>Channel</v>
      </c>
      <c r="AG27" s="32" t="str">
        <f>IF(XS_AnalyzerSummary!$AB$24&gt;=XS_AnalyzerSummary!AD27,"Y","N")</f>
        <v>Y</v>
      </c>
      <c r="AH27" s="38">
        <v>1</v>
      </c>
      <c r="AI27" s="38">
        <f>IF(AG27="Y",$O$19/XS_AnalyzerSummary!$AB$24,0)</f>
        <v>4.4999999999999998E-2</v>
      </c>
      <c r="AJ27" s="38">
        <f t="shared" si="15"/>
        <v>4.4999999999999998E-2</v>
      </c>
      <c r="AK27" s="93">
        <f t="shared" si="37"/>
        <v>2.0799999999999983</v>
      </c>
      <c r="AL27" s="93">
        <f>IF(AG27="Y",LININTERP(AK27,XS_Analyzer_Calculations!$AY$4:$AY$104,XS_Analyzer_Calculations!$AZ$4:$AZ$104),AL26)</f>
        <v>2.1900000000000013</v>
      </c>
      <c r="AM27" s="38">
        <f t="shared" si="16"/>
        <v>2.8099999999999987</v>
      </c>
      <c r="AN27" s="18">
        <f t="shared" si="17"/>
        <v>0.12569062499999994</v>
      </c>
      <c r="AO27" s="100">
        <f t="shared" si="18"/>
        <v>5.6249999999999911E-2</v>
      </c>
      <c r="AP27" s="100">
        <f t="shared" si="19"/>
        <v>2.2345000000000024</v>
      </c>
      <c r="AQ27" s="18">
        <f t="shared" si="20"/>
        <v>1.7787811838447108E-3</v>
      </c>
      <c r="AR27" s="32">
        <f>IFERROR(IF(AG27="Y",VLOOKUP(AK27,XS_Analyzer_Calculations!$R$5:$T$104,3,TRUE),0),0)</f>
        <v>0.1</v>
      </c>
      <c r="AS27" s="198">
        <f t="shared" si="21"/>
        <v>0.01</v>
      </c>
      <c r="AT27" s="18">
        <f t="shared" si="22"/>
        <v>3.1923360420492632</v>
      </c>
      <c r="AU27" s="38">
        <f>AT27*XS_Analyzer_Calculations!$I$7^0.5</f>
        <v>0.31923360420492636</v>
      </c>
      <c r="AV27" s="18">
        <f t="shared" si="38"/>
        <v>2.5398362384221298</v>
      </c>
      <c r="AW27" s="18">
        <f t="shared" si="23"/>
        <v>1.3943280000000016</v>
      </c>
      <c r="AX27" s="18">
        <f t="shared" si="24"/>
        <v>5</v>
      </c>
      <c r="AY27" s="32">
        <f t="shared" si="25"/>
        <v>2.793124999999999</v>
      </c>
      <c r="AZ27" s="18">
        <f>((AS27*AP27)/(1.65*XS_Analyzer!$Q$72))*12</f>
        <v>6.4209732565669491</v>
      </c>
      <c r="BA27" s="18">
        <f>(AW27/((1.65*62.4)*XS_Analyzer!$Q$73))*12</f>
        <v>3.6113131313131355</v>
      </c>
      <c r="BB27" s="18">
        <f t="shared" si="26"/>
        <v>5.5106915033221302</v>
      </c>
      <c r="BC27" s="38">
        <f t="shared" si="27"/>
        <v>9.0458422554425013</v>
      </c>
      <c r="BD27" s="18">
        <f>IF(ISNUMBER(LININTERP(AW27,Permissible_Shear!$T$178:$T$188,Permissible_Shear!$V$178:$V$188)),LININTERP(AW27,Permissible_Shear!$T$178:$T$188,Permissible_Shear!$V$178:$V$188),0)</f>
        <v>4.6051762868484474</v>
      </c>
      <c r="BE27" s="18">
        <f>LININTERP(AW27,Permissible_Shear!$S$205:$S$222,Permissible_Shear!$V$205:$V$222)</f>
        <v>4.6697750000000049</v>
      </c>
      <c r="BF27" s="18">
        <f>INDEX($AZ$3:$BE$204,ROW(BF27)-2,MATCH(XS_Analyzer!$S$5,XS_AnalyzerSummary!$AZ$2:$BE$2,0))</f>
        <v>5.5106915033221302</v>
      </c>
      <c r="BG27" s="26">
        <f t="shared" si="28"/>
        <v>0</v>
      </c>
      <c r="BH27" s="26">
        <f t="shared" si="29"/>
        <v>0</v>
      </c>
      <c r="BI27" s="26">
        <f t="shared" si="30"/>
        <v>2.5398362384221298</v>
      </c>
      <c r="BJ27" s="26">
        <f t="shared" si="31"/>
        <v>0</v>
      </c>
      <c r="BK27" s="26">
        <f t="shared" si="32"/>
        <v>0</v>
      </c>
      <c r="BL27" s="26">
        <f t="shared" si="33"/>
        <v>1.3943280000000016</v>
      </c>
      <c r="BM27" s="18">
        <f t="shared" si="34"/>
        <v>0</v>
      </c>
      <c r="BN27" s="18">
        <f t="shared" si="35"/>
        <v>0</v>
      </c>
      <c r="BO27" s="18">
        <f t="shared" si="36"/>
        <v>2.2345000000000024</v>
      </c>
    </row>
    <row r="28" spans="1:67" ht="15">
      <c r="A28" s="121" t="e">
        <f>-B11</f>
        <v>#VALUE!</v>
      </c>
      <c r="B28" s="121" t="str">
        <f>C11</f>
        <v>Right 3rd Stage</v>
      </c>
      <c r="C28" s="14"/>
      <c r="D28" s="46"/>
      <c r="E28" s="76"/>
      <c r="F28" s="14"/>
      <c r="G28" s="20"/>
      <c r="H28" s="14"/>
      <c r="I28" s="20"/>
      <c r="J28" s="23"/>
      <c r="K28" s="23"/>
      <c r="L28" s="23"/>
      <c r="M28" s="23"/>
      <c r="P28" s="9"/>
      <c r="S28" s="9"/>
      <c r="V28" s="7"/>
      <c r="W28" s="7"/>
      <c r="AB28" s="25" t="s">
        <v>318</v>
      </c>
      <c r="AD28" s="32">
        <v>24</v>
      </c>
      <c r="AE28" s="25" t="str">
        <f t="shared" si="13"/>
        <v>Left</v>
      </c>
      <c r="AF28" s="25" t="str">
        <f t="shared" si="14"/>
        <v>Channel</v>
      </c>
      <c r="AG28" s="32" t="str">
        <f>IF(XS_AnalyzerSummary!$AB$24&gt;=XS_AnalyzerSummary!AD28,"Y","N")</f>
        <v>Y</v>
      </c>
      <c r="AH28" s="38">
        <v>1</v>
      </c>
      <c r="AI28" s="38">
        <f>IF(AG28="Y",$O$19/XS_AnalyzerSummary!$AB$24,0)</f>
        <v>4.4999999999999998E-2</v>
      </c>
      <c r="AJ28" s="38">
        <f t="shared" si="15"/>
        <v>4.4999999999999998E-2</v>
      </c>
      <c r="AK28" s="93">
        <f t="shared" si="37"/>
        <v>2.1249999999999982</v>
      </c>
      <c r="AL28" s="93">
        <f>IF(AG28="Y",LININTERP(AK28,XS_Analyzer_Calculations!$AY$4:$AY$104,XS_Analyzer_Calculations!$AZ$4:$AZ$104),AL27)</f>
        <v>2.1562500000000013</v>
      </c>
      <c r="AM28" s="38">
        <f t="shared" si="16"/>
        <v>2.8437499999999987</v>
      </c>
      <c r="AN28" s="18">
        <f t="shared" si="17"/>
        <v>0.12720937499999993</v>
      </c>
      <c r="AO28" s="100">
        <f t="shared" si="18"/>
        <v>5.6249999999999911E-2</v>
      </c>
      <c r="AP28" s="100">
        <f t="shared" si="19"/>
        <v>2.2615000000000025</v>
      </c>
      <c r="AQ28" s="18">
        <f t="shared" si="20"/>
        <v>1.7787811838447108E-3</v>
      </c>
      <c r="AR28" s="32">
        <f>IFERROR(IF(AG28="Y",VLOOKUP(AK28,XS_Analyzer_Calculations!$R$5:$T$104,3,TRUE),0),0)</f>
        <v>0.1</v>
      </c>
      <c r="AS28" s="198">
        <f t="shared" si="21"/>
        <v>0.01</v>
      </c>
      <c r="AT28" s="18">
        <f t="shared" si="22"/>
        <v>3.2568842428189595</v>
      </c>
      <c r="AU28" s="38">
        <f>AT28*XS_Analyzer_Calculations!$I$7^0.5</f>
        <v>0.32568842428189598</v>
      </c>
      <c r="AV28" s="18">
        <f t="shared" si="38"/>
        <v>2.5602548890904946</v>
      </c>
      <c r="AW28" s="18">
        <f t="shared" si="23"/>
        <v>1.4111760000000015</v>
      </c>
      <c r="AX28" s="18">
        <f t="shared" si="24"/>
        <v>5</v>
      </c>
      <c r="AY28" s="32">
        <f t="shared" si="25"/>
        <v>2.8268749999999985</v>
      </c>
      <c r="AZ28" s="18">
        <f>((AS28*AP28)/(1.65*XS_Analyzer!$Q$72))*12</f>
        <v>6.498559418091812</v>
      </c>
      <c r="BA28" s="18">
        <f>(AW28/((1.65*62.4)*XS_Analyzer!$Q$73))*12</f>
        <v>3.6549494949494994</v>
      </c>
      <c r="BB28" s="18">
        <f t="shared" si="26"/>
        <v>5.5796758226872241</v>
      </c>
      <c r="BC28" s="38">
        <f t="shared" si="27"/>
        <v>9.1256255988040262</v>
      </c>
      <c r="BD28" s="18">
        <f>IF(ISNUMBER(LININTERP(AW28,Permissible_Shear!$T$178:$T$188,Permissible_Shear!$V$178:$V$188)),LININTERP(AW28,Permissible_Shear!$T$178:$T$188,Permissible_Shear!$V$178:$V$188),0)</f>
        <v>4.6578023036376708</v>
      </c>
      <c r="BE28" s="18">
        <f>LININTERP(AW28,Permissible_Shear!$S$205:$S$222,Permissible_Shear!$V$205:$V$222)</f>
        <v>4.7224250000000048</v>
      </c>
      <c r="BF28" s="18">
        <f>INDEX($AZ$3:$BE$204,ROW(BF28)-2,MATCH(XS_Analyzer!$S$5,XS_AnalyzerSummary!$AZ$2:$BE$2,0))</f>
        <v>5.5796758226872241</v>
      </c>
      <c r="BG28" s="26">
        <f t="shared" si="28"/>
        <v>0</v>
      </c>
      <c r="BH28" s="26">
        <f t="shared" si="29"/>
        <v>0</v>
      </c>
      <c r="BI28" s="26">
        <f t="shared" si="30"/>
        <v>2.5602548890904946</v>
      </c>
      <c r="BJ28" s="26">
        <f t="shared" si="31"/>
        <v>0</v>
      </c>
      <c r="BK28" s="26">
        <f t="shared" si="32"/>
        <v>0</v>
      </c>
      <c r="BL28" s="26">
        <f t="shared" si="33"/>
        <v>1.4111760000000015</v>
      </c>
      <c r="BM28" s="18">
        <f t="shared" si="34"/>
        <v>0</v>
      </c>
      <c r="BN28" s="18">
        <f t="shared" si="35"/>
        <v>0</v>
      </c>
      <c r="BO28" s="18">
        <f t="shared" si="36"/>
        <v>2.2615000000000025</v>
      </c>
    </row>
    <row r="29" spans="1:67" ht="15">
      <c r="A29" s="121" t="e">
        <f>-B10</f>
        <v>#VALUE!</v>
      </c>
      <c r="B29" s="121" t="str">
        <f>C10</f>
        <v>Right 2nd Stage</v>
      </c>
      <c r="C29" s="14"/>
      <c r="D29" s="46"/>
      <c r="E29" s="76"/>
      <c r="F29" s="14"/>
      <c r="G29" s="20"/>
      <c r="H29" s="14"/>
      <c r="I29" s="20"/>
      <c r="J29" s="23"/>
      <c r="K29" s="23"/>
      <c r="L29" s="23"/>
      <c r="M29" s="23"/>
      <c r="P29" s="9"/>
      <c r="S29" s="9"/>
      <c r="V29" s="7"/>
      <c r="W29" s="7"/>
      <c r="AB29" s="32">
        <f>XS_Analyzer_Calculations!$AR$3</f>
        <v>10</v>
      </c>
      <c r="AD29" s="32">
        <v>25</v>
      </c>
      <c r="AE29" s="25" t="str">
        <f t="shared" si="13"/>
        <v>Left</v>
      </c>
      <c r="AF29" s="25" t="str">
        <f t="shared" si="14"/>
        <v>Channel</v>
      </c>
      <c r="AG29" s="32" t="str">
        <f>IF(XS_AnalyzerSummary!$AB$24&gt;=XS_AnalyzerSummary!AD29,"Y","N")</f>
        <v>Y</v>
      </c>
      <c r="AH29" s="38">
        <v>1</v>
      </c>
      <c r="AI29" s="38">
        <f>IF(AG29="Y",$O$19/XS_AnalyzerSummary!$AB$24,0)</f>
        <v>4.4999999999999998E-2</v>
      </c>
      <c r="AJ29" s="38">
        <f t="shared" si="15"/>
        <v>4.4999999999999998E-2</v>
      </c>
      <c r="AK29" s="93">
        <f t="shared" si="37"/>
        <v>2.1699999999999982</v>
      </c>
      <c r="AL29" s="93">
        <f>IF(AG29="Y",LININTERP(AK29,XS_Analyzer_Calculations!$AY$4:$AY$104,XS_Analyzer_Calculations!$AZ$4:$AZ$104),AL28)</f>
        <v>2.1225000000000014</v>
      </c>
      <c r="AM29" s="38">
        <f t="shared" si="16"/>
        <v>2.8774999999999986</v>
      </c>
      <c r="AN29" s="18">
        <f t="shared" si="17"/>
        <v>0.12872812499999994</v>
      </c>
      <c r="AO29" s="100">
        <f t="shared" si="18"/>
        <v>5.6249999999999911E-2</v>
      </c>
      <c r="AP29" s="100">
        <f t="shared" si="19"/>
        <v>2.2885000000000026</v>
      </c>
      <c r="AQ29" s="18">
        <f t="shared" si="20"/>
        <v>1.7787811838447108E-3</v>
      </c>
      <c r="AR29" s="32">
        <f>IFERROR(IF(AG29="Y",VLOOKUP(AK29,XS_Analyzer_Calculations!$R$5:$T$104,3,TRUE),0),0)</f>
        <v>0.1</v>
      </c>
      <c r="AS29" s="198">
        <f t="shared" si="21"/>
        <v>0.01</v>
      </c>
      <c r="AT29" s="18">
        <f t="shared" si="22"/>
        <v>3.3219482615379721</v>
      </c>
      <c r="AU29" s="38">
        <f>AT29*XS_Analyzer_Calculations!$I$7^0.5</f>
        <v>0.33219482615379725</v>
      </c>
      <c r="AV29" s="18">
        <f t="shared" si="38"/>
        <v>2.5805924397158537</v>
      </c>
      <c r="AW29" s="18">
        <f t="shared" si="23"/>
        <v>1.4280240000000015</v>
      </c>
      <c r="AX29" s="18">
        <f t="shared" si="24"/>
        <v>5</v>
      </c>
      <c r="AY29" s="32">
        <f t="shared" si="25"/>
        <v>2.8606249999999989</v>
      </c>
      <c r="AZ29" s="18">
        <f>((AS29*AP29)/(1.65*XS_Analyzer!$Q$72))*12</f>
        <v>6.5761455796166768</v>
      </c>
      <c r="BA29" s="18">
        <f>(AW29/((1.65*62.4)*XS_Analyzer!$Q$73))*12</f>
        <v>3.6985858585858624</v>
      </c>
      <c r="BB29" s="18">
        <f t="shared" si="26"/>
        <v>5.6486945374444719</v>
      </c>
      <c r="BC29" s="38">
        <f t="shared" si="27"/>
        <v>9.2051588786548084</v>
      </c>
      <c r="BD29" s="18">
        <f>IF(ISNUMBER(LININTERP(AW29,Permissible_Shear!$T$178:$T$188,Permissible_Shear!$V$178:$V$188)),LININTERP(AW29,Permissible_Shear!$T$178:$T$188,Permissible_Shear!$V$178:$V$188),0)</f>
        <v>4.7104283204268942</v>
      </c>
      <c r="BE29" s="18">
        <f>LININTERP(AW29,Permissible_Shear!$S$205:$S$222,Permissible_Shear!$V$205:$V$222)</f>
        <v>4.7750750000000046</v>
      </c>
      <c r="BF29" s="18">
        <f>INDEX($AZ$3:$BE$204,ROW(BF29)-2,MATCH(XS_Analyzer!$S$5,XS_AnalyzerSummary!$AZ$2:$BE$2,0))</f>
        <v>5.6486945374444719</v>
      </c>
      <c r="BG29" s="26">
        <f t="shared" si="28"/>
        <v>0</v>
      </c>
      <c r="BH29" s="26">
        <f t="shared" si="29"/>
        <v>0</v>
      </c>
      <c r="BI29" s="26">
        <f t="shared" si="30"/>
        <v>2.5805924397158537</v>
      </c>
      <c r="BJ29" s="26">
        <f t="shared" si="31"/>
        <v>0</v>
      </c>
      <c r="BK29" s="26">
        <f t="shared" si="32"/>
        <v>0</v>
      </c>
      <c r="BL29" s="26">
        <f t="shared" si="33"/>
        <v>1.4280240000000015</v>
      </c>
      <c r="BM29" s="18">
        <f t="shared" si="34"/>
        <v>0</v>
      </c>
      <c r="BN29" s="18">
        <f t="shared" si="35"/>
        <v>0</v>
      </c>
      <c r="BO29" s="18">
        <f t="shared" si="36"/>
        <v>2.2885000000000026</v>
      </c>
    </row>
    <row r="30" spans="1:67" ht="15">
      <c r="A30" s="121">
        <f>-B9</f>
        <v>-10</v>
      </c>
      <c r="B30" s="121" t="str">
        <f>C9</f>
        <v>Right Bank</v>
      </c>
      <c r="C30" s="14"/>
      <c r="D30" s="46"/>
      <c r="E30" s="76"/>
      <c r="F30" s="14"/>
      <c r="G30" s="20"/>
      <c r="H30" s="14"/>
      <c r="I30" s="20"/>
      <c r="J30" s="23"/>
      <c r="K30" s="23"/>
      <c r="L30" s="23"/>
      <c r="M30" s="23"/>
      <c r="P30" s="9"/>
      <c r="S30" s="9"/>
      <c r="V30" s="7"/>
      <c r="W30" s="7"/>
      <c r="AA30" s="32" t="s">
        <v>385</v>
      </c>
      <c r="AD30" s="32">
        <v>26</v>
      </c>
      <c r="AE30" s="25" t="str">
        <f t="shared" si="13"/>
        <v>Left</v>
      </c>
      <c r="AF30" s="25" t="str">
        <f t="shared" si="14"/>
        <v>Channel</v>
      </c>
      <c r="AG30" s="32" t="str">
        <f>IF(XS_AnalyzerSummary!$AB$24&gt;=XS_AnalyzerSummary!AD30,"Y","N")</f>
        <v>Y</v>
      </c>
      <c r="AH30" s="38">
        <v>1</v>
      </c>
      <c r="AI30" s="38">
        <f>IF(AG30="Y",$O$19/XS_AnalyzerSummary!$AB$24,0)</f>
        <v>4.4999999999999998E-2</v>
      </c>
      <c r="AJ30" s="38">
        <f t="shared" si="15"/>
        <v>4.4999999999999998E-2</v>
      </c>
      <c r="AK30" s="93">
        <f t="shared" si="37"/>
        <v>2.2149999999999981</v>
      </c>
      <c r="AL30" s="93">
        <f>IF(AG30="Y",LININTERP(AK30,XS_Analyzer_Calculations!$AY$4:$AY$104,XS_Analyzer_Calculations!$AZ$4:$AZ$104),AL29)</f>
        <v>2.0887500000000014</v>
      </c>
      <c r="AM30" s="38">
        <f t="shared" si="16"/>
        <v>2.9112499999999986</v>
      </c>
      <c r="AN30" s="18">
        <f t="shared" si="17"/>
        <v>0.13024687499999993</v>
      </c>
      <c r="AO30" s="100">
        <f t="shared" si="18"/>
        <v>5.6249999999999911E-2</v>
      </c>
      <c r="AP30" s="100">
        <f t="shared" si="19"/>
        <v>2.3155000000000023</v>
      </c>
      <c r="AQ30" s="18">
        <f t="shared" si="20"/>
        <v>1.7787811838447108E-3</v>
      </c>
      <c r="AR30" s="32">
        <f>IFERROR(IF(AG30="Y",VLOOKUP(AK30,XS_Analyzer_Calculations!$R$5:$T$104,3,TRUE),0),0)</f>
        <v>0.1</v>
      </c>
      <c r="AS30" s="198">
        <f t="shared" si="21"/>
        <v>0.01</v>
      </c>
      <c r="AT30" s="18">
        <f t="shared" si="22"/>
        <v>3.3875260615513629</v>
      </c>
      <c r="AU30" s="38">
        <f>AT30*XS_Analyzer_Calculations!$I$7^0.5</f>
        <v>0.3387526061551363</v>
      </c>
      <c r="AV30" s="18">
        <f t="shared" si="38"/>
        <v>2.6008501636230159</v>
      </c>
      <c r="AW30" s="18">
        <f t="shared" si="23"/>
        <v>1.4448720000000015</v>
      </c>
      <c r="AX30" s="18">
        <f t="shared" si="24"/>
        <v>5</v>
      </c>
      <c r="AY30" s="32">
        <f t="shared" si="25"/>
        <v>2.8943749999999984</v>
      </c>
      <c r="AZ30" s="18">
        <f>((AS30*AP30)/(1.65*XS_Analyzer!$Q$72))*12</f>
        <v>6.6537317411415398</v>
      </c>
      <c r="BA30" s="18">
        <f>(AW30/((1.65*62.4)*XS_Analyzer!$Q$73))*12</f>
        <v>3.7422222222222263</v>
      </c>
      <c r="BB30" s="18">
        <f t="shared" si="26"/>
        <v>5.7177472610033231</v>
      </c>
      <c r="BC30" s="38">
        <f t="shared" si="27"/>
        <v>9.2844457981688731</v>
      </c>
      <c r="BD30" s="18">
        <f>IF(ISNUMBER(LININTERP(AW30,Permissible_Shear!$T$178:$T$188,Permissible_Shear!$V$178:$V$188)),LININTERP(AW30,Permissible_Shear!$T$178:$T$188,Permissible_Shear!$V$178:$V$188),0)</f>
        <v>4.7630543372161185</v>
      </c>
      <c r="BE30" s="18">
        <f>LININTERP(AW30,Permissible_Shear!$S$205:$S$222,Permissible_Shear!$V$205:$V$222)</f>
        <v>4.8277250000000045</v>
      </c>
      <c r="BF30" s="18">
        <f>INDEX($AZ$3:$BE$204,ROW(BF30)-2,MATCH(XS_Analyzer!$S$5,XS_AnalyzerSummary!$AZ$2:$BE$2,0))</f>
        <v>5.7177472610033231</v>
      </c>
      <c r="BG30" s="26">
        <f t="shared" si="28"/>
        <v>0</v>
      </c>
      <c r="BH30" s="26">
        <f t="shared" si="29"/>
        <v>0</v>
      </c>
      <c r="BI30" s="26">
        <f t="shared" si="30"/>
        <v>2.6008501636230159</v>
      </c>
      <c r="BJ30" s="26">
        <f t="shared" si="31"/>
        <v>0</v>
      </c>
      <c r="BK30" s="26">
        <f t="shared" si="32"/>
        <v>0</v>
      </c>
      <c r="BL30" s="26">
        <f t="shared" si="33"/>
        <v>1.4448720000000015</v>
      </c>
      <c r="BM30" s="18">
        <f t="shared" si="34"/>
        <v>0</v>
      </c>
      <c r="BN30" s="18">
        <f t="shared" si="35"/>
        <v>0</v>
      </c>
      <c r="BO30" s="18">
        <f t="shared" si="36"/>
        <v>2.3155000000000023</v>
      </c>
    </row>
    <row r="31" spans="1:67" ht="15">
      <c r="A31" s="121" t="e">
        <f>-B8</f>
        <v>#VALUE!</v>
      </c>
      <c r="B31" s="121" t="str">
        <f>C8</f>
        <v>Right Inner Berm</v>
      </c>
      <c r="C31" s="21"/>
      <c r="D31" s="46"/>
      <c r="E31" s="46"/>
      <c r="F31" s="5"/>
      <c r="G31" s="5"/>
      <c r="H31" s="5"/>
      <c r="I31" s="5"/>
      <c r="J31" s="23"/>
      <c r="K31" s="23"/>
      <c r="L31" s="23"/>
      <c r="M31" s="23"/>
      <c r="P31" s="9"/>
      <c r="S31" s="9"/>
      <c r="V31" s="7"/>
      <c r="W31" s="7"/>
      <c r="AA31" s="18">
        <f>$B$7</f>
        <v>5</v>
      </c>
      <c r="AD31" s="32">
        <v>27</v>
      </c>
      <c r="AE31" s="25" t="str">
        <f t="shared" si="13"/>
        <v>Left</v>
      </c>
      <c r="AF31" s="25" t="str">
        <f t="shared" si="14"/>
        <v>Channel</v>
      </c>
      <c r="AG31" s="32" t="str">
        <f>IF(XS_AnalyzerSummary!$AB$24&gt;=XS_AnalyzerSummary!AD31,"Y","N")</f>
        <v>Y</v>
      </c>
      <c r="AH31" s="38">
        <v>1</v>
      </c>
      <c r="AI31" s="38">
        <f>IF(AG31="Y",$O$19/XS_AnalyzerSummary!$AB$24,0)</f>
        <v>4.4999999999999998E-2</v>
      </c>
      <c r="AJ31" s="38">
        <f t="shared" si="15"/>
        <v>4.4999999999999998E-2</v>
      </c>
      <c r="AK31" s="93">
        <f t="shared" si="37"/>
        <v>2.259999999999998</v>
      </c>
      <c r="AL31" s="93">
        <f>IF(AG31="Y",LININTERP(AK31,XS_Analyzer_Calculations!$AY$4:$AY$104,XS_Analyzer_Calculations!$AZ$4:$AZ$104),AL30)</f>
        <v>2.0550000000000015</v>
      </c>
      <c r="AM31" s="38">
        <f t="shared" si="16"/>
        <v>2.9449999999999985</v>
      </c>
      <c r="AN31" s="18">
        <f t="shared" si="17"/>
        <v>0.13176562499999994</v>
      </c>
      <c r="AO31" s="100">
        <f t="shared" si="18"/>
        <v>5.6249999999999911E-2</v>
      </c>
      <c r="AP31" s="100">
        <f t="shared" si="19"/>
        <v>2.3425000000000025</v>
      </c>
      <c r="AQ31" s="18">
        <f t="shared" si="20"/>
        <v>1.7787811838447108E-3</v>
      </c>
      <c r="AR31" s="32">
        <f>IFERROR(IF(AG31="Y",VLOOKUP(AK31,XS_Analyzer_Calculations!$R$5:$T$104,3,TRUE),0),0)</f>
        <v>0.1</v>
      </c>
      <c r="AS31" s="198">
        <f t="shared" si="21"/>
        <v>0.01</v>
      </c>
      <c r="AT31" s="18">
        <f t="shared" si="22"/>
        <v>3.4536156379947154</v>
      </c>
      <c r="AU31" s="38">
        <f>AT31*XS_Analyzer_Calculations!$I$7^0.5</f>
        <v>0.34536156379947158</v>
      </c>
      <c r="AV31" s="18">
        <f t="shared" si="38"/>
        <v>2.6210292995572382</v>
      </c>
      <c r="AW31" s="18">
        <f t="shared" si="23"/>
        <v>1.4617200000000015</v>
      </c>
      <c r="AX31" s="18">
        <f t="shared" si="24"/>
        <v>5</v>
      </c>
      <c r="AY31" s="32">
        <f t="shared" si="25"/>
        <v>2.9281249999999988</v>
      </c>
      <c r="AZ31" s="18">
        <f>((AS31*AP31)/(1.65*XS_Analyzer!$Q$72))*12</f>
        <v>6.7313179026664045</v>
      </c>
      <c r="BA31" s="18">
        <f>(AW31/((1.65*62.4)*XS_Analyzer!$Q$73))*12</f>
        <v>3.7858585858585898</v>
      </c>
      <c r="BB31" s="18">
        <f t="shared" si="26"/>
        <v>5.7868336155511928</v>
      </c>
      <c r="BC31" s="38">
        <f t="shared" si="27"/>
        <v>9.3634899634461792</v>
      </c>
      <c r="BD31" s="18">
        <f>IF(ISNUMBER(LININTERP(AW31,Permissible_Shear!$T$178:$T$188,Permissible_Shear!$V$178:$V$188)),LININTERP(AW31,Permissible_Shear!$T$178:$T$188,Permissible_Shear!$V$178:$V$188),0)</f>
        <v>4.815680354005341</v>
      </c>
      <c r="BE31" s="18">
        <f>LININTERP(AW31,Permissible_Shear!$S$205:$S$222,Permissible_Shear!$V$205:$V$222)</f>
        <v>4.8803750000000043</v>
      </c>
      <c r="BF31" s="18">
        <f>INDEX($AZ$3:$BE$204,ROW(BF31)-2,MATCH(XS_Analyzer!$S$5,XS_AnalyzerSummary!$AZ$2:$BE$2,0))</f>
        <v>5.7868336155511928</v>
      </c>
      <c r="BG31" s="26">
        <f t="shared" si="28"/>
        <v>0</v>
      </c>
      <c r="BH31" s="26">
        <f t="shared" si="29"/>
        <v>0</v>
      </c>
      <c r="BI31" s="26">
        <f t="shared" si="30"/>
        <v>2.6210292995572382</v>
      </c>
      <c r="BJ31" s="26">
        <f t="shared" si="31"/>
        <v>0</v>
      </c>
      <c r="BK31" s="26">
        <f t="shared" si="32"/>
        <v>0</v>
      </c>
      <c r="BL31" s="26">
        <f t="shared" si="33"/>
        <v>1.4617200000000015</v>
      </c>
      <c r="BM31" s="18">
        <f t="shared" si="34"/>
        <v>0</v>
      </c>
      <c r="BN31" s="18">
        <f t="shared" si="35"/>
        <v>0</v>
      </c>
      <c r="BO31" s="18">
        <f t="shared" si="36"/>
        <v>2.3425000000000025</v>
      </c>
    </row>
    <row r="32" spans="1:67" ht="15">
      <c r="A32" s="121">
        <f>-B7</f>
        <v>-5</v>
      </c>
      <c r="B32" s="121" t="str">
        <f>C7</f>
        <v>Thalweg</v>
      </c>
      <c r="C32" s="20"/>
      <c r="D32" s="46"/>
      <c r="E32" s="46"/>
      <c r="F32" s="20"/>
      <c r="G32" s="20"/>
      <c r="H32" s="81"/>
      <c r="I32" s="81"/>
      <c r="J32" s="23"/>
      <c r="K32" s="23"/>
      <c r="L32" s="23"/>
      <c r="M32" s="23"/>
      <c r="P32" s="9"/>
      <c r="S32" s="9"/>
      <c r="V32" s="7"/>
      <c r="W32" s="7"/>
      <c r="AB32" s="7"/>
      <c r="AD32" s="32">
        <v>28</v>
      </c>
      <c r="AE32" s="25" t="str">
        <f t="shared" si="13"/>
        <v>Left</v>
      </c>
      <c r="AF32" s="25" t="str">
        <f t="shared" si="14"/>
        <v>Channel</v>
      </c>
      <c r="AG32" s="32" t="str">
        <f>IF(XS_AnalyzerSummary!$AB$24&gt;=XS_AnalyzerSummary!AD32,"Y","N")</f>
        <v>Y</v>
      </c>
      <c r="AH32" s="38">
        <v>1</v>
      </c>
      <c r="AI32" s="38">
        <f>IF(AG32="Y",$O$19/XS_AnalyzerSummary!$AB$24,0)</f>
        <v>4.4999999999999998E-2</v>
      </c>
      <c r="AJ32" s="38">
        <f t="shared" si="15"/>
        <v>4.4999999999999998E-2</v>
      </c>
      <c r="AK32" s="93">
        <f t="shared" si="37"/>
        <v>2.3049999999999979</v>
      </c>
      <c r="AL32" s="93">
        <f>IF(AG32="Y",LININTERP(AK32,XS_Analyzer_Calculations!$AY$4:$AY$104,XS_Analyzer_Calculations!$AZ$4:$AZ$104),AL31)</f>
        <v>2.0212500000000015</v>
      </c>
      <c r="AM32" s="38">
        <f t="shared" si="16"/>
        <v>2.9787499999999985</v>
      </c>
      <c r="AN32" s="18">
        <f t="shared" si="17"/>
        <v>0.13328437499999993</v>
      </c>
      <c r="AO32" s="100">
        <f t="shared" si="18"/>
        <v>5.6249999999999911E-2</v>
      </c>
      <c r="AP32" s="100">
        <f t="shared" si="19"/>
        <v>2.3695000000000026</v>
      </c>
      <c r="AQ32" s="18">
        <f t="shared" si="20"/>
        <v>1.7787811838447108E-3</v>
      </c>
      <c r="AR32" s="32">
        <f>IFERROR(IF(AG32="Y",VLOOKUP(AK32,XS_Analyzer_Calculations!$R$5:$T$104,3,TRUE),0),0)</f>
        <v>0.1</v>
      </c>
      <c r="AS32" s="198">
        <f t="shared" si="21"/>
        <v>0.01</v>
      </c>
      <c r="AT32" s="18">
        <f t="shared" si="22"/>
        <v>3.5202150169357593</v>
      </c>
      <c r="AU32" s="38">
        <f>AT32*XS_Analyzer_Calculations!$I$7^0.5</f>
        <v>0.35202150169357593</v>
      </c>
      <c r="AV32" s="18">
        <f t="shared" si="38"/>
        <v>2.6411310530103482</v>
      </c>
      <c r="AW32" s="18">
        <f t="shared" si="23"/>
        <v>1.4785680000000017</v>
      </c>
      <c r="AX32" s="18">
        <f t="shared" si="24"/>
        <v>5</v>
      </c>
      <c r="AY32" s="32">
        <f t="shared" si="25"/>
        <v>2.9618749999999987</v>
      </c>
      <c r="AZ32" s="18">
        <f>((AS32*AP32)/(1.65*XS_Analyzer!$Q$72))*12</f>
        <v>6.8089040641912675</v>
      </c>
      <c r="BA32" s="18">
        <f>(AW32/((1.65*62.4)*XS_Analyzer!$Q$73))*12</f>
        <v>3.8294949494949542</v>
      </c>
      <c r="BB32" s="18">
        <f t="shared" si="26"/>
        <v>5.8559532317557892</v>
      </c>
      <c r="BC32" s="38">
        <f t="shared" si="27"/>
        <v>9.4422948871391146</v>
      </c>
      <c r="BD32" s="18">
        <f>IF(ISNUMBER(LININTERP(AW32,Permissible_Shear!$T$178:$T$188,Permissible_Shear!$V$178:$V$188)),LININTERP(AW32,Permissible_Shear!$T$178:$T$188,Permissible_Shear!$V$178:$V$188),0)</f>
        <v>4.8683063707945653</v>
      </c>
      <c r="BE32" s="18">
        <f>LININTERP(AW32,Permissible_Shear!$S$205:$S$222,Permissible_Shear!$V$205:$V$222)</f>
        <v>4.9330250000000051</v>
      </c>
      <c r="BF32" s="18">
        <f>INDEX($AZ$3:$BE$204,ROW(BF32)-2,MATCH(XS_Analyzer!$S$5,XS_AnalyzerSummary!$AZ$2:$BE$2,0))</f>
        <v>5.8559532317557892</v>
      </c>
      <c r="BG32" s="26">
        <f t="shared" si="28"/>
        <v>0</v>
      </c>
      <c r="BH32" s="26">
        <f t="shared" si="29"/>
        <v>0</v>
      </c>
      <c r="BI32" s="26">
        <f t="shared" si="30"/>
        <v>2.6411310530103482</v>
      </c>
      <c r="BJ32" s="26">
        <f t="shared" si="31"/>
        <v>0</v>
      </c>
      <c r="BK32" s="26">
        <f t="shared" si="32"/>
        <v>0</v>
      </c>
      <c r="BL32" s="26">
        <f t="shared" si="33"/>
        <v>1.4785680000000017</v>
      </c>
      <c r="BM32" s="18">
        <f t="shared" si="34"/>
        <v>0</v>
      </c>
      <c r="BN32" s="18">
        <f t="shared" si="35"/>
        <v>0</v>
      </c>
      <c r="BO32" s="18">
        <f t="shared" si="36"/>
        <v>2.3695000000000026</v>
      </c>
    </row>
    <row r="33" spans="1:67" ht="15">
      <c r="A33" s="5"/>
      <c r="B33" s="20"/>
      <c r="C33" s="20"/>
      <c r="D33" s="46"/>
      <c r="E33" s="46"/>
      <c r="F33" s="20"/>
      <c r="G33" s="20"/>
      <c r="H33" s="20"/>
      <c r="I33" s="81"/>
      <c r="J33" s="23"/>
      <c r="K33" s="23"/>
      <c r="L33" s="23"/>
      <c r="M33" s="23"/>
      <c r="P33" s="9"/>
      <c r="S33" s="9"/>
      <c r="V33" s="7"/>
      <c r="W33" s="7"/>
      <c r="AA33" s="5"/>
      <c r="AB33" s="57" t="s">
        <v>361</v>
      </c>
      <c r="AD33" s="32">
        <v>29</v>
      </c>
      <c r="AE33" s="25" t="str">
        <f t="shared" si="13"/>
        <v>Left</v>
      </c>
      <c r="AF33" s="25" t="str">
        <f t="shared" si="14"/>
        <v>Channel</v>
      </c>
      <c r="AG33" s="32" t="str">
        <f>IF(XS_AnalyzerSummary!$AB$24&gt;=XS_AnalyzerSummary!AD33,"Y","N")</f>
        <v>Y</v>
      </c>
      <c r="AH33" s="38">
        <v>1</v>
      </c>
      <c r="AI33" s="38">
        <f>IF(AG33="Y",$O$19/XS_AnalyzerSummary!$AB$24,0)</f>
        <v>4.4999999999999998E-2</v>
      </c>
      <c r="AJ33" s="38">
        <f t="shared" si="15"/>
        <v>4.4999999999999998E-2</v>
      </c>
      <c r="AK33" s="93">
        <f t="shared" si="37"/>
        <v>2.3499999999999979</v>
      </c>
      <c r="AL33" s="93">
        <f>IF(AG33="Y",LININTERP(AK33,XS_Analyzer_Calculations!$AY$4:$AY$104,XS_Analyzer_Calculations!$AZ$4:$AZ$104),AL32)</f>
        <v>1.9875000000000016</v>
      </c>
      <c r="AM33" s="38">
        <f t="shared" si="16"/>
        <v>3.0124999999999984</v>
      </c>
      <c r="AN33" s="18">
        <f t="shared" si="17"/>
        <v>0.13480312499999994</v>
      </c>
      <c r="AO33" s="100">
        <f t="shared" si="18"/>
        <v>5.6249999999999911E-2</v>
      </c>
      <c r="AP33" s="100">
        <f t="shared" si="19"/>
        <v>2.3965000000000027</v>
      </c>
      <c r="AQ33" s="18">
        <f t="shared" si="20"/>
        <v>1.7787811838447108E-3</v>
      </c>
      <c r="AR33" s="32">
        <f>IFERROR(IF(AG33="Y",VLOOKUP(AK33,XS_Analyzer_Calculations!$R$5:$T$104,3,TRUE),0),0)</f>
        <v>0.1</v>
      </c>
      <c r="AS33" s="198">
        <f t="shared" si="21"/>
        <v>0.01</v>
      </c>
      <c r="AT33" s="18">
        <f t="shared" si="22"/>
        <v>3.5873222545487375</v>
      </c>
      <c r="AU33" s="38">
        <f>AT33*XS_Analyzer_Calculations!$I$7^0.5</f>
        <v>0.35873222545487377</v>
      </c>
      <c r="AV33" s="18">
        <f t="shared" si="38"/>
        <v>2.6611565974815043</v>
      </c>
      <c r="AW33" s="18">
        <f t="shared" si="23"/>
        <v>1.4954160000000016</v>
      </c>
      <c r="AX33" s="18">
        <f t="shared" si="24"/>
        <v>5</v>
      </c>
      <c r="AY33" s="32">
        <f t="shared" si="25"/>
        <v>2.9956249999999986</v>
      </c>
      <c r="AZ33" s="18">
        <f>((AS33*AP33)/(1.65*XS_Analyzer!$Q$72))*12</f>
        <v>6.8864902257161313</v>
      </c>
      <c r="BA33" s="18">
        <f>(AW33/((1.65*62.4)*XS_Analyzer!$Q$73))*12</f>
        <v>3.8731313131313176</v>
      </c>
      <c r="BB33" s="18">
        <f t="shared" si="26"/>
        <v>5.9251057484808154</v>
      </c>
      <c r="BC33" s="38">
        <f t="shared" si="27"/>
        <v>9.520863991903985</v>
      </c>
      <c r="BD33" s="18">
        <f>IF(ISNUMBER(LININTERP(AW33,Permissible_Shear!$T$178:$T$188,Permissible_Shear!$V$178:$V$188)),LININTERP(AW33,Permissible_Shear!$T$178:$T$188,Permissible_Shear!$V$178:$V$188),0)</f>
        <v>4.9209323875837896</v>
      </c>
      <c r="BE33" s="18">
        <f>LININTERP(AW33,Permissible_Shear!$S$205:$S$222,Permissible_Shear!$V$205:$V$222)</f>
        <v>4.985675000000005</v>
      </c>
      <c r="BF33" s="18">
        <f>INDEX($AZ$3:$BE$204,ROW(BF33)-2,MATCH(XS_Analyzer!$S$5,XS_AnalyzerSummary!$AZ$2:$BE$2,0))</f>
        <v>5.9251057484808154</v>
      </c>
      <c r="BG33" s="26">
        <f t="shared" si="28"/>
        <v>0</v>
      </c>
      <c r="BH33" s="26">
        <f t="shared" si="29"/>
        <v>0</v>
      </c>
      <c r="BI33" s="26">
        <f t="shared" si="30"/>
        <v>2.6611565974815043</v>
      </c>
      <c r="BJ33" s="26">
        <f t="shared" si="31"/>
        <v>0</v>
      </c>
      <c r="BK33" s="26">
        <f t="shared" si="32"/>
        <v>0</v>
      </c>
      <c r="BL33" s="26">
        <f t="shared" si="33"/>
        <v>1.4954160000000016</v>
      </c>
      <c r="BM33" s="18">
        <f t="shared" si="34"/>
        <v>0</v>
      </c>
      <c r="BN33" s="18">
        <f t="shared" si="35"/>
        <v>0</v>
      </c>
      <c r="BO33" s="18">
        <f t="shared" si="36"/>
        <v>2.3965000000000027</v>
      </c>
    </row>
    <row r="34" spans="1:67" ht="15">
      <c r="A34" s="5"/>
      <c r="B34" s="20"/>
      <c r="C34" s="20"/>
      <c r="D34" s="46"/>
      <c r="E34" s="46"/>
      <c r="F34" s="20"/>
      <c r="G34" s="20"/>
      <c r="H34" s="20"/>
      <c r="I34" s="20"/>
      <c r="J34" s="23"/>
      <c r="K34" s="23"/>
      <c r="L34" s="23"/>
      <c r="M34" s="23"/>
      <c r="P34" s="9"/>
      <c r="S34" s="9"/>
      <c r="V34" s="7"/>
      <c r="W34" s="7"/>
      <c r="AA34" s="5"/>
      <c r="AB34" s="116">
        <f>XS_Analyzer!$M$5</f>
        <v>0</v>
      </c>
      <c r="AD34" s="32">
        <v>30</v>
      </c>
      <c r="AE34" s="25" t="str">
        <f t="shared" si="13"/>
        <v>Left</v>
      </c>
      <c r="AF34" s="25" t="str">
        <f t="shared" si="14"/>
        <v>Channel</v>
      </c>
      <c r="AG34" s="32" t="str">
        <f>IF(XS_AnalyzerSummary!$AB$24&gt;=XS_AnalyzerSummary!AD34,"Y","N")</f>
        <v>Y</v>
      </c>
      <c r="AH34" s="38">
        <v>1</v>
      </c>
      <c r="AI34" s="38">
        <f>IF(AG34="Y",$O$19/XS_AnalyzerSummary!$AB$24,0)</f>
        <v>4.4999999999999998E-2</v>
      </c>
      <c r="AJ34" s="38">
        <f t="shared" si="15"/>
        <v>4.4999999999999998E-2</v>
      </c>
      <c r="AK34" s="93">
        <f t="shared" si="37"/>
        <v>2.3949999999999978</v>
      </c>
      <c r="AL34" s="93">
        <f>IF(AG34="Y",LININTERP(AK34,XS_Analyzer_Calculations!$AY$4:$AY$104,XS_Analyzer_Calculations!$AZ$4:$AZ$104),AL33)</f>
        <v>1.9537500000000017</v>
      </c>
      <c r="AM34" s="38">
        <f t="shared" si="16"/>
        <v>3.0462499999999983</v>
      </c>
      <c r="AN34" s="18">
        <f t="shared" si="17"/>
        <v>0.1363218749999999</v>
      </c>
      <c r="AO34" s="100">
        <f t="shared" si="18"/>
        <v>5.6249999999999911E-2</v>
      </c>
      <c r="AP34" s="100">
        <f t="shared" si="19"/>
        <v>2.423500000000002</v>
      </c>
      <c r="AQ34" s="18">
        <f t="shared" si="20"/>
        <v>1.7787811838447108E-3</v>
      </c>
      <c r="AR34" s="32">
        <f>IFERROR(IF(AG34="Y",VLOOKUP(AK34,XS_Analyzer_Calculations!$R$5:$T$104,3,TRUE),0),0)</f>
        <v>0.1</v>
      </c>
      <c r="AS34" s="198">
        <f t="shared" si="21"/>
        <v>0.01</v>
      </c>
      <c r="AT34" s="18">
        <f t="shared" si="22"/>
        <v>3.6549354363198918</v>
      </c>
      <c r="AU34" s="38">
        <f>AT34*XS_Analyzer_Calculations!$I$7^0.5</f>
        <v>0.36549354363198922</v>
      </c>
      <c r="AV34" s="18">
        <f t="shared" si="38"/>
        <v>2.6811070756765156</v>
      </c>
      <c r="AW34" s="18">
        <f t="shared" si="23"/>
        <v>1.5122640000000014</v>
      </c>
      <c r="AX34" s="18">
        <f t="shared" si="24"/>
        <v>5</v>
      </c>
      <c r="AY34" s="32">
        <f t="shared" si="25"/>
        <v>3.0293749999999977</v>
      </c>
      <c r="AZ34" s="18">
        <f>((AS34*AP34)/(1.65*XS_Analyzer!$Q$72))*12</f>
        <v>6.9640763872409934</v>
      </c>
      <c r="BA34" s="18">
        <f>(AW34/((1.65*62.4)*XS_Analyzer!$Q$73))*12</f>
        <v>3.9167676767676811</v>
      </c>
      <c r="BB34" s="18">
        <f t="shared" si="26"/>
        <v>5.9942908125142678</v>
      </c>
      <c r="BC34" s="38">
        <f t="shared" si="27"/>
        <v>9.5992006136878771</v>
      </c>
      <c r="BD34" s="18">
        <f>IF(ISNUMBER(LININTERP(AW34,Permissible_Shear!$T$178:$T$188,Permissible_Shear!$V$178:$V$188)),LININTERP(AW34,Permissible_Shear!$T$178:$T$188,Permissible_Shear!$V$178:$V$188),0)</f>
        <v>4.9735584043730121</v>
      </c>
      <c r="BE34" s="18">
        <f>LININTERP(AW34,Permissible_Shear!$S$205:$S$222,Permissible_Shear!$V$205:$V$222)</f>
        <v>5.0383250000000039</v>
      </c>
      <c r="BF34" s="18">
        <f>INDEX($AZ$3:$BE$204,ROW(BF34)-2,MATCH(XS_Analyzer!$S$5,XS_AnalyzerSummary!$AZ$2:$BE$2,0))</f>
        <v>5.9942908125142678</v>
      </c>
      <c r="BG34" s="26">
        <f t="shared" si="28"/>
        <v>0</v>
      </c>
      <c r="BH34" s="26">
        <f t="shared" si="29"/>
        <v>0</v>
      </c>
      <c r="BI34" s="26">
        <f t="shared" si="30"/>
        <v>2.6811070756765156</v>
      </c>
      <c r="BJ34" s="26">
        <f t="shared" si="31"/>
        <v>0</v>
      </c>
      <c r="BK34" s="26">
        <f t="shared" si="32"/>
        <v>0</v>
      </c>
      <c r="BL34" s="26">
        <f t="shared" si="33"/>
        <v>1.5122640000000014</v>
      </c>
      <c r="BM34" s="18">
        <f t="shared" si="34"/>
        <v>0</v>
      </c>
      <c r="BN34" s="18">
        <f t="shared" si="35"/>
        <v>0</v>
      </c>
      <c r="BO34" s="18">
        <f t="shared" si="36"/>
        <v>2.423500000000002</v>
      </c>
    </row>
    <row r="35" spans="1:67" ht="15">
      <c r="A35" s="5"/>
      <c r="B35" s="20"/>
      <c r="C35" s="20"/>
      <c r="D35" s="46"/>
      <c r="E35" s="46"/>
      <c r="F35" s="20"/>
      <c r="G35" s="20"/>
      <c r="H35" s="20"/>
      <c r="I35" s="20"/>
      <c r="J35" s="23"/>
      <c r="K35" s="23"/>
      <c r="L35" s="23"/>
      <c r="M35" s="23"/>
      <c r="P35" s="9"/>
      <c r="S35" s="9"/>
      <c r="V35" s="7"/>
      <c r="W35" s="7"/>
      <c r="AA35" s="5"/>
      <c r="AB35" s="57" t="s">
        <v>392</v>
      </c>
      <c r="AD35" s="32">
        <v>31</v>
      </c>
      <c r="AE35" s="25" t="str">
        <f t="shared" si="13"/>
        <v>Left</v>
      </c>
      <c r="AF35" s="25" t="str">
        <f t="shared" si="14"/>
        <v>Channel</v>
      </c>
      <c r="AG35" s="32" t="str">
        <f>IF(XS_AnalyzerSummary!$AB$24&gt;=XS_AnalyzerSummary!AD35,"Y","N")</f>
        <v>Y</v>
      </c>
      <c r="AH35" s="38">
        <v>1</v>
      </c>
      <c r="AI35" s="38">
        <f>IF(AG35="Y",$O$19/XS_AnalyzerSummary!$AB$24,0)</f>
        <v>4.4999999999999998E-2</v>
      </c>
      <c r="AJ35" s="38">
        <f t="shared" si="15"/>
        <v>4.4999999999999998E-2</v>
      </c>
      <c r="AK35" s="93">
        <f t="shared" si="37"/>
        <v>2.4399999999999977</v>
      </c>
      <c r="AL35" s="93">
        <f>IF(AG35="Y",LININTERP(AK35,XS_Analyzer_Calculations!$AY$4:$AY$104,XS_Analyzer_Calculations!$AZ$4:$AZ$104),AL34)</f>
        <v>1.9200000000000017</v>
      </c>
      <c r="AM35" s="38">
        <f t="shared" si="16"/>
        <v>3.0799999999999983</v>
      </c>
      <c r="AN35" s="18">
        <f t="shared" si="17"/>
        <v>0.13784062499999994</v>
      </c>
      <c r="AO35" s="100">
        <f t="shared" si="18"/>
        <v>5.6249999999999911E-2</v>
      </c>
      <c r="AP35" s="100">
        <f t="shared" si="19"/>
        <v>2.4505000000000026</v>
      </c>
      <c r="AQ35" s="18">
        <f t="shared" si="20"/>
        <v>1.7787811838447108E-3</v>
      </c>
      <c r="AR35" s="32">
        <f>IFERROR(IF(AG35="Y",VLOOKUP(AK35,XS_Analyzer_Calculations!$R$5:$T$104,3,TRUE),0),0)</f>
        <v>0.1</v>
      </c>
      <c r="AS35" s="198">
        <f t="shared" si="21"/>
        <v>0.01</v>
      </c>
      <c r="AT35" s="18">
        <f t="shared" si="22"/>
        <v>3.7230526762825815</v>
      </c>
      <c r="AU35" s="38">
        <f>AT35*XS_Analyzer_Calculations!$I$7^0.5</f>
        <v>0.37230526762825816</v>
      </c>
      <c r="AV35" s="18">
        <f t="shared" si="38"/>
        <v>2.7009836006493608</v>
      </c>
      <c r="AW35" s="18">
        <f t="shared" si="23"/>
        <v>1.5291120000000016</v>
      </c>
      <c r="AX35" s="18">
        <f t="shared" si="24"/>
        <v>5</v>
      </c>
      <c r="AY35" s="32">
        <f t="shared" si="25"/>
        <v>3.0631249999999985</v>
      </c>
      <c r="AZ35" s="18">
        <f>((AS35*AP35)/(1.65*XS_Analyzer!$Q$72))*12</f>
        <v>7.0416625487658582</v>
      </c>
      <c r="BA35" s="18">
        <f>(AW35/((1.65*62.4)*XS_Analyzer!$Q$73))*12</f>
        <v>3.960404040404045</v>
      </c>
      <c r="BB35" s="18">
        <f t="shared" si="26"/>
        <v>6.0635080783086481</v>
      </c>
      <c r="BC35" s="38">
        <f t="shared" si="27"/>
        <v>9.677308004860393</v>
      </c>
      <c r="BD35" s="18">
        <f>IF(ISNUMBER(LININTERP(AW35,Permissible_Shear!$T$178:$T$188,Permissible_Shear!$V$178:$V$188)),LININTERP(AW35,Permissible_Shear!$T$178:$T$188,Permissible_Shear!$V$178:$V$188),0)</f>
        <v>5.0261844211622364</v>
      </c>
      <c r="BE35" s="18">
        <f>LININTERP(AW35,Permissible_Shear!$S$205:$S$222,Permissible_Shear!$V$205:$V$222)</f>
        <v>5.0909750000000047</v>
      </c>
      <c r="BF35" s="18">
        <f>INDEX($AZ$3:$BE$204,ROW(BF35)-2,MATCH(XS_Analyzer!$S$5,XS_AnalyzerSummary!$AZ$2:$BE$2,0))</f>
        <v>6.0635080783086481</v>
      </c>
      <c r="BG35" s="26">
        <f t="shared" si="28"/>
        <v>0</v>
      </c>
      <c r="BH35" s="26">
        <f t="shared" si="29"/>
        <v>0</v>
      </c>
      <c r="BI35" s="26">
        <f t="shared" si="30"/>
        <v>2.7009836006493608</v>
      </c>
      <c r="BJ35" s="26">
        <f t="shared" si="31"/>
        <v>0</v>
      </c>
      <c r="BK35" s="26">
        <f t="shared" si="32"/>
        <v>0</v>
      </c>
      <c r="BL35" s="26">
        <f t="shared" si="33"/>
        <v>1.5291120000000016</v>
      </c>
      <c r="BM35" s="18">
        <f t="shared" si="34"/>
        <v>0</v>
      </c>
      <c r="BN35" s="18">
        <f t="shared" si="35"/>
        <v>0</v>
      </c>
      <c r="BO35" s="18">
        <f t="shared" si="36"/>
        <v>2.4505000000000026</v>
      </c>
    </row>
    <row r="36" spans="1:67" ht="15">
      <c r="A36" s="9"/>
      <c r="B36" s="9"/>
      <c r="C36" s="9"/>
      <c r="D36" s="74"/>
      <c r="E36" s="74"/>
      <c r="F36" s="9"/>
      <c r="G36" s="9"/>
      <c r="H36" s="9"/>
      <c r="I36" s="9"/>
      <c r="J36" s="23"/>
      <c r="K36" s="23"/>
      <c r="L36" s="23"/>
      <c r="M36" s="23"/>
      <c r="P36" s="9"/>
      <c r="S36" s="9"/>
      <c r="V36" s="7"/>
      <c r="W36" s="7"/>
      <c r="Z36" s="5"/>
      <c r="AA36" s="5"/>
      <c r="AB36" s="116">
        <f>XS_Analyzer!$N$5</f>
        <v>90</v>
      </c>
      <c r="AD36" s="32">
        <v>32</v>
      </c>
      <c r="AE36" s="25" t="str">
        <f t="shared" si="13"/>
        <v>Left</v>
      </c>
      <c r="AF36" s="25" t="str">
        <f t="shared" si="14"/>
        <v>Channel</v>
      </c>
      <c r="AG36" s="32" t="str">
        <f>IF(XS_AnalyzerSummary!$AB$24&gt;=XS_AnalyzerSummary!AD36,"Y","N")</f>
        <v>Y</v>
      </c>
      <c r="AH36" s="38">
        <v>1</v>
      </c>
      <c r="AI36" s="38">
        <f>IF(AG36="Y",$O$19/XS_AnalyzerSummary!$AB$24,0)</f>
        <v>4.4999999999999998E-2</v>
      </c>
      <c r="AJ36" s="38">
        <f t="shared" si="15"/>
        <v>4.4999999999999998E-2</v>
      </c>
      <c r="AK36" s="93">
        <f t="shared" si="37"/>
        <v>2.4849999999999977</v>
      </c>
      <c r="AL36" s="93">
        <f>IF(AG36="Y",LININTERP(AK36,XS_Analyzer_Calculations!$AY$4:$AY$104,XS_Analyzer_Calculations!$AZ$4:$AZ$104),AL35)</f>
        <v>1.8862500000000018</v>
      </c>
      <c r="AM36" s="38">
        <f t="shared" si="16"/>
        <v>3.1137499999999982</v>
      </c>
      <c r="AN36" s="18">
        <f t="shared" si="17"/>
        <v>0.1393593749999999</v>
      </c>
      <c r="AO36" s="100">
        <f t="shared" si="18"/>
        <v>5.6249999999999911E-2</v>
      </c>
      <c r="AP36" s="100">
        <f t="shared" si="19"/>
        <v>2.4775000000000023</v>
      </c>
      <c r="AQ36" s="18">
        <f t="shared" si="20"/>
        <v>1.7787811838447108E-3</v>
      </c>
      <c r="AR36" s="32">
        <f>IFERROR(IF(AG36="Y",VLOOKUP(AK36,XS_Analyzer_Calculations!$R$5:$T$104,3,TRUE),0),0)</f>
        <v>0.1</v>
      </c>
      <c r="AS36" s="198">
        <f t="shared" si="21"/>
        <v>0.01</v>
      </c>
      <c r="AT36" s="18">
        <f t="shared" si="22"/>
        <v>3.7916721162805733</v>
      </c>
      <c r="AU36" s="38">
        <f>AT36*XS_Analyzer_Calculations!$I$7^0.5</f>
        <v>0.37916721162805733</v>
      </c>
      <c r="AV36" s="18">
        <f t="shared" si="38"/>
        <v>2.7207872568893023</v>
      </c>
      <c r="AW36" s="18">
        <f t="shared" si="23"/>
        <v>1.5459600000000016</v>
      </c>
      <c r="AX36" s="18">
        <f t="shared" si="24"/>
        <v>5</v>
      </c>
      <c r="AY36" s="32">
        <f t="shared" si="25"/>
        <v>3.0968749999999976</v>
      </c>
      <c r="AZ36" s="18">
        <f>((AS36*AP36)/(1.65*XS_Analyzer!$Q$72))*12</f>
        <v>7.1192487102907203</v>
      </c>
      <c r="BA36" s="18">
        <f>(AW36/((1.65*62.4)*XS_Analyzer!$Q$73))*12</f>
        <v>4.004040404040409</v>
      </c>
      <c r="BB36" s="18">
        <f t="shared" si="26"/>
        <v>6.1327572077324737</v>
      </c>
      <c r="BC36" s="38">
        <f t="shared" si="27"/>
        <v>9.7551893371992673</v>
      </c>
      <c r="BD36" s="18">
        <f>IF(ISNUMBER(LININTERP(AW36,Permissible_Shear!$T$178:$T$188,Permissible_Shear!$V$178:$V$188)),LININTERP(AW36,Permissible_Shear!$T$178:$T$188,Permissible_Shear!$V$178:$V$188),0)</f>
        <v>5.0788104379514607</v>
      </c>
      <c r="BE36" s="18">
        <f>LININTERP(AW36,Permissible_Shear!$S$205:$S$222,Permissible_Shear!$V$205:$V$222)</f>
        <v>5.1436250000000054</v>
      </c>
      <c r="BF36" s="18">
        <f>INDEX($AZ$3:$BE$204,ROW(BF36)-2,MATCH(XS_Analyzer!$S$5,XS_AnalyzerSummary!$AZ$2:$BE$2,0))</f>
        <v>6.1327572077324737</v>
      </c>
      <c r="BG36" s="26">
        <f t="shared" si="28"/>
        <v>0</v>
      </c>
      <c r="BH36" s="26">
        <f t="shared" si="29"/>
        <v>0</v>
      </c>
      <c r="BI36" s="26">
        <f t="shared" si="30"/>
        <v>2.7207872568893023</v>
      </c>
      <c r="BJ36" s="26">
        <f t="shared" si="31"/>
        <v>0</v>
      </c>
      <c r="BK36" s="26">
        <f t="shared" si="32"/>
        <v>0</v>
      </c>
      <c r="BL36" s="26">
        <f t="shared" si="33"/>
        <v>1.5459600000000016</v>
      </c>
      <c r="BM36" s="18">
        <f t="shared" si="34"/>
        <v>0</v>
      </c>
      <c r="BN36" s="18">
        <f t="shared" si="35"/>
        <v>0</v>
      </c>
      <c r="BO36" s="18">
        <f t="shared" si="36"/>
        <v>2.4775000000000023</v>
      </c>
    </row>
    <row r="37" spans="1:67" ht="15">
      <c r="A37" s="5"/>
      <c r="B37" s="20"/>
      <c r="C37" s="20"/>
      <c r="D37" s="74"/>
      <c r="E37" s="74"/>
      <c r="F37" s="20"/>
      <c r="G37" s="81"/>
      <c r="H37" s="20"/>
      <c r="I37" s="20"/>
      <c r="J37" s="23"/>
      <c r="K37" s="23"/>
      <c r="L37" s="23"/>
      <c r="M37" s="23"/>
      <c r="P37" s="9"/>
      <c r="S37" s="9"/>
      <c r="V37" s="7"/>
      <c r="W37" s="7"/>
      <c r="Z37" s="5"/>
      <c r="AA37" s="5"/>
      <c r="AD37" s="32">
        <v>33</v>
      </c>
      <c r="AE37" s="25" t="str">
        <f t="shared" si="13"/>
        <v>Left</v>
      </c>
      <c r="AF37" s="25" t="str">
        <f t="shared" si="14"/>
        <v>Channel</v>
      </c>
      <c r="AG37" s="32" t="str">
        <f>IF(XS_AnalyzerSummary!$AB$24&gt;=XS_AnalyzerSummary!AD37,"Y","N")</f>
        <v>Y</v>
      </c>
      <c r="AH37" s="38">
        <v>1</v>
      </c>
      <c r="AI37" s="38">
        <f>IF(AG37="Y",$O$19/XS_AnalyzerSummary!$AB$24,0)</f>
        <v>4.4999999999999998E-2</v>
      </c>
      <c r="AJ37" s="38">
        <f t="shared" si="15"/>
        <v>4.4999999999999998E-2</v>
      </c>
      <c r="AK37" s="93">
        <f t="shared" si="37"/>
        <v>2.5299999999999976</v>
      </c>
      <c r="AL37" s="93">
        <f>IF(AG37="Y",LININTERP(AK37,XS_Analyzer_Calculations!$AY$4:$AY$104,XS_Analyzer_Calculations!$AZ$4:$AZ$104),AL36)</f>
        <v>1.8525000000000018</v>
      </c>
      <c r="AM37" s="38">
        <f t="shared" si="16"/>
        <v>3.1474999999999982</v>
      </c>
      <c r="AN37" s="18">
        <f t="shared" si="17"/>
        <v>0.14087812499999994</v>
      </c>
      <c r="AO37" s="100">
        <f t="shared" si="18"/>
        <v>5.6249999999999911E-2</v>
      </c>
      <c r="AP37" s="100">
        <f t="shared" si="19"/>
        <v>2.5045000000000028</v>
      </c>
      <c r="AQ37" s="18">
        <f t="shared" si="20"/>
        <v>1.7787811838447108E-3</v>
      </c>
      <c r="AR37" s="32">
        <f>IFERROR(IF(AG37="Y",VLOOKUP(AK37,XS_Analyzer_Calculations!$R$5:$T$104,3,TRUE),0),0)</f>
        <v>0.1</v>
      </c>
      <c r="AS37" s="198">
        <f t="shared" si="21"/>
        <v>0.01</v>
      </c>
      <c r="AT37" s="18">
        <f t="shared" si="22"/>
        <v>3.8607919252582357</v>
      </c>
      <c r="AU37" s="38">
        <f>AT37*XS_Analyzer_Calculations!$I$7^0.5</f>
        <v>0.38607919252582357</v>
      </c>
      <c r="AV37" s="18">
        <f t="shared" si="38"/>
        <v>2.7405191013567487</v>
      </c>
      <c r="AW37" s="18">
        <f t="shared" si="23"/>
        <v>1.5628080000000018</v>
      </c>
      <c r="AX37" s="18">
        <f t="shared" si="24"/>
        <v>5</v>
      </c>
      <c r="AY37" s="32">
        <f t="shared" si="25"/>
        <v>3.1306249999999989</v>
      </c>
      <c r="AZ37" s="18">
        <f>((AS37*AP37)/(1.65*XS_Analyzer!$Q$72))*12</f>
        <v>7.1968348718155859</v>
      </c>
      <c r="BA37" s="18">
        <f>(AW37/((1.65*62.4)*XS_Analyzer!$Q$73))*12</f>
        <v>4.0476767676767729</v>
      </c>
      <c r="BB37" s="18">
        <f t="shared" si="26"/>
        <v>6.2020378698324139</v>
      </c>
      <c r="BC37" s="38">
        <f t="shared" si="27"/>
        <v>9.8328477047381551</v>
      </c>
      <c r="BD37" s="18">
        <f>IF(ISNUMBER(LININTERP(AW37,Permissible_Shear!$T$178:$T$188,Permissible_Shear!$V$178:$V$188)),LININTERP(AW37,Permissible_Shear!$T$178:$T$188,Permissible_Shear!$V$178:$V$188),0)</f>
        <v>5.131436454740685</v>
      </c>
      <c r="BE37" s="18">
        <f>LININTERP(AW37,Permissible_Shear!$S$205:$S$222,Permissible_Shear!$V$205:$V$222)</f>
        <v>5.1962750000000053</v>
      </c>
      <c r="BF37" s="18">
        <f>INDEX($AZ$3:$BE$204,ROW(BF37)-2,MATCH(XS_Analyzer!$S$5,XS_AnalyzerSummary!$AZ$2:$BE$2,0))</f>
        <v>6.2020378698324139</v>
      </c>
      <c r="BG37" s="26">
        <f t="shared" si="28"/>
        <v>0</v>
      </c>
      <c r="BH37" s="26">
        <f t="shared" si="29"/>
        <v>0</v>
      </c>
      <c r="BI37" s="26">
        <f t="shared" si="30"/>
        <v>2.7405191013567487</v>
      </c>
      <c r="BJ37" s="26">
        <f t="shared" si="31"/>
        <v>0</v>
      </c>
      <c r="BK37" s="26">
        <f t="shared" si="32"/>
        <v>0</v>
      </c>
      <c r="BL37" s="26">
        <f t="shared" si="33"/>
        <v>1.5628080000000018</v>
      </c>
      <c r="BM37" s="18">
        <f t="shared" si="34"/>
        <v>0</v>
      </c>
      <c r="BN37" s="18">
        <f t="shared" si="35"/>
        <v>0</v>
      </c>
      <c r="BO37" s="18">
        <f t="shared" si="36"/>
        <v>2.5045000000000028</v>
      </c>
    </row>
    <row r="38" spans="1:67" ht="15">
      <c r="A38" s="9"/>
      <c r="B38" s="9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P38" s="9"/>
      <c r="S38" s="9"/>
      <c r="V38" s="7"/>
      <c r="W38" s="7"/>
      <c r="Z38" s="5"/>
      <c r="AA38" s="5"/>
      <c r="AD38" s="32">
        <v>34</v>
      </c>
      <c r="AE38" s="25" t="str">
        <f t="shared" si="13"/>
        <v>Left</v>
      </c>
      <c r="AF38" s="25" t="str">
        <f t="shared" si="14"/>
        <v>Channel</v>
      </c>
      <c r="AG38" s="32" t="str">
        <f>IF(XS_AnalyzerSummary!$AB$24&gt;=XS_AnalyzerSummary!AD38,"Y","N")</f>
        <v>Y</v>
      </c>
      <c r="AH38" s="38">
        <v>1</v>
      </c>
      <c r="AI38" s="38">
        <f>IF(AG38="Y",$O$19/XS_AnalyzerSummary!$AB$24,0)</f>
        <v>4.4999999999999998E-2</v>
      </c>
      <c r="AJ38" s="38">
        <f t="shared" si="15"/>
        <v>4.4999999999999998E-2</v>
      </c>
      <c r="AK38" s="93">
        <f t="shared" si="37"/>
        <v>2.5749999999999975</v>
      </c>
      <c r="AL38" s="93">
        <f>IF(AG38="Y",LININTERP(AK38,XS_Analyzer_Calculations!$AY$4:$AY$104,XS_Analyzer_Calculations!$AZ$4:$AZ$104),AL37)</f>
        <v>1.8187500000000019</v>
      </c>
      <c r="AM38" s="38">
        <f t="shared" si="16"/>
        <v>3.1812499999999981</v>
      </c>
      <c r="AN38" s="18">
        <f t="shared" si="17"/>
        <v>0.1423968749999999</v>
      </c>
      <c r="AO38" s="100">
        <f t="shared" si="18"/>
        <v>5.6249999999999911E-2</v>
      </c>
      <c r="AP38" s="100">
        <f t="shared" si="19"/>
        <v>2.5315000000000021</v>
      </c>
      <c r="AQ38" s="18">
        <f t="shared" si="20"/>
        <v>1.7787811838447108E-3</v>
      </c>
      <c r="AR38" s="32">
        <f>IFERROR(IF(AG38="Y",VLOOKUP(AK38,XS_Analyzer_Calculations!$R$5:$T$104,3,TRUE),0),0)</f>
        <v>0.1</v>
      </c>
      <c r="AS38" s="198">
        <f t="shared" si="21"/>
        <v>0.01</v>
      </c>
      <c r="AT38" s="18">
        <f t="shared" si="22"/>
        <v>3.930410298576287</v>
      </c>
      <c r="AU38" s="38">
        <f>AT38*XS_Analyzer_Calculations!$I$7^0.5</f>
        <v>0.39304102985762873</v>
      </c>
      <c r="AV38" s="18">
        <f t="shared" si="38"/>
        <v>2.7601801644708077</v>
      </c>
      <c r="AW38" s="18">
        <f t="shared" si="23"/>
        <v>1.5796560000000015</v>
      </c>
      <c r="AX38" s="18">
        <f t="shared" si="24"/>
        <v>5</v>
      </c>
      <c r="AY38" s="32">
        <f t="shared" si="25"/>
        <v>3.1643749999999979</v>
      </c>
      <c r="AZ38" s="18">
        <f>((AS38*AP38)/(1.65*XS_Analyzer!$Q$72))*12</f>
        <v>7.2744210333404471</v>
      </c>
      <c r="BA38" s="18">
        <f>(AW38/((1.65*62.4)*XS_Analyzer!$Q$73))*12</f>
        <v>4.0913131313131359</v>
      </c>
      <c r="BB38" s="18">
        <f t="shared" si="26"/>
        <v>6.2713497406055581</v>
      </c>
      <c r="BC38" s="38">
        <f t="shared" si="27"/>
        <v>9.9102861264843689</v>
      </c>
      <c r="BD38" s="18">
        <f>IF(ISNUMBER(LININTERP(AW38,Permissible_Shear!$T$178:$T$188,Permissible_Shear!$V$178:$V$188)),LININTERP(AW38,Permissible_Shear!$T$178:$T$188,Permissible_Shear!$V$178:$V$188),0)</f>
        <v>5.1840624715299075</v>
      </c>
      <c r="BE38" s="18">
        <f>LININTERP(AW38,Permissible_Shear!$S$205:$S$222,Permissible_Shear!$V$205:$V$222)</f>
        <v>5.2489250000000052</v>
      </c>
      <c r="BF38" s="18">
        <f>INDEX($AZ$3:$BE$204,ROW(BF38)-2,MATCH(XS_Analyzer!$S$5,XS_AnalyzerSummary!$AZ$2:$BE$2,0))</f>
        <v>6.2713497406055581</v>
      </c>
      <c r="BG38" s="26">
        <f t="shared" si="28"/>
        <v>0</v>
      </c>
      <c r="BH38" s="26">
        <f t="shared" si="29"/>
        <v>0</v>
      </c>
      <c r="BI38" s="26">
        <f t="shared" si="30"/>
        <v>2.7601801644708077</v>
      </c>
      <c r="BJ38" s="26">
        <f t="shared" si="31"/>
        <v>0</v>
      </c>
      <c r="BK38" s="26">
        <f t="shared" si="32"/>
        <v>0</v>
      </c>
      <c r="BL38" s="26">
        <f t="shared" si="33"/>
        <v>1.5796560000000015</v>
      </c>
      <c r="BM38" s="18">
        <f t="shared" si="34"/>
        <v>0</v>
      </c>
      <c r="BN38" s="18">
        <f t="shared" si="35"/>
        <v>0</v>
      </c>
      <c r="BO38" s="18">
        <f t="shared" si="36"/>
        <v>2.5315000000000021</v>
      </c>
    </row>
    <row r="39" spans="1:67" ht="15">
      <c r="A39" s="9"/>
      <c r="B39" s="9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P39" s="9"/>
      <c r="S39" s="9"/>
      <c r="V39" s="7"/>
      <c r="W39" s="7"/>
      <c r="Z39" s="5"/>
      <c r="AA39" s="5"/>
      <c r="AD39" s="32">
        <v>35</v>
      </c>
      <c r="AE39" s="25" t="str">
        <f t="shared" si="13"/>
        <v>Left</v>
      </c>
      <c r="AF39" s="25" t="str">
        <f t="shared" si="14"/>
        <v>Channel</v>
      </c>
      <c r="AG39" s="32" t="str">
        <f>IF(XS_AnalyzerSummary!$AB$24&gt;=XS_AnalyzerSummary!AD39,"Y","N")</f>
        <v>Y</v>
      </c>
      <c r="AH39" s="38">
        <v>1</v>
      </c>
      <c r="AI39" s="38">
        <f>IF(AG39="Y",$O$19/XS_AnalyzerSummary!$AB$24,0)</f>
        <v>4.4999999999999998E-2</v>
      </c>
      <c r="AJ39" s="38">
        <f t="shared" si="15"/>
        <v>4.4999999999999998E-2</v>
      </c>
      <c r="AK39" s="93">
        <f t="shared" si="37"/>
        <v>2.6199999999999974</v>
      </c>
      <c r="AL39" s="93">
        <f>IF(AG39="Y",LININTERP(AK39,XS_Analyzer_Calculations!$AY$4:$AY$104,XS_Analyzer_Calculations!$AZ$4:$AZ$104),AL38)</f>
        <v>1.7850000000000019</v>
      </c>
      <c r="AM39" s="38">
        <f t="shared" si="16"/>
        <v>3.2149999999999981</v>
      </c>
      <c r="AN39" s="18">
        <f t="shared" si="17"/>
        <v>0.14391562499999991</v>
      </c>
      <c r="AO39" s="100">
        <f t="shared" si="18"/>
        <v>5.6249999999999911E-2</v>
      </c>
      <c r="AP39" s="100">
        <f t="shared" si="19"/>
        <v>2.5585000000000022</v>
      </c>
      <c r="AQ39" s="18">
        <f t="shared" si="20"/>
        <v>1.7787811838447108E-3</v>
      </c>
      <c r="AR39" s="32">
        <f>IFERROR(IF(AG39="Y",VLOOKUP(AK39,XS_Analyzer_Calculations!$R$5:$T$104,3,TRUE),0),0)</f>
        <v>0.1</v>
      </c>
      <c r="AS39" s="198">
        <f t="shared" si="21"/>
        <v>0.01</v>
      </c>
      <c r="AT39" s="18">
        <f t="shared" si="22"/>
        <v>4.0005254573520128</v>
      </c>
      <c r="AU39" s="38">
        <f>AT39*XS_Analyzer_Calculations!$I$7^0.5</f>
        <v>0.40005254573520133</v>
      </c>
      <c r="AV39" s="18">
        <f t="shared" si="38"/>
        <v>2.7797714510512779</v>
      </c>
      <c r="AW39" s="18">
        <f t="shared" si="23"/>
        <v>1.5965040000000013</v>
      </c>
      <c r="AX39" s="18">
        <f t="shared" si="24"/>
        <v>5</v>
      </c>
      <c r="AY39" s="32">
        <f t="shared" si="25"/>
        <v>3.1981249999999979</v>
      </c>
      <c r="AZ39" s="18">
        <f>((AS39*AP39)/(1.65*XS_Analyzer!$Q$72))*12</f>
        <v>7.3520071948653118</v>
      </c>
      <c r="BA39" s="18">
        <f>(AW39/((1.65*62.4)*XS_Analyzer!$Q$73))*12</f>
        <v>4.1349494949494989</v>
      </c>
      <c r="BB39" s="18">
        <f t="shared" si="26"/>
        <v>6.3406925027812253</v>
      </c>
      <c r="BC39" s="38">
        <f t="shared" si="27"/>
        <v>9.9875075490138254</v>
      </c>
      <c r="BD39" s="18">
        <f>IF(ISNUMBER(LININTERP(AW39,Permissible_Shear!$T$178:$T$188,Permissible_Shear!$V$178:$V$188)),LININTERP(AW39,Permissible_Shear!$T$178:$T$188,Permissible_Shear!$V$178:$V$188),0)</f>
        <v>5.23668848831913</v>
      </c>
      <c r="BE39" s="18">
        <f>LININTERP(AW39,Permissible_Shear!$S$205:$S$222,Permissible_Shear!$V$205:$V$222)</f>
        <v>5.3015750000000041</v>
      </c>
      <c r="BF39" s="18">
        <f>INDEX($AZ$3:$BE$204,ROW(BF39)-2,MATCH(XS_Analyzer!$S$5,XS_AnalyzerSummary!$AZ$2:$BE$2,0))</f>
        <v>6.3406925027812253</v>
      </c>
      <c r="BG39" s="26">
        <f t="shared" si="28"/>
        <v>0</v>
      </c>
      <c r="BH39" s="26">
        <f t="shared" si="29"/>
        <v>0</v>
      </c>
      <c r="BI39" s="26">
        <f t="shared" si="30"/>
        <v>2.7797714510512779</v>
      </c>
      <c r="BJ39" s="26">
        <f t="shared" si="31"/>
        <v>0</v>
      </c>
      <c r="BK39" s="26">
        <f t="shared" si="32"/>
        <v>0</v>
      </c>
      <c r="BL39" s="26">
        <f t="shared" si="33"/>
        <v>1.5965040000000013</v>
      </c>
      <c r="BM39" s="18">
        <f t="shared" si="34"/>
        <v>0</v>
      </c>
      <c r="BN39" s="18">
        <f t="shared" si="35"/>
        <v>0</v>
      </c>
      <c r="BO39" s="18">
        <f t="shared" si="36"/>
        <v>2.5585000000000022</v>
      </c>
    </row>
    <row r="40" spans="1:67" ht="15">
      <c r="A40" s="9"/>
      <c r="B40" s="9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P40" s="9"/>
      <c r="S40" s="9"/>
      <c r="V40" s="7"/>
      <c r="W40" s="7"/>
      <c r="Z40" s="5"/>
      <c r="AA40" s="5"/>
      <c r="AD40" s="32">
        <v>36</v>
      </c>
      <c r="AE40" s="25" t="str">
        <f t="shared" si="13"/>
        <v>Left</v>
      </c>
      <c r="AF40" s="25" t="str">
        <f t="shared" si="14"/>
        <v>Channel</v>
      </c>
      <c r="AG40" s="32" t="str">
        <f>IF(XS_AnalyzerSummary!$AB$24&gt;=XS_AnalyzerSummary!AD40,"Y","N")</f>
        <v>Y</v>
      </c>
      <c r="AH40" s="38">
        <v>1</v>
      </c>
      <c r="AI40" s="38">
        <f>IF(AG40="Y",$O$19/XS_AnalyzerSummary!$AB$24,0)</f>
        <v>4.4999999999999998E-2</v>
      </c>
      <c r="AJ40" s="38">
        <f t="shared" si="15"/>
        <v>4.4999999999999998E-2</v>
      </c>
      <c r="AK40" s="93">
        <f t="shared" si="37"/>
        <v>2.6649999999999974</v>
      </c>
      <c r="AL40" s="93">
        <f>IF(AG40="Y",LININTERP(AK40,XS_Analyzer_Calculations!$AY$4:$AY$104,XS_Analyzer_Calculations!$AZ$4:$AZ$104),AL39)</f>
        <v>1.751250000000002</v>
      </c>
      <c r="AM40" s="38">
        <f t="shared" si="16"/>
        <v>3.248749999999998</v>
      </c>
      <c r="AN40" s="18">
        <f t="shared" si="17"/>
        <v>0.14543437499999989</v>
      </c>
      <c r="AO40" s="100">
        <f t="shared" si="18"/>
        <v>5.6249999999999911E-2</v>
      </c>
      <c r="AP40" s="100">
        <f t="shared" si="19"/>
        <v>2.5855000000000024</v>
      </c>
      <c r="AQ40" s="18">
        <f t="shared" si="20"/>
        <v>1.7787811838447108E-3</v>
      </c>
      <c r="AR40" s="32">
        <f>IFERROR(IF(AG40="Y",VLOOKUP(AK40,XS_Analyzer_Calculations!$R$5:$T$104,3,TRUE),0),0)</f>
        <v>0.1</v>
      </c>
      <c r="AS40" s="198">
        <f t="shared" si="21"/>
        <v>0.01</v>
      </c>
      <c r="AT40" s="18">
        <f t="shared" si="22"/>
        <v>4.0711356478227181</v>
      </c>
      <c r="AU40" s="38">
        <f>AT40*XS_Analyzer_Calculations!$I$7^0.5</f>
        <v>0.40711356478227184</v>
      </c>
      <c r="AV40" s="18">
        <f t="shared" si="38"/>
        <v>2.7992939412176256</v>
      </c>
      <c r="AW40" s="18">
        <f t="shared" si="23"/>
        <v>1.6133520000000017</v>
      </c>
      <c r="AX40" s="18">
        <f t="shared" si="24"/>
        <v>5</v>
      </c>
      <c r="AY40" s="32">
        <f t="shared" si="25"/>
        <v>3.2318749999999978</v>
      </c>
      <c r="AZ40" s="18">
        <f>((AS40*AP40)/(1.65*XS_Analyzer!$Q$72))*12</f>
        <v>7.4295933563901748</v>
      </c>
      <c r="BA40" s="18">
        <f>(AW40/((1.65*62.4)*XS_Analyzer!$Q$73))*12</f>
        <v>4.1785858585858628</v>
      </c>
      <c r="BB40" s="18">
        <f t="shared" si="26"/>
        <v>6.4100658456118618</v>
      </c>
      <c r="BC40" s="38">
        <f t="shared" si="27"/>
        <v>10.064514848949974</v>
      </c>
      <c r="BD40" s="18">
        <f>IF(ISNUMBER(LININTERP(AW40,Permissible_Shear!$T$178:$T$188,Permissible_Shear!$V$178:$V$188)),LININTERP(AW40,Permissible_Shear!$T$178:$T$188,Permissible_Shear!$V$178:$V$188),0)</f>
        <v>5.2893145051083552</v>
      </c>
      <c r="BE40" s="18">
        <f>LININTERP(AW40,Permissible_Shear!$S$205:$S$222,Permissible_Shear!$V$205:$V$222)</f>
        <v>5.3542250000000049</v>
      </c>
      <c r="BF40" s="18">
        <f>INDEX($AZ$3:$BE$204,ROW(BF40)-2,MATCH(XS_Analyzer!$S$5,XS_AnalyzerSummary!$AZ$2:$BE$2,0))</f>
        <v>6.4100658456118618</v>
      </c>
      <c r="BG40" s="26">
        <f t="shared" si="28"/>
        <v>0</v>
      </c>
      <c r="BH40" s="26">
        <f t="shared" si="29"/>
        <v>0</v>
      </c>
      <c r="BI40" s="26">
        <f t="shared" si="30"/>
        <v>2.7992939412176256</v>
      </c>
      <c r="BJ40" s="26">
        <f t="shared" si="31"/>
        <v>0</v>
      </c>
      <c r="BK40" s="26">
        <f t="shared" si="32"/>
        <v>0</v>
      </c>
      <c r="BL40" s="26">
        <f t="shared" si="33"/>
        <v>1.6133520000000017</v>
      </c>
      <c r="BM40" s="18">
        <f t="shared" si="34"/>
        <v>0</v>
      </c>
      <c r="BN40" s="18">
        <f t="shared" si="35"/>
        <v>0</v>
      </c>
      <c r="BO40" s="18">
        <f t="shared" si="36"/>
        <v>2.5855000000000024</v>
      </c>
    </row>
    <row r="41" spans="1:67" ht="15">
      <c r="A41" s="9"/>
      <c r="B41" s="9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P41" s="9"/>
      <c r="S41" s="9"/>
      <c r="V41" s="7"/>
      <c r="W41" s="7"/>
      <c r="Z41" s="5"/>
      <c r="AA41" s="5"/>
      <c r="AD41" s="32">
        <v>37</v>
      </c>
      <c r="AE41" s="25" t="str">
        <f t="shared" si="13"/>
        <v>Left</v>
      </c>
      <c r="AF41" s="25" t="str">
        <f t="shared" si="14"/>
        <v>Channel</v>
      </c>
      <c r="AG41" s="32" t="str">
        <f>IF(XS_AnalyzerSummary!$AB$24&gt;=XS_AnalyzerSummary!AD41,"Y","N")</f>
        <v>Y</v>
      </c>
      <c r="AH41" s="38">
        <v>1</v>
      </c>
      <c r="AI41" s="38">
        <f>IF(AG41="Y",$O$19/XS_AnalyzerSummary!$AB$24,0)</f>
        <v>4.4999999999999998E-2</v>
      </c>
      <c r="AJ41" s="38">
        <f t="shared" si="15"/>
        <v>4.4999999999999998E-2</v>
      </c>
      <c r="AK41" s="93">
        <f t="shared" si="37"/>
        <v>2.7099999999999973</v>
      </c>
      <c r="AL41" s="93">
        <f>IF(AG41="Y",LININTERP(AK41,XS_Analyzer_Calculations!$AY$4:$AY$104,XS_Analyzer_Calculations!$AZ$4:$AZ$104),AL40)</f>
        <v>1.717500000000002</v>
      </c>
      <c r="AM41" s="38">
        <f t="shared" si="16"/>
        <v>3.282499999999998</v>
      </c>
      <c r="AN41" s="18">
        <f t="shared" si="17"/>
        <v>0.14695312499999991</v>
      </c>
      <c r="AO41" s="100">
        <f t="shared" si="18"/>
        <v>5.6249999999999911E-2</v>
      </c>
      <c r="AP41" s="100">
        <f t="shared" si="19"/>
        <v>2.6125000000000025</v>
      </c>
      <c r="AQ41" s="18">
        <f t="shared" si="20"/>
        <v>1.7787811838447108E-3</v>
      </c>
      <c r="AR41" s="32">
        <f>IFERROR(IF(AG41="Y",VLOOKUP(AK41,XS_Analyzer_Calculations!$R$5:$T$104,3,TRUE),0),0)</f>
        <v>0.1</v>
      </c>
      <c r="AS41" s="198">
        <f t="shared" si="21"/>
        <v>0.01</v>
      </c>
      <c r="AT41" s="18">
        <f t="shared" si="22"/>
        <v>4.1422391407314754</v>
      </c>
      <c r="AU41" s="38">
        <f>AT41*XS_Analyzer_Calculations!$I$7^0.5</f>
        <v>0.41422391407314757</v>
      </c>
      <c r="AV41" s="18">
        <f t="shared" si="38"/>
        <v>2.8187485912473642</v>
      </c>
      <c r="AW41" s="18">
        <f t="shared" si="23"/>
        <v>1.6302000000000016</v>
      </c>
      <c r="AX41" s="18">
        <f t="shared" si="24"/>
        <v>5</v>
      </c>
      <c r="AY41" s="32">
        <f t="shared" si="25"/>
        <v>3.2656249999999982</v>
      </c>
      <c r="AZ41" s="18">
        <f>((AS41*AP41)/(1.65*XS_Analyzer!$Q$72))*12</f>
        <v>7.5071795179150396</v>
      </c>
      <c r="BA41" s="18">
        <f>(AW41/((1.65*62.4)*XS_Analyzer!$Q$73))*12</f>
        <v>4.2222222222222268</v>
      </c>
      <c r="BB41" s="18">
        <f t="shared" si="26"/>
        <v>6.4794694646725226</v>
      </c>
      <c r="BC41" s="38">
        <f t="shared" si="27"/>
        <v>10.141310835333039</v>
      </c>
      <c r="BD41" s="18">
        <f>IF(ISNUMBER(LININTERP(AW41,Permissible_Shear!$T$178:$T$188,Permissible_Shear!$V$178:$V$188)),LININTERP(AW41,Permissible_Shear!$T$178:$T$188,Permissible_Shear!$V$178:$V$188),0)</f>
        <v>5.3419405218975786</v>
      </c>
      <c r="BE41" s="18">
        <f>LININTERP(AW41,Permissible_Shear!$S$205:$S$222,Permissible_Shear!$V$205:$V$222)</f>
        <v>5.4068750000000048</v>
      </c>
      <c r="BF41" s="18">
        <f>INDEX($AZ$3:$BE$204,ROW(BF41)-2,MATCH(XS_Analyzer!$S$5,XS_AnalyzerSummary!$AZ$2:$BE$2,0))</f>
        <v>6.4794694646725226</v>
      </c>
      <c r="BG41" s="26">
        <f t="shared" si="28"/>
        <v>0</v>
      </c>
      <c r="BH41" s="26">
        <f t="shared" si="29"/>
        <v>0</v>
      </c>
      <c r="BI41" s="26">
        <f t="shared" si="30"/>
        <v>2.8187485912473642</v>
      </c>
      <c r="BJ41" s="26">
        <f t="shared" si="31"/>
        <v>0</v>
      </c>
      <c r="BK41" s="26">
        <f t="shared" si="32"/>
        <v>0</v>
      </c>
      <c r="BL41" s="26">
        <f t="shared" si="33"/>
        <v>1.6302000000000016</v>
      </c>
      <c r="BM41" s="18">
        <f t="shared" si="34"/>
        <v>0</v>
      </c>
      <c r="BN41" s="18">
        <f t="shared" si="35"/>
        <v>0</v>
      </c>
      <c r="BO41" s="18">
        <f t="shared" si="36"/>
        <v>2.6125000000000025</v>
      </c>
    </row>
    <row r="42" spans="1:67" ht="15">
      <c r="A42" s="9"/>
      <c r="B42" s="9"/>
      <c r="C42" s="23"/>
      <c r="D42" s="23"/>
      <c r="E42" s="23"/>
      <c r="F42" s="23"/>
      <c r="G42" s="23"/>
      <c r="H42" s="23"/>
      <c r="I42" s="23"/>
      <c r="J42" s="23"/>
      <c r="K42" s="7"/>
      <c r="L42" s="23"/>
      <c r="M42" s="23"/>
      <c r="P42" s="9"/>
      <c r="S42" s="9"/>
      <c r="V42" s="7"/>
      <c r="W42" s="7"/>
      <c r="Z42" s="5"/>
      <c r="AA42" s="5"/>
      <c r="AD42" s="32">
        <v>38</v>
      </c>
      <c r="AE42" s="25" t="str">
        <f t="shared" si="13"/>
        <v>Left</v>
      </c>
      <c r="AF42" s="25" t="str">
        <f t="shared" si="14"/>
        <v>Channel</v>
      </c>
      <c r="AG42" s="32" t="str">
        <f>IF(XS_AnalyzerSummary!$AB$24&gt;=XS_AnalyzerSummary!AD42,"Y","N")</f>
        <v>Y</v>
      </c>
      <c r="AH42" s="38">
        <v>1</v>
      </c>
      <c r="AI42" s="38">
        <f>IF(AG42="Y",$O$19/XS_AnalyzerSummary!$AB$24,0)</f>
        <v>4.4999999999999998E-2</v>
      </c>
      <c r="AJ42" s="38">
        <f t="shared" si="15"/>
        <v>4.4999999999999998E-2</v>
      </c>
      <c r="AK42" s="93">
        <f t="shared" si="37"/>
        <v>2.7549999999999972</v>
      </c>
      <c r="AL42" s="93">
        <f>IF(AG42="Y",LININTERP(AK42,XS_Analyzer_Calculations!$AY$4:$AY$104,XS_Analyzer_Calculations!$AZ$4:$AZ$104),AL41)</f>
        <v>1.6837500000000021</v>
      </c>
      <c r="AM42" s="38">
        <f t="shared" si="16"/>
        <v>3.3162499999999979</v>
      </c>
      <c r="AN42" s="18">
        <f t="shared" si="17"/>
        <v>0.14847187499999989</v>
      </c>
      <c r="AO42" s="100">
        <f t="shared" si="18"/>
        <v>5.6249999999999911E-2</v>
      </c>
      <c r="AP42" s="100">
        <f t="shared" si="19"/>
        <v>2.6395000000000022</v>
      </c>
      <c r="AQ42" s="18">
        <f t="shared" si="20"/>
        <v>1.7787811838447108E-3</v>
      </c>
      <c r="AR42" s="32">
        <f>IFERROR(IF(AG42="Y",VLOOKUP(AK42,XS_Analyzer_Calculations!$R$5:$T$104,3,TRUE),0),0)</f>
        <v>0.1</v>
      </c>
      <c r="AS42" s="198">
        <f t="shared" si="21"/>
        <v>0.01</v>
      </c>
      <c r="AT42" s="18">
        <f t="shared" si="22"/>
        <v>4.2138342307340606</v>
      </c>
      <c r="AU42" s="38">
        <f>AT42*XS_Analyzer_Calculations!$I$7^0.5</f>
        <v>0.42138342307340609</v>
      </c>
      <c r="AV42" s="18">
        <f t="shared" si="38"/>
        <v>2.8381363343960357</v>
      </c>
      <c r="AW42" s="18">
        <f t="shared" si="23"/>
        <v>1.6470480000000012</v>
      </c>
      <c r="AX42" s="18">
        <f t="shared" si="24"/>
        <v>5</v>
      </c>
      <c r="AY42" s="32">
        <f t="shared" si="25"/>
        <v>3.2993749999999977</v>
      </c>
      <c r="AZ42" s="18">
        <f>((AS42*AP42)/(1.65*XS_Analyzer!$Q$72))*12</f>
        <v>7.5847656794399008</v>
      </c>
      <c r="BA42" s="18">
        <f>(AW42/((1.65*62.4)*XS_Analyzer!$Q$73))*12</f>
        <v>4.2658585858585898</v>
      </c>
      <c r="BB42" s="18">
        <f t="shared" si="26"/>
        <v>6.5489030616685229</v>
      </c>
      <c r="BC42" s="38">
        <f t="shared" si="27"/>
        <v>10.217898251885522</v>
      </c>
      <c r="BD42" s="18">
        <f>IF(ISNUMBER(LININTERP(AW42,Permissible_Shear!$T$178:$T$188,Permissible_Shear!$V$178:$V$188)),LININTERP(AW42,Permissible_Shear!$T$178:$T$188,Permissible_Shear!$V$178:$V$188),0)</f>
        <v>5.3945665386868011</v>
      </c>
      <c r="BE42" s="18">
        <f>LININTERP(AW42,Permissible_Shear!$S$205:$S$222,Permissible_Shear!$V$205:$V$222)</f>
        <v>5.4595250000000037</v>
      </c>
      <c r="BF42" s="18">
        <f>INDEX($AZ$3:$BE$204,ROW(BF42)-2,MATCH(XS_Analyzer!$S$5,XS_AnalyzerSummary!$AZ$2:$BE$2,0))</f>
        <v>6.5489030616685229</v>
      </c>
      <c r="BG42" s="26">
        <f t="shared" si="28"/>
        <v>0</v>
      </c>
      <c r="BH42" s="26">
        <f t="shared" si="29"/>
        <v>0</v>
      </c>
      <c r="BI42" s="26">
        <f t="shared" si="30"/>
        <v>2.8381363343960357</v>
      </c>
      <c r="BJ42" s="26">
        <f t="shared" si="31"/>
        <v>0</v>
      </c>
      <c r="BK42" s="26">
        <f t="shared" si="32"/>
        <v>0</v>
      </c>
      <c r="BL42" s="26">
        <f t="shared" si="33"/>
        <v>1.6470480000000012</v>
      </c>
      <c r="BM42" s="18">
        <f t="shared" si="34"/>
        <v>0</v>
      </c>
      <c r="BN42" s="18">
        <f t="shared" si="35"/>
        <v>0</v>
      </c>
      <c r="BO42" s="18">
        <f t="shared" si="36"/>
        <v>2.6395000000000022</v>
      </c>
    </row>
    <row r="43" spans="1:67" ht="15">
      <c r="A43" s="9"/>
      <c r="B43" s="9"/>
      <c r="C43" s="23" t="e">
        <f>IF(OR(XS_Analyzer_Calculations!BE41&lt;&gt;0,XS_Analyzer_Calculations!BG41="MAX WSE"),VLOOKUP(XS_Analyzer_Calculations!BA41,$C$3:$C$11,2,TRUE),IF(XS_Analyzer_Calculations!BE41&lt;&gt;0,VLOOKUP(XS_Analyzer_Calculations!BF41,$C$3:$C$11,2,TRUE),""))</f>
        <v>#N/A</v>
      </c>
      <c r="D43" s="23"/>
      <c r="E43" s="23"/>
      <c r="F43" s="23"/>
      <c r="G43" s="23"/>
      <c r="H43" s="23"/>
      <c r="I43" s="23"/>
      <c r="J43" s="23"/>
      <c r="K43" s="23"/>
      <c r="L43" s="23"/>
      <c r="M43" s="23"/>
      <c r="P43" s="9"/>
      <c r="S43" s="9"/>
      <c r="V43" s="7"/>
      <c r="W43" s="7"/>
      <c r="Z43" s="5"/>
      <c r="AA43" s="5"/>
      <c r="AD43" s="32">
        <v>39</v>
      </c>
      <c r="AE43" s="25" t="str">
        <f t="shared" si="13"/>
        <v>Left</v>
      </c>
      <c r="AF43" s="25" t="str">
        <f t="shared" si="14"/>
        <v>Channel</v>
      </c>
      <c r="AG43" s="32" t="str">
        <f>IF(XS_AnalyzerSummary!$AB$24&gt;=XS_AnalyzerSummary!AD43,"Y","N")</f>
        <v>Y</v>
      </c>
      <c r="AH43" s="38">
        <v>1</v>
      </c>
      <c r="AI43" s="38">
        <f>IF(AG43="Y",$O$19/XS_AnalyzerSummary!$AB$24,0)</f>
        <v>4.4999999999999998E-2</v>
      </c>
      <c r="AJ43" s="38">
        <f t="shared" si="15"/>
        <v>4.4999999999999998E-2</v>
      </c>
      <c r="AK43" s="93">
        <f t="shared" si="37"/>
        <v>2.7999999999999972</v>
      </c>
      <c r="AL43" s="93">
        <f>IF(AG43="Y",LININTERP(AK43,XS_Analyzer_Calculations!$AY$4:$AY$104,XS_Analyzer_Calculations!$AZ$4:$AZ$104),AL42)</f>
        <v>1.6500000000000021</v>
      </c>
      <c r="AM43" s="38">
        <f t="shared" si="16"/>
        <v>3.3499999999999979</v>
      </c>
      <c r="AN43" s="18">
        <f t="shared" si="17"/>
        <v>0.14999062499999991</v>
      </c>
      <c r="AO43" s="100">
        <f t="shared" si="18"/>
        <v>5.6249999999999911E-2</v>
      </c>
      <c r="AP43" s="100">
        <f t="shared" si="19"/>
        <v>2.6665000000000023</v>
      </c>
      <c r="AQ43" s="18">
        <f t="shared" si="20"/>
        <v>1.7787811838447108E-3</v>
      </c>
      <c r="AR43" s="32">
        <f>IFERROR(IF(AG43="Y",VLOOKUP(AK43,XS_Analyzer_Calculations!$R$5:$T$104,3,TRUE),0),0)</f>
        <v>0.1</v>
      </c>
      <c r="AS43" s="198">
        <f t="shared" si="21"/>
        <v>0.01</v>
      </c>
      <c r="AT43" s="18">
        <f t="shared" si="22"/>
        <v>4.2859192358262161</v>
      </c>
      <c r="AU43" s="38">
        <f>AT43*XS_Analyzer_Calculations!$I$7^0.5</f>
        <v>0.42859192358262166</v>
      </c>
      <c r="AV43" s="18">
        <f t="shared" si="38"/>
        <v>2.8574580816809179</v>
      </c>
      <c r="AW43" s="18">
        <f t="shared" si="23"/>
        <v>1.6638960000000014</v>
      </c>
      <c r="AX43" s="18">
        <f t="shared" si="24"/>
        <v>5</v>
      </c>
      <c r="AY43" s="32">
        <f t="shared" si="25"/>
        <v>3.3331249999999981</v>
      </c>
      <c r="AZ43" s="18">
        <f>((AS43*AP43)/(1.65*XS_Analyzer!$Q$72))*12</f>
        <v>7.6623518409647655</v>
      </c>
      <c r="BA43" s="18">
        <f>(AW43/((1.65*62.4)*XS_Analyzer!$Q$73))*12</f>
        <v>4.3094949494949537</v>
      </c>
      <c r="BB43" s="18">
        <f t="shared" si="26"/>
        <v>6.6183663442508482</v>
      </c>
      <c r="BC43" s="38">
        <f t="shared" si="27"/>
        <v>10.294279779179492</v>
      </c>
      <c r="BD43" s="18">
        <f>IF(ISNUMBER(LININTERP(AW43,Permissible_Shear!$T$178:$T$188,Permissible_Shear!$V$178:$V$188)),LININTERP(AW43,Permissible_Shear!$T$178:$T$188,Permissible_Shear!$V$178:$V$188),0)</f>
        <v>5.4471925554760254</v>
      </c>
      <c r="BE43" s="18">
        <f>LININTERP(AW43,Permissible_Shear!$S$205:$S$222,Permissible_Shear!$V$205:$V$222)</f>
        <v>5.5121750000000045</v>
      </c>
      <c r="BF43" s="18">
        <f>INDEX($AZ$3:$BE$204,ROW(BF43)-2,MATCH(XS_Analyzer!$S$5,XS_AnalyzerSummary!$AZ$2:$BE$2,0))</f>
        <v>6.6183663442508482</v>
      </c>
      <c r="BG43" s="26">
        <f t="shared" si="28"/>
        <v>0</v>
      </c>
      <c r="BH43" s="26">
        <f t="shared" si="29"/>
        <v>0</v>
      </c>
      <c r="BI43" s="26">
        <f t="shared" si="30"/>
        <v>2.8574580816809179</v>
      </c>
      <c r="BJ43" s="26">
        <f t="shared" si="31"/>
        <v>0</v>
      </c>
      <c r="BK43" s="26">
        <f t="shared" si="32"/>
        <v>0</v>
      </c>
      <c r="BL43" s="26">
        <f t="shared" si="33"/>
        <v>1.6638960000000014</v>
      </c>
      <c r="BM43" s="18">
        <f t="shared" si="34"/>
        <v>0</v>
      </c>
      <c r="BN43" s="18">
        <f t="shared" si="35"/>
        <v>0</v>
      </c>
      <c r="BO43" s="18">
        <f t="shared" si="36"/>
        <v>2.6665000000000023</v>
      </c>
    </row>
    <row r="44" spans="1:67" ht="15">
      <c r="A44" s="9"/>
      <c r="B44" s="9"/>
      <c r="C44" s="23" t="e">
        <f>IF(OR(XS_Analyzer_Calculations!BE42&lt;&gt;0,XS_Analyzer_Calculations!BG42="MAX WSE"),VLOOKUP(XS_Analyzer_Calculations!BA42,$C$3:$C$11,2,TRUE),IF(XS_Analyzer_Calculations!BE42&lt;&gt;0,VLOOKUP(XS_Analyzer_Calculations!BF42,$C$3:$C$11,2,TRUE),""))</f>
        <v>#N/A</v>
      </c>
      <c r="D44" s="23"/>
      <c r="E44" s="23"/>
      <c r="F44" s="23"/>
      <c r="G44" s="23"/>
      <c r="H44" s="23"/>
      <c r="I44" s="23"/>
      <c r="J44" s="23"/>
      <c r="K44" s="23"/>
      <c r="L44" s="23"/>
      <c r="M44" s="23"/>
      <c r="P44" s="9"/>
      <c r="S44" s="9"/>
      <c r="V44" s="7"/>
      <c r="W44" s="7"/>
      <c r="Z44" s="5"/>
      <c r="AA44" s="5"/>
      <c r="AD44" s="32">
        <v>40</v>
      </c>
      <c r="AE44" s="25" t="str">
        <f t="shared" si="13"/>
        <v>Left</v>
      </c>
      <c r="AF44" s="25" t="str">
        <f t="shared" si="14"/>
        <v>Channel</v>
      </c>
      <c r="AG44" s="32" t="str">
        <f>IF(XS_AnalyzerSummary!$AB$24&gt;=XS_AnalyzerSummary!AD44,"Y","N")</f>
        <v>Y</v>
      </c>
      <c r="AH44" s="38">
        <v>1</v>
      </c>
      <c r="AI44" s="38">
        <f>IF(AG44="Y",$O$19/XS_AnalyzerSummary!$AB$24,0)</f>
        <v>4.4999999999999998E-2</v>
      </c>
      <c r="AJ44" s="38">
        <f t="shared" si="15"/>
        <v>4.4999999999999998E-2</v>
      </c>
      <c r="AK44" s="93">
        <f t="shared" si="37"/>
        <v>2.8449999999999971</v>
      </c>
      <c r="AL44" s="93">
        <f>IF(AG44="Y",LININTERP(AK44,XS_Analyzer_Calculations!$AY$4:$AY$104,XS_Analyzer_Calculations!$AZ$4:$AZ$104),AL43)</f>
        <v>1.6162500000000022</v>
      </c>
      <c r="AM44" s="38">
        <f t="shared" si="16"/>
        <v>3.3837499999999978</v>
      </c>
      <c r="AN44" s="18">
        <f t="shared" si="17"/>
        <v>0.15150937499999989</v>
      </c>
      <c r="AO44" s="100">
        <f t="shared" si="18"/>
        <v>5.6249999999999911E-2</v>
      </c>
      <c r="AP44" s="100">
        <f t="shared" si="19"/>
        <v>2.6935000000000024</v>
      </c>
      <c r="AQ44" s="18">
        <f t="shared" si="20"/>
        <v>1.7787811838447108E-3</v>
      </c>
      <c r="AR44" s="32">
        <f>IFERROR(IF(AG44="Y",VLOOKUP(AK44,XS_Analyzer_Calculations!$R$5:$T$104,3,TRUE),0),0)</f>
        <v>0.1</v>
      </c>
      <c r="AS44" s="198">
        <f t="shared" si="21"/>
        <v>0.01</v>
      </c>
      <c r="AT44" s="18">
        <f t="shared" si="22"/>
        <v>4.3584924967902925</v>
      </c>
      <c r="AU44" s="38">
        <f>AT44*XS_Analyzer_Calculations!$I$7^0.5</f>
        <v>0.43584924967902927</v>
      </c>
      <c r="AV44" s="18">
        <f t="shared" si="38"/>
        <v>2.8767147226303957</v>
      </c>
      <c r="AW44" s="18">
        <f t="shared" si="23"/>
        <v>1.6807440000000013</v>
      </c>
      <c r="AX44" s="18">
        <f t="shared" si="24"/>
        <v>5</v>
      </c>
      <c r="AY44" s="32">
        <f t="shared" si="25"/>
        <v>3.3668749999999976</v>
      </c>
      <c r="AZ44" s="18">
        <f>((AS44*AP44)/(1.65*XS_Analyzer!$Q$72))*12</f>
        <v>7.7399380024896294</v>
      </c>
      <c r="BA44" s="18">
        <f>(AW44/((1.65*62.4)*XS_Analyzer!$Q$73))*12</f>
        <v>4.3531313131313167</v>
      </c>
      <c r="BB44" s="18">
        <f t="shared" si="26"/>
        <v>6.6878590258389154</v>
      </c>
      <c r="BC44" s="38">
        <f t="shared" si="27"/>
        <v>10.370458036710883</v>
      </c>
      <c r="BD44" s="18">
        <f>IF(ISNUMBER(LININTERP(AW44,Permissible_Shear!$T$178:$T$188,Permissible_Shear!$V$178:$V$188)),LININTERP(AW44,Permissible_Shear!$T$178:$T$188,Permissible_Shear!$V$178:$V$188),0)</f>
        <v>5.4998185722652488</v>
      </c>
      <c r="BE44" s="18">
        <f>LININTERP(AW44,Permissible_Shear!$S$205:$S$222,Permissible_Shear!$V$205:$V$222)</f>
        <v>5.5648250000000044</v>
      </c>
      <c r="BF44" s="18">
        <f>INDEX($AZ$3:$BE$204,ROW(BF44)-2,MATCH(XS_Analyzer!$S$5,XS_AnalyzerSummary!$AZ$2:$BE$2,0))</f>
        <v>6.6878590258389154</v>
      </c>
      <c r="BG44" s="26">
        <f t="shared" si="28"/>
        <v>0</v>
      </c>
      <c r="BH44" s="26">
        <f t="shared" si="29"/>
        <v>0</v>
      </c>
      <c r="BI44" s="26">
        <f t="shared" si="30"/>
        <v>2.8767147226303957</v>
      </c>
      <c r="BJ44" s="26">
        <f t="shared" si="31"/>
        <v>0</v>
      </c>
      <c r="BK44" s="26">
        <f t="shared" si="32"/>
        <v>0</v>
      </c>
      <c r="BL44" s="26">
        <f t="shared" si="33"/>
        <v>1.6807440000000013</v>
      </c>
      <c r="BM44" s="18">
        <f t="shared" si="34"/>
        <v>0</v>
      </c>
      <c r="BN44" s="18">
        <f t="shared" si="35"/>
        <v>0</v>
      </c>
      <c r="BO44" s="18">
        <f t="shared" si="36"/>
        <v>2.6935000000000024</v>
      </c>
    </row>
    <row r="45" spans="1:67" ht="15">
      <c r="A45" s="9"/>
      <c r="B45" s="9"/>
      <c r="C45" s="23" t="e">
        <f>IF(OR(XS_Analyzer_Calculations!BE43&lt;&gt;0,XS_Analyzer_Calculations!BG43="MAX WSE"),VLOOKUP(XS_Analyzer_Calculations!BA43,$C$3:$C$11,2,TRUE),IF(XS_Analyzer_Calculations!BE43&lt;&gt;0,VLOOKUP(XS_Analyzer_Calculations!BF43,$C$3:$C$11,2,TRUE),""))</f>
        <v>#N/A</v>
      </c>
      <c r="D45" s="23"/>
      <c r="E45" s="23"/>
      <c r="F45" s="23"/>
      <c r="G45" s="23"/>
      <c r="H45" s="23"/>
      <c r="I45" s="23"/>
      <c r="J45" s="23"/>
      <c r="K45" s="23"/>
      <c r="L45" s="23"/>
      <c r="M45" s="23"/>
      <c r="P45" s="9"/>
      <c r="S45" s="9"/>
      <c r="V45" s="7"/>
      <c r="W45" s="7"/>
      <c r="Z45" s="5"/>
      <c r="AA45" s="5"/>
      <c r="AD45" s="32">
        <v>41</v>
      </c>
      <c r="AE45" s="25" t="str">
        <f t="shared" si="13"/>
        <v>Left</v>
      </c>
      <c r="AF45" s="25" t="str">
        <f t="shared" si="14"/>
        <v>Channel</v>
      </c>
      <c r="AG45" s="32" t="str">
        <f>IF(XS_AnalyzerSummary!$AB$24&gt;=XS_AnalyzerSummary!AD45,"Y","N")</f>
        <v>Y</v>
      </c>
      <c r="AH45" s="38">
        <v>1</v>
      </c>
      <c r="AI45" s="38">
        <f>IF(AG45="Y",$O$19/XS_AnalyzerSummary!$AB$24,0)</f>
        <v>4.4999999999999998E-2</v>
      </c>
      <c r="AJ45" s="38">
        <f t="shared" si="15"/>
        <v>4.4999999999999998E-2</v>
      </c>
      <c r="AK45" s="93">
        <f t="shared" si="37"/>
        <v>2.889999999999997</v>
      </c>
      <c r="AL45" s="93">
        <f>IF(AG45="Y",LININTERP(AK45,XS_Analyzer_Calculations!$AY$4:$AY$104,XS_Analyzer_Calculations!$AZ$4:$AZ$104),AL44)</f>
        <v>1.5825000000000022</v>
      </c>
      <c r="AM45" s="38">
        <f t="shared" si="16"/>
        <v>3.4174999999999978</v>
      </c>
      <c r="AN45" s="18">
        <f t="shared" si="17"/>
        <v>0.1530281249999999</v>
      </c>
      <c r="AO45" s="100">
        <f t="shared" si="18"/>
        <v>5.6249999999999911E-2</v>
      </c>
      <c r="AP45" s="100">
        <f t="shared" si="19"/>
        <v>2.7205000000000026</v>
      </c>
      <c r="AQ45" s="18">
        <f t="shared" si="20"/>
        <v>1.7787811838447108E-3</v>
      </c>
      <c r="AR45" s="32">
        <f>IFERROR(IF(AG45="Y",VLOOKUP(AK45,XS_Analyzer_Calculations!$R$5:$T$104,3,TRUE),0),0)</f>
        <v>0.1</v>
      </c>
      <c r="AS45" s="198">
        <f t="shared" si="21"/>
        <v>0.01</v>
      </c>
      <c r="AT45" s="18">
        <f t="shared" si="22"/>
        <v>4.4315523766604548</v>
      </c>
      <c r="AU45" s="38">
        <f>AT45*XS_Analyzer_Calculations!$I$7^0.5</f>
        <v>0.44315523766604548</v>
      </c>
      <c r="AV45" s="18">
        <f t="shared" si="38"/>
        <v>2.89590712600083</v>
      </c>
      <c r="AW45" s="18">
        <f t="shared" si="23"/>
        <v>1.6975920000000018</v>
      </c>
      <c r="AX45" s="18">
        <f t="shared" si="24"/>
        <v>5</v>
      </c>
      <c r="AY45" s="32">
        <f t="shared" si="25"/>
        <v>3.400624999999998</v>
      </c>
      <c r="AZ45" s="18">
        <f>((AS45*AP45)/(1.65*XS_Analyzer!$Q$72))*12</f>
        <v>7.8175241640144932</v>
      </c>
      <c r="BA45" s="18">
        <f>(AW45/((1.65*62.4)*XS_Analyzer!$Q$73))*12</f>
        <v>4.3967676767676824</v>
      </c>
      <c r="BB45" s="18">
        <f t="shared" si="26"/>
        <v>6.7573808254503245</v>
      </c>
      <c r="BC45" s="38">
        <f t="shared" si="27"/>
        <v>10.446435584885679</v>
      </c>
      <c r="BD45" s="18">
        <f>IF(ISNUMBER(LININTERP(AW45,Permissible_Shear!$T$178:$T$188,Permissible_Shear!$V$178:$V$188)),LININTERP(AW45,Permissible_Shear!$T$178:$T$188,Permissible_Shear!$V$178:$V$188),0)</f>
        <v>5.552444589054474</v>
      </c>
      <c r="BE45" s="18">
        <f>LININTERP(AW45,Permissible_Shear!$S$205:$S$222,Permissible_Shear!$V$205:$V$222)</f>
        <v>5.617475000000006</v>
      </c>
      <c r="BF45" s="18">
        <f>INDEX($AZ$3:$BE$204,ROW(BF45)-2,MATCH(XS_Analyzer!$S$5,XS_AnalyzerSummary!$AZ$2:$BE$2,0))</f>
        <v>6.7573808254503245</v>
      </c>
      <c r="BG45" s="26">
        <f t="shared" si="28"/>
        <v>0</v>
      </c>
      <c r="BH45" s="26">
        <f t="shared" si="29"/>
        <v>0</v>
      </c>
      <c r="BI45" s="26">
        <f t="shared" si="30"/>
        <v>2.89590712600083</v>
      </c>
      <c r="BJ45" s="26">
        <f t="shared" si="31"/>
        <v>0</v>
      </c>
      <c r="BK45" s="26">
        <f t="shared" si="32"/>
        <v>0</v>
      </c>
      <c r="BL45" s="26">
        <f t="shared" si="33"/>
        <v>1.6975920000000018</v>
      </c>
      <c r="BM45" s="18">
        <f t="shared" si="34"/>
        <v>0</v>
      </c>
      <c r="BN45" s="18">
        <f t="shared" si="35"/>
        <v>0</v>
      </c>
      <c r="BO45" s="18">
        <f t="shared" si="36"/>
        <v>2.7205000000000026</v>
      </c>
    </row>
    <row r="46" spans="1:67" ht="15">
      <c r="A46" s="9"/>
      <c r="B46" s="9"/>
      <c r="C46" s="23" t="e">
        <f>IF(OR(XS_Analyzer_Calculations!BE44&lt;&gt;0,XS_Analyzer_Calculations!BG44="MAX WSE"),VLOOKUP(XS_Analyzer_Calculations!BA44,$C$3:$C$11,2,TRUE),IF(XS_Analyzer_Calculations!BE44&lt;&gt;0,VLOOKUP(XS_Analyzer_Calculations!BF44,$C$3:$C$11,2,TRUE),""))</f>
        <v>#N/A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P46" s="9"/>
      <c r="S46" s="9"/>
      <c r="V46" s="7"/>
      <c r="W46" s="7"/>
      <c r="Z46" s="5"/>
      <c r="AA46" s="5"/>
      <c r="AD46" s="32">
        <v>42</v>
      </c>
      <c r="AE46" s="25" t="str">
        <f t="shared" si="13"/>
        <v>Left</v>
      </c>
      <c r="AF46" s="25" t="str">
        <f t="shared" si="14"/>
        <v>Channel</v>
      </c>
      <c r="AG46" s="32" t="str">
        <f>IF(XS_AnalyzerSummary!$AB$24&gt;=XS_AnalyzerSummary!AD46,"Y","N")</f>
        <v>Y</v>
      </c>
      <c r="AH46" s="38">
        <v>1</v>
      </c>
      <c r="AI46" s="38">
        <f>IF(AG46="Y",$O$19/XS_AnalyzerSummary!$AB$24,0)</f>
        <v>4.4999999999999998E-2</v>
      </c>
      <c r="AJ46" s="38">
        <f t="shared" si="15"/>
        <v>4.4999999999999998E-2</v>
      </c>
      <c r="AK46" s="93">
        <f t="shared" si="37"/>
        <v>2.9349999999999969</v>
      </c>
      <c r="AL46" s="93">
        <f>IF(AG46="Y",LININTERP(AK46,XS_Analyzer_Calculations!$AY$4:$AY$104,XS_Analyzer_Calculations!$AZ$4:$AZ$104),AL45)</f>
        <v>1.5487500000000023</v>
      </c>
      <c r="AM46" s="38">
        <f t="shared" si="16"/>
        <v>3.4512499999999977</v>
      </c>
      <c r="AN46" s="18">
        <f t="shared" si="17"/>
        <v>0.15454687499999989</v>
      </c>
      <c r="AO46" s="100">
        <f t="shared" si="18"/>
        <v>5.6249999999999911E-2</v>
      </c>
      <c r="AP46" s="100">
        <f t="shared" si="19"/>
        <v>2.7475000000000023</v>
      </c>
      <c r="AQ46" s="18">
        <f t="shared" si="20"/>
        <v>1.7787811838447108E-3</v>
      </c>
      <c r="AR46" s="32">
        <f>IFERROR(IF(AG46="Y",VLOOKUP(AK46,XS_Analyzer_Calculations!$R$5:$T$104,3,TRUE),0),0)</f>
        <v>0.1</v>
      </c>
      <c r="AS46" s="198">
        <f t="shared" si="21"/>
        <v>0.01</v>
      </c>
      <c r="AT46" s="18">
        <f t="shared" si="22"/>
        <v>4.5050972602056314</v>
      </c>
      <c r="AU46" s="38">
        <f>AT46*XS_Analyzer_Calculations!$I$7^0.5</f>
        <v>0.45050972602056316</v>
      </c>
      <c r="AV46" s="18">
        <f t="shared" si="38"/>
        <v>2.9150361404626493</v>
      </c>
      <c r="AW46" s="18">
        <f t="shared" si="23"/>
        <v>1.7144400000000013</v>
      </c>
      <c r="AX46" s="18">
        <f t="shared" si="24"/>
        <v>5</v>
      </c>
      <c r="AY46" s="32">
        <f t="shared" si="25"/>
        <v>3.4343749999999975</v>
      </c>
      <c r="AZ46" s="18">
        <f>((AS46*AP46)/(1.65*XS_Analyzer!$Q$72))*12</f>
        <v>7.8951103255393553</v>
      </c>
      <c r="BA46" s="18">
        <f>(AW46/((1.65*62.4)*XS_Analyzer!$Q$73))*12</f>
        <v>4.4404040404040437</v>
      </c>
      <c r="BB46" s="18">
        <f t="shared" si="26"/>
        <v>6.8269314675372978</v>
      </c>
      <c r="BC46" s="38">
        <f t="shared" si="27"/>
        <v>10.522214926922542</v>
      </c>
      <c r="BD46" s="18">
        <f>IF(ISNUMBER(LININTERP(AW46,Permissible_Shear!$T$178:$T$188,Permissible_Shear!$V$178:$V$188)),LININTERP(AW46,Permissible_Shear!$T$178:$T$188,Permissible_Shear!$V$178:$V$188),0)</f>
        <v>5.6050706058436965</v>
      </c>
      <c r="BE46" s="18">
        <f>LININTERP(AW46,Permissible_Shear!$S$205:$S$222,Permissible_Shear!$V$205:$V$222)</f>
        <v>5.6701250000000041</v>
      </c>
      <c r="BF46" s="18">
        <f>INDEX($AZ$3:$BE$204,ROW(BF46)-2,MATCH(XS_Analyzer!$S$5,XS_AnalyzerSummary!$AZ$2:$BE$2,0))</f>
        <v>6.8269314675372978</v>
      </c>
      <c r="BG46" s="26">
        <f t="shared" si="28"/>
        <v>0</v>
      </c>
      <c r="BH46" s="26">
        <f t="shared" si="29"/>
        <v>0</v>
      </c>
      <c r="BI46" s="26">
        <f t="shared" si="30"/>
        <v>2.9150361404626493</v>
      </c>
      <c r="BJ46" s="26">
        <f t="shared" si="31"/>
        <v>0</v>
      </c>
      <c r="BK46" s="26">
        <f t="shared" si="32"/>
        <v>0</v>
      </c>
      <c r="BL46" s="26">
        <f t="shared" si="33"/>
        <v>1.7144400000000013</v>
      </c>
      <c r="BM46" s="18">
        <f t="shared" si="34"/>
        <v>0</v>
      </c>
      <c r="BN46" s="18">
        <f t="shared" si="35"/>
        <v>0</v>
      </c>
      <c r="BO46" s="18">
        <f t="shared" si="36"/>
        <v>2.7475000000000023</v>
      </c>
    </row>
    <row r="47" spans="1:67" ht="15">
      <c r="A47" s="424"/>
      <c r="B47" s="424"/>
      <c r="C47" s="424"/>
      <c r="D47" s="424"/>
      <c r="E47" s="7"/>
      <c r="F47" s="424"/>
      <c r="G47" s="424"/>
      <c r="H47" s="7"/>
      <c r="I47" s="424"/>
      <c r="J47" s="424"/>
      <c r="K47" s="21"/>
      <c r="L47" s="424"/>
      <c r="M47" s="424"/>
      <c r="N47" s="21"/>
      <c r="P47" s="9"/>
      <c r="S47" s="9"/>
      <c r="V47" s="7"/>
      <c r="W47" s="7"/>
      <c r="Z47" s="5"/>
      <c r="AA47" s="5"/>
      <c r="AD47" s="32">
        <v>43</v>
      </c>
      <c r="AE47" s="25" t="str">
        <f t="shared" si="13"/>
        <v>Left</v>
      </c>
      <c r="AF47" s="25" t="str">
        <f t="shared" si="14"/>
        <v>Channel</v>
      </c>
      <c r="AG47" s="32" t="str">
        <f>IF(XS_AnalyzerSummary!$AB$24&gt;=XS_AnalyzerSummary!AD47,"Y","N")</f>
        <v>Y</v>
      </c>
      <c r="AH47" s="38">
        <v>1</v>
      </c>
      <c r="AI47" s="38">
        <f>IF(AG47="Y",$O$19/XS_AnalyzerSummary!$AB$24,0)</f>
        <v>4.4999999999999998E-2</v>
      </c>
      <c r="AJ47" s="38">
        <f t="shared" si="15"/>
        <v>4.4999999999999998E-2</v>
      </c>
      <c r="AK47" s="93">
        <f t="shared" si="37"/>
        <v>2.9799999999999969</v>
      </c>
      <c r="AL47" s="93">
        <f>IF(AG47="Y",LININTERP(AK47,XS_Analyzer_Calculations!$AY$4:$AY$104,XS_Analyzer_Calculations!$AZ$4:$AZ$104),AL46)</f>
        <v>1.5150000000000023</v>
      </c>
      <c r="AM47" s="38">
        <f t="shared" si="16"/>
        <v>3.4849999999999977</v>
      </c>
      <c r="AN47" s="18">
        <f t="shared" si="17"/>
        <v>0.1560656249999999</v>
      </c>
      <c r="AO47" s="100">
        <f t="shared" si="18"/>
        <v>5.6249999999999911E-2</v>
      </c>
      <c r="AP47" s="100">
        <f t="shared" si="19"/>
        <v>2.7745000000000029</v>
      </c>
      <c r="AQ47" s="18">
        <f t="shared" si="20"/>
        <v>1.7787811838447108E-3</v>
      </c>
      <c r="AR47" s="32">
        <f>IFERROR(IF(AG47="Y",VLOOKUP(AK47,XS_Analyzer_Calculations!$R$5:$T$104,3,TRUE),0),0)</f>
        <v>0.1</v>
      </c>
      <c r="AS47" s="198">
        <f t="shared" si="21"/>
        <v>0.01</v>
      </c>
      <c r="AT47" s="18">
        <f t="shared" si="22"/>
        <v>4.5791255534294715</v>
      </c>
      <c r="AU47" s="38">
        <f>AT47*XS_Analyzer_Calculations!$I$7^0.5</f>
        <v>0.45791255534294717</v>
      </c>
      <c r="AV47" s="18">
        <f t="shared" si="38"/>
        <v>2.9341025952572672</v>
      </c>
      <c r="AW47" s="18">
        <f t="shared" si="23"/>
        <v>1.7312880000000019</v>
      </c>
      <c r="AX47" s="18">
        <f t="shared" si="24"/>
        <v>5</v>
      </c>
      <c r="AY47" s="32">
        <f t="shared" si="25"/>
        <v>3.4681249999999979</v>
      </c>
      <c r="AZ47" s="18">
        <f>((AS47*AP47)/(1.65*XS_Analyzer!$Q$72))*12</f>
        <v>7.972696487064221</v>
      </c>
      <c r="BA47" s="18">
        <f>(AW47/((1.65*62.4)*XS_Analyzer!$Q$73))*12</f>
        <v>4.4840404040404103</v>
      </c>
      <c r="BB47" s="18">
        <f t="shared" si="26"/>
        <v>6.8965106818294242</v>
      </c>
      <c r="BC47" s="38">
        <f t="shared" si="27"/>
        <v>10.597798510676203</v>
      </c>
      <c r="BD47" s="18">
        <f>IF(ISNUMBER(LININTERP(AW47,Permissible_Shear!$T$178:$T$188,Permissible_Shear!$V$178:$V$188)),LININTERP(AW47,Permissible_Shear!$T$178:$T$188,Permissible_Shear!$V$178:$V$188),0)</f>
        <v>5.6576966226329217</v>
      </c>
      <c r="BE47" s="18">
        <f>LININTERP(AW47,Permissible_Shear!$S$205:$S$222,Permissible_Shear!$V$205:$V$222)</f>
        <v>5.7227750000000066</v>
      </c>
      <c r="BF47" s="18">
        <f>INDEX($AZ$3:$BE$204,ROW(BF47)-2,MATCH(XS_Analyzer!$S$5,XS_AnalyzerSummary!$AZ$2:$BE$2,0))</f>
        <v>6.8965106818294242</v>
      </c>
      <c r="BG47" s="26">
        <f t="shared" si="28"/>
        <v>0</v>
      </c>
      <c r="BH47" s="26">
        <f t="shared" si="29"/>
        <v>0</v>
      </c>
      <c r="BI47" s="26">
        <f t="shared" si="30"/>
        <v>2.9341025952572672</v>
      </c>
      <c r="BJ47" s="26">
        <f t="shared" si="31"/>
        <v>0</v>
      </c>
      <c r="BK47" s="26">
        <f t="shared" si="32"/>
        <v>0</v>
      </c>
      <c r="BL47" s="26">
        <f t="shared" si="33"/>
        <v>1.7312880000000019</v>
      </c>
      <c r="BM47" s="18">
        <f t="shared" si="34"/>
        <v>0</v>
      </c>
      <c r="BN47" s="18">
        <f t="shared" si="35"/>
        <v>0</v>
      </c>
      <c r="BO47" s="18">
        <f t="shared" si="36"/>
        <v>2.7745000000000029</v>
      </c>
    </row>
    <row r="48" spans="1:67" ht="15">
      <c r="A48" s="9"/>
      <c r="B48" s="14"/>
      <c r="C48" s="9"/>
      <c r="D48" s="14"/>
      <c r="E48" s="7"/>
      <c r="F48" s="9"/>
      <c r="G48" s="14"/>
      <c r="H48" s="7"/>
      <c r="I48" s="9"/>
      <c r="J48" s="14"/>
      <c r="K48" s="20"/>
      <c r="L48" s="9"/>
      <c r="M48" s="14"/>
      <c r="N48" s="9"/>
      <c r="P48" s="9"/>
      <c r="S48" s="9"/>
      <c r="V48" s="7"/>
      <c r="W48" s="7"/>
      <c r="Z48" s="5"/>
      <c r="AA48" s="5"/>
      <c r="AD48" s="32">
        <v>44</v>
      </c>
      <c r="AE48" s="25" t="str">
        <f t="shared" si="13"/>
        <v>Left</v>
      </c>
      <c r="AF48" s="25" t="str">
        <f t="shared" si="14"/>
        <v>Channel</v>
      </c>
      <c r="AG48" s="32" t="str">
        <f>IF(XS_AnalyzerSummary!$AB$24&gt;=XS_AnalyzerSummary!AD48,"Y","N")</f>
        <v>Y</v>
      </c>
      <c r="AH48" s="38">
        <v>1</v>
      </c>
      <c r="AI48" s="38">
        <f>IF(AG48="Y",$O$19/XS_AnalyzerSummary!$AB$24,0)</f>
        <v>4.4999999999999998E-2</v>
      </c>
      <c r="AJ48" s="38">
        <f t="shared" si="15"/>
        <v>4.4999999999999998E-2</v>
      </c>
      <c r="AK48" s="93">
        <f t="shared" si="37"/>
        <v>3.0249999999999968</v>
      </c>
      <c r="AL48" s="93">
        <f>IF(AG48="Y",LININTERP(AK48,XS_Analyzer_Calculations!$AY$4:$AY$104,XS_Analyzer_Calculations!$AZ$4:$AZ$104),AL47)</f>
        <v>1.4812500000000024</v>
      </c>
      <c r="AM48" s="38">
        <f t="shared" si="16"/>
        <v>3.5187499999999976</v>
      </c>
      <c r="AN48" s="18">
        <f t="shared" si="17"/>
        <v>0.15758437499999989</v>
      </c>
      <c r="AO48" s="100">
        <f t="shared" si="18"/>
        <v>5.6249999999999911E-2</v>
      </c>
      <c r="AP48" s="100">
        <f t="shared" si="19"/>
        <v>2.8015000000000025</v>
      </c>
      <c r="AQ48" s="18">
        <f t="shared" si="20"/>
        <v>1.7787811838447108E-3</v>
      </c>
      <c r="AR48" s="32">
        <f>IFERROR(IF(AG48="Y",VLOOKUP(AK48,XS_Analyzer_Calculations!$R$5:$T$104,3,TRUE),0),0)</f>
        <v>0.1</v>
      </c>
      <c r="AS48" s="198">
        <f t="shared" si="21"/>
        <v>0.01</v>
      </c>
      <c r="AT48" s="18">
        <f t="shared" si="22"/>
        <v>4.6536356830865575</v>
      </c>
      <c r="AU48" s="38">
        <f>AT48*XS_Analyzer_Calculations!$I$7^0.5</f>
        <v>0.46536356830865577</v>
      </c>
      <c r="AV48" s="18">
        <f t="shared" si="38"/>
        <v>2.9531073008263422</v>
      </c>
      <c r="AW48" s="18">
        <f t="shared" si="23"/>
        <v>1.7481360000000015</v>
      </c>
      <c r="AX48" s="18">
        <f t="shared" si="24"/>
        <v>5</v>
      </c>
      <c r="AY48" s="32">
        <f t="shared" si="25"/>
        <v>3.5018749999999979</v>
      </c>
      <c r="AZ48" s="18">
        <f>((AS48*AP48)/(1.65*XS_Analyzer!$Q$72))*12</f>
        <v>8.0502826485890822</v>
      </c>
      <c r="BA48" s="18">
        <f>(AW48/((1.65*62.4)*XS_Analyzer!$Q$73))*12</f>
        <v>4.5276767676767715</v>
      </c>
      <c r="BB48" s="18">
        <f t="shared" si="26"/>
        <v>6.9661182031824396</v>
      </c>
      <c r="BC48" s="38">
        <f t="shared" si="27"/>
        <v>10.673188730385624</v>
      </c>
      <c r="BD48" s="18">
        <f>IF(ISNUMBER(LININTERP(AW48,Permissible_Shear!$T$178:$T$188,Permissible_Shear!$V$178:$V$188)),LININTERP(AW48,Permissible_Shear!$T$178:$T$188,Permissible_Shear!$V$178:$V$188),0)</f>
        <v>5.7103226394221442</v>
      </c>
      <c r="BE48" s="18">
        <f>LININTERP(AW48,Permissible_Shear!$S$205:$S$222,Permissible_Shear!$V$205:$V$222)</f>
        <v>5.7754250000000047</v>
      </c>
      <c r="BF48" s="18">
        <f>INDEX($AZ$3:$BE$204,ROW(BF48)-2,MATCH(XS_Analyzer!$S$5,XS_AnalyzerSummary!$AZ$2:$BE$2,0))</f>
        <v>6.9661182031824396</v>
      </c>
      <c r="BG48" s="26">
        <f t="shared" si="28"/>
        <v>0</v>
      </c>
      <c r="BH48" s="26">
        <f t="shared" si="29"/>
        <v>0</v>
      </c>
      <c r="BI48" s="26">
        <f t="shared" si="30"/>
        <v>2.9531073008263422</v>
      </c>
      <c r="BJ48" s="26">
        <f t="shared" si="31"/>
        <v>0</v>
      </c>
      <c r="BK48" s="26">
        <f t="shared" si="32"/>
        <v>0</v>
      </c>
      <c r="BL48" s="26">
        <f t="shared" si="33"/>
        <v>1.7481360000000015</v>
      </c>
      <c r="BM48" s="18">
        <f t="shared" si="34"/>
        <v>0</v>
      </c>
      <c r="BN48" s="18">
        <f t="shared" si="35"/>
        <v>0</v>
      </c>
      <c r="BO48" s="18">
        <f t="shared" si="36"/>
        <v>2.8015000000000025</v>
      </c>
    </row>
    <row r="49" spans="1:67" ht="15">
      <c r="A49" s="9"/>
      <c r="B49" s="63"/>
      <c r="C49" s="9"/>
      <c r="D49" s="63"/>
      <c r="E49" s="7"/>
      <c r="F49" s="9"/>
      <c r="G49" s="63"/>
      <c r="H49" s="7"/>
      <c r="I49" s="9"/>
      <c r="J49" s="63"/>
      <c r="K49" s="20"/>
      <c r="L49" s="9"/>
      <c r="M49" s="63"/>
      <c r="N49" s="9"/>
      <c r="P49" s="9"/>
      <c r="S49" s="9"/>
      <c r="V49" s="7"/>
      <c r="W49" s="7"/>
      <c r="Z49" s="5"/>
      <c r="AA49" s="5"/>
      <c r="AD49" s="32">
        <v>45</v>
      </c>
      <c r="AE49" s="25" t="str">
        <f t="shared" si="13"/>
        <v>Left</v>
      </c>
      <c r="AF49" s="25" t="str">
        <f t="shared" si="14"/>
        <v>Channel</v>
      </c>
      <c r="AG49" s="32" t="str">
        <f>IF(XS_AnalyzerSummary!$AB$24&gt;=XS_AnalyzerSummary!AD49,"Y","N")</f>
        <v>Y</v>
      </c>
      <c r="AH49" s="38">
        <v>1</v>
      </c>
      <c r="AI49" s="38">
        <f>IF(AG49="Y",$O$19/XS_AnalyzerSummary!$AB$24,0)</f>
        <v>4.4999999999999998E-2</v>
      </c>
      <c r="AJ49" s="38">
        <f t="shared" si="15"/>
        <v>4.4999999999999998E-2</v>
      </c>
      <c r="AK49" s="93">
        <f t="shared" si="37"/>
        <v>3.0699999999999967</v>
      </c>
      <c r="AL49" s="93">
        <f>IF(AG49="Y",LININTERP(AK49,XS_Analyzer_Calculations!$AY$4:$AY$104,XS_Analyzer_Calculations!$AZ$4:$AZ$104),AL48)</f>
        <v>1.4475000000000025</v>
      </c>
      <c r="AM49" s="38">
        <f t="shared" si="16"/>
        <v>3.5524999999999975</v>
      </c>
      <c r="AN49" s="18">
        <f t="shared" si="17"/>
        <v>0.1591031249999999</v>
      </c>
      <c r="AO49" s="100">
        <f t="shared" si="18"/>
        <v>5.6249999999999911E-2</v>
      </c>
      <c r="AP49" s="100">
        <f t="shared" si="19"/>
        <v>2.8285000000000027</v>
      </c>
      <c r="AQ49" s="18">
        <f t="shared" si="20"/>
        <v>1.7787811838447108E-3</v>
      </c>
      <c r="AR49" s="32">
        <f>IFERROR(IF(AG49="Y",VLOOKUP(AK49,XS_Analyzer_Calculations!$R$5:$T$104,3,TRUE),0),0)</f>
        <v>0.1</v>
      </c>
      <c r="AS49" s="198">
        <f t="shared" si="21"/>
        <v>0.01</v>
      </c>
      <c r="AT49" s="18">
        <f t="shared" si="22"/>
        <v>4.7286260962142359</v>
      </c>
      <c r="AU49" s="38">
        <f>AT49*XS_Analyzer_Calculations!$I$7^0.5</f>
        <v>0.47286260962142362</v>
      </c>
      <c r="AV49" s="18">
        <f t="shared" si="38"/>
        <v>2.9720510494147989</v>
      </c>
      <c r="AW49" s="18">
        <f t="shared" si="23"/>
        <v>1.7649840000000019</v>
      </c>
      <c r="AX49" s="18">
        <f t="shared" si="24"/>
        <v>5</v>
      </c>
      <c r="AY49" s="32">
        <f t="shared" si="25"/>
        <v>3.5356249999999978</v>
      </c>
      <c r="AZ49" s="18">
        <f>((AS49*AP49)/(1.65*XS_Analyzer!$Q$72))*12</f>
        <v>8.1278688101139469</v>
      </c>
      <c r="BA49" s="18">
        <f>(AW49/((1.65*62.4)*XS_Analyzer!$Q$73))*12</f>
        <v>4.5713131313131363</v>
      </c>
      <c r="BB49" s="18">
        <f t="shared" si="26"/>
        <v>7.0357537714327476</v>
      </c>
      <c r="BC49" s="38">
        <f t="shared" si="27"/>
        <v>10.748387928350761</v>
      </c>
      <c r="BD49" s="18">
        <f>IF(ISNUMBER(LININTERP(AW49,Permissible_Shear!$T$178:$T$188,Permissible_Shear!$V$178:$V$188)),LININTERP(AW49,Permissible_Shear!$T$178:$T$188,Permissible_Shear!$V$178:$V$188),0)</f>
        <v>5.7629486562113694</v>
      </c>
      <c r="BE49" s="18">
        <f>LININTERP(AW49,Permissible_Shear!$S$205:$S$222,Permissible_Shear!$V$205:$V$222)</f>
        <v>5.8280750000000054</v>
      </c>
      <c r="BF49" s="18">
        <f>INDEX($AZ$3:$BE$204,ROW(BF49)-2,MATCH(XS_Analyzer!$S$5,XS_AnalyzerSummary!$AZ$2:$BE$2,0))</f>
        <v>7.0357537714327476</v>
      </c>
      <c r="BG49" s="26">
        <f t="shared" si="28"/>
        <v>0</v>
      </c>
      <c r="BH49" s="26">
        <f t="shared" si="29"/>
        <v>0</v>
      </c>
      <c r="BI49" s="26">
        <f t="shared" si="30"/>
        <v>2.9720510494147989</v>
      </c>
      <c r="BJ49" s="26">
        <f t="shared" si="31"/>
        <v>0</v>
      </c>
      <c r="BK49" s="26">
        <f t="shared" si="32"/>
        <v>0</v>
      </c>
      <c r="BL49" s="26">
        <f t="shared" si="33"/>
        <v>1.7649840000000019</v>
      </c>
      <c r="BM49" s="18">
        <f t="shared" si="34"/>
        <v>0</v>
      </c>
      <c r="BN49" s="18">
        <f t="shared" si="35"/>
        <v>0</v>
      </c>
      <c r="BO49" s="18">
        <f t="shared" si="36"/>
        <v>2.8285000000000027</v>
      </c>
    </row>
    <row r="50" spans="1:67" ht="15">
      <c r="A50" s="9"/>
      <c r="B50" s="14"/>
      <c r="C50" s="9"/>
      <c r="D50" s="14"/>
      <c r="E50" s="7"/>
      <c r="F50" s="9"/>
      <c r="G50" s="14"/>
      <c r="H50" s="7"/>
      <c r="I50" s="9"/>
      <c r="J50" s="14"/>
      <c r="K50" s="20"/>
      <c r="L50" s="9"/>
      <c r="M50" s="14"/>
      <c r="N50" s="9"/>
      <c r="P50" s="9"/>
      <c r="S50" s="9"/>
      <c r="V50" s="7"/>
      <c r="W50" s="7"/>
      <c r="Z50" s="5"/>
      <c r="AA50" s="5"/>
      <c r="AD50" s="32">
        <v>46</v>
      </c>
      <c r="AE50" s="25" t="str">
        <f t="shared" si="13"/>
        <v>Left</v>
      </c>
      <c r="AF50" s="25" t="str">
        <f t="shared" si="14"/>
        <v>Channel</v>
      </c>
      <c r="AG50" s="32" t="str">
        <f>IF(XS_AnalyzerSummary!$AB$24&gt;=XS_AnalyzerSummary!AD50,"Y","N")</f>
        <v>Y</v>
      </c>
      <c r="AH50" s="38">
        <v>1</v>
      </c>
      <c r="AI50" s="38">
        <f>IF(AG50="Y",$O$19/XS_AnalyzerSummary!$AB$24,0)</f>
        <v>4.4999999999999998E-2</v>
      </c>
      <c r="AJ50" s="38">
        <f t="shared" si="15"/>
        <v>4.4999999999999998E-2</v>
      </c>
      <c r="AK50" s="93">
        <f t="shared" si="37"/>
        <v>3.1149999999999967</v>
      </c>
      <c r="AL50" s="93">
        <f>IF(AG50="Y",LININTERP(AK50,XS_Analyzer_Calculations!$AY$4:$AY$104,XS_Analyzer_Calculations!$AZ$4:$AZ$104),AL49)</f>
        <v>1.4137500000000025</v>
      </c>
      <c r="AM50" s="38">
        <f t="shared" si="16"/>
        <v>3.5862499999999975</v>
      </c>
      <c r="AN50" s="18">
        <f t="shared" si="17"/>
        <v>0.16062187499999989</v>
      </c>
      <c r="AO50" s="100">
        <f t="shared" si="18"/>
        <v>5.6249999999999911E-2</v>
      </c>
      <c r="AP50" s="100">
        <f t="shared" si="19"/>
        <v>2.8555000000000024</v>
      </c>
      <c r="AQ50" s="18">
        <f t="shared" si="20"/>
        <v>1.7787811838447108E-3</v>
      </c>
      <c r="AR50" s="32">
        <f>IFERROR(IF(AG50="Y",VLOOKUP(AK50,XS_Analyzer_Calculations!$R$5:$T$104,3,TRUE),0),0)</f>
        <v>0.1</v>
      </c>
      <c r="AS50" s="198">
        <f t="shared" si="21"/>
        <v>0.01</v>
      </c>
      <c r="AT50" s="18">
        <f t="shared" si="22"/>
        <v>4.8040952596793653</v>
      </c>
      <c r="AU50" s="38">
        <f>AT50*XS_Analyzer_Calculations!$I$7^0.5</f>
        <v>0.48040952596793657</v>
      </c>
      <c r="AV50" s="18">
        <f t="shared" si="38"/>
        <v>2.9909346156489387</v>
      </c>
      <c r="AW50" s="18">
        <f t="shared" si="23"/>
        <v>1.7818320000000014</v>
      </c>
      <c r="AX50" s="18">
        <f t="shared" si="24"/>
        <v>5</v>
      </c>
      <c r="AY50" s="32">
        <f t="shared" si="25"/>
        <v>3.5693749999999977</v>
      </c>
      <c r="AZ50" s="18">
        <f>((AS50*AP50)/(1.65*XS_Analyzer!$Q$72))*12</f>
        <v>8.2054549716388099</v>
      </c>
      <c r="BA50" s="18">
        <f>(AW50/((1.65*62.4)*XS_Analyzer!$Q$73))*12</f>
        <v>4.6149494949494994</v>
      </c>
      <c r="BB50" s="18">
        <f t="shared" si="26"/>
        <v>7.1054171312574352</v>
      </c>
      <c r="BC50" s="38">
        <f t="shared" si="27"/>
        <v>10.823398396541464</v>
      </c>
      <c r="BD50" s="18">
        <f>IF(ISNUMBER(LININTERP(AW50,Permissible_Shear!$T$178:$T$188,Permissible_Shear!$V$178:$V$188)),LININTERP(AW50,Permissible_Shear!$T$178:$T$188,Permissible_Shear!$V$178:$V$188),0)</f>
        <v>5.8155746730005911</v>
      </c>
      <c r="BE50" s="18">
        <f>LININTERP(AW50,Permissible_Shear!$S$205:$S$222,Permissible_Shear!$V$205:$V$222)</f>
        <v>5.8807250000000044</v>
      </c>
      <c r="BF50" s="18">
        <f>INDEX($AZ$3:$BE$204,ROW(BF50)-2,MATCH(XS_Analyzer!$S$5,XS_AnalyzerSummary!$AZ$2:$BE$2,0))</f>
        <v>7.1054171312574352</v>
      </c>
      <c r="BG50" s="26">
        <f t="shared" si="28"/>
        <v>0</v>
      </c>
      <c r="BH50" s="26">
        <f t="shared" si="29"/>
        <v>0</v>
      </c>
      <c r="BI50" s="26">
        <f t="shared" si="30"/>
        <v>2.9909346156489387</v>
      </c>
      <c r="BJ50" s="26">
        <f t="shared" si="31"/>
        <v>0</v>
      </c>
      <c r="BK50" s="26">
        <f t="shared" si="32"/>
        <v>0</v>
      </c>
      <c r="BL50" s="26">
        <f t="shared" si="33"/>
        <v>1.7818320000000014</v>
      </c>
      <c r="BM50" s="18">
        <f t="shared" si="34"/>
        <v>0</v>
      </c>
      <c r="BN50" s="18">
        <f t="shared" si="35"/>
        <v>0</v>
      </c>
      <c r="BO50" s="18">
        <f t="shared" si="36"/>
        <v>2.8555000000000024</v>
      </c>
    </row>
    <row r="51" spans="1:67" ht="15">
      <c r="A51" s="7"/>
      <c r="B51" s="7"/>
      <c r="C51" s="7"/>
      <c r="D51" s="7"/>
      <c r="E51" s="7"/>
      <c r="F51" s="7"/>
      <c r="G51" s="7"/>
      <c r="H51" s="7"/>
      <c r="I51" s="7"/>
      <c r="J51" s="7"/>
      <c r="K51" s="21"/>
      <c r="L51" s="7"/>
      <c r="M51" s="7"/>
      <c r="P51" s="9"/>
      <c r="S51" s="9"/>
      <c r="V51" s="7"/>
      <c r="W51" s="7"/>
      <c r="Z51" s="5"/>
      <c r="AA51" s="5"/>
      <c r="AD51" s="32">
        <v>47</v>
      </c>
      <c r="AE51" s="25" t="str">
        <f t="shared" si="13"/>
        <v>Left</v>
      </c>
      <c r="AF51" s="25" t="str">
        <f t="shared" si="14"/>
        <v>Channel</v>
      </c>
      <c r="AG51" s="32" t="str">
        <f>IF(XS_AnalyzerSummary!$AB$24&gt;=XS_AnalyzerSummary!AD51,"Y","N")</f>
        <v>Y</v>
      </c>
      <c r="AH51" s="38">
        <v>1</v>
      </c>
      <c r="AI51" s="38">
        <f>IF(AG51="Y",$O$19/XS_AnalyzerSummary!$AB$24,0)</f>
        <v>4.4999999999999998E-2</v>
      </c>
      <c r="AJ51" s="38">
        <f t="shared" si="15"/>
        <v>4.4999999999999998E-2</v>
      </c>
      <c r="AK51" s="93">
        <f t="shared" si="37"/>
        <v>3.1599999999999966</v>
      </c>
      <c r="AL51" s="93">
        <f>IF(AG51="Y",LININTERP(AK51,XS_Analyzer_Calculations!$AY$4:$AY$104,XS_Analyzer_Calculations!$AZ$4:$AZ$104),AL50)</f>
        <v>1.3800000000000026</v>
      </c>
      <c r="AM51" s="38">
        <f t="shared" si="16"/>
        <v>3.6199999999999974</v>
      </c>
      <c r="AN51" s="18">
        <f t="shared" si="17"/>
        <v>0.1621406249999999</v>
      </c>
      <c r="AO51" s="100">
        <f t="shared" si="18"/>
        <v>5.6249999999999911E-2</v>
      </c>
      <c r="AP51" s="100">
        <f t="shared" si="19"/>
        <v>2.8825000000000029</v>
      </c>
      <c r="AQ51" s="18">
        <f t="shared" si="20"/>
        <v>1.7787811838447108E-3</v>
      </c>
      <c r="AR51" s="32">
        <f>IFERROR(IF(AG51="Y",VLOOKUP(AK51,XS_Analyzer_Calculations!$R$5:$T$104,3,TRUE),0),0)</f>
        <v>0.1</v>
      </c>
      <c r="AS51" s="198">
        <f t="shared" si="21"/>
        <v>0.01</v>
      </c>
      <c r="AT51" s="18">
        <f t="shared" si="22"/>
        <v>4.8800416597394278</v>
      </c>
      <c r="AU51" s="38">
        <f>AT51*XS_Analyzer_Calculations!$I$7^0.5</f>
        <v>0.48800416597394281</v>
      </c>
      <c r="AV51" s="18">
        <f t="shared" si="38"/>
        <v>3.0097587570909088</v>
      </c>
      <c r="AW51" s="18">
        <f t="shared" si="23"/>
        <v>1.7986800000000021</v>
      </c>
      <c r="AX51" s="18">
        <f t="shared" si="24"/>
        <v>5</v>
      </c>
      <c r="AY51" s="32">
        <f t="shared" si="25"/>
        <v>3.6031249999999977</v>
      </c>
      <c r="AZ51" s="18">
        <f>((AS51*AP51)/(1.65*XS_Analyzer!$Q$72))*12</f>
        <v>8.2830411331636746</v>
      </c>
      <c r="BA51" s="18">
        <f>(AW51/((1.65*62.4)*XS_Analyzer!$Q$73))*12</f>
        <v>4.6585858585858642</v>
      </c>
      <c r="BB51" s="18">
        <f t="shared" si="26"/>
        <v>7.1751080320394589</v>
      </c>
      <c r="BC51" s="38">
        <f t="shared" si="27"/>
        <v>10.898222378141874</v>
      </c>
      <c r="BD51" s="18">
        <f>IF(ISNUMBER(LININTERP(AW51,Permissible_Shear!$T$178:$T$188,Permissible_Shear!$V$178:$V$188)),LININTERP(AW51,Permissible_Shear!$T$178:$T$188,Permissible_Shear!$V$178:$V$188),0)</f>
        <v>5.8682006897898162</v>
      </c>
      <c r="BE51" s="18">
        <f>LININTERP(AW51,Permissible_Shear!$S$205:$S$222,Permissible_Shear!$V$205:$V$222)</f>
        <v>5.9333750000000069</v>
      </c>
      <c r="BF51" s="18">
        <f>INDEX($AZ$3:$BE$204,ROW(BF51)-2,MATCH(XS_Analyzer!$S$5,XS_AnalyzerSummary!$AZ$2:$BE$2,0))</f>
        <v>7.1751080320394589</v>
      </c>
      <c r="BG51" s="26">
        <f t="shared" si="28"/>
        <v>0</v>
      </c>
      <c r="BH51" s="26">
        <f t="shared" si="29"/>
        <v>0</v>
      </c>
      <c r="BI51" s="26">
        <f t="shared" si="30"/>
        <v>3.0097587570909088</v>
      </c>
      <c r="BJ51" s="26">
        <f t="shared" si="31"/>
        <v>0</v>
      </c>
      <c r="BK51" s="26">
        <f t="shared" si="32"/>
        <v>0</v>
      </c>
      <c r="BL51" s="26">
        <f t="shared" si="33"/>
        <v>1.7986800000000021</v>
      </c>
      <c r="BM51" s="18">
        <f t="shared" si="34"/>
        <v>0</v>
      </c>
      <c r="BN51" s="18">
        <f t="shared" si="35"/>
        <v>0</v>
      </c>
      <c r="BO51" s="18">
        <f t="shared" si="36"/>
        <v>2.8825000000000029</v>
      </c>
    </row>
    <row r="52" spans="1:67" ht="15">
      <c r="A52" s="21"/>
      <c r="B52" s="14"/>
      <c r="C52" s="21"/>
      <c r="D52" s="14"/>
      <c r="E52" s="7"/>
      <c r="F52" s="21"/>
      <c r="G52" s="76"/>
      <c r="H52" s="7"/>
      <c r="I52" s="21"/>
      <c r="J52" s="14"/>
      <c r="K52" s="20"/>
      <c r="L52" s="21"/>
      <c r="M52" s="14"/>
      <c r="N52" s="9"/>
      <c r="P52" s="9"/>
      <c r="S52" s="9"/>
      <c r="V52" s="7"/>
      <c r="W52" s="7"/>
      <c r="Z52" s="5"/>
      <c r="AA52" s="5"/>
      <c r="AD52" s="32">
        <v>48</v>
      </c>
      <c r="AE52" s="25" t="str">
        <f t="shared" si="13"/>
        <v>Left</v>
      </c>
      <c r="AF52" s="25" t="str">
        <f t="shared" si="14"/>
        <v>Channel</v>
      </c>
      <c r="AG52" s="32" t="str">
        <f>IF(XS_AnalyzerSummary!$AB$24&gt;=XS_AnalyzerSummary!AD52,"Y","N")</f>
        <v>Y</v>
      </c>
      <c r="AH52" s="38">
        <v>1</v>
      </c>
      <c r="AI52" s="38">
        <f>IF(AG52="Y",$O$19/XS_AnalyzerSummary!$AB$24,0)</f>
        <v>4.4999999999999998E-2</v>
      </c>
      <c r="AJ52" s="38">
        <f t="shared" si="15"/>
        <v>4.4999999999999998E-2</v>
      </c>
      <c r="AK52" s="93">
        <f t="shared" si="37"/>
        <v>3.2049999999999965</v>
      </c>
      <c r="AL52" s="93">
        <f>IF(AG52="Y",LININTERP(AK52,XS_Analyzer_Calculations!$AY$4:$AY$104,XS_Analyzer_Calculations!$AZ$4:$AZ$104),AL51)</f>
        <v>1.3462500000000026</v>
      </c>
      <c r="AM52" s="38">
        <f t="shared" si="16"/>
        <v>3.6537499999999974</v>
      </c>
      <c r="AN52" s="18">
        <f t="shared" si="17"/>
        <v>0.16365937499999986</v>
      </c>
      <c r="AO52" s="100">
        <f t="shared" si="18"/>
        <v>5.6249999999999911E-2</v>
      </c>
      <c r="AP52" s="100">
        <f t="shared" si="19"/>
        <v>2.9095000000000022</v>
      </c>
      <c r="AQ52" s="18">
        <f t="shared" si="20"/>
        <v>1.7787811838447108E-3</v>
      </c>
      <c r="AR52" s="32">
        <f>IFERROR(IF(AG52="Y",VLOOKUP(AK52,XS_Analyzer_Calculations!$R$5:$T$104,3,TRUE),0),0)</f>
        <v>0.1</v>
      </c>
      <c r="AS52" s="198">
        <f t="shared" si="21"/>
        <v>0.01</v>
      </c>
      <c r="AT52" s="18">
        <f t="shared" si="22"/>
        <v>4.9564638016173532</v>
      </c>
      <c r="AU52" s="38">
        <f>AT52*XS_Analyzer_Calculations!$I$7^0.5</f>
        <v>0.49564638016173534</v>
      </c>
      <c r="AV52" s="18">
        <f t="shared" si="38"/>
        <v>3.028524214770683</v>
      </c>
      <c r="AW52" s="18">
        <f t="shared" si="23"/>
        <v>1.8155280000000014</v>
      </c>
      <c r="AX52" s="18">
        <f t="shared" si="24"/>
        <v>5</v>
      </c>
      <c r="AY52" s="32">
        <f t="shared" si="25"/>
        <v>3.6368749999999967</v>
      </c>
      <c r="AZ52" s="18">
        <f>((AS52*AP52)/(1.65*XS_Analyzer!$Q$72))*12</f>
        <v>8.3606272946885358</v>
      </c>
      <c r="BA52" s="18">
        <f>(AW52/((1.65*62.4)*XS_Analyzer!$Q$73))*12</f>
        <v>4.7022222222222263</v>
      </c>
      <c r="BB52" s="18">
        <f t="shared" si="26"/>
        <v>7.2448262277378568</v>
      </c>
      <c r="BC52" s="38">
        <f t="shared" si="27"/>
        <v>10.972862069033507</v>
      </c>
      <c r="BD52" s="18">
        <f>IF(ISNUMBER(LININTERP(AW52,Permissible_Shear!$T$178:$T$188,Permissible_Shear!$V$178:$V$188)),LININTERP(AW52,Permissible_Shear!$T$178:$T$188,Permissible_Shear!$V$178:$V$188),0)</f>
        <v>5.9208267065790388</v>
      </c>
      <c r="BE52" s="18">
        <f>LININTERP(AW52,Permissible_Shear!$S$205:$S$222,Permissible_Shear!$V$205:$V$222)</f>
        <v>5.986025000000005</v>
      </c>
      <c r="BF52" s="18">
        <f>INDEX($AZ$3:$BE$204,ROW(BF52)-2,MATCH(XS_Analyzer!$S$5,XS_AnalyzerSummary!$AZ$2:$BE$2,0))</f>
        <v>7.2448262277378568</v>
      </c>
      <c r="BG52" s="26">
        <f t="shared" si="28"/>
        <v>0</v>
      </c>
      <c r="BH52" s="26">
        <f t="shared" si="29"/>
        <v>0</v>
      </c>
      <c r="BI52" s="26">
        <f t="shared" si="30"/>
        <v>3.028524214770683</v>
      </c>
      <c r="BJ52" s="26">
        <f t="shared" si="31"/>
        <v>0</v>
      </c>
      <c r="BK52" s="26">
        <f t="shared" si="32"/>
        <v>0</v>
      </c>
      <c r="BL52" s="26">
        <f t="shared" si="33"/>
        <v>1.8155280000000014</v>
      </c>
      <c r="BM52" s="18">
        <f t="shared" si="34"/>
        <v>0</v>
      </c>
      <c r="BN52" s="18">
        <f t="shared" si="35"/>
        <v>0</v>
      </c>
      <c r="BO52" s="18">
        <f t="shared" si="36"/>
        <v>2.9095000000000022</v>
      </c>
    </row>
    <row r="53" spans="1:67" ht="15">
      <c r="A53" s="21"/>
      <c r="B53" s="14"/>
      <c r="C53" s="21"/>
      <c r="D53" s="14"/>
      <c r="E53" s="7"/>
      <c r="F53" s="21"/>
      <c r="G53" s="76"/>
      <c r="H53" s="7"/>
      <c r="I53" s="21"/>
      <c r="J53" s="14"/>
      <c r="K53" s="20"/>
      <c r="L53" s="21"/>
      <c r="M53" s="14"/>
      <c r="N53" s="9"/>
      <c r="P53" s="9"/>
      <c r="S53" s="9"/>
      <c r="V53" s="7"/>
      <c r="W53" s="7"/>
      <c r="Z53" s="5"/>
      <c r="AA53" s="5"/>
      <c r="AB53" s="5"/>
      <c r="AD53" s="32">
        <v>49</v>
      </c>
      <c r="AE53" s="25" t="str">
        <f t="shared" si="13"/>
        <v>Left</v>
      </c>
      <c r="AF53" s="25" t="str">
        <f t="shared" si="14"/>
        <v>Channel</v>
      </c>
      <c r="AG53" s="32" t="str">
        <f>IF(XS_AnalyzerSummary!$AB$24&gt;=XS_AnalyzerSummary!AD53,"Y","N")</f>
        <v>Y</v>
      </c>
      <c r="AH53" s="38">
        <v>1</v>
      </c>
      <c r="AI53" s="38">
        <f>IF(AG53="Y",$O$19/XS_AnalyzerSummary!$AB$24,0)</f>
        <v>4.4999999999999998E-2</v>
      </c>
      <c r="AJ53" s="38">
        <f t="shared" si="15"/>
        <v>4.4999999999999998E-2</v>
      </c>
      <c r="AK53" s="93">
        <f t="shared" si="37"/>
        <v>3.2499999999999964</v>
      </c>
      <c r="AL53" s="93">
        <f>IF(AG53="Y",LININTERP(AK53,XS_Analyzer_Calculations!$AY$4:$AY$104,XS_Analyzer_Calculations!$AZ$4:$AZ$104),AL52)</f>
        <v>1.3125000000000027</v>
      </c>
      <c r="AM53" s="38">
        <f t="shared" si="16"/>
        <v>3.6874999999999973</v>
      </c>
      <c r="AN53" s="18">
        <f t="shared" si="17"/>
        <v>0.1651781249999999</v>
      </c>
      <c r="AO53" s="100">
        <f t="shared" si="18"/>
        <v>5.6249999999999911E-2</v>
      </c>
      <c r="AP53" s="100">
        <f t="shared" si="19"/>
        <v>2.9365000000000028</v>
      </c>
      <c r="AQ53" s="18">
        <f t="shared" si="20"/>
        <v>1.7787811838447108E-3</v>
      </c>
      <c r="AR53" s="32">
        <f>IFERROR(IF(AG53="Y",VLOOKUP(AK53,XS_Analyzer_Calculations!$R$5:$T$104,3,TRUE),0),0)</f>
        <v>0.1</v>
      </c>
      <c r="AS53" s="198">
        <f t="shared" si="21"/>
        <v>0.01</v>
      </c>
      <c r="AT53" s="18">
        <f t="shared" si="22"/>
        <v>5.0333602090895759</v>
      </c>
      <c r="AU53" s="38">
        <f>AT53*XS_Analyzer_Calculations!$I$7^0.5</f>
        <v>0.50333602090895757</v>
      </c>
      <c r="AV53" s="18">
        <f t="shared" si="38"/>
        <v>3.0472317136967009</v>
      </c>
      <c r="AW53" s="18">
        <f t="shared" si="23"/>
        <v>1.8323760000000016</v>
      </c>
      <c r="AX53" s="18">
        <f t="shared" si="24"/>
        <v>5</v>
      </c>
      <c r="AY53" s="32">
        <f t="shared" si="25"/>
        <v>3.670624999999998</v>
      </c>
      <c r="AZ53" s="18">
        <f>((AS53*AP53)/(1.65*XS_Analyzer!$Q$72))*12</f>
        <v>8.4382134562134006</v>
      </c>
      <c r="BA53" s="18">
        <f>(AW53/((1.65*62.4)*XS_Analyzer!$Q$73))*12</f>
        <v>4.7458585858585902</v>
      </c>
      <c r="BB53" s="18">
        <f t="shared" si="26"/>
        <v>7.3145714767626613</v>
      </c>
      <c r="BC53" s="38">
        <f t="shared" si="27"/>
        <v>11.047319619219969</v>
      </c>
      <c r="BD53" s="18">
        <f>IF(ISNUMBER(LININTERP(AW53,Permissible_Shear!$T$178:$T$188,Permissible_Shear!$V$178:$V$188)),LININTERP(AW53,Permissible_Shear!$T$178:$T$188,Permissible_Shear!$V$178:$V$188),0)</f>
        <v>5.9734527233682631</v>
      </c>
      <c r="BE53" s="18">
        <f>LININTERP(AW53,Permissible_Shear!$S$205:$S$222,Permissible_Shear!$V$205:$V$222)</f>
        <v>6.0386750000000049</v>
      </c>
      <c r="BF53" s="18">
        <f>INDEX($AZ$3:$BE$204,ROW(BF53)-2,MATCH(XS_Analyzer!$S$5,XS_AnalyzerSummary!$AZ$2:$BE$2,0))</f>
        <v>7.3145714767626613</v>
      </c>
      <c r="BG53" s="26">
        <f t="shared" si="28"/>
        <v>0</v>
      </c>
      <c r="BH53" s="26">
        <f t="shared" si="29"/>
        <v>0</v>
      </c>
      <c r="BI53" s="26">
        <f t="shared" si="30"/>
        <v>3.0472317136967009</v>
      </c>
      <c r="BJ53" s="26">
        <f t="shared" si="31"/>
        <v>0</v>
      </c>
      <c r="BK53" s="26">
        <f t="shared" si="32"/>
        <v>0</v>
      </c>
      <c r="BL53" s="26">
        <f t="shared" si="33"/>
        <v>1.8323760000000016</v>
      </c>
      <c r="BM53" s="18">
        <f t="shared" si="34"/>
        <v>0</v>
      </c>
      <c r="BN53" s="18">
        <f t="shared" si="35"/>
        <v>0</v>
      </c>
      <c r="BO53" s="18">
        <f t="shared" si="36"/>
        <v>2.9365000000000028</v>
      </c>
    </row>
    <row r="54" spans="1:67" ht="15">
      <c r="A54" s="21"/>
      <c r="B54" s="14"/>
      <c r="C54" s="21"/>
      <c r="D54" s="76"/>
      <c r="E54" s="7"/>
      <c r="F54" s="21"/>
      <c r="G54" s="76"/>
      <c r="H54" s="7"/>
      <c r="I54" s="21"/>
      <c r="J54" s="14"/>
      <c r="K54" s="20"/>
      <c r="L54" s="21"/>
      <c r="M54" s="14"/>
      <c r="N54" s="9"/>
      <c r="P54" s="9"/>
      <c r="S54" s="9"/>
      <c r="V54" s="7"/>
      <c r="W54" s="7"/>
      <c r="Z54" s="5"/>
      <c r="AA54" s="5"/>
      <c r="AB54" s="5"/>
      <c r="AD54" s="32">
        <v>50</v>
      </c>
      <c r="AE54" s="25" t="str">
        <f t="shared" si="13"/>
        <v>Left</v>
      </c>
      <c r="AF54" s="25" t="str">
        <f t="shared" si="14"/>
        <v>Channel</v>
      </c>
      <c r="AG54" s="32" t="str">
        <f>IF(XS_AnalyzerSummary!$AB$24&gt;=XS_AnalyzerSummary!AD54,"Y","N")</f>
        <v>Y</v>
      </c>
      <c r="AH54" s="38">
        <v>1</v>
      </c>
      <c r="AI54" s="38">
        <f>IF(AG54="Y",$O$19/XS_AnalyzerSummary!$AB$24,0)</f>
        <v>4.4999999999999998E-2</v>
      </c>
      <c r="AJ54" s="38">
        <f t="shared" si="15"/>
        <v>4.4999999999999998E-2</v>
      </c>
      <c r="AK54" s="93">
        <f t="shared" si="37"/>
        <v>3.2949999999999964</v>
      </c>
      <c r="AL54" s="93">
        <f>IF(AG54="Y",LININTERP(AK54,XS_Analyzer_Calculations!$AY$4:$AY$104,XS_Analyzer_Calculations!$AZ$4:$AZ$104),AL53)</f>
        <v>1.2787500000000027</v>
      </c>
      <c r="AM54" s="38">
        <f t="shared" si="16"/>
        <v>3.7212499999999973</v>
      </c>
      <c r="AN54" s="18">
        <f t="shared" si="17"/>
        <v>0.16669687499999986</v>
      </c>
      <c r="AO54" s="100">
        <f t="shared" si="18"/>
        <v>5.6249999999999911E-2</v>
      </c>
      <c r="AP54" s="100">
        <f t="shared" si="19"/>
        <v>2.963500000000002</v>
      </c>
      <c r="AQ54" s="18">
        <f t="shared" si="20"/>
        <v>1.7787811838447108E-3</v>
      </c>
      <c r="AR54" s="32">
        <f>IFERROR(IF(AG54="Y",VLOOKUP(AK54,XS_Analyzer_Calculations!$R$5:$T$104,3,TRUE),0),0)</f>
        <v>0.1</v>
      </c>
      <c r="AS54" s="198">
        <f t="shared" si="21"/>
        <v>0.01</v>
      </c>
      <c r="AT54" s="18">
        <f t="shared" si="22"/>
        <v>5.1107294240867116</v>
      </c>
      <c r="AU54" s="38">
        <f>AT54*XS_Analyzer_Calculations!$I$7^0.5</f>
        <v>0.51107294240867118</v>
      </c>
      <c r="AV54" s="18">
        <f t="shared" si="38"/>
        <v>3.0658819633461731</v>
      </c>
      <c r="AW54" s="18">
        <f t="shared" si="23"/>
        <v>1.8492240000000013</v>
      </c>
      <c r="AX54" s="18">
        <f t="shared" si="24"/>
        <v>5</v>
      </c>
      <c r="AY54" s="32">
        <f t="shared" si="25"/>
        <v>3.7043749999999971</v>
      </c>
      <c r="AZ54" s="18">
        <f>((AS54*AP54)/(1.65*XS_Analyzer!$Q$72))*12</f>
        <v>8.5157996177382635</v>
      </c>
      <c r="BA54" s="18">
        <f>(AW54/((1.65*62.4)*XS_Analyzer!$Q$73))*12</f>
        <v>4.7894949494949532</v>
      </c>
      <c r="BB54" s="18">
        <f t="shared" si="26"/>
        <v>7.3843435418543892</v>
      </c>
      <c r="BC54" s="38">
        <f t="shared" si="27"/>
        <v>11.121597134196135</v>
      </c>
      <c r="BD54" s="18">
        <f>IF(ISNUMBER(LININTERP(AW54,Permissible_Shear!$T$178:$T$188,Permissible_Shear!$V$178:$V$188)),LININTERP(AW54,Permissible_Shear!$T$178:$T$188,Permissible_Shear!$V$178:$V$188),0)</f>
        <v>6.0260787401574856</v>
      </c>
      <c r="BE54" s="18">
        <f>LININTERP(AW54,Permissible_Shear!$S$205:$S$222,Permissible_Shear!$V$205:$V$222)</f>
        <v>6.0913250000000048</v>
      </c>
      <c r="BF54" s="18">
        <f>INDEX($AZ$3:$BE$204,ROW(BF54)-2,MATCH(XS_Analyzer!$S$5,XS_AnalyzerSummary!$AZ$2:$BE$2,0))</f>
        <v>7.3843435418543892</v>
      </c>
      <c r="BG54" s="26">
        <f t="shared" si="28"/>
        <v>0</v>
      </c>
      <c r="BH54" s="26">
        <f t="shared" si="29"/>
        <v>0</v>
      </c>
      <c r="BI54" s="26">
        <f t="shared" si="30"/>
        <v>3.0658819633461731</v>
      </c>
      <c r="BJ54" s="26">
        <f t="shared" si="31"/>
        <v>0</v>
      </c>
      <c r="BK54" s="26">
        <f t="shared" si="32"/>
        <v>0</v>
      </c>
      <c r="BL54" s="26">
        <f t="shared" si="33"/>
        <v>1.8492240000000013</v>
      </c>
      <c r="BM54" s="18">
        <f t="shared" si="34"/>
        <v>0</v>
      </c>
      <c r="BN54" s="18">
        <f t="shared" si="35"/>
        <v>0</v>
      </c>
      <c r="BO54" s="18">
        <f t="shared" si="36"/>
        <v>2.963500000000002</v>
      </c>
    </row>
    <row r="55" spans="1:67" ht="15">
      <c r="A55" s="21"/>
      <c r="B55" s="14"/>
      <c r="C55" s="21"/>
      <c r="D55" s="14"/>
      <c r="E55" s="7"/>
      <c r="F55" s="21"/>
      <c r="G55" s="14"/>
      <c r="H55" s="7"/>
      <c r="I55" s="21"/>
      <c r="J55" s="14"/>
      <c r="K55" s="20"/>
      <c r="L55" s="21"/>
      <c r="M55" s="14"/>
      <c r="N55" s="9"/>
      <c r="P55" s="9"/>
      <c r="S55" s="9"/>
      <c r="V55" s="7"/>
      <c r="W55" s="7"/>
      <c r="AA55" s="5"/>
      <c r="AB55" s="5"/>
      <c r="AD55" s="32">
        <v>51</v>
      </c>
      <c r="AE55" s="25" t="str">
        <f t="shared" si="13"/>
        <v>Left</v>
      </c>
      <c r="AF55" s="25" t="str">
        <f t="shared" si="14"/>
        <v>Channel</v>
      </c>
      <c r="AG55" s="32" t="str">
        <f>IF(XS_AnalyzerSummary!$AB$24&gt;=XS_AnalyzerSummary!AD55,"Y","N")</f>
        <v>Y</v>
      </c>
      <c r="AH55" s="38">
        <v>1</v>
      </c>
      <c r="AI55" s="38">
        <f>IF(AG55="Y",$O$19/XS_AnalyzerSummary!$AB$24,0)</f>
        <v>4.4999999999999998E-2</v>
      </c>
      <c r="AJ55" s="38">
        <f t="shared" si="15"/>
        <v>4.4999999999999998E-2</v>
      </c>
      <c r="AK55" s="93">
        <f t="shared" si="37"/>
        <v>3.3399999999999963</v>
      </c>
      <c r="AL55" s="93">
        <f>IF(AG55="Y",LININTERP(AK55,XS_Analyzer_Calculations!$AY$4:$AY$104,XS_Analyzer_Calculations!$AZ$4:$AZ$104),AL54)</f>
        <v>1.2450000000000028</v>
      </c>
      <c r="AM55" s="38">
        <f t="shared" si="16"/>
        <v>3.7549999999999972</v>
      </c>
      <c r="AN55" s="18">
        <f t="shared" si="17"/>
        <v>0.16821562499999987</v>
      </c>
      <c r="AO55" s="100">
        <f t="shared" si="18"/>
        <v>5.6249999999999911E-2</v>
      </c>
      <c r="AP55" s="100">
        <f t="shared" si="19"/>
        <v>2.9905000000000026</v>
      </c>
      <c r="AQ55" s="18">
        <f t="shared" si="20"/>
        <v>1.7787811838447108E-3</v>
      </c>
      <c r="AR55" s="32">
        <f>IFERROR(IF(AG55="Y",VLOOKUP(AK55,XS_Analyzer_Calculations!$R$5:$T$104,3,TRUE),0),0)</f>
        <v>0.1</v>
      </c>
      <c r="AS55" s="198">
        <f t="shared" si="21"/>
        <v>0.01</v>
      </c>
      <c r="AT55" s="18">
        <f t="shared" si="22"/>
        <v>5.1885700063064553</v>
      </c>
      <c r="AU55" s="38">
        <f>AT55*XS_Analyzer_Calculations!$I$7^0.5</f>
        <v>0.51885700063064555</v>
      </c>
      <c r="AV55" s="18">
        <f t="shared" si="38"/>
        <v>3.0844756581360735</v>
      </c>
      <c r="AW55" s="18">
        <f t="shared" si="23"/>
        <v>1.8660720000000015</v>
      </c>
      <c r="AX55" s="18">
        <f t="shared" si="24"/>
        <v>5</v>
      </c>
      <c r="AY55" s="32">
        <f t="shared" si="25"/>
        <v>3.738124999999997</v>
      </c>
      <c r="AZ55" s="18">
        <f>((AS55*AP55)/(1.65*XS_Analyzer!$Q$72))*12</f>
        <v>8.5933857792631265</v>
      </c>
      <c r="BA55" s="18">
        <f>(AW55/((1.65*62.4)*XS_Analyzer!$Q$73))*12</f>
        <v>4.8331313131313181</v>
      </c>
      <c r="BB55" s="18">
        <f t="shared" si="26"/>
        <v>7.454142189967814</v>
      </c>
      <c r="BC55" s="38">
        <f t="shared" si="27"/>
        <v>11.195696676264433</v>
      </c>
      <c r="BD55" s="18">
        <f>IF(ISNUMBER(LININTERP(AW55,Permissible_Shear!$T$178:$T$188,Permissible_Shear!$V$178:$V$188)),LININTERP(AW55,Permissible_Shear!$T$178:$T$188,Permissible_Shear!$V$178:$V$188),0)</f>
        <v>6.0787047569467099</v>
      </c>
      <c r="BE55" s="18">
        <f>LININTERP(AW55,Permissible_Shear!$S$205:$S$222,Permissible_Shear!$V$205:$V$222)</f>
        <v>6.1439750000000046</v>
      </c>
      <c r="BF55" s="18">
        <f>INDEX($AZ$3:$BE$204,ROW(BF55)-2,MATCH(XS_Analyzer!$S$5,XS_AnalyzerSummary!$AZ$2:$BE$2,0))</f>
        <v>7.454142189967814</v>
      </c>
      <c r="BG55" s="26">
        <f t="shared" si="28"/>
        <v>0</v>
      </c>
      <c r="BH55" s="26">
        <f t="shared" si="29"/>
        <v>0</v>
      </c>
      <c r="BI55" s="26">
        <f t="shared" si="30"/>
        <v>3.0844756581360735</v>
      </c>
      <c r="BJ55" s="26">
        <f t="shared" si="31"/>
        <v>0</v>
      </c>
      <c r="BK55" s="26">
        <f t="shared" si="32"/>
        <v>0</v>
      </c>
      <c r="BL55" s="26">
        <f t="shared" si="33"/>
        <v>1.8660720000000015</v>
      </c>
      <c r="BM55" s="18">
        <f t="shared" si="34"/>
        <v>0</v>
      </c>
      <c r="BN55" s="18">
        <f t="shared" si="35"/>
        <v>0</v>
      </c>
      <c r="BO55" s="18">
        <f t="shared" si="36"/>
        <v>2.9905000000000026</v>
      </c>
    </row>
    <row r="56" spans="1:67" ht="15">
      <c r="A56" s="21"/>
      <c r="B56" s="14"/>
      <c r="C56" s="21"/>
      <c r="D56" s="14"/>
      <c r="E56" s="7"/>
      <c r="F56" s="21"/>
      <c r="G56" s="14"/>
      <c r="H56" s="7"/>
      <c r="I56" s="21"/>
      <c r="J56" s="14"/>
      <c r="K56" s="20"/>
      <c r="L56" s="21"/>
      <c r="M56" s="14"/>
      <c r="N56" s="9"/>
      <c r="P56" s="9"/>
      <c r="S56" s="9"/>
      <c r="V56" s="7"/>
      <c r="W56" s="7"/>
      <c r="AD56" s="32">
        <v>52</v>
      </c>
      <c r="AE56" s="25" t="str">
        <f t="shared" si="13"/>
        <v>Left</v>
      </c>
      <c r="AF56" s="25" t="str">
        <f t="shared" si="14"/>
        <v>Channel</v>
      </c>
      <c r="AG56" s="32" t="str">
        <f>IF(XS_AnalyzerSummary!$AB$24&gt;=XS_AnalyzerSummary!AD56,"Y","N")</f>
        <v>Y</v>
      </c>
      <c r="AH56" s="38">
        <v>1</v>
      </c>
      <c r="AI56" s="38">
        <f>IF(AG56="Y",$O$19/XS_AnalyzerSummary!$AB$24,0)</f>
        <v>4.4999999999999998E-2</v>
      </c>
      <c r="AJ56" s="38">
        <f t="shared" si="15"/>
        <v>4.4999999999999998E-2</v>
      </c>
      <c r="AK56" s="93">
        <f t="shared" si="37"/>
        <v>3.3849999999999962</v>
      </c>
      <c r="AL56" s="93">
        <f>IF(AG56="Y",LININTERP(AK56,XS_Analyzer_Calculations!$AY$4:$AY$104,XS_Analyzer_Calculations!$AZ$4:$AZ$104),AL55)</f>
        <v>1.2112500000000028</v>
      </c>
      <c r="AM56" s="38">
        <f t="shared" si="16"/>
        <v>3.7887499999999972</v>
      </c>
      <c r="AN56" s="18">
        <f t="shared" si="17"/>
        <v>0.16973437499999985</v>
      </c>
      <c r="AO56" s="100">
        <f t="shared" si="18"/>
        <v>5.6249999999999911E-2</v>
      </c>
      <c r="AP56" s="100">
        <f t="shared" si="19"/>
        <v>3.0175000000000023</v>
      </c>
      <c r="AQ56" s="18">
        <f t="shared" si="20"/>
        <v>1.7787811838447108E-3</v>
      </c>
      <c r="AR56" s="32">
        <f>IFERROR(IF(AG56="Y",VLOOKUP(AK56,XS_Analyzer_Calculations!$R$5:$T$104,3,TRUE),0),0)</f>
        <v>0.1</v>
      </c>
      <c r="AS56" s="198">
        <f t="shared" si="21"/>
        <v>0.01</v>
      </c>
      <c r="AT56" s="18">
        <f t="shared" si="22"/>
        <v>5.2668805328381012</v>
      </c>
      <c r="AU56" s="38">
        <f>AT56*XS_Analyzer_Calculations!$I$7^0.5</f>
        <v>0.52668805328381019</v>
      </c>
      <c r="AV56" s="18">
        <f t="shared" si="38"/>
        <v>3.1030134778757139</v>
      </c>
      <c r="AW56" s="18">
        <f t="shared" si="23"/>
        <v>1.8829200000000015</v>
      </c>
      <c r="AX56" s="18">
        <f t="shared" si="24"/>
        <v>5</v>
      </c>
      <c r="AY56" s="32">
        <f t="shared" si="25"/>
        <v>3.771874999999997</v>
      </c>
      <c r="AZ56" s="18">
        <f>((AS56*AP56)/(1.65*XS_Analyzer!$Q$72))*12</f>
        <v>8.6709719407879895</v>
      </c>
      <c r="BA56" s="18">
        <f>(AW56/((1.65*62.4)*XS_Analyzer!$Q$73))*12</f>
        <v>4.8767676767676811</v>
      </c>
      <c r="BB56" s="18">
        <f t="shared" si="26"/>
        <v>7.5239671921599136</v>
      </c>
      <c r="BC56" s="38">
        <f t="shared" si="27"/>
        <v>11.269620265800722</v>
      </c>
      <c r="BD56" s="18">
        <f>IF(ISNUMBER(LININTERP(AW56,Permissible_Shear!$T$178:$T$188,Permissible_Shear!$V$178:$V$188)),LININTERP(AW56,Permissible_Shear!$T$178:$T$188,Permissible_Shear!$V$178:$V$188),0)</f>
        <v>6.1313307737359333</v>
      </c>
      <c r="BE56" s="18">
        <f>LININTERP(AW56,Permissible_Shear!$S$205:$S$222,Permissible_Shear!$V$205:$V$222)</f>
        <v>6.1966250000000045</v>
      </c>
      <c r="BF56" s="18">
        <f>INDEX($AZ$3:$BE$204,ROW(BF56)-2,MATCH(XS_Analyzer!$S$5,XS_AnalyzerSummary!$AZ$2:$BE$2,0))</f>
        <v>7.5239671921599136</v>
      </c>
      <c r="BG56" s="26">
        <f t="shared" si="28"/>
        <v>0</v>
      </c>
      <c r="BH56" s="26">
        <f t="shared" si="29"/>
        <v>0</v>
      </c>
      <c r="BI56" s="26">
        <f t="shared" si="30"/>
        <v>3.1030134778757139</v>
      </c>
      <c r="BJ56" s="26">
        <f t="shared" si="31"/>
        <v>0</v>
      </c>
      <c r="BK56" s="26">
        <f t="shared" si="32"/>
        <v>0</v>
      </c>
      <c r="BL56" s="26">
        <f t="shared" si="33"/>
        <v>1.8829200000000015</v>
      </c>
      <c r="BM56" s="18">
        <f t="shared" si="34"/>
        <v>0</v>
      </c>
      <c r="BN56" s="18">
        <f t="shared" si="35"/>
        <v>0</v>
      </c>
      <c r="BO56" s="18">
        <f t="shared" si="36"/>
        <v>3.0175000000000023</v>
      </c>
    </row>
    <row r="57" spans="1:67" ht="15">
      <c r="A57" s="21"/>
      <c r="B57" s="14"/>
      <c r="C57" s="21"/>
      <c r="D57" s="14"/>
      <c r="E57" s="7"/>
      <c r="F57" s="21"/>
      <c r="G57" s="14"/>
      <c r="H57" s="7"/>
      <c r="I57" s="21"/>
      <c r="J57" s="14"/>
      <c r="K57" s="20"/>
      <c r="L57" s="21"/>
      <c r="M57" s="14"/>
      <c r="N57" s="9"/>
      <c r="P57" s="9"/>
      <c r="S57" s="9"/>
      <c r="V57" s="7"/>
      <c r="W57" s="7"/>
      <c r="AD57" s="32">
        <v>53</v>
      </c>
      <c r="AE57" s="25" t="str">
        <f t="shared" si="13"/>
        <v>Left</v>
      </c>
      <c r="AF57" s="25" t="str">
        <f t="shared" si="14"/>
        <v>Channel</v>
      </c>
      <c r="AG57" s="32" t="str">
        <f>IF(XS_AnalyzerSummary!$AB$24&gt;=XS_AnalyzerSummary!AD57,"Y","N")</f>
        <v>Y</v>
      </c>
      <c r="AH57" s="38">
        <v>1</v>
      </c>
      <c r="AI57" s="38">
        <f>IF(AG57="Y",$O$19/XS_AnalyzerSummary!$AB$24,0)</f>
        <v>4.4999999999999998E-2</v>
      </c>
      <c r="AJ57" s="38">
        <f t="shared" si="15"/>
        <v>4.4999999999999998E-2</v>
      </c>
      <c r="AK57" s="93">
        <f t="shared" si="37"/>
        <v>3.4299999999999962</v>
      </c>
      <c r="AL57" s="93">
        <f>IF(AG57="Y",LININTERP(AK57,XS_Analyzer_Calculations!$AY$4:$AY$104,XS_Analyzer_Calculations!$AZ$4:$AZ$104),AL56)</f>
        <v>1.1775000000000029</v>
      </c>
      <c r="AM57" s="38">
        <f t="shared" si="16"/>
        <v>3.8224999999999971</v>
      </c>
      <c r="AN57" s="18">
        <f t="shared" si="17"/>
        <v>0.17125312499999987</v>
      </c>
      <c r="AO57" s="100">
        <f t="shared" si="18"/>
        <v>5.6249999999999911E-2</v>
      </c>
      <c r="AP57" s="100">
        <f t="shared" si="19"/>
        <v>3.0445000000000024</v>
      </c>
      <c r="AQ57" s="18">
        <f t="shared" si="20"/>
        <v>1.7787811838447108E-3</v>
      </c>
      <c r="AR57" s="32">
        <f>IFERROR(IF(AG57="Y",VLOOKUP(AK57,XS_Analyzer_Calculations!$R$5:$T$104,3,TRUE),0),0)</f>
        <v>0.1</v>
      </c>
      <c r="AS57" s="198">
        <f t="shared" si="21"/>
        <v>0.01</v>
      </c>
      <c r="AT57" s="18">
        <f t="shared" si="22"/>
        <v>5.3456595977983534</v>
      </c>
      <c r="AU57" s="38">
        <f>AT57*XS_Analyzer_Calculations!$I$7^0.5</f>
        <v>0.53456595977983534</v>
      </c>
      <c r="AV57" s="18">
        <f t="shared" si="38"/>
        <v>3.1214960882018108</v>
      </c>
      <c r="AW57" s="18">
        <f t="shared" si="23"/>
        <v>1.8997680000000015</v>
      </c>
      <c r="AX57" s="18">
        <f t="shared" si="24"/>
        <v>5</v>
      </c>
      <c r="AY57" s="32">
        <f t="shared" si="25"/>
        <v>3.8056249999999974</v>
      </c>
      <c r="AZ57" s="18">
        <f>((AS57*AP57)/(1.65*XS_Analyzer!$Q$72))*12</f>
        <v>8.7485581023128525</v>
      </c>
      <c r="BA57" s="18">
        <f>(AW57/((1.65*62.4)*XS_Analyzer!$Q$73))*12</f>
        <v>4.9204040404040441</v>
      </c>
      <c r="BB57" s="18">
        <f t="shared" si="26"/>
        <v>7.5938183234817416</v>
      </c>
      <c r="BC57" s="38">
        <f t="shared" si="27"/>
        <v>11.343369882472146</v>
      </c>
      <c r="BD57" s="18">
        <f>IF(ISNUMBER(LININTERP(AW57,Permissible_Shear!$T$178:$T$188,Permissible_Shear!$V$178:$V$188)),LININTERP(AW57,Permissible_Shear!$T$178:$T$188,Permissible_Shear!$V$178:$V$188),0)</f>
        <v>6.1839567905251567</v>
      </c>
      <c r="BE57" s="18">
        <f>LININTERP(AW57,Permissible_Shear!$S$205:$S$222,Permissible_Shear!$V$205:$V$222)</f>
        <v>6.2492750000000044</v>
      </c>
      <c r="BF57" s="18">
        <f>INDEX($AZ$3:$BE$204,ROW(BF57)-2,MATCH(XS_Analyzer!$S$5,XS_AnalyzerSummary!$AZ$2:$BE$2,0))</f>
        <v>7.5938183234817416</v>
      </c>
      <c r="BG57" s="26">
        <f t="shared" si="28"/>
        <v>0</v>
      </c>
      <c r="BH57" s="26">
        <f t="shared" si="29"/>
        <v>0</v>
      </c>
      <c r="BI57" s="26">
        <f t="shared" si="30"/>
        <v>3.1214960882018108</v>
      </c>
      <c r="BJ57" s="26">
        <f t="shared" si="31"/>
        <v>0</v>
      </c>
      <c r="BK57" s="26">
        <f t="shared" si="32"/>
        <v>0</v>
      </c>
      <c r="BL57" s="26">
        <f t="shared" si="33"/>
        <v>1.8997680000000015</v>
      </c>
      <c r="BM57" s="18">
        <f t="shared" si="34"/>
        <v>0</v>
      </c>
      <c r="BN57" s="18">
        <f t="shared" si="35"/>
        <v>0</v>
      </c>
      <c r="BO57" s="18">
        <f t="shared" si="36"/>
        <v>3.0445000000000024</v>
      </c>
    </row>
    <row r="58" spans="1:67" ht="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P58" s="9"/>
      <c r="S58" s="9"/>
      <c r="V58" s="7"/>
      <c r="W58" s="7"/>
      <c r="AD58" s="32">
        <v>54</v>
      </c>
      <c r="AE58" s="25" t="str">
        <f t="shared" si="13"/>
        <v>Left</v>
      </c>
      <c r="AF58" s="25" t="str">
        <f t="shared" si="14"/>
        <v>Channel</v>
      </c>
      <c r="AG58" s="32" t="str">
        <f>IF(XS_AnalyzerSummary!$AB$24&gt;=XS_AnalyzerSummary!AD58,"Y","N")</f>
        <v>Y</v>
      </c>
      <c r="AH58" s="38">
        <v>1</v>
      </c>
      <c r="AI58" s="38">
        <f>IF(AG58="Y",$O$19/XS_AnalyzerSummary!$AB$24,0)</f>
        <v>4.4999999999999998E-2</v>
      </c>
      <c r="AJ58" s="38">
        <f t="shared" si="15"/>
        <v>4.4999999999999998E-2</v>
      </c>
      <c r="AK58" s="93">
        <f t="shared" si="37"/>
        <v>3.4749999999999961</v>
      </c>
      <c r="AL58" s="93">
        <f>IF(AG58="Y",LININTERP(AK58,XS_Analyzer_Calculations!$AY$4:$AY$104,XS_Analyzer_Calculations!$AZ$4:$AZ$104),AL57)</f>
        <v>1.1437500000000029</v>
      </c>
      <c r="AM58" s="38">
        <f t="shared" si="16"/>
        <v>3.8562499999999971</v>
      </c>
      <c r="AN58" s="18">
        <f t="shared" si="17"/>
        <v>0.17277187499999985</v>
      </c>
      <c r="AO58" s="100">
        <f t="shared" si="18"/>
        <v>5.6249999999999911E-2</v>
      </c>
      <c r="AP58" s="100">
        <f t="shared" si="19"/>
        <v>3.0715000000000021</v>
      </c>
      <c r="AQ58" s="18">
        <f t="shared" si="20"/>
        <v>1.7787811838447108E-3</v>
      </c>
      <c r="AR58" s="32">
        <f>IFERROR(IF(AG58="Y",VLOOKUP(AK58,XS_Analyzer_Calculations!$R$5:$T$104,3,TRUE),0),0)</f>
        <v>0.1</v>
      </c>
      <c r="AS58" s="198">
        <f t="shared" si="21"/>
        <v>0.01</v>
      </c>
      <c r="AT58" s="18">
        <f t="shared" si="22"/>
        <v>5.4249058119779034</v>
      </c>
      <c r="AU58" s="38">
        <f>AT58*XS_Analyzer_Calculations!$I$7^0.5</f>
        <v>0.54249058119779037</v>
      </c>
      <c r="AV58" s="18">
        <f t="shared" si="38"/>
        <v>3.1399241409968539</v>
      </c>
      <c r="AW58" s="18">
        <f t="shared" si="23"/>
        <v>1.9166160000000014</v>
      </c>
      <c r="AX58" s="18">
        <f t="shared" si="24"/>
        <v>5</v>
      </c>
      <c r="AY58" s="32">
        <f t="shared" si="25"/>
        <v>3.8393749999999969</v>
      </c>
      <c r="AZ58" s="18">
        <f>((AS58*AP58)/(1.65*XS_Analyzer!$Q$72))*12</f>
        <v>8.8261442638377172</v>
      </c>
      <c r="BA58" s="18">
        <f>(AW58/((1.65*62.4)*XS_Analyzer!$Q$73))*12</f>
        <v>4.964040404040408</v>
      </c>
      <c r="BB58" s="18">
        <f t="shared" si="26"/>
        <v>7.663695362874094</v>
      </c>
      <c r="BC58" s="38">
        <f t="shared" si="27"/>
        <v>11.416947466409182</v>
      </c>
      <c r="BD58" s="18">
        <f>IF(ISNUMBER(LININTERP(AW58,Permissible_Shear!$T$178:$T$188,Permissible_Shear!$V$178:$V$188)),LININTERP(AW58,Permissible_Shear!$T$178:$T$188,Permissible_Shear!$V$178:$V$188),0)</f>
        <v>6.236582807314381</v>
      </c>
      <c r="BE58" s="18">
        <f>LININTERP(AW58,Permissible_Shear!$S$205:$S$222,Permissible_Shear!$V$205:$V$222)</f>
        <v>6.3019250000000042</v>
      </c>
      <c r="BF58" s="18">
        <f>INDEX($AZ$3:$BE$204,ROW(BF58)-2,MATCH(XS_Analyzer!$S$5,XS_AnalyzerSummary!$AZ$2:$BE$2,0))</f>
        <v>7.663695362874094</v>
      </c>
      <c r="BG58" s="26">
        <f t="shared" si="28"/>
        <v>0</v>
      </c>
      <c r="BH58" s="26">
        <f t="shared" si="29"/>
        <v>0</v>
      </c>
      <c r="BI58" s="26">
        <f t="shared" si="30"/>
        <v>3.1399241409968539</v>
      </c>
      <c r="BJ58" s="26">
        <f t="shared" si="31"/>
        <v>0</v>
      </c>
      <c r="BK58" s="26">
        <f t="shared" si="32"/>
        <v>0</v>
      </c>
      <c r="BL58" s="26">
        <f t="shared" si="33"/>
        <v>1.9166160000000014</v>
      </c>
      <c r="BM58" s="18">
        <f t="shared" si="34"/>
        <v>0</v>
      </c>
      <c r="BN58" s="18">
        <f t="shared" si="35"/>
        <v>0</v>
      </c>
      <c r="BO58" s="18">
        <f t="shared" si="36"/>
        <v>3.0715000000000021</v>
      </c>
    </row>
    <row r="59" spans="1:67" ht="15">
      <c r="A59" s="5"/>
      <c r="B59" s="14"/>
      <c r="C59" s="5"/>
      <c r="D59" s="14"/>
      <c r="E59" s="7"/>
      <c r="F59" s="5"/>
      <c r="G59" s="14"/>
      <c r="H59" s="7"/>
      <c r="I59" s="5"/>
      <c r="J59" s="14"/>
      <c r="K59" s="20"/>
      <c r="L59" s="5"/>
      <c r="M59" s="14"/>
      <c r="N59" s="9"/>
      <c r="P59" s="9"/>
      <c r="S59" s="9"/>
      <c r="V59" s="7"/>
      <c r="W59" s="7"/>
      <c r="AD59" s="32">
        <v>55</v>
      </c>
      <c r="AE59" s="25" t="str">
        <f t="shared" si="13"/>
        <v>Left</v>
      </c>
      <c r="AF59" s="25" t="str">
        <f t="shared" si="14"/>
        <v>Channel</v>
      </c>
      <c r="AG59" s="32" t="str">
        <f>IF(XS_AnalyzerSummary!$AB$24&gt;=XS_AnalyzerSummary!AD59,"Y","N")</f>
        <v>Y</v>
      </c>
      <c r="AH59" s="38">
        <v>1</v>
      </c>
      <c r="AI59" s="38">
        <f>IF(AG59="Y",$O$19/XS_AnalyzerSummary!$AB$24,0)</f>
        <v>4.4999999999999998E-2</v>
      </c>
      <c r="AJ59" s="38">
        <f t="shared" si="15"/>
        <v>4.4999999999999998E-2</v>
      </c>
      <c r="AK59" s="93">
        <f t="shared" si="37"/>
        <v>3.519999999999996</v>
      </c>
      <c r="AL59" s="93">
        <f>IF(AG59="Y",LININTERP(AK59,XS_Analyzer_Calculations!$AY$4:$AY$104,XS_Analyzer_Calculations!$AZ$4:$AZ$104),AL58)</f>
        <v>1.110000000000003</v>
      </c>
      <c r="AM59" s="38">
        <f t="shared" si="16"/>
        <v>3.889999999999997</v>
      </c>
      <c r="AN59" s="18">
        <f t="shared" si="17"/>
        <v>0.17429062499999987</v>
      </c>
      <c r="AO59" s="100">
        <f t="shared" si="18"/>
        <v>5.6249999999999911E-2</v>
      </c>
      <c r="AP59" s="100">
        <f t="shared" si="19"/>
        <v>3.0985000000000027</v>
      </c>
      <c r="AQ59" s="18">
        <f t="shared" si="20"/>
        <v>1.7787811838447108E-3</v>
      </c>
      <c r="AR59" s="32">
        <f>IFERROR(IF(AG59="Y",VLOOKUP(AK59,XS_Analyzer_Calculations!$R$5:$T$104,3,TRUE),0),0)</f>
        <v>0.1</v>
      </c>
      <c r="AS59" s="198">
        <f t="shared" si="21"/>
        <v>0.01</v>
      </c>
      <c r="AT59" s="18">
        <f t="shared" si="22"/>
        <v>5.5046178024984007</v>
      </c>
      <c r="AU59" s="38">
        <f>AT59*XS_Analyzer_Calculations!$I$7^0.5</f>
        <v>0.55046178024984005</v>
      </c>
      <c r="AV59" s="18">
        <f t="shared" si="38"/>
        <v>3.1582982747915471</v>
      </c>
      <c r="AW59" s="18">
        <f t="shared" si="23"/>
        <v>1.9334640000000016</v>
      </c>
      <c r="AX59" s="18">
        <f t="shared" si="24"/>
        <v>5</v>
      </c>
      <c r="AY59" s="32">
        <f t="shared" si="25"/>
        <v>3.8731249999999973</v>
      </c>
      <c r="AZ59" s="18">
        <f>((AS59*AP59)/(1.65*XS_Analyzer!$Q$72))*12</f>
        <v>8.903730425362582</v>
      </c>
      <c r="BA59" s="18">
        <f>(AW59/((1.65*62.4)*XS_Analyzer!$Q$73))*12</f>
        <v>5.0076767676767719</v>
      </c>
      <c r="BB59" s="18">
        <f t="shared" si="26"/>
        <v>7.7335980930667843</v>
      </c>
      <c r="BC59" s="38">
        <f t="shared" si="27"/>
        <v>11.490354919333988</v>
      </c>
      <c r="BD59" s="18">
        <f>IF(ISNUMBER(LININTERP(AW59,Permissible_Shear!$T$178:$T$188,Permissible_Shear!$V$178:$V$188)),LININTERP(AW59,Permissible_Shear!$T$178:$T$188,Permissible_Shear!$V$178:$V$188),0)</f>
        <v>6.2892088241036053</v>
      </c>
      <c r="BE59" s="18">
        <f>LININTERP(AW59,Permissible_Shear!$S$205:$S$222,Permissible_Shear!$V$205:$V$222)</f>
        <v>6.3545750000000059</v>
      </c>
      <c r="BF59" s="18">
        <f>INDEX($AZ$3:$BE$204,ROW(BF59)-2,MATCH(XS_Analyzer!$S$5,XS_AnalyzerSummary!$AZ$2:$BE$2,0))</f>
        <v>7.7335980930667843</v>
      </c>
      <c r="BG59" s="26">
        <f t="shared" si="28"/>
        <v>0</v>
      </c>
      <c r="BH59" s="26">
        <f t="shared" si="29"/>
        <v>0</v>
      </c>
      <c r="BI59" s="26">
        <f t="shared" si="30"/>
        <v>3.1582982747915471</v>
      </c>
      <c r="BJ59" s="26">
        <f t="shared" si="31"/>
        <v>0</v>
      </c>
      <c r="BK59" s="26">
        <f t="shared" si="32"/>
        <v>0</v>
      </c>
      <c r="BL59" s="26">
        <f t="shared" si="33"/>
        <v>1.9334640000000016</v>
      </c>
      <c r="BM59" s="18">
        <f t="shared" si="34"/>
        <v>0</v>
      </c>
      <c r="BN59" s="18">
        <f t="shared" si="35"/>
        <v>0</v>
      </c>
      <c r="BO59" s="18">
        <f t="shared" si="36"/>
        <v>3.0985000000000027</v>
      </c>
    </row>
    <row r="60" spans="1:67" ht="15">
      <c r="A60" s="21"/>
      <c r="B60" s="14"/>
      <c r="C60" s="21"/>
      <c r="D60" s="14"/>
      <c r="E60" s="7"/>
      <c r="F60" s="21"/>
      <c r="G60" s="14"/>
      <c r="H60" s="7"/>
      <c r="I60" s="21"/>
      <c r="J60" s="14"/>
      <c r="K60" s="20"/>
      <c r="L60" s="21"/>
      <c r="M60" s="14"/>
      <c r="N60" s="9"/>
      <c r="P60" s="9"/>
      <c r="S60" s="9"/>
      <c r="V60" s="7"/>
      <c r="W60" s="7"/>
      <c r="AD60" s="32">
        <v>56</v>
      </c>
      <c r="AE60" s="25" t="str">
        <f t="shared" si="13"/>
        <v>Left</v>
      </c>
      <c r="AF60" s="25" t="str">
        <f t="shared" si="14"/>
        <v>Channel</v>
      </c>
      <c r="AG60" s="32" t="str">
        <f>IF(XS_AnalyzerSummary!$AB$24&gt;=XS_AnalyzerSummary!AD60,"Y","N")</f>
        <v>Y</v>
      </c>
      <c r="AH60" s="38">
        <v>1</v>
      </c>
      <c r="AI60" s="38">
        <f>IF(AG60="Y",$O$19/XS_AnalyzerSummary!$AB$24,0)</f>
        <v>4.4999999999999998E-2</v>
      </c>
      <c r="AJ60" s="38">
        <f t="shared" si="15"/>
        <v>4.4999999999999998E-2</v>
      </c>
      <c r="AK60" s="93">
        <f t="shared" si="37"/>
        <v>3.5649999999999959</v>
      </c>
      <c r="AL60" s="93">
        <f>IF(AG60="Y",LININTERP(AK60,XS_Analyzer_Calculations!$AY$4:$AY$104,XS_Analyzer_Calculations!$AZ$4:$AZ$104),AL59)</f>
        <v>1.076250000000003</v>
      </c>
      <c r="AM60" s="38">
        <f t="shared" si="16"/>
        <v>3.923749999999997</v>
      </c>
      <c r="AN60" s="18">
        <f t="shared" si="17"/>
        <v>0.17580937499999985</v>
      </c>
      <c r="AO60" s="100">
        <f t="shared" si="18"/>
        <v>5.6249999999999911E-2</v>
      </c>
      <c r="AP60" s="100">
        <f t="shared" si="19"/>
        <v>3.1255000000000024</v>
      </c>
      <c r="AQ60" s="18">
        <f t="shared" si="20"/>
        <v>1.7787811838447108E-3</v>
      </c>
      <c r="AR60" s="32">
        <f>IFERROR(IF(AG60="Y",VLOOKUP(AK60,XS_Analyzer_Calculations!$R$5:$T$104,3,TRUE),0),0)</f>
        <v>0.1</v>
      </c>
      <c r="AS60" s="198">
        <f t="shared" si="21"/>
        <v>0.01</v>
      </c>
      <c r="AT60" s="18">
        <f t="shared" si="22"/>
        <v>5.5847942124794159</v>
      </c>
      <c r="AU60" s="38">
        <f>AT60*XS_Analyzer_Calculations!$I$7^0.5</f>
        <v>0.55847942124794159</v>
      </c>
      <c r="AV60" s="18">
        <f t="shared" si="38"/>
        <v>3.1766191151520906</v>
      </c>
      <c r="AW60" s="18">
        <f t="shared" si="23"/>
        <v>1.9503120000000016</v>
      </c>
      <c r="AX60" s="18">
        <f t="shared" si="24"/>
        <v>5</v>
      </c>
      <c r="AY60" s="32">
        <f t="shared" si="25"/>
        <v>3.9068749999999968</v>
      </c>
      <c r="AZ60" s="18">
        <f>((AS60*AP60)/(1.65*XS_Analyzer!$Q$72))*12</f>
        <v>8.9813165868874449</v>
      </c>
      <c r="BA60" s="18">
        <f>(AW60/((1.65*62.4)*XS_Analyzer!$Q$73))*12</f>
        <v>5.0513131313131359</v>
      </c>
      <c r="BB60" s="18">
        <f t="shared" si="26"/>
        <v>7.8035263004813809</v>
      </c>
      <c r="BC60" s="38">
        <f t="shared" si="27"/>
        <v>11.563594105647052</v>
      </c>
      <c r="BD60" s="18">
        <f>IF(ISNUMBER(LININTERP(AW60,Permissible_Shear!$T$178:$T$188,Permissible_Shear!$V$178:$V$188)),LININTERP(AW60,Permissible_Shear!$T$178:$T$188,Permissible_Shear!$V$178:$V$188),0)</f>
        <v>6.3418348408928278</v>
      </c>
      <c r="BE60" s="18">
        <f>LININTERP(AW60,Permissible_Shear!$S$205:$S$222,Permissible_Shear!$V$205:$V$222)</f>
        <v>6.4072250000000057</v>
      </c>
      <c r="BF60" s="18">
        <f>INDEX($AZ$3:$BE$204,ROW(BF60)-2,MATCH(XS_Analyzer!$S$5,XS_AnalyzerSummary!$AZ$2:$BE$2,0))</f>
        <v>7.8035263004813809</v>
      </c>
      <c r="BG60" s="26">
        <f t="shared" si="28"/>
        <v>0</v>
      </c>
      <c r="BH60" s="26">
        <f t="shared" si="29"/>
        <v>0</v>
      </c>
      <c r="BI60" s="26">
        <f t="shared" si="30"/>
        <v>3.1766191151520906</v>
      </c>
      <c r="BJ60" s="26">
        <f t="shared" si="31"/>
        <v>0</v>
      </c>
      <c r="BK60" s="26">
        <f t="shared" si="32"/>
        <v>0</v>
      </c>
      <c r="BL60" s="26">
        <f t="shared" si="33"/>
        <v>1.9503120000000016</v>
      </c>
      <c r="BM60" s="18">
        <f t="shared" si="34"/>
        <v>0</v>
      </c>
      <c r="BN60" s="18">
        <f t="shared" si="35"/>
        <v>0</v>
      </c>
      <c r="BO60" s="18">
        <f t="shared" si="36"/>
        <v>3.1255000000000024</v>
      </c>
    </row>
    <row r="61" spans="1:67" ht="15">
      <c r="A61" s="21"/>
      <c r="B61" s="14"/>
      <c r="C61" s="21"/>
      <c r="D61" s="14"/>
      <c r="E61" s="7"/>
      <c r="F61" s="21"/>
      <c r="G61" s="14"/>
      <c r="H61" s="7"/>
      <c r="I61" s="21"/>
      <c r="J61" s="14"/>
      <c r="K61" s="20"/>
      <c r="L61" s="21"/>
      <c r="M61" s="14"/>
      <c r="N61" s="9"/>
      <c r="P61" s="9"/>
      <c r="S61" s="9"/>
      <c r="V61" s="7"/>
      <c r="W61" s="7"/>
      <c r="AD61" s="32">
        <v>57</v>
      </c>
      <c r="AE61" s="25" t="str">
        <f t="shared" si="13"/>
        <v>Left</v>
      </c>
      <c r="AF61" s="25" t="str">
        <f t="shared" si="14"/>
        <v>Channel</v>
      </c>
      <c r="AG61" s="32" t="str">
        <f>IF(XS_AnalyzerSummary!$AB$24&gt;=XS_AnalyzerSummary!AD61,"Y","N")</f>
        <v>Y</v>
      </c>
      <c r="AH61" s="38">
        <v>1</v>
      </c>
      <c r="AI61" s="38">
        <f>IF(AG61="Y",$O$19/XS_AnalyzerSummary!$AB$24,0)</f>
        <v>4.4999999999999998E-2</v>
      </c>
      <c r="AJ61" s="38">
        <f t="shared" si="15"/>
        <v>4.4999999999999998E-2</v>
      </c>
      <c r="AK61" s="93">
        <f t="shared" si="37"/>
        <v>3.6099999999999959</v>
      </c>
      <c r="AL61" s="93">
        <f>IF(AG61="Y",LININTERP(AK61,XS_Analyzer_Calculations!$AY$4:$AY$104,XS_Analyzer_Calculations!$AZ$4:$AZ$104),AL60)</f>
        <v>1.0425000000000031</v>
      </c>
      <c r="AM61" s="38">
        <f t="shared" si="16"/>
        <v>3.9574999999999969</v>
      </c>
      <c r="AN61" s="18">
        <f t="shared" si="17"/>
        <v>0.17732812499999986</v>
      </c>
      <c r="AO61" s="100">
        <f t="shared" si="18"/>
        <v>5.6249999999999911E-2</v>
      </c>
      <c r="AP61" s="100">
        <f t="shared" si="19"/>
        <v>3.1525000000000025</v>
      </c>
      <c r="AQ61" s="18">
        <f t="shared" si="20"/>
        <v>1.7787811838447108E-3</v>
      </c>
      <c r="AR61" s="32">
        <f>IFERROR(IF(AG61="Y",VLOOKUP(AK61,XS_Analyzer_Calculations!$R$5:$T$104,3,TRUE),0),0)</f>
        <v>0.1</v>
      </c>
      <c r="AS61" s="198">
        <f t="shared" si="21"/>
        <v>0.01</v>
      </c>
      <c r="AT61" s="18">
        <f t="shared" si="22"/>
        <v>5.6654337007150355</v>
      </c>
      <c r="AU61" s="38">
        <f>AT61*XS_Analyzer_Calculations!$I$7^0.5</f>
        <v>0.56654337007150357</v>
      </c>
      <c r="AV61" s="18">
        <f t="shared" si="38"/>
        <v>3.1948872750529786</v>
      </c>
      <c r="AW61" s="18">
        <f t="shared" si="23"/>
        <v>1.9671600000000016</v>
      </c>
      <c r="AX61" s="18">
        <f t="shared" si="24"/>
        <v>5</v>
      </c>
      <c r="AY61" s="32">
        <f t="shared" si="25"/>
        <v>3.9406249999999972</v>
      </c>
      <c r="AZ61" s="18">
        <f>((AS61*AP61)/(1.65*XS_Analyzer!$Q$72))*12</f>
        <v>9.0589027484123079</v>
      </c>
      <c r="BA61" s="18">
        <f>(AW61/((1.65*62.4)*XS_Analyzer!$Q$73))*12</f>
        <v>5.0949494949494998</v>
      </c>
      <c r="BB61" s="18">
        <f t="shared" si="26"/>
        <v>7.8734797751372483</v>
      </c>
      <c r="BC61" s="38">
        <f t="shared" si="27"/>
        <v>11.636666853474013</v>
      </c>
      <c r="BD61" s="18">
        <f>IF(ISNUMBER(LININTERP(AW61,Permissible_Shear!$T$178:$T$188,Permissible_Shear!$V$178:$V$188)),LININTERP(AW61,Permissible_Shear!$T$178:$T$188,Permissible_Shear!$V$178:$V$188),0)</f>
        <v>6.3944608576820521</v>
      </c>
      <c r="BE61" s="18">
        <f>LININTERP(AW61,Permissible_Shear!$S$205:$S$222,Permissible_Shear!$V$205:$V$222)</f>
        <v>6.4598750000000056</v>
      </c>
      <c r="BF61" s="18">
        <f>INDEX($AZ$3:$BE$204,ROW(BF61)-2,MATCH(XS_Analyzer!$S$5,XS_AnalyzerSummary!$AZ$2:$BE$2,0))</f>
        <v>7.8734797751372483</v>
      </c>
      <c r="BG61" s="26">
        <f t="shared" si="28"/>
        <v>0</v>
      </c>
      <c r="BH61" s="26">
        <f t="shared" si="29"/>
        <v>0</v>
      </c>
      <c r="BI61" s="26">
        <f t="shared" si="30"/>
        <v>3.1948872750529786</v>
      </c>
      <c r="BJ61" s="26">
        <f t="shared" si="31"/>
        <v>0</v>
      </c>
      <c r="BK61" s="26">
        <f t="shared" si="32"/>
        <v>0</v>
      </c>
      <c r="BL61" s="26">
        <f t="shared" si="33"/>
        <v>1.9671600000000016</v>
      </c>
      <c r="BM61" s="18">
        <f t="shared" si="34"/>
        <v>0</v>
      </c>
      <c r="BN61" s="18">
        <f t="shared" si="35"/>
        <v>0</v>
      </c>
      <c r="BO61" s="18">
        <f t="shared" si="36"/>
        <v>3.1525000000000025</v>
      </c>
    </row>
    <row r="62" spans="1:67" ht="15">
      <c r="A62" s="9"/>
      <c r="B62" s="14"/>
      <c r="C62" s="9"/>
      <c r="D62" s="14"/>
      <c r="E62" s="7"/>
      <c r="F62" s="9"/>
      <c r="G62" s="14"/>
      <c r="H62" s="7"/>
      <c r="I62" s="9"/>
      <c r="J62" s="14"/>
      <c r="K62" s="20"/>
      <c r="L62" s="9"/>
      <c r="M62" s="14"/>
      <c r="N62" s="9"/>
      <c r="P62" s="9"/>
      <c r="S62" s="9"/>
      <c r="V62" s="7"/>
      <c r="W62" s="7"/>
      <c r="AD62" s="32">
        <v>58</v>
      </c>
      <c r="AE62" s="25" t="str">
        <f t="shared" si="13"/>
        <v>Left</v>
      </c>
      <c r="AF62" s="25" t="str">
        <f t="shared" si="14"/>
        <v>Channel</v>
      </c>
      <c r="AG62" s="32" t="str">
        <f>IF(XS_AnalyzerSummary!$AB$24&gt;=XS_AnalyzerSummary!AD62,"Y","N")</f>
        <v>Y</v>
      </c>
      <c r="AH62" s="38">
        <v>1</v>
      </c>
      <c r="AI62" s="38">
        <f>IF(AG62="Y",$O$19/XS_AnalyzerSummary!$AB$24,0)</f>
        <v>4.4999999999999998E-2</v>
      </c>
      <c r="AJ62" s="38">
        <f t="shared" si="15"/>
        <v>4.4999999999999998E-2</v>
      </c>
      <c r="AK62" s="93">
        <f t="shared" si="37"/>
        <v>3.6549999999999958</v>
      </c>
      <c r="AL62" s="93">
        <f>IF(AG62="Y",LININTERP(AK62,XS_Analyzer_Calculations!$AY$4:$AY$104,XS_Analyzer_Calculations!$AZ$4:$AZ$104),AL61)</f>
        <v>1.0087500000000031</v>
      </c>
      <c r="AM62" s="38">
        <f t="shared" si="16"/>
        <v>3.9912499999999969</v>
      </c>
      <c r="AN62" s="18">
        <f t="shared" si="17"/>
        <v>0.17884687499999985</v>
      </c>
      <c r="AO62" s="100">
        <f t="shared" si="18"/>
        <v>5.6249999999999911E-2</v>
      </c>
      <c r="AP62" s="100">
        <f t="shared" si="19"/>
        <v>3.1795000000000022</v>
      </c>
      <c r="AQ62" s="18">
        <f t="shared" si="20"/>
        <v>1.7787811838447108E-3</v>
      </c>
      <c r="AR62" s="32">
        <f>IFERROR(IF(AG62="Y",VLOOKUP(AK62,XS_Analyzer_Calculations!$R$5:$T$104,3,TRUE),0),0)</f>
        <v>0.1</v>
      </c>
      <c r="AS62" s="198">
        <f t="shared" si="21"/>
        <v>0.01</v>
      </c>
      <c r="AT62" s="18">
        <f t="shared" si="22"/>
        <v>5.7465349413596956</v>
      </c>
      <c r="AU62" s="38">
        <f>AT62*XS_Analyzer_Calculations!$I$7^0.5</f>
        <v>0.57465349413596956</v>
      </c>
      <c r="AV62" s="18">
        <f t="shared" si="38"/>
        <v>3.2131033552359809</v>
      </c>
      <c r="AW62" s="18">
        <f t="shared" si="23"/>
        <v>1.9840080000000015</v>
      </c>
      <c r="AX62" s="18">
        <f t="shared" si="24"/>
        <v>5</v>
      </c>
      <c r="AY62" s="32">
        <f t="shared" si="25"/>
        <v>3.9743749999999967</v>
      </c>
      <c r="AZ62" s="18">
        <f>((AS62*AP62)/(1.65*XS_Analyzer!$Q$72))*12</f>
        <v>9.1364889099371709</v>
      </c>
      <c r="BA62" s="18">
        <f>(AW62/((1.65*62.4)*XS_Analyzer!$Q$73))*12</f>
        <v>5.1385858585858628</v>
      </c>
      <c r="BB62" s="18">
        <f t="shared" si="26"/>
        <v>7.9434583105607812</v>
      </c>
      <c r="BC62" s="38">
        <f t="shared" si="27"/>
        <v>11.709574955674476</v>
      </c>
      <c r="BD62" s="18">
        <f>IF(ISNUMBER(LININTERP(AW62,Permissible_Shear!$T$178:$T$188,Permissible_Shear!$V$178:$V$188)),LININTERP(AW62,Permissible_Shear!$T$178:$T$188,Permissible_Shear!$V$178:$V$188),0)</f>
        <v>6.4470868744712755</v>
      </c>
      <c r="BE62" s="18">
        <f>LININTERP(AW62,Permissible_Shear!$S$205:$S$222,Permissible_Shear!$V$205:$V$222)</f>
        <v>6.5125250000000054</v>
      </c>
      <c r="BF62" s="18">
        <f>INDEX($AZ$3:$BE$204,ROW(BF62)-2,MATCH(XS_Analyzer!$S$5,XS_AnalyzerSummary!$AZ$2:$BE$2,0))</f>
        <v>7.9434583105607812</v>
      </c>
      <c r="BG62" s="26">
        <f t="shared" si="28"/>
        <v>0</v>
      </c>
      <c r="BH62" s="26">
        <f t="shared" si="29"/>
        <v>0</v>
      </c>
      <c r="BI62" s="26">
        <f t="shared" si="30"/>
        <v>3.2131033552359809</v>
      </c>
      <c r="BJ62" s="26">
        <f t="shared" si="31"/>
        <v>0</v>
      </c>
      <c r="BK62" s="26">
        <f t="shared" si="32"/>
        <v>0</v>
      </c>
      <c r="BL62" s="26">
        <f t="shared" si="33"/>
        <v>1.9840080000000015</v>
      </c>
      <c r="BM62" s="18">
        <f t="shared" si="34"/>
        <v>0</v>
      </c>
      <c r="BN62" s="18">
        <f t="shared" si="35"/>
        <v>0</v>
      </c>
      <c r="BO62" s="18">
        <f t="shared" si="36"/>
        <v>3.1795000000000022</v>
      </c>
    </row>
    <row r="63" spans="1:67" ht="1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P63" s="9"/>
      <c r="S63" s="9"/>
      <c r="V63" s="7"/>
      <c r="W63" s="7"/>
      <c r="AD63" s="32">
        <v>59</v>
      </c>
      <c r="AE63" s="25" t="str">
        <f t="shared" si="13"/>
        <v>Left</v>
      </c>
      <c r="AF63" s="25" t="str">
        <f t="shared" si="14"/>
        <v>Channel</v>
      </c>
      <c r="AG63" s="32" t="str">
        <f>IF(XS_AnalyzerSummary!$AB$24&gt;=XS_AnalyzerSummary!AD63,"Y","N")</f>
        <v>Y</v>
      </c>
      <c r="AH63" s="38">
        <v>1</v>
      </c>
      <c r="AI63" s="38">
        <f>IF(AG63="Y",$O$19/XS_AnalyzerSummary!$AB$24,0)</f>
        <v>4.4999999999999998E-2</v>
      </c>
      <c r="AJ63" s="38">
        <f t="shared" si="15"/>
        <v>4.4999999999999998E-2</v>
      </c>
      <c r="AK63" s="93">
        <f t="shared" si="37"/>
        <v>3.6999999999999957</v>
      </c>
      <c r="AL63" s="93">
        <f>IF(AG63="Y",LININTERP(AK63,XS_Analyzer_Calculations!$AY$4:$AY$104,XS_Analyzer_Calculations!$AZ$4:$AZ$104),AL62)</f>
        <v>0.9750000000000032</v>
      </c>
      <c r="AM63" s="38">
        <f t="shared" si="16"/>
        <v>4.0249999999999968</v>
      </c>
      <c r="AN63" s="18">
        <f t="shared" si="17"/>
        <v>0.18036562499999986</v>
      </c>
      <c r="AO63" s="100">
        <f t="shared" si="18"/>
        <v>5.6249999999999911E-2</v>
      </c>
      <c r="AP63" s="100">
        <f t="shared" si="19"/>
        <v>3.2065000000000028</v>
      </c>
      <c r="AQ63" s="18">
        <f t="shared" si="20"/>
        <v>1.7787811838447108E-3</v>
      </c>
      <c r="AR63" s="32">
        <f>IFERROR(IF(AG63="Y",VLOOKUP(AK63,XS_Analyzer_Calculations!$R$5:$T$104,3,TRUE),0),0)</f>
        <v>0.1</v>
      </c>
      <c r="AS63" s="198">
        <f t="shared" si="21"/>
        <v>0.01</v>
      </c>
      <c r="AT63" s="18">
        <f t="shared" si="22"/>
        <v>5.828096623622951</v>
      </c>
      <c r="AU63" s="38">
        <f>AT63*XS_Analyzer_Calculations!$I$7^0.5</f>
        <v>0.58280966236229514</v>
      </c>
      <c r="AV63" s="18">
        <f t="shared" si="38"/>
        <v>3.2312679445559298</v>
      </c>
      <c r="AW63" s="18">
        <f t="shared" si="23"/>
        <v>2.0008560000000015</v>
      </c>
      <c r="AX63" s="18">
        <f t="shared" si="24"/>
        <v>5</v>
      </c>
      <c r="AY63" s="32">
        <f t="shared" si="25"/>
        <v>4.0081249999999971</v>
      </c>
      <c r="AZ63" s="18">
        <f>((AS63*AP63)/(1.65*XS_Analyzer!$Q$72))*12</f>
        <v>9.2140750714620374</v>
      </c>
      <c r="BA63" s="18">
        <f>(AW63/((1.65*62.4)*XS_Analyzer!$Q$73))*12</f>
        <v>5.1822222222222267</v>
      </c>
      <c r="BB63" s="18">
        <f t="shared" si="26"/>
        <v>8.0134617036976561</v>
      </c>
      <c r="BC63" s="38">
        <f t="shared" si="27"/>
        <v>11.782320170814469</v>
      </c>
      <c r="BD63" s="18">
        <f>IF(ISNUMBER(LININTERP(AW63,Permissible_Shear!$T$178:$T$188,Permissible_Shear!$V$178:$V$188)),LININTERP(AW63,Permissible_Shear!$T$178:$T$188,Permissible_Shear!$V$178:$V$188),0)</f>
        <v>6.4997128912604989</v>
      </c>
      <c r="BE63" s="18">
        <f>LININTERP(AW63,Permissible_Shear!$S$205:$S$222,Permissible_Shear!$V$205:$V$222)</f>
        <v>6.5651750000000053</v>
      </c>
      <c r="BF63" s="18">
        <f>INDEX($AZ$3:$BE$204,ROW(BF63)-2,MATCH(XS_Analyzer!$S$5,XS_AnalyzerSummary!$AZ$2:$BE$2,0))</f>
        <v>8.0134617036976561</v>
      </c>
      <c r="BG63" s="26">
        <f t="shared" si="28"/>
        <v>0</v>
      </c>
      <c r="BH63" s="26">
        <f t="shared" si="29"/>
        <v>0</v>
      </c>
      <c r="BI63" s="26">
        <f t="shared" si="30"/>
        <v>3.2312679445559298</v>
      </c>
      <c r="BJ63" s="26">
        <f t="shared" si="31"/>
        <v>0</v>
      </c>
      <c r="BK63" s="26">
        <f t="shared" si="32"/>
        <v>0</v>
      </c>
      <c r="BL63" s="26">
        <f t="shared" si="33"/>
        <v>2.0008560000000015</v>
      </c>
      <c r="BM63" s="18">
        <f t="shared" si="34"/>
        <v>0</v>
      </c>
      <c r="BN63" s="18">
        <f t="shared" si="35"/>
        <v>0</v>
      </c>
      <c r="BO63" s="18">
        <f t="shared" si="36"/>
        <v>3.2065000000000028</v>
      </c>
    </row>
    <row r="64" spans="1:67" ht="15">
      <c r="A64" s="5"/>
      <c r="B64" s="14"/>
      <c r="C64" s="5"/>
      <c r="D64" s="14"/>
      <c r="E64" s="7"/>
      <c r="F64" s="5"/>
      <c r="G64" s="14"/>
      <c r="H64" s="7"/>
      <c r="I64" s="5"/>
      <c r="J64" s="14"/>
      <c r="K64" s="20"/>
      <c r="L64" s="5"/>
      <c r="M64" s="14"/>
      <c r="N64" s="9"/>
      <c r="P64" s="9"/>
      <c r="S64" s="9"/>
      <c r="V64" s="7"/>
      <c r="W64" s="7"/>
      <c r="AD64" s="32">
        <v>60</v>
      </c>
      <c r="AE64" s="25" t="str">
        <f t="shared" si="13"/>
        <v>Left</v>
      </c>
      <c r="AF64" s="25" t="str">
        <f t="shared" si="14"/>
        <v>Channel</v>
      </c>
      <c r="AG64" s="32" t="str">
        <f>IF(XS_AnalyzerSummary!$AB$24&gt;=XS_AnalyzerSummary!AD64,"Y","N")</f>
        <v>Y</v>
      </c>
      <c r="AH64" s="38">
        <v>1</v>
      </c>
      <c r="AI64" s="38">
        <f>IF(AG64="Y",$O$19/XS_AnalyzerSummary!$AB$24,0)</f>
        <v>4.4999999999999998E-2</v>
      </c>
      <c r="AJ64" s="38">
        <f t="shared" si="15"/>
        <v>4.4999999999999998E-2</v>
      </c>
      <c r="AK64" s="93">
        <f t="shared" si="37"/>
        <v>3.7449999999999957</v>
      </c>
      <c r="AL64" s="93">
        <f>IF(AG64="Y",LININTERP(AK64,XS_Analyzer_Calculations!$AY$4:$AY$104,XS_Analyzer_Calculations!$AZ$4:$AZ$104),AL63)</f>
        <v>0.94125000000000325</v>
      </c>
      <c r="AM64" s="38">
        <f t="shared" si="16"/>
        <v>4.0587499999999963</v>
      </c>
      <c r="AN64" s="18">
        <f t="shared" si="17"/>
        <v>0.18188437499999985</v>
      </c>
      <c r="AO64" s="100">
        <f t="shared" si="18"/>
        <v>5.6249999999999648E-2</v>
      </c>
      <c r="AP64" s="100">
        <f t="shared" si="19"/>
        <v>3.2335000000000176</v>
      </c>
      <c r="AQ64" s="18">
        <f t="shared" si="20"/>
        <v>1.7787811838447026E-3</v>
      </c>
      <c r="AR64" s="32">
        <f>IFERROR(IF(AG64="Y",VLOOKUP(AK64,XS_Analyzer_Calculations!$R$5:$T$104,3,TRUE),0),0)</f>
        <v>0.1</v>
      </c>
      <c r="AS64" s="198">
        <f t="shared" si="21"/>
        <v>0.01</v>
      </c>
      <c r="AT64" s="18">
        <f t="shared" si="22"/>
        <v>5.9101174514728374</v>
      </c>
      <c r="AU64" s="38">
        <f>AT64*XS_Analyzer_Calculations!$I$7^0.5</f>
        <v>0.59101174514728372</v>
      </c>
      <c r="AV64" s="18">
        <f t="shared" si="38"/>
        <v>3.2493816203139176</v>
      </c>
      <c r="AW64" s="18">
        <f t="shared" si="23"/>
        <v>2.0177040000000113</v>
      </c>
      <c r="AX64" s="18">
        <f t="shared" si="24"/>
        <v>5</v>
      </c>
      <c r="AY64" s="32">
        <f t="shared" si="25"/>
        <v>4.0418749999999966</v>
      </c>
      <c r="AZ64" s="18">
        <f>((AS64*AP64)/(1.65*XS_Analyzer!$Q$72))*12</f>
        <v>9.291661232986943</v>
      </c>
      <c r="BA64" s="18">
        <f>(AW64/((1.65*62.4)*XS_Analyzer!$Q$73))*12</f>
        <v>5.2258585858586155</v>
      </c>
      <c r="BB64" s="18">
        <f t="shared" si="26"/>
        <v>8.0834897548280011</v>
      </c>
      <c r="BC64" s="38">
        <f t="shared" si="27"/>
        <v>11.854904224104155</v>
      </c>
      <c r="BD64" s="18">
        <f>IF(ISNUMBER(LININTERP(AW64,Permissible_Shear!$T$178:$T$188,Permissible_Shear!$V$178:$V$188)),LININTERP(AW64,Permissible_Shear!$T$178:$T$188,Permissible_Shear!$V$178:$V$188),0)</f>
        <v>6.5523389080497534</v>
      </c>
      <c r="BE64" s="18">
        <f>LININTERP(AW64,Permissible_Shear!$S$205:$S$222,Permissible_Shear!$V$205:$V$222)</f>
        <v>6.6178250000000354</v>
      </c>
      <c r="BF64" s="18">
        <f>INDEX($AZ$3:$BE$204,ROW(BF64)-2,MATCH(XS_Analyzer!$S$5,XS_AnalyzerSummary!$AZ$2:$BE$2,0))</f>
        <v>8.0834897548280011</v>
      </c>
      <c r="BG64" s="26">
        <f t="shared" si="28"/>
        <v>0</v>
      </c>
      <c r="BH64" s="26">
        <f t="shared" si="29"/>
        <v>0</v>
      </c>
      <c r="BI64" s="26">
        <f t="shared" si="30"/>
        <v>3.2493816203139176</v>
      </c>
      <c r="BJ64" s="26">
        <f t="shared" si="31"/>
        <v>0</v>
      </c>
      <c r="BK64" s="26">
        <f t="shared" si="32"/>
        <v>0</v>
      </c>
      <c r="BL64" s="26">
        <f t="shared" si="33"/>
        <v>2.0177040000000113</v>
      </c>
      <c r="BM64" s="18">
        <f t="shared" si="34"/>
        <v>0</v>
      </c>
      <c r="BN64" s="18">
        <f t="shared" si="35"/>
        <v>0</v>
      </c>
      <c r="BO64" s="18">
        <f t="shared" si="36"/>
        <v>3.2335000000000176</v>
      </c>
    </row>
    <row r="65" spans="1:67" ht="15">
      <c r="A65" s="9"/>
      <c r="B65" s="14"/>
      <c r="C65" s="9"/>
      <c r="D65" s="14"/>
      <c r="E65" s="7"/>
      <c r="F65" s="9"/>
      <c r="G65" s="14"/>
      <c r="H65" s="7"/>
      <c r="I65" s="9"/>
      <c r="J65" s="14"/>
      <c r="K65" s="20"/>
      <c r="L65" s="9"/>
      <c r="M65" s="14"/>
      <c r="N65" s="9"/>
      <c r="P65" s="9"/>
      <c r="S65" s="9"/>
      <c r="V65" s="7"/>
      <c r="W65" s="7"/>
      <c r="AD65" s="32">
        <v>61</v>
      </c>
      <c r="AE65" s="25" t="str">
        <f t="shared" si="13"/>
        <v>Left</v>
      </c>
      <c r="AF65" s="25" t="str">
        <f t="shared" si="14"/>
        <v>Channel</v>
      </c>
      <c r="AG65" s="32" t="str">
        <f>IF(XS_AnalyzerSummary!$AB$24&gt;=XS_AnalyzerSummary!AD65,"Y","N")</f>
        <v>Y</v>
      </c>
      <c r="AH65" s="38">
        <v>1</v>
      </c>
      <c r="AI65" s="38">
        <f>IF(AG65="Y",$O$19/XS_AnalyzerSummary!$AB$24,0)</f>
        <v>4.4999999999999998E-2</v>
      </c>
      <c r="AJ65" s="38">
        <f t="shared" si="15"/>
        <v>4.4999999999999998E-2</v>
      </c>
      <c r="AK65" s="93">
        <f t="shared" si="37"/>
        <v>3.7899999999999956</v>
      </c>
      <c r="AL65" s="93">
        <f>IF(AG65="Y",LININTERP(AK65,XS_Analyzer_Calculations!$AY$4:$AY$104,XS_Analyzer_Calculations!$AZ$4:$AZ$104),AL64)</f>
        <v>0.9075000000000033</v>
      </c>
      <c r="AM65" s="38">
        <f t="shared" si="16"/>
        <v>4.0924999999999967</v>
      </c>
      <c r="AN65" s="18">
        <f t="shared" si="17"/>
        <v>0.18340312499999986</v>
      </c>
      <c r="AO65" s="100">
        <f t="shared" si="18"/>
        <v>5.6250000000000182E-2</v>
      </c>
      <c r="AP65" s="100">
        <f t="shared" si="19"/>
        <v>3.2604999999999871</v>
      </c>
      <c r="AQ65" s="18">
        <f t="shared" si="20"/>
        <v>1.7787811838447195E-3</v>
      </c>
      <c r="AR65" s="32">
        <f>IFERROR(IF(AG65="Y",VLOOKUP(AK65,XS_Analyzer_Calculations!$R$5:$T$104,3,TRUE),0),0)</f>
        <v>0.1</v>
      </c>
      <c r="AS65" s="198">
        <f t="shared" si="21"/>
        <v>0.01</v>
      </c>
      <c r="AT65" s="18">
        <f t="shared" si="22"/>
        <v>5.9925961433474182</v>
      </c>
      <c r="AU65" s="38">
        <f>AT65*XS_Analyzer_Calculations!$I$7^0.5</f>
        <v>0.59925961433474184</v>
      </c>
      <c r="AV65" s="18">
        <f t="shared" si="38"/>
        <v>3.267444948578397</v>
      </c>
      <c r="AW65" s="18">
        <f t="shared" si="23"/>
        <v>2.0345519999999921</v>
      </c>
      <c r="AX65" s="18">
        <f t="shared" si="24"/>
        <v>5</v>
      </c>
      <c r="AY65" s="32">
        <f t="shared" si="25"/>
        <v>4.0756249999999969</v>
      </c>
      <c r="AZ65" s="18">
        <f>((AS65*AP65)/(1.65*XS_Analyzer!$Q$72))*12</f>
        <v>9.3692473945117172</v>
      </c>
      <c r="BA65" s="18">
        <f>(AW65/((1.65*62.4)*XS_Analyzer!$Q$73))*12</f>
        <v>5.2694949494949297</v>
      </c>
      <c r="BB65" s="18">
        <f t="shared" si="26"/>
        <v>8.1535422674843634</v>
      </c>
      <c r="BC65" s="38">
        <f t="shared" si="27"/>
        <v>11.927328808302361</v>
      </c>
      <c r="BD65" s="18">
        <f>IF(ISNUMBER(LININTERP(AW65,Permissible_Shear!$T$178:$T$188,Permissible_Shear!$V$178:$V$188)),LININTERP(AW65,Permissible_Shear!$T$178:$T$188,Permissible_Shear!$V$178:$V$188),0)</f>
        <v>6.6049649248389173</v>
      </c>
      <c r="BE65" s="18">
        <f>LININTERP(AW65,Permissible_Shear!$S$205:$S$222,Permissible_Shear!$V$205:$V$222)</f>
        <v>6.6704749999999757</v>
      </c>
      <c r="BF65" s="18">
        <f>INDEX($AZ$3:$BE$204,ROW(BF65)-2,MATCH(XS_Analyzer!$S$5,XS_AnalyzerSummary!$AZ$2:$BE$2,0))</f>
        <v>8.1535422674843634</v>
      </c>
      <c r="BG65" s="26">
        <f t="shared" si="28"/>
        <v>0</v>
      </c>
      <c r="BH65" s="26">
        <f t="shared" si="29"/>
        <v>0</v>
      </c>
      <c r="BI65" s="26">
        <f t="shared" si="30"/>
        <v>3.267444948578397</v>
      </c>
      <c r="BJ65" s="26">
        <f t="shared" si="31"/>
        <v>0</v>
      </c>
      <c r="BK65" s="26">
        <f t="shared" si="32"/>
        <v>0</v>
      </c>
      <c r="BL65" s="26">
        <f t="shared" si="33"/>
        <v>2.0345519999999921</v>
      </c>
      <c r="BM65" s="18">
        <f t="shared" si="34"/>
        <v>0</v>
      </c>
      <c r="BN65" s="18">
        <f t="shared" si="35"/>
        <v>0</v>
      </c>
      <c r="BO65" s="18">
        <f t="shared" si="36"/>
        <v>3.2604999999999871</v>
      </c>
    </row>
    <row r="66" spans="1:67" ht="15">
      <c r="A66" s="9"/>
      <c r="B66" s="14"/>
      <c r="C66" s="9"/>
      <c r="D66" s="14"/>
      <c r="E66" s="7"/>
      <c r="F66" s="9"/>
      <c r="G66" s="14"/>
      <c r="H66" s="7"/>
      <c r="I66" s="9"/>
      <c r="J66" s="14"/>
      <c r="K66" s="20"/>
      <c r="L66" s="9"/>
      <c r="M66" s="14"/>
      <c r="N66" s="9"/>
      <c r="P66" s="9"/>
      <c r="S66" s="9"/>
      <c r="V66" s="7"/>
      <c r="W66" s="7"/>
      <c r="AD66" s="32">
        <v>62</v>
      </c>
      <c r="AE66" s="25" t="str">
        <f t="shared" si="13"/>
        <v>Left</v>
      </c>
      <c r="AF66" s="25" t="str">
        <f t="shared" si="14"/>
        <v>Channel</v>
      </c>
      <c r="AG66" s="32" t="str">
        <f>IF(XS_AnalyzerSummary!$AB$24&gt;=XS_AnalyzerSummary!AD66,"Y","N")</f>
        <v>Y</v>
      </c>
      <c r="AH66" s="38">
        <v>1</v>
      </c>
      <c r="AI66" s="38">
        <f>IF(AG66="Y",$O$19/XS_AnalyzerSummary!$AB$24,0)</f>
        <v>4.4999999999999998E-2</v>
      </c>
      <c r="AJ66" s="38">
        <f t="shared" si="15"/>
        <v>4.4999999999999998E-2</v>
      </c>
      <c r="AK66" s="93">
        <f t="shared" si="37"/>
        <v>3.8349999999999955</v>
      </c>
      <c r="AL66" s="93">
        <f>IF(AG66="Y",LININTERP(AK66,XS_Analyzer_Calculations!$AY$4:$AY$104,XS_Analyzer_Calculations!$AZ$4:$AZ$104),AL65)</f>
        <v>0.87375000000000336</v>
      </c>
      <c r="AM66" s="38">
        <f t="shared" si="16"/>
        <v>4.1262499999999971</v>
      </c>
      <c r="AN66" s="18">
        <f t="shared" si="17"/>
        <v>0.18492187499999985</v>
      </c>
      <c r="AO66" s="100">
        <f t="shared" si="18"/>
        <v>5.6250000000000182E-2</v>
      </c>
      <c r="AP66" s="100">
        <f t="shared" si="19"/>
        <v>3.2874999999999868</v>
      </c>
      <c r="AQ66" s="18">
        <f t="shared" si="20"/>
        <v>1.7787811838447195E-3</v>
      </c>
      <c r="AR66" s="32">
        <f>IFERROR(IF(AG66="Y",VLOOKUP(AK66,XS_Analyzer_Calculations!$R$5:$T$104,3,TRUE),0),0)</f>
        <v>0.1</v>
      </c>
      <c r="AS66" s="198">
        <f t="shared" si="21"/>
        <v>0.01</v>
      </c>
      <c r="AT66" s="18">
        <f t="shared" si="22"/>
        <v>6.0755314318746336</v>
      </c>
      <c r="AU66" s="38">
        <f>AT66*XS_Analyzer_Calculations!$I$7^0.5</f>
        <v>0.60755314318746345</v>
      </c>
      <c r="AV66" s="18">
        <f t="shared" si="38"/>
        <v>3.2854584844949466</v>
      </c>
      <c r="AW66" s="18">
        <f t="shared" si="23"/>
        <v>2.0513999999999917</v>
      </c>
      <c r="AX66" s="18">
        <f t="shared" si="24"/>
        <v>5</v>
      </c>
      <c r="AY66" s="32">
        <f t="shared" si="25"/>
        <v>4.1093749999999964</v>
      </c>
      <c r="AZ66" s="18">
        <f>((AS66*AP66)/(1.65*XS_Analyzer!$Q$72))*12</f>
        <v>9.4468335560365819</v>
      </c>
      <c r="BA66" s="18">
        <f>(AW66/((1.65*62.4)*XS_Analyzer!$Q$73))*12</f>
        <v>5.3131313131312918</v>
      </c>
      <c r="BB66" s="18">
        <f t="shared" si="26"/>
        <v>8.2236190483723579</v>
      </c>
      <c r="BC66" s="38">
        <f t="shared" si="27"/>
        <v>11.999595584589278</v>
      </c>
      <c r="BD66" s="18">
        <f>IF(ISNUMBER(LININTERP(AW66,Permissible_Shear!$T$178:$T$188,Permissible_Shear!$V$178:$V$188)),LININTERP(AW66,Permissible_Shear!$T$178:$T$188,Permissible_Shear!$V$178:$V$188),0)</f>
        <v>6.6575909416281398</v>
      </c>
      <c r="BE66" s="18">
        <f>LININTERP(AW66,Permissible_Shear!$S$205:$S$222,Permissible_Shear!$V$205:$V$222)</f>
        <v>6.7231249999999747</v>
      </c>
      <c r="BF66" s="18">
        <f>INDEX($AZ$3:$BE$204,ROW(BF66)-2,MATCH(XS_Analyzer!$S$5,XS_AnalyzerSummary!$AZ$2:$BE$2,0))</f>
        <v>8.2236190483723579</v>
      </c>
      <c r="BG66" s="26">
        <f t="shared" si="28"/>
        <v>0</v>
      </c>
      <c r="BH66" s="26">
        <f t="shared" si="29"/>
        <v>0</v>
      </c>
      <c r="BI66" s="26">
        <f t="shared" si="30"/>
        <v>3.2854584844949466</v>
      </c>
      <c r="BJ66" s="26">
        <f t="shared" si="31"/>
        <v>0</v>
      </c>
      <c r="BK66" s="26">
        <f t="shared" si="32"/>
        <v>0</v>
      </c>
      <c r="BL66" s="26">
        <f t="shared" si="33"/>
        <v>2.0513999999999917</v>
      </c>
      <c r="BM66" s="18">
        <f t="shared" si="34"/>
        <v>0</v>
      </c>
      <c r="BN66" s="18">
        <f t="shared" si="35"/>
        <v>0</v>
      </c>
      <c r="BO66" s="18">
        <f t="shared" si="36"/>
        <v>3.2874999999999868</v>
      </c>
    </row>
    <row r="67" spans="1:67" ht="15">
      <c r="A67" s="9"/>
      <c r="B67" s="9"/>
      <c r="C67" s="23" t="e">
        <f>IF(OR(XS_Analyzer_Calculations!BE65&lt;&gt;0,XS_Analyzer_Calculations!BG65="MAX WSE"),VLOOKUP(XS_Analyzer_Calculations!BA65,$C$3:$C$11,2,TRUE),IF(XS_Analyzer_Calculations!BE65&lt;&gt;0,VLOOKUP(XS_Analyzer_Calculations!BF65,$C$3:$C$11,2,TRUE),""))</f>
        <v>#N/A</v>
      </c>
      <c r="D67" s="23"/>
      <c r="E67" s="23"/>
      <c r="F67" s="23"/>
      <c r="G67" s="23"/>
      <c r="H67" s="23"/>
      <c r="I67" s="23"/>
      <c r="J67" s="23"/>
      <c r="K67" s="23"/>
      <c r="L67" s="23"/>
      <c r="M67" s="23"/>
      <c r="P67" s="9"/>
      <c r="S67" s="9"/>
      <c r="V67" s="7"/>
      <c r="W67" s="7"/>
      <c r="AD67" s="32">
        <v>63</v>
      </c>
      <c r="AE67" s="25" t="str">
        <f t="shared" si="13"/>
        <v>Left</v>
      </c>
      <c r="AF67" s="25" t="str">
        <f t="shared" si="14"/>
        <v>Channel</v>
      </c>
      <c r="AG67" s="32" t="str">
        <f>IF(XS_AnalyzerSummary!$AB$24&gt;=XS_AnalyzerSummary!AD67,"Y","N")</f>
        <v>Y</v>
      </c>
      <c r="AH67" s="38">
        <v>1</v>
      </c>
      <c r="AI67" s="38">
        <f>IF(AG67="Y",$O$19/XS_AnalyzerSummary!$AB$24,0)</f>
        <v>4.4999999999999998E-2</v>
      </c>
      <c r="AJ67" s="38">
        <f t="shared" si="15"/>
        <v>4.4999999999999998E-2</v>
      </c>
      <c r="AK67" s="93">
        <f t="shared" si="37"/>
        <v>3.8799999999999955</v>
      </c>
      <c r="AL67" s="93">
        <f>IF(AG67="Y",LININTERP(AK67,XS_Analyzer_Calculations!$AY$4:$AY$104,XS_Analyzer_Calculations!$AZ$4:$AZ$104),AL66)</f>
        <v>0.84000000000000341</v>
      </c>
      <c r="AM67" s="38">
        <f t="shared" si="16"/>
        <v>4.1599999999999966</v>
      </c>
      <c r="AN67" s="18">
        <f t="shared" si="17"/>
        <v>0.18644062499999986</v>
      </c>
      <c r="AO67" s="100">
        <f t="shared" si="18"/>
        <v>5.6249999999999648E-2</v>
      </c>
      <c r="AP67" s="100">
        <f t="shared" si="19"/>
        <v>3.3145000000000184</v>
      </c>
      <c r="AQ67" s="18">
        <f t="shared" si="20"/>
        <v>1.7787811838447026E-3</v>
      </c>
      <c r="AR67" s="32">
        <f>IFERROR(IF(AG67="Y",VLOOKUP(AK67,XS_Analyzer_Calculations!$R$5:$T$104,3,TRUE),0),0)</f>
        <v>0.1</v>
      </c>
      <c r="AS67" s="198">
        <f t="shared" si="21"/>
        <v>0.01</v>
      </c>
      <c r="AT67" s="18">
        <f t="shared" si="22"/>
        <v>6.1589220635993822</v>
      </c>
      <c r="AU67" s="38">
        <f>AT67*XS_Analyzer_Calculations!$I$7^0.5</f>
        <v>0.61589220635993824</v>
      </c>
      <c r="AV67" s="18">
        <f t="shared" si="38"/>
        <v>3.3034227725847769</v>
      </c>
      <c r="AW67" s="18">
        <f t="shared" si="23"/>
        <v>2.0682480000000116</v>
      </c>
      <c r="AX67" s="18">
        <f t="shared" si="24"/>
        <v>5</v>
      </c>
      <c r="AY67" s="32">
        <f t="shared" si="25"/>
        <v>4.1431249999999968</v>
      </c>
      <c r="AZ67" s="18">
        <f>((AS67*AP67)/(1.65*XS_Analyzer!$Q$72))*12</f>
        <v>9.5244197175615355</v>
      </c>
      <c r="BA67" s="18">
        <f>(AW67/((1.65*62.4)*XS_Analyzer!$Q$73))*12</f>
        <v>5.3567676767677073</v>
      </c>
      <c r="BB67" s="18">
        <f t="shared" si="26"/>
        <v>8.2937199072938643</v>
      </c>
      <c r="BC67" s="38">
        <f t="shared" si="27"/>
        <v>12.071706183408804</v>
      </c>
      <c r="BD67" s="18">
        <f>IF(ISNUMBER(LININTERP(AW67,Permissible_Shear!$T$178:$T$188,Permissible_Shear!$V$178:$V$188)),LININTERP(AW67,Permissible_Shear!$T$178:$T$188,Permissible_Shear!$V$178:$V$188),0)</f>
        <v>6.7102169584174254</v>
      </c>
      <c r="BE67" s="18">
        <f>LININTERP(AW67,Permissible_Shear!$S$205:$S$222,Permissible_Shear!$V$205:$V$222)</f>
        <v>6.7757750000000367</v>
      </c>
      <c r="BF67" s="18">
        <f>INDEX($AZ$3:$BE$204,ROW(BF67)-2,MATCH(XS_Analyzer!$S$5,XS_AnalyzerSummary!$AZ$2:$BE$2,0))</f>
        <v>8.2937199072938643</v>
      </c>
      <c r="BG67" s="26">
        <f t="shared" si="28"/>
        <v>0</v>
      </c>
      <c r="BH67" s="26">
        <f t="shared" si="29"/>
        <v>0</v>
      </c>
      <c r="BI67" s="26">
        <f t="shared" si="30"/>
        <v>3.3034227725847769</v>
      </c>
      <c r="BJ67" s="26">
        <f t="shared" si="31"/>
        <v>0</v>
      </c>
      <c r="BK67" s="26">
        <f t="shared" si="32"/>
        <v>0</v>
      </c>
      <c r="BL67" s="26">
        <f t="shared" si="33"/>
        <v>2.0682480000000116</v>
      </c>
      <c r="BM67" s="18">
        <f t="shared" si="34"/>
        <v>0</v>
      </c>
      <c r="BN67" s="18">
        <f t="shared" si="35"/>
        <v>0</v>
      </c>
      <c r="BO67" s="18">
        <f t="shared" si="36"/>
        <v>3.3145000000000184</v>
      </c>
    </row>
    <row r="68" spans="1:67" ht="15">
      <c r="A68" s="9"/>
      <c r="B68" s="9"/>
      <c r="C68" s="23" t="e">
        <f>IF(OR(XS_Analyzer_Calculations!BE66&lt;&gt;0,XS_Analyzer_Calculations!BG66="MAX WSE"),VLOOKUP(XS_Analyzer_Calculations!BA66,$C$3:$C$11,2,TRUE),IF(XS_Analyzer_Calculations!BE66&lt;&gt;0,VLOOKUP(XS_Analyzer_Calculations!BF66,$C$3:$C$11,2,TRUE),""))</f>
        <v>#N/A</v>
      </c>
      <c r="D68" s="23"/>
      <c r="E68" s="23"/>
      <c r="F68" s="23"/>
      <c r="G68" s="23"/>
      <c r="H68" s="23"/>
      <c r="I68" s="23"/>
      <c r="J68" s="23"/>
      <c r="K68" s="23"/>
      <c r="L68" s="23"/>
      <c r="M68" s="23"/>
      <c r="P68" s="9"/>
      <c r="S68" s="9"/>
      <c r="V68" s="7"/>
      <c r="W68" s="7"/>
      <c r="AD68" s="32">
        <v>64</v>
      </c>
      <c r="AE68" s="25" t="str">
        <f t="shared" si="13"/>
        <v>Left</v>
      </c>
      <c r="AF68" s="25" t="str">
        <f t="shared" si="14"/>
        <v>Channel</v>
      </c>
      <c r="AG68" s="32" t="str">
        <f>IF(XS_AnalyzerSummary!$AB$24&gt;=XS_AnalyzerSummary!AD68,"Y","N")</f>
        <v>Y</v>
      </c>
      <c r="AH68" s="38">
        <v>1</v>
      </c>
      <c r="AI68" s="38">
        <f>IF(AG68="Y",$O$19/XS_AnalyzerSummary!$AB$24,0)</f>
        <v>4.4999999999999998E-2</v>
      </c>
      <c r="AJ68" s="38">
        <f t="shared" si="15"/>
        <v>4.4999999999999998E-2</v>
      </c>
      <c r="AK68" s="93">
        <f t="shared" si="37"/>
        <v>3.9249999999999954</v>
      </c>
      <c r="AL68" s="93">
        <f>IF(AG68="Y",LININTERP(AK68,XS_Analyzer_Calculations!$AY$4:$AY$104,XS_Analyzer_Calculations!$AZ$4:$AZ$104),AL67)</f>
        <v>0.80625000000000346</v>
      </c>
      <c r="AM68" s="38">
        <f t="shared" si="16"/>
        <v>4.1937499999999961</v>
      </c>
      <c r="AN68" s="18">
        <f t="shared" si="17"/>
        <v>0.18795937499999982</v>
      </c>
      <c r="AO68" s="100">
        <f t="shared" si="18"/>
        <v>5.6249999999999648E-2</v>
      </c>
      <c r="AP68" s="100">
        <f t="shared" si="19"/>
        <v>3.3415000000000177</v>
      </c>
      <c r="AQ68" s="18">
        <f t="shared" si="20"/>
        <v>1.7787811838447026E-3</v>
      </c>
      <c r="AR68" s="32">
        <f>IFERROR(IF(AG68="Y",VLOOKUP(AK68,XS_Analyzer_Calculations!$R$5:$T$104,3,TRUE),0),0)</f>
        <v>0.1</v>
      </c>
      <c r="AS68" s="198">
        <f t="shared" si="21"/>
        <v>0.01</v>
      </c>
      <c r="AT68" s="18">
        <f t="shared" si="22"/>
        <v>6.2427667987182502</v>
      </c>
      <c r="AU68" s="38">
        <f>AT68*XS_Analyzer_Calculations!$I$7^0.5</f>
        <v>0.62427667987182511</v>
      </c>
      <c r="AV68" s="18">
        <f t="shared" ref="AV68:AV131" si="57">IF(ROUND(AN68,5)=0,0,IF(ISNUMBER(AU68/AN68),AU68/AN68,0))</f>
        <v>3.3213383470328401</v>
      </c>
      <c r="AW68" s="18">
        <f t="shared" si="23"/>
        <v>2.0850960000000107</v>
      </c>
      <c r="AX68" s="18">
        <f t="shared" si="24"/>
        <v>5</v>
      </c>
      <c r="AY68" s="32">
        <f t="shared" si="25"/>
        <v>4.1768749999999963</v>
      </c>
      <c r="AZ68" s="18">
        <f>((AS68*AP68)/(1.65*XS_Analyzer!$Q$72))*12</f>
        <v>9.6020058790863967</v>
      </c>
      <c r="BA68" s="18">
        <f>(AW68/((1.65*62.4)*XS_Analyzer!$Q$73))*12</f>
        <v>5.4004040404040685</v>
      </c>
      <c r="BB68" s="18">
        <f t="shared" si="26"/>
        <v>8.3638446570727289</v>
      </c>
      <c r="BC68" s="38">
        <f t="shared" si="27"/>
        <v>12.143662205281753</v>
      </c>
      <c r="BD68" s="18">
        <f>IF(ISNUMBER(LININTERP(AW68,Permissible_Shear!$T$178:$T$188,Permissible_Shear!$V$178:$V$188)),LININTERP(AW68,Permissible_Shear!$T$178:$T$188,Permissible_Shear!$V$178:$V$188),0)</f>
        <v>6.7628429752066461</v>
      </c>
      <c r="BE68" s="18">
        <f>LININTERP(AW68,Permissible_Shear!$S$205:$S$222,Permissible_Shear!$V$205:$V$222)</f>
        <v>6.8284250000000339</v>
      </c>
      <c r="BF68" s="18">
        <f>INDEX($AZ$3:$BE$204,ROW(BF68)-2,MATCH(XS_Analyzer!$S$5,XS_AnalyzerSummary!$AZ$2:$BE$2,0))</f>
        <v>8.3638446570727289</v>
      </c>
      <c r="BG68" s="26">
        <f t="shared" si="28"/>
        <v>0</v>
      </c>
      <c r="BH68" s="26">
        <f t="shared" si="29"/>
        <v>0</v>
      </c>
      <c r="BI68" s="26">
        <f t="shared" si="30"/>
        <v>3.3213383470328401</v>
      </c>
      <c r="BJ68" s="26">
        <f t="shared" si="31"/>
        <v>0</v>
      </c>
      <c r="BK68" s="26">
        <f t="shared" si="32"/>
        <v>0</v>
      </c>
      <c r="BL68" s="26">
        <f t="shared" si="33"/>
        <v>2.0850960000000107</v>
      </c>
      <c r="BM68" s="18">
        <f t="shared" si="34"/>
        <v>0</v>
      </c>
      <c r="BN68" s="18">
        <f t="shared" si="35"/>
        <v>0</v>
      </c>
      <c r="BO68" s="18">
        <f t="shared" si="36"/>
        <v>3.3415000000000177</v>
      </c>
    </row>
    <row r="69" spans="1:67">
      <c r="AD69" s="32">
        <v>65</v>
      </c>
      <c r="AE69" s="25" t="str">
        <f t="shared" si="13"/>
        <v>Left</v>
      </c>
      <c r="AF69" s="25" t="str">
        <f t="shared" si="14"/>
        <v>Channel</v>
      </c>
      <c r="AG69" s="32" t="str">
        <f>IF(XS_AnalyzerSummary!$AB$24&gt;=XS_AnalyzerSummary!AD69,"Y","N")</f>
        <v>Y</v>
      </c>
      <c r="AH69" s="38">
        <v>1</v>
      </c>
      <c r="AI69" s="38">
        <f>IF(AG69="Y",$O$19/XS_AnalyzerSummary!$AB$24,0)</f>
        <v>4.4999999999999998E-2</v>
      </c>
      <c r="AJ69" s="38">
        <f t="shared" si="15"/>
        <v>4.4999999999999998E-2</v>
      </c>
      <c r="AK69" s="93">
        <f t="shared" si="37"/>
        <v>3.9699999999999953</v>
      </c>
      <c r="AL69" s="93">
        <f>IF(AG69="Y",LININTERP(AK69,XS_Analyzer_Calculations!$AY$4:$AY$104,XS_Analyzer_Calculations!$AZ$4:$AZ$104),AL68)</f>
        <v>0.77250000000000352</v>
      </c>
      <c r="AM69" s="38">
        <f t="shared" si="16"/>
        <v>4.2274999999999965</v>
      </c>
      <c r="AN69" s="18">
        <f t="shared" si="17"/>
        <v>0.18947812499999986</v>
      </c>
      <c r="AO69" s="100">
        <f t="shared" si="18"/>
        <v>5.6250000000000182E-2</v>
      </c>
      <c r="AP69" s="100">
        <f t="shared" si="19"/>
        <v>3.3684999999999867</v>
      </c>
      <c r="AQ69" s="18">
        <f t="shared" si="20"/>
        <v>1.7787811838447195E-3</v>
      </c>
      <c r="AR69" s="32">
        <f>IFERROR(IF(AG69="Y",VLOOKUP(AK69,XS_Analyzer_Calculations!$R$5:$T$104,3,TRUE),0),0)</f>
        <v>0.1</v>
      </c>
      <c r="AS69" s="198">
        <f t="shared" si="21"/>
        <v>0.01</v>
      </c>
      <c r="AT69" s="18">
        <f t="shared" si="22"/>
        <v>6.3270644108215999</v>
      </c>
      <c r="AU69" s="38">
        <f>AT69*XS_Analyzer_Calculations!$I$7^0.5</f>
        <v>0.63270644108216001</v>
      </c>
      <c r="AV69" s="18">
        <f t="shared" si="57"/>
        <v>3.3392057319659485</v>
      </c>
      <c r="AW69" s="18">
        <f t="shared" si="23"/>
        <v>2.1019439999999916</v>
      </c>
      <c r="AX69" s="18">
        <f t="shared" si="24"/>
        <v>5</v>
      </c>
      <c r="AY69" s="32">
        <f t="shared" si="25"/>
        <v>4.2106249999999967</v>
      </c>
      <c r="AZ69" s="18">
        <f>((AS69*AP69)/(1.65*XS_Analyzer!$Q$72))*12</f>
        <v>9.6795920406111708</v>
      </c>
      <c r="BA69" s="18">
        <f>(AW69/((1.65*62.4)*XS_Analyzer!$Q$73))*12</f>
        <v>5.4440404040403827</v>
      </c>
      <c r="BB69" s="18">
        <f t="shared" si="26"/>
        <v>8.4339931134827868</v>
      </c>
      <c r="BC69" s="38">
        <f t="shared" si="27"/>
        <v>12.215465221591151</v>
      </c>
      <c r="BD69" s="18">
        <f>IF(ISNUMBER(LININTERP(AW69,Permissible_Shear!$T$178:$T$188,Permissible_Shear!$V$178:$V$188)),LININTERP(AW69,Permissible_Shear!$T$178:$T$188,Permissible_Shear!$V$178:$V$188),0)</f>
        <v>6.8154689919958109</v>
      </c>
      <c r="BE69" s="18">
        <f>LININTERP(AW69,Permissible_Shear!$S$205:$S$222,Permissible_Shear!$V$205:$V$222)</f>
        <v>6.8810749999999743</v>
      </c>
      <c r="BF69" s="18">
        <f>INDEX($AZ$3:$BE$204,ROW(BF69)-2,MATCH(XS_Analyzer!$S$5,XS_AnalyzerSummary!$AZ$2:$BE$2,0))</f>
        <v>8.4339931134827868</v>
      </c>
      <c r="BG69" s="26">
        <f t="shared" si="28"/>
        <v>0</v>
      </c>
      <c r="BH69" s="26">
        <f t="shared" si="29"/>
        <v>0</v>
      </c>
      <c r="BI69" s="26">
        <f t="shared" si="30"/>
        <v>3.3392057319659485</v>
      </c>
      <c r="BJ69" s="26">
        <f t="shared" si="31"/>
        <v>0</v>
      </c>
      <c r="BK69" s="26">
        <f t="shared" si="32"/>
        <v>0</v>
      </c>
      <c r="BL69" s="26">
        <f t="shared" si="33"/>
        <v>2.1019439999999916</v>
      </c>
      <c r="BM69" s="18">
        <f t="shared" si="34"/>
        <v>0</v>
      </c>
      <c r="BN69" s="18">
        <f t="shared" si="35"/>
        <v>0</v>
      </c>
      <c r="BO69" s="18">
        <f t="shared" si="36"/>
        <v>3.3684999999999867</v>
      </c>
    </row>
    <row r="70" spans="1:67">
      <c r="AD70" s="32">
        <v>66</v>
      </c>
      <c r="AE70" s="25" t="str">
        <f t="shared" si="13"/>
        <v>Left</v>
      </c>
      <c r="AF70" s="25" t="str">
        <f t="shared" si="14"/>
        <v>Channel</v>
      </c>
      <c r="AG70" s="32" t="str">
        <f>IF(XS_AnalyzerSummary!$AB$24&gt;=XS_AnalyzerSummary!AD70,"Y","N")</f>
        <v>Y</v>
      </c>
      <c r="AH70" s="38">
        <v>1</v>
      </c>
      <c r="AI70" s="38">
        <f>IF(AG70="Y",$O$19/XS_AnalyzerSummary!$AB$24,0)</f>
        <v>4.4999999999999998E-2</v>
      </c>
      <c r="AJ70" s="38">
        <f t="shared" si="15"/>
        <v>4.4999999999999998E-2</v>
      </c>
      <c r="AK70" s="93">
        <f t="shared" si="37"/>
        <v>4.0149999999999952</v>
      </c>
      <c r="AL70" s="93">
        <f>IF(AG70="Y",LININTERP(AK70,XS_Analyzer_Calculations!$AY$4:$AY$104,XS_Analyzer_Calculations!$AZ$4:$AZ$104),AL69)</f>
        <v>0.73875000000000357</v>
      </c>
      <c r="AM70" s="38">
        <f t="shared" si="16"/>
        <v>4.2612499999999969</v>
      </c>
      <c r="AN70" s="18">
        <f t="shared" si="17"/>
        <v>0.19099687499999982</v>
      </c>
      <c r="AO70" s="100">
        <f t="shared" si="18"/>
        <v>5.6250000000000182E-2</v>
      </c>
      <c r="AP70" s="100">
        <f t="shared" si="19"/>
        <v>3.395499999999986</v>
      </c>
      <c r="AQ70" s="18">
        <f t="shared" si="20"/>
        <v>1.7787811838447195E-3</v>
      </c>
      <c r="AR70" s="32">
        <f>IFERROR(IF(AG70="Y",VLOOKUP(AK70,XS_Analyzer_Calculations!$R$5:$T$104,3,TRUE),0),0)</f>
        <v>0.1</v>
      </c>
      <c r="AS70" s="198">
        <f t="shared" si="21"/>
        <v>0.01</v>
      </c>
      <c r="AT70" s="18">
        <f t="shared" si="22"/>
        <v>6.411813686642355</v>
      </c>
      <c r="AU70" s="38">
        <f>AT70*XS_Analyzer_Calculations!$I$7^0.5</f>
        <v>0.64118136866423558</v>
      </c>
      <c r="AV70" s="18">
        <f t="shared" si="57"/>
        <v>3.3570254417211602</v>
      </c>
      <c r="AW70" s="18">
        <f t="shared" si="23"/>
        <v>2.1187919999999911</v>
      </c>
      <c r="AX70" s="18">
        <f t="shared" si="24"/>
        <v>5</v>
      </c>
      <c r="AY70" s="32">
        <f t="shared" si="25"/>
        <v>4.2443749999999962</v>
      </c>
      <c r="AZ70" s="18">
        <f>((AS70*AP70)/(1.65*XS_Analyzer!$Q$72))*12</f>
        <v>9.757178202136032</v>
      </c>
      <c r="BA70" s="18">
        <f>(AW70/((1.65*62.4)*XS_Analyzer!$Q$73))*12</f>
        <v>5.4876767676767457</v>
      </c>
      <c r="BB70" s="18">
        <f t="shared" si="26"/>
        <v>8.5041650951782035</v>
      </c>
      <c r="BC70" s="38">
        <f t="shared" si="27"/>
        <v>12.287116775340888</v>
      </c>
      <c r="BD70" s="18">
        <f>IF(ISNUMBER(LININTERP(AW70,Permissible_Shear!$T$178:$T$188,Permissible_Shear!$V$178:$V$188)),LININTERP(AW70,Permissible_Shear!$T$178:$T$188,Permissible_Shear!$V$178:$V$188),0)</f>
        <v>6.8680950087850325</v>
      </c>
      <c r="BE70" s="18">
        <f>LININTERP(AW70,Permissible_Shear!$S$205:$S$222,Permissible_Shear!$V$205:$V$222)</f>
        <v>6.9337249999999724</v>
      </c>
      <c r="BF70" s="18">
        <f>INDEX($AZ$3:$BE$204,ROW(BF70)-2,MATCH(XS_Analyzer!$S$5,XS_AnalyzerSummary!$AZ$2:$BE$2,0))</f>
        <v>8.5041650951782035</v>
      </c>
      <c r="BG70" s="26">
        <f t="shared" si="28"/>
        <v>0</v>
      </c>
      <c r="BH70" s="26">
        <f t="shared" si="29"/>
        <v>0</v>
      </c>
      <c r="BI70" s="26">
        <f t="shared" si="30"/>
        <v>3.3570254417211602</v>
      </c>
      <c r="BJ70" s="26">
        <f t="shared" si="31"/>
        <v>0</v>
      </c>
      <c r="BK70" s="26">
        <f t="shared" si="32"/>
        <v>0</v>
      </c>
      <c r="BL70" s="26">
        <f t="shared" si="33"/>
        <v>2.1187919999999911</v>
      </c>
      <c r="BM70" s="18">
        <f t="shared" si="34"/>
        <v>0</v>
      </c>
      <c r="BN70" s="18">
        <f t="shared" si="35"/>
        <v>0</v>
      </c>
      <c r="BO70" s="18">
        <f t="shared" si="36"/>
        <v>3.395499999999986</v>
      </c>
    </row>
    <row r="71" spans="1:67">
      <c r="AD71" s="32">
        <v>67</v>
      </c>
      <c r="AE71" s="25" t="str">
        <f t="shared" si="13"/>
        <v>Left</v>
      </c>
      <c r="AF71" s="25" t="str">
        <f t="shared" si="14"/>
        <v>Channel</v>
      </c>
      <c r="AG71" s="32" t="str">
        <f>IF(XS_AnalyzerSummary!$AB$24&gt;=XS_AnalyzerSummary!AD71,"Y","N")</f>
        <v>Y</v>
      </c>
      <c r="AH71" s="38">
        <v>1</v>
      </c>
      <c r="AI71" s="38">
        <f>IF(AG71="Y",$O$19/XS_AnalyzerSummary!$AB$24,0)</f>
        <v>4.4999999999999998E-2</v>
      </c>
      <c r="AJ71" s="38">
        <f t="shared" si="15"/>
        <v>4.4999999999999998E-2</v>
      </c>
      <c r="AK71" s="93">
        <f t="shared" si="37"/>
        <v>4.0599999999999952</v>
      </c>
      <c r="AL71" s="93">
        <f>IF(AG71="Y",LININTERP(AK71,XS_Analyzer_Calculations!$AY$4:$AY$104,XS_Analyzer_Calculations!$AZ$4:$AZ$104),AL70)</f>
        <v>0.70500000000000362</v>
      </c>
      <c r="AM71" s="38">
        <f t="shared" si="16"/>
        <v>4.2949999999999964</v>
      </c>
      <c r="AN71" s="18">
        <f t="shared" si="17"/>
        <v>0.19251562499999983</v>
      </c>
      <c r="AO71" s="100">
        <f t="shared" si="18"/>
        <v>5.6249999999999648E-2</v>
      </c>
      <c r="AP71" s="100">
        <f t="shared" si="19"/>
        <v>3.4225000000000185</v>
      </c>
      <c r="AQ71" s="18">
        <f t="shared" si="20"/>
        <v>1.7787811838447026E-3</v>
      </c>
      <c r="AR71" s="32">
        <f>IFERROR(IF(AG71="Y",VLOOKUP(AK71,XS_Analyzer_Calculations!$R$5:$T$104,3,TRUE),0),0)</f>
        <v>0.1</v>
      </c>
      <c r="AS71" s="198">
        <f t="shared" si="21"/>
        <v>0.01</v>
      </c>
      <c r="AT71" s="18">
        <f t="shared" si="22"/>
        <v>6.4970134258113728</v>
      </c>
      <c r="AU71" s="38">
        <f>AT71*XS_Analyzer_Calculations!$I$7^0.5</f>
        <v>0.64970134258113732</v>
      </c>
      <c r="AV71" s="18">
        <f t="shared" si="57"/>
        <v>3.3747979811048476</v>
      </c>
      <c r="AW71" s="18">
        <f t="shared" si="23"/>
        <v>2.1356400000000115</v>
      </c>
      <c r="AX71" s="18">
        <f t="shared" si="24"/>
        <v>5</v>
      </c>
      <c r="AY71" s="32">
        <f t="shared" si="25"/>
        <v>4.2781249999999966</v>
      </c>
      <c r="AZ71" s="18">
        <f>((AS71*AP71)/(1.65*XS_Analyzer!$Q$72))*12</f>
        <v>9.8347643636609892</v>
      </c>
      <c r="BA71" s="18">
        <f>(AW71/((1.65*62.4)*XS_Analyzer!$Q$73))*12</f>
        <v>5.531313131313162</v>
      </c>
      <c r="BB71" s="18">
        <f t="shared" si="26"/>
        <v>8.5743604236259667</v>
      </c>
      <c r="BC71" s="38">
        <f t="shared" si="27"/>
        <v>12.358618381888705</v>
      </c>
      <c r="BD71" s="18">
        <f>IF(ISNUMBER(LININTERP(AW71,Permissible_Shear!$T$178:$T$188,Permissible_Shear!$V$178:$V$188)),LININTERP(AW71,Permissible_Shear!$T$178:$T$188,Permissible_Shear!$V$178:$V$188),0)</f>
        <v>6.9207210255743199</v>
      </c>
      <c r="BE71" s="18">
        <f>LININTERP(AW71,Permissible_Shear!$S$205:$S$222,Permissible_Shear!$V$205:$V$222)</f>
        <v>6.9863750000000362</v>
      </c>
      <c r="BF71" s="18">
        <f>INDEX($AZ$3:$BE$204,ROW(BF71)-2,MATCH(XS_Analyzer!$S$5,XS_AnalyzerSummary!$AZ$2:$BE$2,0))</f>
        <v>8.5743604236259667</v>
      </c>
      <c r="BG71" s="26">
        <f t="shared" si="28"/>
        <v>0</v>
      </c>
      <c r="BH71" s="26">
        <f t="shared" si="29"/>
        <v>0</v>
      </c>
      <c r="BI71" s="26">
        <f t="shared" si="30"/>
        <v>3.3747979811048476</v>
      </c>
      <c r="BJ71" s="26">
        <f t="shared" si="31"/>
        <v>0</v>
      </c>
      <c r="BK71" s="26">
        <f t="shared" si="32"/>
        <v>0</v>
      </c>
      <c r="BL71" s="26">
        <f t="shared" si="33"/>
        <v>2.1356400000000115</v>
      </c>
      <c r="BM71" s="18">
        <f t="shared" si="34"/>
        <v>0</v>
      </c>
      <c r="BN71" s="18">
        <f t="shared" si="35"/>
        <v>0</v>
      </c>
      <c r="BO71" s="18">
        <f t="shared" si="36"/>
        <v>3.4225000000000185</v>
      </c>
    </row>
    <row r="72" spans="1:67">
      <c r="AD72" s="32">
        <v>68</v>
      </c>
      <c r="AE72" s="25" t="str">
        <f t="shared" si="13"/>
        <v>Left</v>
      </c>
      <c r="AF72" s="25" t="str">
        <f t="shared" si="14"/>
        <v>Channel</v>
      </c>
      <c r="AG72" s="32" t="str">
        <f>IF(XS_AnalyzerSummary!$AB$24&gt;=XS_AnalyzerSummary!AD72,"Y","N")</f>
        <v>Y</v>
      </c>
      <c r="AH72" s="38">
        <v>1</v>
      </c>
      <c r="AI72" s="38">
        <f>IF(AG72="Y",$O$19/XS_AnalyzerSummary!$AB$24,0)</f>
        <v>4.4999999999999998E-2</v>
      </c>
      <c r="AJ72" s="38">
        <f t="shared" si="15"/>
        <v>4.4999999999999998E-2</v>
      </c>
      <c r="AK72" s="93">
        <f t="shared" si="37"/>
        <v>4.1049999999999951</v>
      </c>
      <c r="AL72" s="93">
        <f>IF(AG72="Y",LININTERP(AK72,XS_Analyzer_Calculations!$AY$4:$AY$104,XS_Analyzer_Calculations!$AZ$4:$AZ$104),AL71)</f>
        <v>0.67125000000000368</v>
      </c>
      <c r="AM72" s="38">
        <f t="shared" si="16"/>
        <v>4.3287499999999959</v>
      </c>
      <c r="AN72" s="18">
        <f t="shared" si="17"/>
        <v>0.19403437499999981</v>
      </c>
      <c r="AO72" s="100">
        <f t="shared" si="18"/>
        <v>5.6249999999999648E-2</v>
      </c>
      <c r="AP72" s="100">
        <f t="shared" si="19"/>
        <v>3.4495000000000182</v>
      </c>
      <c r="AQ72" s="18">
        <f t="shared" si="20"/>
        <v>1.7787811838447026E-3</v>
      </c>
      <c r="AR72" s="32">
        <f>IFERROR(IF(AG72="Y",VLOOKUP(AK72,XS_Analyzer_Calculations!$R$5:$T$104,3,TRUE),0),0)</f>
        <v>0.1</v>
      </c>
      <c r="AS72" s="198">
        <f t="shared" si="21"/>
        <v>0.01</v>
      </c>
      <c r="AT72" s="18">
        <f t="shared" si="22"/>
        <v>6.5826624406193597</v>
      </c>
      <c r="AU72" s="38">
        <f>AT72*XS_Analyzer_Calculations!$I$7^0.5</f>
        <v>0.65826624406193601</v>
      </c>
      <c r="AV72" s="18">
        <f t="shared" si="57"/>
        <v>3.3925238456430034</v>
      </c>
      <c r="AW72" s="18">
        <f t="shared" si="23"/>
        <v>2.1524880000000115</v>
      </c>
      <c r="AX72" s="18">
        <f t="shared" si="24"/>
        <v>5</v>
      </c>
      <c r="AY72" s="32">
        <f t="shared" si="25"/>
        <v>4.3118749999999961</v>
      </c>
      <c r="AZ72" s="18">
        <f>((AS72*AP72)/(1.65*XS_Analyzer!$Q$72))*12</f>
        <v>9.9123505251858521</v>
      </c>
      <c r="BA72" s="18">
        <f>(AW72/((1.65*62.4)*XS_Analyzer!$Q$73))*12</f>
        <v>5.5749494949495251</v>
      </c>
      <c r="BB72" s="18">
        <f t="shared" si="26"/>
        <v>8.6445789230405019</v>
      </c>
      <c r="BC72" s="38">
        <f t="shared" si="27"/>
        <v>12.429971529654711</v>
      </c>
      <c r="BD72" s="18">
        <f>IF(ISNUMBER(LININTERP(AW72,Permissible_Shear!$T$178:$T$188,Permissible_Shear!$V$178:$V$188)),LININTERP(AW72,Permissible_Shear!$T$178:$T$188,Permissible_Shear!$V$178:$V$188),0)</f>
        <v>6.9733470423635433</v>
      </c>
      <c r="BE72" s="18">
        <f>LININTERP(AW72,Permissible_Shear!$S$205:$S$222,Permissible_Shear!$V$205:$V$222)</f>
        <v>7.0390250000000361</v>
      </c>
      <c r="BF72" s="18">
        <f>INDEX($AZ$3:$BE$204,ROW(BF72)-2,MATCH(XS_Analyzer!$S$5,XS_AnalyzerSummary!$AZ$2:$BE$2,0))</f>
        <v>8.6445789230405019</v>
      </c>
      <c r="BG72" s="26">
        <f t="shared" si="28"/>
        <v>0</v>
      </c>
      <c r="BH72" s="26">
        <f t="shared" si="29"/>
        <v>0</v>
      </c>
      <c r="BI72" s="26">
        <f t="shared" si="30"/>
        <v>3.3925238456430034</v>
      </c>
      <c r="BJ72" s="26">
        <f t="shared" si="31"/>
        <v>0</v>
      </c>
      <c r="BK72" s="26">
        <f t="shared" si="32"/>
        <v>0</v>
      </c>
      <c r="BL72" s="26">
        <f t="shared" si="33"/>
        <v>2.1524880000000115</v>
      </c>
      <c r="BM72" s="18">
        <f t="shared" si="34"/>
        <v>0</v>
      </c>
      <c r="BN72" s="18">
        <f t="shared" si="35"/>
        <v>0</v>
      </c>
      <c r="BO72" s="18">
        <f t="shared" si="36"/>
        <v>3.4495000000000182</v>
      </c>
    </row>
    <row r="73" spans="1:67">
      <c r="AD73" s="32">
        <v>69</v>
      </c>
      <c r="AE73" s="25" t="str">
        <f t="shared" si="13"/>
        <v>Left</v>
      </c>
      <c r="AF73" s="25" t="str">
        <f t="shared" si="14"/>
        <v>Channel</v>
      </c>
      <c r="AG73" s="32" t="str">
        <f>IF(XS_AnalyzerSummary!$AB$24&gt;=XS_AnalyzerSummary!AD73,"Y","N")</f>
        <v>Y</v>
      </c>
      <c r="AH73" s="38">
        <v>1</v>
      </c>
      <c r="AI73" s="38">
        <f>IF(AG73="Y",$O$19/XS_AnalyzerSummary!$AB$24,0)</f>
        <v>4.4999999999999998E-2</v>
      </c>
      <c r="AJ73" s="38">
        <f t="shared" si="15"/>
        <v>4.4999999999999998E-2</v>
      </c>
      <c r="AK73" s="93">
        <f t="shared" si="37"/>
        <v>4.149999999999995</v>
      </c>
      <c r="AL73" s="93">
        <f>IF(AG73="Y",LININTERP(AK73,XS_Analyzer_Calculations!$AY$4:$AY$104,XS_Analyzer_Calculations!$AZ$4:$AZ$104),AL72)</f>
        <v>0.63750000000000373</v>
      </c>
      <c r="AM73" s="38">
        <f t="shared" si="16"/>
        <v>4.3624999999999963</v>
      </c>
      <c r="AN73" s="18">
        <f t="shared" si="17"/>
        <v>0.19555312499999983</v>
      </c>
      <c r="AO73" s="100">
        <f t="shared" si="18"/>
        <v>5.6250000000000182E-2</v>
      </c>
      <c r="AP73" s="100">
        <f t="shared" si="19"/>
        <v>3.4764999999999855</v>
      </c>
      <c r="AQ73" s="18">
        <f t="shared" si="20"/>
        <v>1.7787811838447195E-3</v>
      </c>
      <c r="AR73" s="32">
        <f>IFERROR(IF(AG73="Y",VLOOKUP(AK73,XS_Analyzer_Calculations!$R$5:$T$104,3,TRUE),0),0)</f>
        <v>0.1</v>
      </c>
      <c r="AS73" s="198">
        <f t="shared" si="21"/>
        <v>0.01</v>
      </c>
      <c r="AT73" s="18">
        <f t="shared" si="22"/>
        <v>6.6687595557852131</v>
      </c>
      <c r="AU73" s="38">
        <f>AT73*XS_Analyzer_Calculations!$I$7^0.5</f>
        <v>0.66687595557852131</v>
      </c>
      <c r="AV73" s="18">
        <f t="shared" si="57"/>
        <v>3.4102035218231461</v>
      </c>
      <c r="AW73" s="18">
        <f t="shared" si="23"/>
        <v>2.169335999999991</v>
      </c>
      <c r="AX73" s="18">
        <f t="shared" si="24"/>
        <v>5</v>
      </c>
      <c r="AY73" s="32">
        <f t="shared" si="25"/>
        <v>4.3456249999999965</v>
      </c>
      <c r="AZ73" s="18">
        <f>((AS73*AP73)/(1.65*XS_Analyzer!$Q$72))*12</f>
        <v>9.9899366867106227</v>
      </c>
      <c r="BA73" s="18">
        <f>(AW73/((1.65*62.4)*XS_Analyzer!$Q$73))*12</f>
        <v>5.6185858585858357</v>
      </c>
      <c r="BB73" s="18">
        <f t="shared" si="26"/>
        <v>8.7148204203202901</v>
      </c>
      <c r="BC73" s="38">
        <f t="shared" si="27"/>
        <v>12.501177680806288</v>
      </c>
      <c r="BD73" s="18">
        <f>IF(ISNUMBER(LININTERP(AW73,Permissible_Shear!$T$178:$T$188,Permissible_Shear!$V$178:$V$188)),LININTERP(AW73,Permissible_Shear!$T$178:$T$188,Permissible_Shear!$V$178:$V$188),0)</f>
        <v>7.0259730591527028</v>
      </c>
      <c r="BE73" s="18">
        <f>LININTERP(AW73,Permissible_Shear!$S$205:$S$222,Permissible_Shear!$V$205:$V$222)</f>
        <v>7.091674999999972</v>
      </c>
      <c r="BF73" s="18">
        <f>INDEX($AZ$3:$BE$204,ROW(BF73)-2,MATCH(XS_Analyzer!$S$5,XS_AnalyzerSummary!$AZ$2:$BE$2,0))</f>
        <v>8.7148204203202901</v>
      </c>
      <c r="BG73" s="26">
        <f t="shared" si="28"/>
        <v>0</v>
      </c>
      <c r="BH73" s="26">
        <f t="shared" si="29"/>
        <v>0</v>
      </c>
      <c r="BI73" s="26">
        <f t="shared" si="30"/>
        <v>3.4102035218231461</v>
      </c>
      <c r="BJ73" s="26">
        <f t="shared" si="31"/>
        <v>0</v>
      </c>
      <c r="BK73" s="26">
        <f t="shared" si="32"/>
        <v>0</v>
      </c>
      <c r="BL73" s="26">
        <f t="shared" si="33"/>
        <v>2.169335999999991</v>
      </c>
      <c r="BM73" s="18">
        <f t="shared" si="34"/>
        <v>0</v>
      </c>
      <c r="BN73" s="18">
        <f t="shared" si="35"/>
        <v>0</v>
      </c>
      <c r="BO73" s="18">
        <f t="shared" si="36"/>
        <v>3.4764999999999855</v>
      </c>
    </row>
    <row r="74" spans="1:67">
      <c r="AD74" s="32">
        <v>70</v>
      </c>
      <c r="AE74" s="25" t="str">
        <f t="shared" si="13"/>
        <v>Left</v>
      </c>
      <c r="AF74" s="25" t="str">
        <f t="shared" si="14"/>
        <v>Channel</v>
      </c>
      <c r="AG74" s="32" t="str">
        <f>IF(XS_AnalyzerSummary!$AB$24&gt;=XS_AnalyzerSummary!AD74,"Y","N")</f>
        <v>Y</v>
      </c>
      <c r="AH74" s="38">
        <v>1</v>
      </c>
      <c r="AI74" s="38">
        <f>IF(AG74="Y",$O$19/XS_AnalyzerSummary!$AB$24,0)</f>
        <v>4.4999999999999998E-2</v>
      </c>
      <c r="AJ74" s="38">
        <f t="shared" si="15"/>
        <v>4.4999999999999998E-2</v>
      </c>
      <c r="AK74" s="93">
        <f t="shared" si="37"/>
        <v>4.194999999999995</v>
      </c>
      <c r="AL74" s="93">
        <f>IF(AG74="Y",LININTERP(AK74,XS_Analyzer_Calculations!$AY$4:$AY$104,XS_Analyzer_Calculations!$AZ$4:$AZ$104),AL73)</f>
        <v>0.60375000000000378</v>
      </c>
      <c r="AM74" s="38">
        <f t="shared" si="16"/>
        <v>4.3962499999999967</v>
      </c>
      <c r="AN74" s="18">
        <f t="shared" si="17"/>
        <v>0.19707187499999981</v>
      </c>
      <c r="AO74" s="100">
        <f t="shared" si="18"/>
        <v>5.6250000000000182E-2</v>
      </c>
      <c r="AP74" s="100">
        <f t="shared" si="19"/>
        <v>3.5034999999999852</v>
      </c>
      <c r="AQ74" s="18">
        <f t="shared" si="20"/>
        <v>1.7787811838447195E-3</v>
      </c>
      <c r="AR74" s="32">
        <f>IFERROR(IF(AG74="Y",VLOOKUP(AK74,XS_Analyzer_Calculations!$R$5:$T$104,3,TRUE),0),0)</f>
        <v>0.1</v>
      </c>
      <c r="AS74" s="198">
        <f t="shared" si="21"/>
        <v>0.01</v>
      </c>
      <c r="AT74" s="18">
        <f t="shared" si="22"/>
        <v>6.7553036082302045</v>
      </c>
      <c r="AU74" s="38">
        <f>AT74*XS_Analyzer_Calculations!$I$7^0.5</f>
        <v>0.67553036082302054</v>
      </c>
      <c r="AV74" s="18">
        <f t="shared" si="57"/>
        <v>3.4278374873280177</v>
      </c>
      <c r="AW74" s="18">
        <f t="shared" si="23"/>
        <v>2.1861839999999906</v>
      </c>
      <c r="AX74" s="18">
        <f t="shared" si="24"/>
        <v>5</v>
      </c>
      <c r="AY74" s="32">
        <f t="shared" si="25"/>
        <v>4.379374999999996</v>
      </c>
      <c r="AZ74" s="18">
        <f>((AS74*AP74)/(1.65*XS_Analyzer!$Q$72))*12</f>
        <v>10.067522848235484</v>
      </c>
      <c r="BA74" s="18">
        <f>(AW74/((1.65*62.4)*XS_Analyzer!$Q$73))*12</f>
        <v>5.6622222222221978</v>
      </c>
      <c r="BB74" s="18">
        <f t="shared" si="26"/>
        <v>8.7850847449864329</v>
      </c>
      <c r="BC74" s="38">
        <f t="shared" si="27"/>
        <v>12.572238271920494</v>
      </c>
      <c r="BD74" s="18">
        <f>IF(ISNUMBER(LININTERP(AW74,Permissible_Shear!$T$178:$T$188,Permissible_Shear!$V$178:$V$188)),LININTERP(AW74,Permissible_Shear!$T$178:$T$188,Permissible_Shear!$V$178:$V$188),0)</f>
        <v>7.0785990759419253</v>
      </c>
      <c r="BE74" s="18">
        <f>LININTERP(AW74,Permissible_Shear!$S$205:$S$222,Permissible_Shear!$V$205:$V$222)</f>
        <v>7.1443249999999718</v>
      </c>
      <c r="BF74" s="18">
        <f>INDEX($AZ$3:$BE$204,ROW(BF74)-2,MATCH(XS_Analyzer!$S$5,XS_AnalyzerSummary!$AZ$2:$BE$2,0))</f>
        <v>8.7850847449864329</v>
      </c>
      <c r="BG74" s="26">
        <f t="shared" si="28"/>
        <v>0</v>
      </c>
      <c r="BH74" s="26">
        <f t="shared" si="29"/>
        <v>0</v>
      </c>
      <c r="BI74" s="26">
        <f t="shared" si="30"/>
        <v>3.4278374873280177</v>
      </c>
      <c r="BJ74" s="26">
        <f t="shared" si="31"/>
        <v>0</v>
      </c>
      <c r="BK74" s="26">
        <f t="shared" si="32"/>
        <v>0</v>
      </c>
      <c r="BL74" s="26">
        <f t="shared" si="33"/>
        <v>2.1861839999999906</v>
      </c>
      <c r="BM74" s="18">
        <f t="shared" si="34"/>
        <v>0</v>
      </c>
      <c r="BN74" s="18">
        <f t="shared" si="35"/>
        <v>0</v>
      </c>
      <c r="BO74" s="18">
        <f t="shared" si="36"/>
        <v>3.5034999999999852</v>
      </c>
    </row>
    <row r="75" spans="1:67">
      <c r="AD75" s="32">
        <v>71</v>
      </c>
      <c r="AE75" s="25" t="str">
        <f t="shared" si="13"/>
        <v>Left</v>
      </c>
      <c r="AF75" s="25" t="str">
        <f t="shared" si="14"/>
        <v>Channel</v>
      </c>
      <c r="AG75" s="32" t="str">
        <f>IF(XS_AnalyzerSummary!$AB$24&gt;=XS_AnalyzerSummary!AD75,"Y","N")</f>
        <v>Y</v>
      </c>
      <c r="AH75" s="38">
        <v>1</v>
      </c>
      <c r="AI75" s="38">
        <f>IF(AG75="Y",$O$19/XS_AnalyzerSummary!$AB$24,0)</f>
        <v>4.4999999999999998E-2</v>
      </c>
      <c r="AJ75" s="38">
        <f t="shared" si="15"/>
        <v>4.4999999999999998E-2</v>
      </c>
      <c r="AK75" s="93">
        <f t="shared" si="37"/>
        <v>4.2399999999999949</v>
      </c>
      <c r="AL75" s="93">
        <f>IF(AG75="Y",LININTERP(AK75,XS_Analyzer_Calculations!$AY$4:$AY$104,XS_Analyzer_Calculations!$AZ$4:$AZ$104),AL74)</f>
        <v>0.57000000000000384</v>
      </c>
      <c r="AM75" s="38">
        <f t="shared" si="16"/>
        <v>4.4299999999999962</v>
      </c>
      <c r="AN75" s="18">
        <f t="shared" si="17"/>
        <v>0.19859062499999983</v>
      </c>
      <c r="AO75" s="100">
        <f t="shared" si="18"/>
        <v>5.6249999999999648E-2</v>
      </c>
      <c r="AP75" s="100">
        <f t="shared" si="19"/>
        <v>3.5305000000000191</v>
      </c>
      <c r="AQ75" s="18">
        <f t="shared" si="20"/>
        <v>1.7787811838447026E-3</v>
      </c>
      <c r="AR75" s="32">
        <f>IFERROR(IF(AG75="Y",VLOOKUP(AK75,XS_Analyzer_Calculations!$R$5:$T$104,3,TRUE),0),0)</f>
        <v>0.1</v>
      </c>
      <c r="AS75" s="198">
        <f t="shared" si="21"/>
        <v>0.01</v>
      </c>
      <c r="AT75" s="18">
        <f t="shared" si="22"/>
        <v>6.8422934468578278</v>
      </c>
      <c r="AU75" s="38">
        <f>AT75*XS_Analyzer_Calculations!$I$7^0.5</f>
        <v>0.68422934468578278</v>
      </c>
      <c r="AV75" s="18">
        <f t="shared" si="57"/>
        <v>3.4454262112613994</v>
      </c>
      <c r="AW75" s="18">
        <f t="shared" si="23"/>
        <v>2.2030320000000119</v>
      </c>
      <c r="AX75" s="18">
        <f t="shared" si="24"/>
        <v>5</v>
      </c>
      <c r="AY75" s="32">
        <f t="shared" si="25"/>
        <v>4.4131249999999964</v>
      </c>
      <c r="AZ75" s="18">
        <f>((AS75*AP75)/(1.65*XS_Analyzer!$Q$72))*12</f>
        <v>10.145109009760445</v>
      </c>
      <c r="BA75" s="18">
        <f>(AW75/((1.65*62.4)*XS_Analyzer!$Q$73))*12</f>
        <v>5.7058585858586177</v>
      </c>
      <c r="BB75" s="18">
        <f t="shared" si="26"/>
        <v>8.8553717291230782</v>
      </c>
      <c r="BC75" s="38">
        <f t="shared" si="27"/>
        <v>12.643154714624746</v>
      </c>
      <c r="BD75" s="18">
        <f>IF(ISNUMBER(LININTERP(AW75,Permissible_Shear!$T$178:$T$188,Permissible_Shear!$V$178:$V$188)),LININTERP(AW75,Permissible_Shear!$T$178:$T$188,Permissible_Shear!$V$178:$V$188),0)</f>
        <v>7.1312250927312153</v>
      </c>
      <c r="BE75" s="18">
        <f>LININTERP(AW75,Permissible_Shear!$S$205:$S$222,Permissible_Shear!$V$205:$V$222)</f>
        <v>7.1969750000000374</v>
      </c>
      <c r="BF75" s="18">
        <f>INDEX($AZ$3:$BE$204,ROW(BF75)-2,MATCH(XS_Analyzer!$S$5,XS_AnalyzerSummary!$AZ$2:$BE$2,0))</f>
        <v>8.8553717291230782</v>
      </c>
      <c r="BG75" s="26">
        <f t="shared" si="28"/>
        <v>0</v>
      </c>
      <c r="BH75" s="26">
        <f t="shared" si="29"/>
        <v>0</v>
      </c>
      <c r="BI75" s="26">
        <f t="shared" si="30"/>
        <v>3.4454262112613994</v>
      </c>
      <c r="BJ75" s="26">
        <f t="shared" si="31"/>
        <v>0</v>
      </c>
      <c r="BK75" s="26">
        <f t="shared" si="32"/>
        <v>0</v>
      </c>
      <c r="BL75" s="26">
        <f t="shared" si="33"/>
        <v>2.2030320000000119</v>
      </c>
      <c r="BM75" s="18">
        <f t="shared" si="34"/>
        <v>0</v>
      </c>
      <c r="BN75" s="18">
        <f t="shared" si="35"/>
        <v>0</v>
      </c>
      <c r="BO75" s="18">
        <f t="shared" si="36"/>
        <v>3.5305000000000191</v>
      </c>
    </row>
    <row r="76" spans="1:67">
      <c r="AD76" s="32">
        <v>72</v>
      </c>
      <c r="AE76" s="25" t="str">
        <f t="shared" si="13"/>
        <v>Left</v>
      </c>
      <c r="AF76" s="25" t="str">
        <f t="shared" si="14"/>
        <v>Channel</v>
      </c>
      <c r="AG76" s="32" t="str">
        <f>IF(XS_AnalyzerSummary!$AB$24&gt;=XS_AnalyzerSummary!AD76,"Y","N")</f>
        <v>Y</v>
      </c>
      <c r="AH76" s="38">
        <v>1</v>
      </c>
      <c r="AI76" s="38">
        <f>IF(AG76="Y",$O$19/XS_AnalyzerSummary!$AB$24,0)</f>
        <v>4.4999999999999998E-2</v>
      </c>
      <c r="AJ76" s="38">
        <f t="shared" si="15"/>
        <v>4.4999999999999998E-2</v>
      </c>
      <c r="AK76" s="93">
        <f t="shared" si="37"/>
        <v>4.2849999999999948</v>
      </c>
      <c r="AL76" s="93">
        <f>IF(AG76="Y",LININTERP(AK76,XS_Analyzer_Calculations!$AY$4:$AY$104,XS_Analyzer_Calculations!$AZ$4:$AZ$104),AL75)</f>
        <v>0.53625000000000389</v>
      </c>
      <c r="AM76" s="38">
        <f t="shared" si="16"/>
        <v>4.4637499999999957</v>
      </c>
      <c r="AN76" s="18">
        <f t="shared" si="17"/>
        <v>0.20010937499999981</v>
      </c>
      <c r="AO76" s="100">
        <f t="shared" si="18"/>
        <v>5.6249999999999648E-2</v>
      </c>
      <c r="AP76" s="100">
        <f t="shared" si="19"/>
        <v>3.5575000000000188</v>
      </c>
      <c r="AQ76" s="18">
        <f t="shared" si="20"/>
        <v>1.7787811838447026E-3</v>
      </c>
      <c r="AR76" s="32">
        <f>IFERROR(IF(AG76="Y",VLOOKUP(AK76,XS_Analyzer_Calculations!$R$5:$T$104,3,TRUE),0),0)</f>
        <v>0.1</v>
      </c>
      <c r="AS76" s="198">
        <f t="shared" si="21"/>
        <v>0.01</v>
      </c>
      <c r="AT76" s="18">
        <f t="shared" si="22"/>
        <v>6.9297279323394099</v>
      </c>
      <c r="AU76" s="38">
        <f>AT76*XS_Analyzer_Calculations!$I$7^0.5</f>
        <v>0.69297279323394101</v>
      </c>
      <c r="AV76" s="18">
        <f t="shared" si="57"/>
        <v>3.462970154366539</v>
      </c>
      <c r="AW76" s="18">
        <f t="shared" si="23"/>
        <v>2.2198800000000118</v>
      </c>
      <c r="AX76" s="18">
        <f t="shared" si="24"/>
        <v>5</v>
      </c>
      <c r="AY76" s="32">
        <f t="shared" si="25"/>
        <v>4.4468749999999959</v>
      </c>
      <c r="AZ76" s="18">
        <f>((AS76*AP76)/(1.65*XS_Analyzer!$Q$72))*12</f>
        <v>10.222695171285308</v>
      </c>
      <c r="BA76" s="18">
        <f>(AW76/((1.65*62.4)*XS_Analyzer!$Q$73))*12</f>
        <v>5.7494949494949807</v>
      </c>
      <c r="BB76" s="18">
        <f t="shared" si="26"/>
        <v>8.9256812073196716</v>
      </c>
      <c r="BC76" s="38">
        <f t="shared" si="27"/>
        <v>12.713928396216753</v>
      </c>
      <c r="BD76" s="18">
        <f>IF(ISNUMBER(LININTERP(AW76,Permissible_Shear!$T$178:$T$188,Permissible_Shear!$V$178:$V$188)),LININTERP(AW76,Permissible_Shear!$T$178:$T$188,Permissible_Shear!$V$178:$V$188),0)</f>
        <v>7.1838511095204396</v>
      </c>
      <c r="BE76" s="18">
        <f>LININTERP(AW76,Permissible_Shear!$S$205:$S$222,Permissible_Shear!$V$205:$V$222)</f>
        <v>7.2496250000000373</v>
      </c>
      <c r="BF76" s="18">
        <f>INDEX($AZ$3:$BE$204,ROW(BF76)-2,MATCH(XS_Analyzer!$S$5,XS_AnalyzerSummary!$AZ$2:$BE$2,0))</f>
        <v>8.9256812073196716</v>
      </c>
      <c r="BG76" s="26">
        <f t="shared" si="28"/>
        <v>0</v>
      </c>
      <c r="BH76" s="26">
        <f t="shared" si="29"/>
        <v>0</v>
      </c>
      <c r="BI76" s="26">
        <f t="shared" si="30"/>
        <v>3.462970154366539</v>
      </c>
      <c r="BJ76" s="26">
        <f t="shared" si="31"/>
        <v>0</v>
      </c>
      <c r="BK76" s="26">
        <f t="shared" si="32"/>
        <v>0</v>
      </c>
      <c r="BL76" s="26">
        <f t="shared" si="33"/>
        <v>2.2198800000000118</v>
      </c>
      <c r="BM76" s="18">
        <f t="shared" si="34"/>
        <v>0</v>
      </c>
      <c r="BN76" s="18">
        <f t="shared" si="35"/>
        <v>0</v>
      </c>
      <c r="BO76" s="18">
        <f t="shared" si="36"/>
        <v>3.5575000000000188</v>
      </c>
    </row>
    <row r="77" spans="1:67">
      <c r="AD77" s="32">
        <v>73</v>
      </c>
      <c r="AE77" s="25" t="str">
        <f t="shared" si="13"/>
        <v>Left</v>
      </c>
      <c r="AF77" s="25" t="str">
        <f t="shared" si="14"/>
        <v>Channel</v>
      </c>
      <c r="AG77" s="32" t="str">
        <f>IF(XS_AnalyzerSummary!$AB$24&gt;=XS_AnalyzerSummary!AD77,"Y","N")</f>
        <v>Y</v>
      </c>
      <c r="AH77" s="38">
        <v>1</v>
      </c>
      <c r="AI77" s="38">
        <f>IF(AG77="Y",$O$19/XS_AnalyzerSummary!$AB$24,0)</f>
        <v>4.4999999999999998E-2</v>
      </c>
      <c r="AJ77" s="38">
        <f t="shared" si="15"/>
        <v>4.4999999999999998E-2</v>
      </c>
      <c r="AK77" s="93">
        <f t="shared" si="37"/>
        <v>4.3299999999999947</v>
      </c>
      <c r="AL77" s="93">
        <f>IF(AG77="Y",LININTERP(AK77,XS_Analyzer_Calculations!$AY$4:$AY$104,XS_Analyzer_Calculations!$AZ$4:$AZ$104),AL76)</f>
        <v>0.50250000000000394</v>
      </c>
      <c r="AM77" s="38">
        <f t="shared" si="16"/>
        <v>4.4974999999999961</v>
      </c>
      <c r="AN77" s="18">
        <f t="shared" si="17"/>
        <v>0.20162812499999982</v>
      </c>
      <c r="AO77" s="100">
        <f t="shared" si="18"/>
        <v>5.6250000000000182E-2</v>
      </c>
      <c r="AP77" s="100">
        <f t="shared" si="19"/>
        <v>3.5844999999999851</v>
      </c>
      <c r="AQ77" s="18">
        <f t="shared" si="20"/>
        <v>1.7787811838447195E-3</v>
      </c>
      <c r="AR77" s="32">
        <f>IFERROR(IF(AG77="Y",VLOOKUP(AK77,XS_Analyzer_Calculations!$R$5:$T$104,3,TRUE),0),0)</f>
        <v>0.1</v>
      </c>
      <c r="AS77" s="198">
        <f t="shared" si="21"/>
        <v>0.01</v>
      </c>
      <c r="AT77" s="18">
        <f t="shared" si="22"/>
        <v>7.0176059369053485</v>
      </c>
      <c r="AU77" s="38">
        <f>AT77*XS_Analyzer_Calculations!$I$7^0.5</f>
        <v>0.7017605936905349</v>
      </c>
      <c r="AV77" s="18">
        <f t="shared" si="57"/>
        <v>3.4804697692374789</v>
      </c>
      <c r="AW77" s="18">
        <f t="shared" si="23"/>
        <v>2.2367279999999905</v>
      </c>
      <c r="AX77" s="18">
        <f t="shared" si="24"/>
        <v>5</v>
      </c>
      <c r="AY77" s="32">
        <f t="shared" si="25"/>
        <v>4.4806249999999963</v>
      </c>
      <c r="AZ77" s="18">
        <f>((AS77*AP77)/(1.65*XS_Analyzer!$Q$72))*12</f>
        <v>10.300281332810073</v>
      </c>
      <c r="BA77" s="18">
        <f>(AW77/((1.65*62.4)*XS_Analyzer!$Q$73))*12</f>
        <v>5.7931313131312896</v>
      </c>
      <c r="BB77" s="18">
        <f t="shared" si="26"/>
        <v>8.9960130166148922</v>
      </c>
      <c r="BC77" s="38">
        <f t="shared" si="27"/>
        <v>12.784560680264439</v>
      </c>
      <c r="BD77" s="18">
        <f>IF(ISNUMBER(LININTERP(AW77,Permissible_Shear!$T$178:$T$188,Permissible_Shear!$V$178:$V$188)),LININTERP(AW77,Permissible_Shear!$T$178:$T$188,Permissible_Shear!$V$178:$V$188),0)</f>
        <v>7.2364771263095964</v>
      </c>
      <c r="BE77" s="18">
        <f>LININTERP(AW77,Permissible_Shear!$S$205:$S$222,Permissible_Shear!$V$205:$V$222)</f>
        <v>7.3022749999999705</v>
      </c>
      <c r="BF77" s="18">
        <f>INDEX($AZ$3:$BE$204,ROW(BF77)-2,MATCH(XS_Analyzer!$S$5,XS_AnalyzerSummary!$AZ$2:$BE$2,0))</f>
        <v>8.9960130166148922</v>
      </c>
      <c r="BG77" s="26">
        <f t="shared" si="28"/>
        <v>0</v>
      </c>
      <c r="BH77" s="26">
        <f t="shared" si="29"/>
        <v>0</v>
      </c>
      <c r="BI77" s="26">
        <f t="shared" si="30"/>
        <v>3.4804697692374789</v>
      </c>
      <c r="BJ77" s="26">
        <f t="shared" si="31"/>
        <v>0</v>
      </c>
      <c r="BK77" s="26">
        <f t="shared" si="32"/>
        <v>0</v>
      </c>
      <c r="BL77" s="26">
        <f t="shared" si="33"/>
        <v>2.2367279999999905</v>
      </c>
      <c r="BM77" s="18">
        <f t="shared" si="34"/>
        <v>0</v>
      </c>
      <c r="BN77" s="18">
        <f t="shared" si="35"/>
        <v>0</v>
      </c>
      <c r="BO77" s="18">
        <f t="shared" si="36"/>
        <v>3.5844999999999851</v>
      </c>
    </row>
    <row r="78" spans="1:67">
      <c r="AD78" s="32">
        <v>74</v>
      </c>
      <c r="AE78" s="25" t="str">
        <f t="shared" si="13"/>
        <v>Left</v>
      </c>
      <c r="AF78" s="25" t="str">
        <f t="shared" si="14"/>
        <v>Channel</v>
      </c>
      <c r="AG78" s="32" t="str">
        <f>IF(XS_AnalyzerSummary!$AB$24&gt;=XS_AnalyzerSummary!AD78,"Y","N")</f>
        <v>Y</v>
      </c>
      <c r="AH78" s="38">
        <v>1</v>
      </c>
      <c r="AI78" s="38">
        <f>IF(AG78="Y",$O$19/XS_AnalyzerSummary!$AB$24,0)</f>
        <v>4.4999999999999998E-2</v>
      </c>
      <c r="AJ78" s="38">
        <f t="shared" si="15"/>
        <v>4.4999999999999998E-2</v>
      </c>
      <c r="AK78" s="93">
        <f t="shared" si="37"/>
        <v>4.3749999999999947</v>
      </c>
      <c r="AL78" s="93">
        <f>IF(AG78="Y",LININTERP(AK78,XS_Analyzer_Calculations!$AY$4:$AY$104,XS_Analyzer_Calculations!$AZ$4:$AZ$104),AL77)</f>
        <v>0.468750000000004</v>
      </c>
      <c r="AM78" s="38">
        <f t="shared" si="16"/>
        <v>4.5312499999999964</v>
      </c>
      <c r="AN78" s="18">
        <f t="shared" si="17"/>
        <v>0.20314687499999981</v>
      </c>
      <c r="AO78" s="100">
        <f t="shared" si="18"/>
        <v>5.6250000000000182E-2</v>
      </c>
      <c r="AP78" s="100">
        <f t="shared" si="19"/>
        <v>3.6114999999999848</v>
      </c>
      <c r="AQ78" s="18">
        <f t="shared" si="20"/>
        <v>1.7787811838447195E-3</v>
      </c>
      <c r="AR78" s="32">
        <f>IFERROR(IF(AG78="Y",VLOOKUP(AK78,XS_Analyzer_Calculations!$R$5:$T$104,3,TRUE),0),0)</f>
        <v>0.1</v>
      </c>
      <c r="AS78" s="198">
        <f t="shared" si="21"/>
        <v>0.01</v>
      </c>
      <c r="AT78" s="18">
        <f t="shared" si="22"/>
        <v>7.1059263441414418</v>
      </c>
      <c r="AU78" s="38">
        <f>AT78*XS_Analyzer_Calculations!$I$7^0.5</f>
        <v>0.71059263441414422</v>
      </c>
      <c r="AV78" s="18">
        <f t="shared" si="57"/>
        <v>3.4979255005234262</v>
      </c>
      <c r="AW78" s="18">
        <f t="shared" si="23"/>
        <v>2.2535759999999905</v>
      </c>
      <c r="AX78" s="18">
        <f t="shared" si="24"/>
        <v>5</v>
      </c>
      <c r="AY78" s="32">
        <f t="shared" si="25"/>
        <v>4.5143749999999958</v>
      </c>
      <c r="AZ78" s="18">
        <f>((AS78*AP78)/(1.65*XS_Analyzer!$Q$72))*12</f>
        <v>10.377867494334938</v>
      </c>
      <c r="BA78" s="18">
        <f>(AW78/((1.65*62.4)*XS_Analyzer!$Q$73))*12</f>
        <v>5.8367676767676526</v>
      </c>
      <c r="BB78" s="18">
        <f t="shared" si="26"/>
        <v>9.0663669964422748</v>
      </c>
      <c r="BC78" s="38">
        <f t="shared" si="27"/>
        <v>12.855052907186719</v>
      </c>
      <c r="BD78" s="18">
        <f>IF(ISNUMBER(LININTERP(AW78,Permissible_Shear!$T$178:$T$188,Permissible_Shear!$V$178:$V$188)),LININTERP(AW78,Permissible_Shear!$T$178:$T$188,Permissible_Shear!$V$178:$V$188),0)</f>
        <v>7.2891031430988189</v>
      </c>
      <c r="BE78" s="18">
        <f>LININTERP(AW78,Permissible_Shear!$S$205:$S$222,Permissible_Shear!$V$205:$V$222)</f>
        <v>7.3549249999999713</v>
      </c>
      <c r="BF78" s="18">
        <f>INDEX($AZ$3:$BE$204,ROW(BF78)-2,MATCH(XS_Analyzer!$S$5,XS_AnalyzerSummary!$AZ$2:$BE$2,0))</f>
        <v>9.0663669964422748</v>
      </c>
      <c r="BG78" s="26">
        <f t="shared" si="28"/>
        <v>0</v>
      </c>
      <c r="BH78" s="26">
        <f t="shared" si="29"/>
        <v>0</v>
      </c>
      <c r="BI78" s="26">
        <f t="shared" si="30"/>
        <v>3.4979255005234262</v>
      </c>
      <c r="BJ78" s="26">
        <f t="shared" si="31"/>
        <v>0</v>
      </c>
      <c r="BK78" s="26">
        <f t="shared" si="32"/>
        <v>0</v>
      </c>
      <c r="BL78" s="26">
        <f t="shared" si="33"/>
        <v>2.2535759999999905</v>
      </c>
      <c r="BM78" s="18">
        <f t="shared" si="34"/>
        <v>0</v>
      </c>
      <c r="BN78" s="18">
        <f t="shared" si="35"/>
        <v>0</v>
      </c>
      <c r="BO78" s="18">
        <f t="shared" si="36"/>
        <v>3.6114999999999848</v>
      </c>
    </row>
    <row r="79" spans="1:67">
      <c r="AD79" s="32">
        <v>75</v>
      </c>
      <c r="AE79" s="25" t="str">
        <f t="shared" si="13"/>
        <v>Left</v>
      </c>
      <c r="AF79" s="25" t="str">
        <f t="shared" si="14"/>
        <v>Channel</v>
      </c>
      <c r="AG79" s="32" t="str">
        <f>IF(XS_AnalyzerSummary!$AB$24&gt;=XS_AnalyzerSummary!AD79,"Y","N")</f>
        <v>Y</v>
      </c>
      <c r="AH79" s="38">
        <v>1</v>
      </c>
      <c r="AI79" s="38">
        <f>IF(AG79="Y",$O$19/XS_AnalyzerSummary!$AB$24,0)</f>
        <v>4.4999999999999998E-2</v>
      </c>
      <c r="AJ79" s="38">
        <f t="shared" si="15"/>
        <v>4.4999999999999998E-2</v>
      </c>
      <c r="AK79" s="93">
        <f t="shared" si="37"/>
        <v>4.4199999999999946</v>
      </c>
      <c r="AL79" s="93">
        <f>IF(AG79="Y",LININTERP(AK79,XS_Analyzer_Calculations!$AY$4:$AY$104,XS_Analyzer_Calculations!$AZ$4:$AZ$104),AL78)</f>
        <v>0.43500000000000405</v>
      </c>
      <c r="AM79" s="38">
        <f t="shared" si="16"/>
        <v>4.5649999999999959</v>
      </c>
      <c r="AN79" s="18">
        <f t="shared" si="17"/>
        <v>0.20466562499999982</v>
      </c>
      <c r="AO79" s="100">
        <f t="shared" si="18"/>
        <v>5.6249999999999648E-2</v>
      </c>
      <c r="AP79" s="100">
        <f t="shared" si="19"/>
        <v>3.6385000000000196</v>
      </c>
      <c r="AQ79" s="18">
        <f t="shared" si="20"/>
        <v>1.7787811838447026E-3</v>
      </c>
      <c r="AR79" s="32">
        <f>IFERROR(IF(AG79="Y",VLOOKUP(AK79,XS_Analyzer_Calculations!$R$5:$T$104,3,TRUE),0),0)</f>
        <v>0.1</v>
      </c>
      <c r="AS79" s="198">
        <f t="shared" si="21"/>
        <v>0.01</v>
      </c>
      <c r="AT79" s="18">
        <f t="shared" si="22"/>
        <v>7.1946880487901295</v>
      </c>
      <c r="AU79" s="38">
        <f>AT79*XS_Analyzer_Calculations!$I$7^0.5</f>
        <v>0.71946880487901299</v>
      </c>
      <c r="AV79" s="18">
        <f t="shared" si="57"/>
        <v>3.515337785126416</v>
      </c>
      <c r="AW79" s="18">
        <f t="shared" si="23"/>
        <v>2.2704240000000122</v>
      </c>
      <c r="AX79" s="18">
        <f t="shared" si="24"/>
        <v>5</v>
      </c>
      <c r="AY79" s="32">
        <f t="shared" si="25"/>
        <v>4.5481249999999962</v>
      </c>
      <c r="AZ79" s="18">
        <f>((AS79*AP79)/(1.65*XS_Analyzer!$Q$72))*12</f>
        <v>10.4554536558599</v>
      </c>
      <c r="BA79" s="18">
        <f>(AW79/((1.65*62.4)*XS_Analyzer!$Q$73))*12</f>
        <v>5.8804040404040725</v>
      </c>
      <c r="BB79" s="18">
        <f t="shared" si="26"/>
        <v>9.1367429885774545</v>
      </c>
      <c r="BC79" s="38">
        <f t="shared" si="27"/>
        <v>12.925406394815814</v>
      </c>
      <c r="BD79" s="18">
        <f>IF(ISNUMBER(LININTERP(AW79,Permissible_Shear!$T$178:$T$188,Permissible_Shear!$V$178:$V$188)),LININTERP(AW79,Permissible_Shear!$T$178:$T$188,Permissible_Shear!$V$178:$V$188),0)</f>
        <v>7.3417291598881107</v>
      </c>
      <c r="BE79" s="18">
        <f>LININTERP(AW79,Permissible_Shear!$S$205:$S$222,Permissible_Shear!$V$205:$V$222)</f>
        <v>7.4075750000000387</v>
      </c>
      <c r="BF79" s="18">
        <f>INDEX($AZ$3:$BE$204,ROW(BF79)-2,MATCH(XS_Analyzer!$S$5,XS_AnalyzerSummary!$AZ$2:$BE$2,0))</f>
        <v>9.1367429885774545</v>
      </c>
      <c r="BG79" s="26">
        <f t="shared" si="28"/>
        <v>0</v>
      </c>
      <c r="BH79" s="26">
        <f t="shared" si="29"/>
        <v>0</v>
      </c>
      <c r="BI79" s="26">
        <f t="shared" si="30"/>
        <v>3.515337785126416</v>
      </c>
      <c r="BJ79" s="26">
        <f t="shared" si="31"/>
        <v>0</v>
      </c>
      <c r="BK79" s="26">
        <f t="shared" si="32"/>
        <v>0</v>
      </c>
      <c r="BL79" s="26">
        <f t="shared" si="33"/>
        <v>2.2704240000000122</v>
      </c>
      <c r="BM79" s="18">
        <f t="shared" si="34"/>
        <v>0</v>
      </c>
      <c r="BN79" s="18">
        <f t="shared" si="35"/>
        <v>0</v>
      </c>
      <c r="BO79" s="18">
        <f t="shared" si="36"/>
        <v>3.6385000000000196</v>
      </c>
    </row>
    <row r="80" spans="1:67">
      <c r="AD80" s="32">
        <v>76</v>
      </c>
      <c r="AE80" s="25" t="str">
        <f t="shared" si="13"/>
        <v>Left</v>
      </c>
      <c r="AF80" s="25" t="str">
        <f t="shared" si="14"/>
        <v>Channel</v>
      </c>
      <c r="AG80" s="32" t="str">
        <f>IF(XS_AnalyzerSummary!$AB$24&gt;=XS_AnalyzerSummary!AD80,"Y","N")</f>
        <v>Y</v>
      </c>
      <c r="AH80" s="38">
        <v>1</v>
      </c>
      <c r="AI80" s="38">
        <f>IF(AG80="Y",$O$19/XS_AnalyzerSummary!$AB$24,0)</f>
        <v>4.4999999999999998E-2</v>
      </c>
      <c r="AJ80" s="38">
        <f t="shared" si="15"/>
        <v>4.4999999999999998E-2</v>
      </c>
      <c r="AK80" s="93">
        <f t="shared" si="37"/>
        <v>4.4649999999999945</v>
      </c>
      <c r="AL80" s="93">
        <f>IF(AG80="Y",LININTERP(AK80,XS_Analyzer_Calculations!$AY$4:$AY$104,XS_Analyzer_Calculations!$AZ$4:$AZ$104),AL79)</f>
        <v>0.4012500000000041</v>
      </c>
      <c r="AM80" s="38">
        <f t="shared" si="16"/>
        <v>4.5987499999999955</v>
      </c>
      <c r="AN80" s="18">
        <f t="shared" si="17"/>
        <v>0.20618437499999981</v>
      </c>
      <c r="AO80" s="100">
        <f t="shared" si="18"/>
        <v>5.6249999999999648E-2</v>
      </c>
      <c r="AP80" s="100">
        <f t="shared" si="19"/>
        <v>3.6655000000000197</v>
      </c>
      <c r="AQ80" s="18">
        <f t="shared" si="20"/>
        <v>1.7787811838447026E-3</v>
      </c>
      <c r="AR80" s="32">
        <f>IFERROR(IF(AG80="Y",VLOOKUP(AK80,XS_Analyzer_Calculations!$R$5:$T$104,3,TRUE),0),0)</f>
        <v>0.1</v>
      </c>
      <c r="AS80" s="198">
        <f t="shared" si="21"/>
        <v>0.01</v>
      </c>
      <c r="AT80" s="18">
        <f t="shared" si="22"/>
        <v>7.2838899565568083</v>
      </c>
      <c r="AU80" s="38">
        <f>AT80*XS_Analyzer_Calculations!$I$7^0.5</f>
        <v>0.72838899565568083</v>
      </c>
      <c r="AV80" s="18">
        <f t="shared" si="57"/>
        <v>3.532707052392702</v>
      </c>
      <c r="AW80" s="18">
        <f t="shared" si="23"/>
        <v>2.2872720000000122</v>
      </c>
      <c r="AX80" s="18">
        <f t="shared" si="24"/>
        <v>5</v>
      </c>
      <c r="AY80" s="32">
        <f t="shared" si="25"/>
        <v>4.5818749999999957</v>
      </c>
      <c r="AZ80" s="18">
        <f>((AS80*AP80)/(1.65*XS_Analyzer!$Q$72))*12</f>
        <v>10.533039817384765</v>
      </c>
      <c r="BA80" s="18">
        <f>(AW80/((1.65*62.4)*XS_Analyzer!$Q$73))*12</f>
        <v>5.9240404040404364</v>
      </c>
      <c r="BB80" s="18">
        <f t="shared" si="26"/>
        <v>9.2071408370869179</v>
      </c>
      <c r="BC80" s="38">
        <f t="shared" si="27"/>
        <v>12.995622438941888</v>
      </c>
      <c r="BD80" s="18">
        <f>IF(ISNUMBER(LININTERP(AW80,Permissible_Shear!$T$178:$T$188,Permissible_Shear!$V$178:$V$188)),LININTERP(AW80,Permissible_Shear!$T$178:$T$188,Permissible_Shear!$V$178:$V$188),0)</f>
        <v>7.394355176677335</v>
      </c>
      <c r="BE80" s="18">
        <f>LININTERP(AW80,Permissible_Shear!$S$205:$S$222,Permissible_Shear!$V$205:$V$222)</f>
        <v>7.4602250000000385</v>
      </c>
      <c r="BF80" s="18">
        <f>INDEX($AZ$3:$BE$204,ROW(BF80)-2,MATCH(XS_Analyzer!$S$5,XS_AnalyzerSummary!$AZ$2:$BE$2,0))</f>
        <v>9.2071408370869179</v>
      </c>
      <c r="BG80" s="26">
        <f t="shared" si="28"/>
        <v>0</v>
      </c>
      <c r="BH80" s="26">
        <f t="shared" si="29"/>
        <v>0</v>
      </c>
      <c r="BI80" s="26">
        <f t="shared" si="30"/>
        <v>3.532707052392702</v>
      </c>
      <c r="BJ80" s="26">
        <f t="shared" si="31"/>
        <v>0</v>
      </c>
      <c r="BK80" s="26">
        <f t="shared" si="32"/>
        <v>0</v>
      </c>
      <c r="BL80" s="26">
        <f t="shared" si="33"/>
        <v>2.2872720000000122</v>
      </c>
      <c r="BM80" s="18">
        <f t="shared" si="34"/>
        <v>0</v>
      </c>
      <c r="BN80" s="18">
        <f t="shared" si="35"/>
        <v>0</v>
      </c>
      <c r="BO80" s="18">
        <f t="shared" si="36"/>
        <v>3.6655000000000197</v>
      </c>
    </row>
    <row r="81" spans="30:67">
      <c r="AD81" s="32">
        <v>77</v>
      </c>
      <c r="AE81" s="25" t="str">
        <f t="shared" si="13"/>
        <v>Left</v>
      </c>
      <c r="AF81" s="25" t="str">
        <f t="shared" si="14"/>
        <v>Channel</v>
      </c>
      <c r="AG81" s="32" t="str">
        <f>IF(XS_AnalyzerSummary!$AB$24&gt;=XS_AnalyzerSummary!AD81,"Y","N")</f>
        <v>Y</v>
      </c>
      <c r="AH81" s="38">
        <v>1</v>
      </c>
      <c r="AI81" s="38">
        <f>IF(AG81="Y",$O$19/XS_AnalyzerSummary!$AB$24,0)</f>
        <v>4.4999999999999998E-2</v>
      </c>
      <c r="AJ81" s="38">
        <f t="shared" si="15"/>
        <v>4.4999999999999998E-2</v>
      </c>
      <c r="AK81" s="93">
        <f t="shared" si="37"/>
        <v>4.5099999999999945</v>
      </c>
      <c r="AL81" s="93">
        <f>IF(AG81="Y",LININTERP(AK81,XS_Analyzer_Calculations!$AY$4:$AY$104,XS_Analyzer_Calculations!$AZ$4:$AZ$104),AL80)</f>
        <v>0.36750000000000416</v>
      </c>
      <c r="AM81" s="38">
        <f t="shared" si="16"/>
        <v>4.6324999999999958</v>
      </c>
      <c r="AN81" s="18">
        <f t="shared" si="17"/>
        <v>0.20770312499999982</v>
      </c>
      <c r="AO81" s="100">
        <f t="shared" si="18"/>
        <v>5.6250000000000182E-2</v>
      </c>
      <c r="AP81" s="100">
        <f t="shared" si="19"/>
        <v>3.6924999999999848</v>
      </c>
      <c r="AQ81" s="18">
        <f t="shared" si="20"/>
        <v>1.7787811838447195E-3</v>
      </c>
      <c r="AR81" s="32">
        <f>IFERROR(IF(AG81="Y",VLOOKUP(AK81,XS_Analyzer_Calculations!$R$5:$T$104,3,TRUE),0),0)</f>
        <v>0.1</v>
      </c>
      <c r="AS81" s="198">
        <f t="shared" si="21"/>
        <v>0.01</v>
      </c>
      <c r="AT81" s="18">
        <f t="shared" si="22"/>
        <v>7.3735309839211292</v>
      </c>
      <c r="AU81" s="38">
        <f>AT81*XS_Analyzer_Calculations!$I$7^0.5</f>
        <v>0.73735309839211294</v>
      </c>
      <c r="AV81" s="18">
        <f t="shared" si="57"/>
        <v>3.5500337242981472</v>
      </c>
      <c r="AW81" s="18">
        <f t="shared" si="23"/>
        <v>2.3041199999999904</v>
      </c>
      <c r="AX81" s="18">
        <f t="shared" si="24"/>
        <v>5</v>
      </c>
      <c r="AY81" s="32">
        <f t="shared" si="25"/>
        <v>4.6156249999999961</v>
      </c>
      <c r="AZ81" s="18">
        <f>((AS81*AP81)/(1.65*XS_Analyzer!$Q$72))*12</f>
        <v>10.610625978909527</v>
      </c>
      <c r="BA81" s="18">
        <f>(AW81/((1.65*62.4)*XS_Analyzer!$Q$73))*12</f>
        <v>5.9676767676767435</v>
      </c>
      <c r="BB81" s="18">
        <f t="shared" si="26"/>
        <v>9.2775603882782818</v>
      </c>
      <c r="BC81" s="38">
        <f t="shared" si="27"/>
        <v>13.065702313840623</v>
      </c>
      <c r="BD81" s="18">
        <f>IF(ISNUMBER(LININTERP(AW81,Permissible_Shear!$T$178:$T$188,Permissible_Shear!$V$178:$V$188)),LININTERP(AW81,Permissible_Shear!$T$178:$T$188,Permissible_Shear!$V$178:$V$188),0)</f>
        <v>7.44698119346649</v>
      </c>
      <c r="BE81" s="18">
        <f>LININTERP(AW81,Permissible_Shear!$S$205:$S$222,Permissible_Shear!$V$205:$V$222)</f>
        <v>7.5128749999999709</v>
      </c>
      <c r="BF81" s="18">
        <f>INDEX($AZ$3:$BE$204,ROW(BF81)-2,MATCH(XS_Analyzer!$S$5,XS_AnalyzerSummary!$AZ$2:$BE$2,0))</f>
        <v>9.2775603882782818</v>
      </c>
      <c r="BG81" s="26">
        <f t="shared" si="28"/>
        <v>0</v>
      </c>
      <c r="BH81" s="26">
        <f t="shared" si="29"/>
        <v>0</v>
      </c>
      <c r="BI81" s="26">
        <f t="shared" si="30"/>
        <v>3.5500337242981472</v>
      </c>
      <c r="BJ81" s="26">
        <f t="shared" si="31"/>
        <v>0</v>
      </c>
      <c r="BK81" s="26">
        <f t="shared" si="32"/>
        <v>0</v>
      </c>
      <c r="BL81" s="26">
        <f t="shared" si="33"/>
        <v>2.3041199999999904</v>
      </c>
      <c r="BM81" s="18">
        <f t="shared" si="34"/>
        <v>0</v>
      </c>
      <c r="BN81" s="18">
        <f t="shared" si="35"/>
        <v>0</v>
      </c>
      <c r="BO81" s="18">
        <f t="shared" si="36"/>
        <v>3.6924999999999848</v>
      </c>
    </row>
    <row r="82" spans="30:67">
      <c r="AD82" s="32">
        <v>78</v>
      </c>
      <c r="AE82" s="25" t="str">
        <f t="shared" si="13"/>
        <v>Left</v>
      </c>
      <c r="AF82" s="25" t="str">
        <f t="shared" si="14"/>
        <v>Channel</v>
      </c>
      <c r="AG82" s="32" t="str">
        <f>IF(XS_AnalyzerSummary!$AB$24&gt;=XS_AnalyzerSummary!AD82,"Y","N")</f>
        <v>Y</v>
      </c>
      <c r="AH82" s="38">
        <v>1</v>
      </c>
      <c r="AI82" s="38">
        <f>IF(AG82="Y",$O$19/XS_AnalyzerSummary!$AB$24,0)</f>
        <v>4.4999999999999998E-2</v>
      </c>
      <c r="AJ82" s="38">
        <f t="shared" si="15"/>
        <v>4.4999999999999998E-2</v>
      </c>
      <c r="AK82" s="93">
        <f t="shared" si="37"/>
        <v>4.5549999999999944</v>
      </c>
      <c r="AL82" s="93">
        <f>IF(AG82="Y",LININTERP(AK82,XS_Analyzer_Calculations!$AY$4:$AY$104,XS_Analyzer_Calculations!$AZ$4:$AZ$104),AL81)</f>
        <v>0.33375000000000421</v>
      </c>
      <c r="AM82" s="38">
        <f t="shared" si="16"/>
        <v>4.6662499999999962</v>
      </c>
      <c r="AN82" s="18">
        <f t="shared" si="17"/>
        <v>0.20922187499999981</v>
      </c>
      <c r="AO82" s="100">
        <f t="shared" si="18"/>
        <v>5.6250000000000182E-2</v>
      </c>
      <c r="AP82" s="100">
        <f t="shared" si="19"/>
        <v>3.7194999999999845</v>
      </c>
      <c r="AQ82" s="18">
        <f t="shared" si="20"/>
        <v>1.7787811838447195E-3</v>
      </c>
      <c r="AR82" s="32">
        <f>IFERROR(IF(AG82="Y",VLOOKUP(AK82,XS_Analyzer_Calculations!$R$5:$T$104,3,TRUE),0),0)</f>
        <v>0.1</v>
      </c>
      <c r="AS82" s="198">
        <f t="shared" si="21"/>
        <v>0.01</v>
      </c>
      <c r="AT82" s="18">
        <f t="shared" si="22"/>
        <v>7.4636100579527183</v>
      </c>
      <c r="AU82" s="38">
        <f>AT82*XS_Analyzer_Calculations!$I$7^0.5</f>
        <v>0.74636100579527187</v>
      </c>
      <c r="AV82" s="18">
        <f t="shared" si="57"/>
        <v>3.5673182156276564</v>
      </c>
      <c r="AW82" s="18">
        <f t="shared" si="23"/>
        <v>2.3209679999999904</v>
      </c>
      <c r="AX82" s="18">
        <f t="shared" si="24"/>
        <v>5</v>
      </c>
      <c r="AY82" s="32">
        <f t="shared" si="25"/>
        <v>4.6493749999999956</v>
      </c>
      <c r="AZ82" s="18">
        <f>((AS82*AP82)/(1.65*XS_Analyzer!$Q$72))*12</f>
        <v>10.688212140434391</v>
      </c>
      <c r="BA82" s="18">
        <f>(AW82/((1.65*62.4)*XS_Analyzer!$Q$73))*12</f>
        <v>6.0113131313131074</v>
      </c>
      <c r="BB82" s="18">
        <f t="shared" si="26"/>
        <v>9.34800149065196</v>
      </c>
      <c r="BC82" s="38">
        <f t="shared" si="27"/>
        <v>13.135647272784444</v>
      </c>
      <c r="BD82" s="18">
        <f>IF(ISNUMBER(LININTERP(AW82,Permissible_Shear!$T$178:$T$188,Permissible_Shear!$V$178:$V$188)),LININTERP(AW82,Permissible_Shear!$T$178:$T$188,Permissible_Shear!$V$178:$V$188),0)</f>
        <v>7.4996072102557143</v>
      </c>
      <c r="BE82" s="18">
        <f>LININTERP(AW82,Permissible_Shear!$S$205:$S$222,Permissible_Shear!$V$205:$V$222)</f>
        <v>7.5655249999999707</v>
      </c>
      <c r="BF82" s="18">
        <f>INDEX($AZ$3:$BE$204,ROW(BF82)-2,MATCH(XS_Analyzer!$S$5,XS_AnalyzerSummary!$AZ$2:$BE$2,0))</f>
        <v>9.34800149065196</v>
      </c>
      <c r="BG82" s="26">
        <f t="shared" si="28"/>
        <v>0</v>
      </c>
      <c r="BH82" s="26">
        <f t="shared" si="29"/>
        <v>0</v>
      </c>
      <c r="BI82" s="26">
        <f t="shared" si="30"/>
        <v>3.5673182156276564</v>
      </c>
      <c r="BJ82" s="26">
        <f t="shared" si="31"/>
        <v>0</v>
      </c>
      <c r="BK82" s="26">
        <f t="shared" si="32"/>
        <v>0</v>
      </c>
      <c r="BL82" s="26">
        <f t="shared" si="33"/>
        <v>2.3209679999999904</v>
      </c>
      <c r="BM82" s="18">
        <f t="shared" si="34"/>
        <v>0</v>
      </c>
      <c r="BN82" s="18">
        <f t="shared" si="35"/>
        <v>0</v>
      </c>
      <c r="BO82" s="18">
        <f t="shared" si="36"/>
        <v>3.7194999999999845</v>
      </c>
    </row>
    <row r="83" spans="30:67">
      <c r="AD83" s="32">
        <v>79</v>
      </c>
      <c r="AE83" s="25" t="str">
        <f t="shared" si="13"/>
        <v>Left</v>
      </c>
      <c r="AF83" s="25" t="str">
        <f t="shared" si="14"/>
        <v>Channel</v>
      </c>
      <c r="AG83" s="32" t="str">
        <f>IF(XS_AnalyzerSummary!$AB$24&gt;=XS_AnalyzerSummary!AD83,"Y","N")</f>
        <v>Y</v>
      </c>
      <c r="AH83" s="38">
        <v>1</v>
      </c>
      <c r="AI83" s="38">
        <f>IF(AG83="Y",$O$19/XS_AnalyzerSummary!$AB$24,0)</f>
        <v>4.4999999999999998E-2</v>
      </c>
      <c r="AJ83" s="38">
        <f t="shared" si="15"/>
        <v>4.4999999999999998E-2</v>
      </c>
      <c r="AK83" s="93">
        <f t="shared" si="37"/>
        <v>4.5999999999999943</v>
      </c>
      <c r="AL83" s="93">
        <f>IF(AG83="Y",LININTERP(AK83,XS_Analyzer_Calculations!$AY$4:$AY$104,XS_Analyzer_Calculations!$AZ$4:$AZ$104),AL82)</f>
        <v>0.30000000000000426</v>
      </c>
      <c r="AM83" s="38">
        <f t="shared" si="16"/>
        <v>4.6999999999999957</v>
      </c>
      <c r="AN83" s="18">
        <f t="shared" si="17"/>
        <v>0.21074062499999982</v>
      </c>
      <c r="AO83" s="100">
        <f t="shared" si="18"/>
        <v>5.6249999999999648E-2</v>
      </c>
      <c r="AP83" s="100">
        <f t="shared" si="19"/>
        <v>3.7465000000000201</v>
      </c>
      <c r="AQ83" s="18">
        <f t="shared" si="20"/>
        <v>1.7787811838447026E-3</v>
      </c>
      <c r="AR83" s="32">
        <f>IFERROR(IF(AG83="Y",VLOOKUP(AK83,XS_Analyzer_Calculations!$R$5:$T$104,3,TRUE),0),0)</f>
        <v>0.1</v>
      </c>
      <c r="AS83" s="198">
        <f t="shared" si="21"/>
        <v>0.01</v>
      </c>
      <c r="AT83" s="18">
        <f t="shared" si="22"/>
        <v>7.554126116131183</v>
      </c>
      <c r="AU83" s="38">
        <f>AT83*XS_Analyzer_Calculations!$I$7^0.5</f>
        <v>0.75541261161311835</v>
      </c>
      <c r="AV83" s="18">
        <f t="shared" si="57"/>
        <v>3.5845609341488807</v>
      </c>
      <c r="AW83" s="18">
        <f t="shared" si="23"/>
        <v>2.3378160000000126</v>
      </c>
      <c r="AX83" s="18">
        <f t="shared" si="24"/>
        <v>5</v>
      </c>
      <c r="AY83" s="32">
        <f t="shared" si="25"/>
        <v>4.683124999999996</v>
      </c>
      <c r="AZ83" s="18">
        <f>((AS83*AP83)/(1.65*XS_Analyzer!$Q$72))*12</f>
        <v>10.765798301959354</v>
      </c>
      <c r="BA83" s="18">
        <f>(AW83/((1.65*62.4)*XS_Analyzer!$Q$73))*12</f>
        <v>6.0549494949495282</v>
      </c>
      <c r="BB83" s="18">
        <f t="shared" si="26"/>
        <v>9.4184639948542657</v>
      </c>
      <c r="BC83" s="38">
        <f t="shared" si="27"/>
        <v>13.20545854853796</v>
      </c>
      <c r="BD83" s="18">
        <f>IF(ISNUMBER(LININTERP(AW83,Permissible_Shear!$T$178:$T$188,Permissible_Shear!$V$178:$V$188)),LININTERP(AW83,Permissible_Shear!$T$178:$T$188,Permissible_Shear!$V$178:$V$188),0)</f>
        <v>7.5522332270450061</v>
      </c>
      <c r="BE83" s="18">
        <f>LININTERP(AW83,Permissible_Shear!$S$205:$S$222,Permissible_Shear!$V$205:$V$222)</f>
        <v>7.6181750000000399</v>
      </c>
      <c r="BF83" s="18">
        <f>INDEX($AZ$3:$BE$204,ROW(BF83)-2,MATCH(XS_Analyzer!$S$5,XS_AnalyzerSummary!$AZ$2:$BE$2,0))</f>
        <v>9.4184639948542657</v>
      </c>
      <c r="BG83" s="26">
        <f t="shared" si="28"/>
        <v>0</v>
      </c>
      <c r="BH83" s="26">
        <f t="shared" si="29"/>
        <v>0</v>
      </c>
      <c r="BI83" s="26">
        <f t="shared" si="30"/>
        <v>3.5845609341488807</v>
      </c>
      <c r="BJ83" s="26">
        <f t="shared" si="31"/>
        <v>0</v>
      </c>
      <c r="BK83" s="26">
        <f t="shared" si="32"/>
        <v>0</v>
      </c>
      <c r="BL83" s="26">
        <f t="shared" si="33"/>
        <v>2.3378160000000126</v>
      </c>
      <c r="BM83" s="18">
        <f t="shared" si="34"/>
        <v>0</v>
      </c>
      <c r="BN83" s="18">
        <f t="shared" si="35"/>
        <v>0</v>
      </c>
      <c r="BO83" s="18">
        <f t="shared" si="36"/>
        <v>3.7465000000000201</v>
      </c>
    </row>
    <row r="84" spans="30:67">
      <c r="AD84" s="32">
        <v>80</v>
      </c>
      <c r="AE84" s="25" t="str">
        <f t="shared" si="13"/>
        <v>Left</v>
      </c>
      <c r="AF84" s="25" t="str">
        <f t="shared" si="14"/>
        <v>Channel</v>
      </c>
      <c r="AG84" s="32" t="str">
        <f>IF(XS_AnalyzerSummary!$AB$24&gt;=XS_AnalyzerSummary!AD84,"Y","N")</f>
        <v>Y</v>
      </c>
      <c r="AH84" s="38">
        <v>1</v>
      </c>
      <c r="AI84" s="38">
        <f>IF(AG84="Y",$O$19/XS_AnalyzerSummary!$AB$24,0)</f>
        <v>4.4999999999999998E-2</v>
      </c>
      <c r="AJ84" s="38">
        <f t="shared" si="15"/>
        <v>4.4999999999999998E-2</v>
      </c>
      <c r="AK84" s="93">
        <f t="shared" si="37"/>
        <v>4.6449999999999942</v>
      </c>
      <c r="AL84" s="93">
        <f>IF(AG84="Y",LININTERP(AK84,XS_Analyzer_Calculations!$AY$4:$AY$104,XS_Analyzer_Calculations!$AZ$4:$AZ$104),AL83)</f>
        <v>0.26625000000000432</v>
      </c>
      <c r="AM84" s="38">
        <f t="shared" si="16"/>
        <v>4.7337499999999952</v>
      </c>
      <c r="AN84" s="18">
        <f t="shared" si="17"/>
        <v>0.21225937499999978</v>
      </c>
      <c r="AO84" s="100">
        <f t="shared" si="18"/>
        <v>5.6249999999999648E-2</v>
      </c>
      <c r="AP84" s="100">
        <f t="shared" si="19"/>
        <v>3.7735000000000198</v>
      </c>
      <c r="AQ84" s="18">
        <f t="shared" si="20"/>
        <v>1.7787811838447026E-3</v>
      </c>
      <c r="AR84" s="32">
        <f>IFERROR(IF(AG84="Y",VLOOKUP(AK84,XS_Analyzer_Calculations!$R$5:$T$104,3,TRUE),0),0)</f>
        <v>0.1</v>
      </c>
      <c r="AS84" s="198">
        <f t="shared" si="21"/>
        <v>0.01</v>
      </c>
      <c r="AT84" s="18">
        <f t="shared" si="22"/>
        <v>7.6450781061706135</v>
      </c>
      <c r="AU84" s="38">
        <f>AT84*XS_Analyzer_Calculations!$I$7^0.5</f>
        <v>0.76450781061706141</v>
      </c>
      <c r="AV84" s="18">
        <f t="shared" si="57"/>
        <v>3.6017622807805885</v>
      </c>
      <c r="AW84" s="18">
        <f t="shared" si="23"/>
        <v>2.3546640000000125</v>
      </c>
      <c r="AX84" s="18">
        <f t="shared" si="24"/>
        <v>5</v>
      </c>
      <c r="AY84" s="32">
        <f t="shared" si="25"/>
        <v>4.7168749999999955</v>
      </c>
      <c r="AZ84" s="18">
        <f>((AS84*AP84)/(1.65*XS_Analyzer!$Q$72))*12</f>
        <v>10.843384463484217</v>
      </c>
      <c r="BA84" s="18">
        <f>(AW84/((1.65*62.4)*XS_Analyzer!$Q$73))*12</f>
        <v>6.0985858585858921</v>
      </c>
      <c r="BB84" s="18">
        <f t="shared" si="26"/>
        <v>9.4889477536318125</v>
      </c>
      <c r="BC84" s="38">
        <f t="shared" si="27"/>
        <v>13.275137353838288</v>
      </c>
      <c r="BD84" s="18">
        <f>IF(ISNUMBER(LININTERP(AW84,Permissible_Shear!$T$178:$T$188,Permissible_Shear!$V$178:$V$188)),LININTERP(AW84,Permissible_Shear!$T$178:$T$188,Permissible_Shear!$V$178:$V$188),0)</f>
        <v>7.6066285019094062</v>
      </c>
      <c r="BE84" s="18">
        <f>LININTERP(AW84,Permissible_Shear!$S$205:$S$222,Permissible_Shear!$V$205:$V$222)</f>
        <v>7.6708250000000398</v>
      </c>
      <c r="BF84" s="18">
        <f>INDEX($AZ$3:$BE$204,ROW(BF84)-2,MATCH(XS_Analyzer!$S$5,XS_AnalyzerSummary!$AZ$2:$BE$2,0))</f>
        <v>9.4889477536318125</v>
      </c>
      <c r="BG84" s="26">
        <f t="shared" si="28"/>
        <v>0</v>
      </c>
      <c r="BH84" s="26">
        <f t="shared" si="29"/>
        <v>0</v>
      </c>
      <c r="BI84" s="26">
        <f t="shared" si="30"/>
        <v>3.6017622807805885</v>
      </c>
      <c r="BJ84" s="26">
        <f t="shared" si="31"/>
        <v>0</v>
      </c>
      <c r="BK84" s="26">
        <f t="shared" si="32"/>
        <v>0</v>
      </c>
      <c r="BL84" s="26">
        <f t="shared" si="33"/>
        <v>2.3546640000000125</v>
      </c>
      <c r="BM84" s="18">
        <f t="shared" si="34"/>
        <v>0</v>
      </c>
      <c r="BN84" s="18">
        <f t="shared" si="35"/>
        <v>0</v>
      </c>
      <c r="BO84" s="18">
        <f t="shared" si="36"/>
        <v>3.7735000000000198</v>
      </c>
    </row>
    <row r="85" spans="30:67">
      <c r="AD85" s="32">
        <v>81</v>
      </c>
      <c r="AE85" s="25" t="str">
        <f t="shared" si="13"/>
        <v>Left</v>
      </c>
      <c r="AF85" s="25" t="str">
        <f t="shared" si="14"/>
        <v>Channel</v>
      </c>
      <c r="AG85" s="32" t="str">
        <f>IF(XS_AnalyzerSummary!$AB$24&gt;=XS_AnalyzerSummary!AD85,"Y","N")</f>
        <v>Y</v>
      </c>
      <c r="AH85" s="38">
        <v>1</v>
      </c>
      <c r="AI85" s="38">
        <f>IF(AG85="Y",$O$19/XS_AnalyzerSummary!$AB$24,0)</f>
        <v>4.4999999999999998E-2</v>
      </c>
      <c r="AJ85" s="38">
        <f t="shared" si="15"/>
        <v>4.4999999999999998E-2</v>
      </c>
      <c r="AK85" s="93">
        <f t="shared" si="37"/>
        <v>4.6899999999999942</v>
      </c>
      <c r="AL85" s="93">
        <f>IF(AG85="Y",LININTERP(AK85,XS_Analyzer_Calculations!$AY$4:$AY$104,XS_Analyzer_Calculations!$AZ$4:$AZ$104),AL84)</f>
        <v>0.23250000000000437</v>
      </c>
      <c r="AM85" s="38">
        <f t="shared" si="16"/>
        <v>4.7674999999999956</v>
      </c>
      <c r="AN85" s="18">
        <f t="shared" si="17"/>
        <v>0.21377812499999982</v>
      </c>
      <c r="AO85" s="100">
        <f t="shared" si="18"/>
        <v>5.6250000000000182E-2</v>
      </c>
      <c r="AP85" s="100">
        <f t="shared" si="19"/>
        <v>3.8004999999999844</v>
      </c>
      <c r="AQ85" s="18">
        <f t="shared" si="20"/>
        <v>1.7787811838447195E-3</v>
      </c>
      <c r="AR85" s="32">
        <f>IFERROR(IF(AG85="Y",VLOOKUP(AK85,XS_Analyzer_Calculations!$R$5:$T$104,3,TRUE),0),0)</f>
        <v>0.1</v>
      </c>
      <c r="AS85" s="198">
        <f t="shared" si="21"/>
        <v>0.01</v>
      </c>
      <c r="AT85" s="18">
        <f t="shared" si="22"/>
        <v>7.7364649858485102</v>
      </c>
      <c r="AU85" s="38">
        <f>AT85*XS_Analyzer_Calculations!$I$7^0.5</f>
        <v>0.77364649858485102</v>
      </c>
      <c r="AV85" s="18">
        <f t="shared" si="57"/>
        <v>3.618922649755917</v>
      </c>
      <c r="AW85" s="18">
        <f t="shared" si="23"/>
        <v>2.3715119999999903</v>
      </c>
      <c r="AX85" s="18">
        <f t="shared" si="24"/>
        <v>5</v>
      </c>
      <c r="AY85" s="32">
        <f t="shared" si="25"/>
        <v>4.7506249999999959</v>
      </c>
      <c r="AZ85" s="18">
        <f>((AS85*AP85)/(1.65*XS_Analyzer!$Q$72))*12</f>
        <v>10.92097062500898</v>
      </c>
      <c r="BA85" s="18">
        <f>(AW85/((1.65*62.4)*XS_Analyzer!$Q$73))*12</f>
        <v>6.1422222222221974</v>
      </c>
      <c r="BB85" s="18">
        <f t="shared" si="26"/>
        <v>9.559452621787214</v>
      </c>
      <c r="BC85" s="38">
        <f t="shared" si="27"/>
        <v>13.344684881860751</v>
      </c>
      <c r="BD85" s="18">
        <f>IF(ISNUMBER(LININTERP(AW85,Permissible_Shear!$T$178:$T$188,Permissible_Shear!$V$178:$V$188)),LININTERP(AW85,Permissible_Shear!$T$178:$T$188,Permissible_Shear!$V$178:$V$188),0)</f>
        <v>7.6612872832955663</v>
      </c>
      <c r="BE85" s="18">
        <f>LININTERP(AW85,Permissible_Shear!$S$205:$S$222,Permissible_Shear!$V$205:$V$222)</f>
        <v>7.7234749999999703</v>
      </c>
      <c r="BF85" s="18">
        <f>INDEX($AZ$3:$BE$204,ROW(BF85)-2,MATCH(XS_Analyzer!$S$5,XS_AnalyzerSummary!$AZ$2:$BE$2,0))</f>
        <v>9.559452621787214</v>
      </c>
      <c r="BG85" s="26">
        <f t="shared" si="28"/>
        <v>0</v>
      </c>
      <c r="BH85" s="26">
        <f t="shared" si="29"/>
        <v>0</v>
      </c>
      <c r="BI85" s="26">
        <f t="shared" si="30"/>
        <v>3.618922649755917</v>
      </c>
      <c r="BJ85" s="26">
        <f t="shared" si="31"/>
        <v>0</v>
      </c>
      <c r="BK85" s="26">
        <f t="shared" si="32"/>
        <v>0</v>
      </c>
      <c r="BL85" s="26">
        <f t="shared" si="33"/>
        <v>2.3715119999999903</v>
      </c>
      <c r="BM85" s="18">
        <f t="shared" si="34"/>
        <v>0</v>
      </c>
      <c r="BN85" s="18">
        <f t="shared" si="35"/>
        <v>0</v>
      </c>
      <c r="BO85" s="18">
        <f t="shared" si="36"/>
        <v>3.8004999999999844</v>
      </c>
    </row>
    <row r="86" spans="30:67">
      <c r="AD86" s="32">
        <v>82</v>
      </c>
      <c r="AE86" s="25" t="str">
        <f t="shared" si="13"/>
        <v>Left</v>
      </c>
      <c r="AF86" s="25" t="str">
        <f t="shared" si="14"/>
        <v>Channel</v>
      </c>
      <c r="AG86" s="32" t="str">
        <f>IF(XS_AnalyzerSummary!$AB$24&gt;=XS_AnalyzerSummary!AD86,"Y","N")</f>
        <v>Y</v>
      </c>
      <c r="AH86" s="38">
        <v>1</v>
      </c>
      <c r="AI86" s="38">
        <f>IF(AG86="Y",$O$19/XS_AnalyzerSummary!$AB$24,0)</f>
        <v>4.4999999999999998E-2</v>
      </c>
      <c r="AJ86" s="38">
        <f t="shared" si="15"/>
        <v>4.4999999999999998E-2</v>
      </c>
      <c r="AK86" s="93">
        <f t="shared" si="37"/>
        <v>4.7349999999999941</v>
      </c>
      <c r="AL86" s="93">
        <f>IF(AG86="Y",LININTERP(AK86,XS_Analyzer_Calculations!$AY$4:$AY$104,XS_Analyzer_Calculations!$AZ$4:$AZ$104),AL85)</f>
        <v>0.19875000000000442</v>
      </c>
      <c r="AM86" s="38">
        <f t="shared" si="16"/>
        <v>4.801249999999996</v>
      </c>
      <c r="AN86" s="18">
        <f t="shared" si="17"/>
        <v>0.21529687499999978</v>
      </c>
      <c r="AO86" s="100">
        <f t="shared" si="18"/>
        <v>5.6250000000000182E-2</v>
      </c>
      <c r="AP86" s="100">
        <f t="shared" si="19"/>
        <v>3.8274999999999837</v>
      </c>
      <c r="AQ86" s="18">
        <f t="shared" si="20"/>
        <v>1.7787811838447195E-3</v>
      </c>
      <c r="AR86" s="32">
        <f>IFERROR(IF(AG86="Y",VLOOKUP(AK86,XS_Analyzer_Calculations!$R$5:$T$104,3,TRUE),0),0)</f>
        <v>0.1</v>
      </c>
      <c r="AS86" s="198">
        <f t="shared" si="21"/>
        <v>0.01</v>
      </c>
      <c r="AT86" s="18">
        <f t="shared" si="22"/>
        <v>7.8282857228385421</v>
      </c>
      <c r="AU86" s="38">
        <f>AT86*XS_Analyzer_Calculations!$I$7^0.5</f>
        <v>0.78282857228385427</v>
      </c>
      <c r="AV86" s="18">
        <f t="shared" si="57"/>
        <v>3.6360424287805158</v>
      </c>
      <c r="AW86" s="18">
        <f t="shared" si="23"/>
        <v>2.3883599999999898</v>
      </c>
      <c r="AX86" s="18">
        <f t="shared" si="24"/>
        <v>5</v>
      </c>
      <c r="AY86" s="32">
        <f t="shared" si="25"/>
        <v>4.7843749999999954</v>
      </c>
      <c r="AZ86" s="18">
        <f>((AS86*AP86)/(1.65*XS_Analyzer!$Q$72))*12</f>
        <v>10.998556786533841</v>
      </c>
      <c r="BA86" s="18">
        <f>(AW86/((1.65*62.4)*XS_Analyzer!$Q$73))*12</f>
        <v>6.1858585858585595</v>
      </c>
      <c r="BB86" s="18">
        <f t="shared" si="26"/>
        <v>9.6299784561360084</v>
      </c>
      <c r="BC86" s="38">
        <f t="shared" si="27"/>
        <v>13.414102306670539</v>
      </c>
      <c r="BD86" s="18">
        <f>IF(ISNUMBER(LININTERP(AW86,Permissible_Shear!$T$178:$T$188,Permissible_Shear!$V$178:$V$188)),LININTERP(AW86,Permissible_Shear!$T$178:$T$188,Permissible_Shear!$V$178:$V$188),0)</f>
        <v>7.7159460646817974</v>
      </c>
      <c r="BE86" s="18">
        <f>LININTERP(AW86,Permissible_Shear!$S$205:$S$222,Permissible_Shear!$V$205:$V$222)</f>
        <v>7.7761249999999684</v>
      </c>
      <c r="BF86" s="18">
        <f>INDEX($AZ$3:$BE$204,ROW(BF86)-2,MATCH(XS_Analyzer!$S$5,XS_AnalyzerSummary!$AZ$2:$BE$2,0))</f>
        <v>9.6299784561360084</v>
      </c>
      <c r="BG86" s="26">
        <f t="shared" si="28"/>
        <v>0</v>
      </c>
      <c r="BH86" s="26">
        <f t="shared" si="29"/>
        <v>0</v>
      </c>
      <c r="BI86" s="26">
        <f t="shared" si="30"/>
        <v>3.6360424287805158</v>
      </c>
      <c r="BJ86" s="26">
        <f t="shared" si="31"/>
        <v>0</v>
      </c>
      <c r="BK86" s="26">
        <f t="shared" si="32"/>
        <v>0</v>
      </c>
      <c r="BL86" s="26">
        <f t="shared" si="33"/>
        <v>2.3883599999999898</v>
      </c>
      <c r="BM86" s="18">
        <f t="shared" si="34"/>
        <v>0</v>
      </c>
      <c r="BN86" s="18">
        <f t="shared" si="35"/>
        <v>0</v>
      </c>
      <c r="BO86" s="18">
        <f t="shared" si="36"/>
        <v>3.8274999999999837</v>
      </c>
    </row>
    <row r="87" spans="30:67">
      <c r="AD87" s="32">
        <v>83</v>
      </c>
      <c r="AE87" s="25" t="str">
        <f t="shared" si="13"/>
        <v>Left</v>
      </c>
      <c r="AF87" s="25" t="str">
        <f t="shared" si="14"/>
        <v>Channel</v>
      </c>
      <c r="AG87" s="32" t="str">
        <f>IF(XS_AnalyzerSummary!$AB$24&gt;=XS_AnalyzerSummary!AD87,"Y","N")</f>
        <v>Y</v>
      </c>
      <c r="AH87" s="38">
        <v>1</v>
      </c>
      <c r="AI87" s="38">
        <f>IF(AG87="Y",$O$19/XS_AnalyzerSummary!$AB$24,0)</f>
        <v>4.4999999999999998E-2</v>
      </c>
      <c r="AJ87" s="38">
        <f t="shared" si="15"/>
        <v>4.4999999999999998E-2</v>
      </c>
      <c r="AK87" s="93">
        <f t="shared" si="37"/>
        <v>4.779999999999994</v>
      </c>
      <c r="AL87" s="93">
        <f>IF(AG87="Y",LININTERP(AK87,XS_Analyzer_Calculations!$AY$4:$AY$104,XS_Analyzer_Calculations!$AZ$4:$AZ$104),AL86)</f>
        <v>0.16500000000000448</v>
      </c>
      <c r="AM87" s="38">
        <f t="shared" si="16"/>
        <v>4.8349999999999955</v>
      </c>
      <c r="AN87" s="18">
        <f t="shared" si="17"/>
        <v>0.21681562499999979</v>
      </c>
      <c r="AO87" s="100">
        <f t="shared" si="18"/>
        <v>5.6249999999999648E-2</v>
      </c>
      <c r="AP87" s="100">
        <f t="shared" si="19"/>
        <v>3.8545000000000202</v>
      </c>
      <c r="AQ87" s="18">
        <f t="shared" si="20"/>
        <v>1.7787811838447026E-3</v>
      </c>
      <c r="AR87" s="32">
        <f>IFERROR(IF(AG87="Y",VLOOKUP(AK87,XS_Analyzer_Calculations!$R$5:$T$104,3,TRUE),0),0)</f>
        <v>0.1</v>
      </c>
      <c r="AS87" s="198">
        <f t="shared" si="21"/>
        <v>0.01</v>
      </c>
      <c r="AT87" s="18">
        <f t="shared" si="22"/>
        <v>7.9205392945470976</v>
      </c>
      <c r="AU87" s="38">
        <f>AT87*XS_Analyzer_Calculations!$I$7^0.5</f>
        <v>0.79205392945470976</v>
      </c>
      <c r="AV87" s="18">
        <f t="shared" si="57"/>
        <v>3.6531219991857622</v>
      </c>
      <c r="AW87" s="18">
        <f t="shared" si="23"/>
        <v>2.4052080000000124</v>
      </c>
      <c r="AX87" s="18">
        <f t="shared" si="24"/>
        <v>5</v>
      </c>
      <c r="AY87" s="32">
        <f t="shared" si="25"/>
        <v>4.8181249999999958</v>
      </c>
      <c r="AZ87" s="18">
        <f>((AS87*AP87)/(1.65*XS_Analyzer!$Q$72))*12</f>
        <v>11.076142948058811</v>
      </c>
      <c r="BA87" s="18">
        <f>(AW87/((1.65*62.4)*XS_Analyzer!$Q$73))*12</f>
        <v>6.2294949494949829</v>
      </c>
      <c r="BB87" s="18">
        <f t="shared" si="26"/>
        <v>9.7005251154648207</v>
      </c>
      <c r="BC87" s="38">
        <f t="shared" si="27"/>
        <v>13.483390783660852</v>
      </c>
      <c r="BD87" s="18">
        <f>IF(ISNUMBER(LININTERP(AW87,Permissible_Shear!$T$178:$T$188,Permissible_Shear!$V$178:$V$188)),LININTERP(AW87,Permissible_Shear!$T$178:$T$188,Permissible_Shear!$V$178:$V$188),0)</f>
        <v>7.7706048460681032</v>
      </c>
      <c r="BE87" s="18">
        <f>LININTERP(AW87,Permissible_Shear!$S$205:$S$222,Permissible_Shear!$V$205:$V$222)</f>
        <v>7.8287750000000393</v>
      </c>
      <c r="BF87" s="18">
        <f>INDEX($AZ$3:$BE$204,ROW(BF87)-2,MATCH(XS_Analyzer!$S$5,XS_AnalyzerSummary!$AZ$2:$BE$2,0))</f>
        <v>9.7005251154648207</v>
      </c>
      <c r="BG87" s="26">
        <f t="shared" si="28"/>
        <v>0</v>
      </c>
      <c r="BH87" s="26">
        <f t="shared" si="29"/>
        <v>0</v>
      </c>
      <c r="BI87" s="26">
        <f t="shared" si="30"/>
        <v>3.6531219991857622</v>
      </c>
      <c r="BJ87" s="26">
        <f t="shared" si="31"/>
        <v>0</v>
      </c>
      <c r="BK87" s="26">
        <f t="shared" si="32"/>
        <v>0</v>
      </c>
      <c r="BL87" s="26">
        <f t="shared" si="33"/>
        <v>2.4052080000000124</v>
      </c>
      <c r="BM87" s="18">
        <f t="shared" si="34"/>
        <v>0</v>
      </c>
      <c r="BN87" s="18">
        <f t="shared" si="35"/>
        <v>0</v>
      </c>
      <c r="BO87" s="18">
        <f t="shared" si="36"/>
        <v>3.8545000000000202</v>
      </c>
    </row>
    <row r="88" spans="30:67">
      <c r="AD88" s="32">
        <v>84</v>
      </c>
      <c r="AE88" s="25" t="str">
        <f t="shared" si="13"/>
        <v>Left</v>
      </c>
      <c r="AF88" s="25" t="str">
        <f t="shared" si="14"/>
        <v>Channel</v>
      </c>
      <c r="AG88" s="32" t="str">
        <f>IF(XS_AnalyzerSummary!$AB$24&gt;=XS_AnalyzerSummary!AD88,"Y","N")</f>
        <v>Y</v>
      </c>
      <c r="AH88" s="38">
        <v>1</v>
      </c>
      <c r="AI88" s="38">
        <f>IF(AG88="Y",$O$19/XS_AnalyzerSummary!$AB$24,0)</f>
        <v>4.4999999999999998E-2</v>
      </c>
      <c r="AJ88" s="38">
        <f t="shared" si="15"/>
        <v>4.4999999999999998E-2</v>
      </c>
      <c r="AK88" s="93">
        <f t="shared" si="37"/>
        <v>4.824999999999994</v>
      </c>
      <c r="AL88" s="93">
        <f>IF(AG88="Y",LININTERP(AK88,XS_Analyzer_Calculations!$AY$4:$AY$104,XS_Analyzer_Calculations!$AZ$4:$AZ$104),AL87)</f>
        <v>0.13125000000000453</v>
      </c>
      <c r="AM88" s="38">
        <f t="shared" si="16"/>
        <v>4.868749999999995</v>
      </c>
      <c r="AN88" s="18">
        <f t="shared" si="17"/>
        <v>0.21833437499999978</v>
      </c>
      <c r="AO88" s="100">
        <f t="shared" si="18"/>
        <v>5.6249999999999648E-2</v>
      </c>
      <c r="AP88" s="100">
        <f t="shared" si="19"/>
        <v>3.8815000000000204</v>
      </c>
      <c r="AQ88" s="18">
        <f t="shared" si="20"/>
        <v>1.7787811838447026E-3</v>
      </c>
      <c r="AR88" s="32">
        <f>IFERROR(IF(AG88="Y",VLOOKUP(AK88,XS_Analyzer_Calculations!$R$5:$T$104,3,TRUE),0),0)</f>
        <v>0.1</v>
      </c>
      <c r="AS88" s="198">
        <f t="shared" si="21"/>
        <v>0.01</v>
      </c>
      <c r="AT88" s="18">
        <f t="shared" si="22"/>
        <v>8.0132246879538105</v>
      </c>
      <c r="AU88" s="38">
        <f>AT88*XS_Analyzer_Calculations!$I$7^0.5</f>
        <v>0.80132246879538105</v>
      </c>
      <c r="AV88" s="18">
        <f t="shared" si="57"/>
        <v>3.6701617360774357</v>
      </c>
      <c r="AW88" s="18">
        <f t="shared" si="23"/>
        <v>2.4220560000000124</v>
      </c>
      <c r="AX88" s="18">
        <f t="shared" si="24"/>
        <v>5</v>
      </c>
      <c r="AY88" s="32">
        <f t="shared" si="25"/>
        <v>4.8518749999999953</v>
      </c>
      <c r="AZ88" s="18">
        <f>((AS88*AP88)/(1.65*XS_Analyzer!$Q$72))*12</f>
        <v>11.153729109583674</v>
      </c>
      <c r="BA88" s="18">
        <f>(AW88/((1.65*62.4)*XS_Analyzer!$Q$73))*12</f>
        <v>6.273131313131346</v>
      </c>
      <c r="BB88" s="18">
        <f t="shared" si="26"/>
        <v>9.7710924604906442</v>
      </c>
      <c r="BC88" s="38">
        <f t="shared" si="27"/>
        <v>13.55255144997801</v>
      </c>
      <c r="BD88" s="18">
        <f>IF(ISNUMBER(LININTERP(AW88,Permissible_Shear!$T$178:$T$188,Permissible_Shear!$V$178:$V$188)),LININTERP(AW88,Permissible_Shear!$T$178:$T$188,Permissible_Shear!$V$178:$V$188),0)</f>
        <v>7.8252636274543352</v>
      </c>
      <c r="BE88" s="18">
        <f>LININTERP(AW88,Permissible_Shear!$S$205:$S$222,Permissible_Shear!$V$205:$V$222)</f>
        <v>7.8814250000000392</v>
      </c>
      <c r="BF88" s="18">
        <f>INDEX($AZ$3:$BE$204,ROW(BF88)-2,MATCH(XS_Analyzer!$S$5,XS_AnalyzerSummary!$AZ$2:$BE$2,0))</f>
        <v>9.7710924604906442</v>
      </c>
      <c r="BG88" s="26">
        <f t="shared" si="28"/>
        <v>0</v>
      </c>
      <c r="BH88" s="26">
        <f t="shared" si="29"/>
        <v>0</v>
      </c>
      <c r="BI88" s="26">
        <f t="shared" si="30"/>
        <v>3.6701617360774357</v>
      </c>
      <c r="BJ88" s="26">
        <f t="shared" si="31"/>
        <v>0</v>
      </c>
      <c r="BK88" s="26">
        <f t="shared" si="32"/>
        <v>0</v>
      </c>
      <c r="BL88" s="26">
        <f t="shared" si="33"/>
        <v>2.4220560000000124</v>
      </c>
      <c r="BM88" s="18">
        <f t="shared" si="34"/>
        <v>0</v>
      </c>
      <c r="BN88" s="18">
        <f t="shared" si="35"/>
        <v>0</v>
      </c>
      <c r="BO88" s="18">
        <f t="shared" si="36"/>
        <v>3.8815000000000204</v>
      </c>
    </row>
    <row r="89" spans="30:67">
      <c r="AD89" s="32">
        <v>85</v>
      </c>
      <c r="AE89" s="25" t="str">
        <f t="shared" si="13"/>
        <v>Left</v>
      </c>
      <c r="AF89" s="25" t="str">
        <f t="shared" si="14"/>
        <v>Channel</v>
      </c>
      <c r="AG89" s="32" t="str">
        <f>IF(XS_AnalyzerSummary!$AB$24&gt;=XS_AnalyzerSummary!AD89,"Y","N")</f>
        <v>Y</v>
      </c>
      <c r="AH89" s="38">
        <v>1</v>
      </c>
      <c r="AI89" s="38">
        <f>IF(AG89="Y",$O$19/XS_AnalyzerSummary!$AB$24,0)</f>
        <v>4.4999999999999998E-2</v>
      </c>
      <c r="AJ89" s="38">
        <f t="shared" si="15"/>
        <v>4.4999999999999998E-2</v>
      </c>
      <c r="AK89" s="93">
        <f t="shared" si="37"/>
        <v>4.8699999999999939</v>
      </c>
      <c r="AL89" s="93">
        <f>IF(AG89="Y",LININTERP(AK89,XS_Analyzer_Calculations!$AY$4:$AY$104,XS_Analyzer_Calculations!$AZ$4:$AZ$104),AL88)</f>
        <v>9.7500000000004583E-2</v>
      </c>
      <c r="AM89" s="38">
        <f t="shared" si="16"/>
        <v>4.9024999999999954</v>
      </c>
      <c r="AN89" s="18">
        <f t="shared" si="17"/>
        <v>0.21985312499999979</v>
      </c>
      <c r="AO89" s="100">
        <f t="shared" si="18"/>
        <v>5.6250000000000182E-2</v>
      </c>
      <c r="AP89" s="100">
        <f t="shared" si="19"/>
        <v>3.9084999999999837</v>
      </c>
      <c r="AQ89" s="18">
        <f t="shared" si="20"/>
        <v>1.7787811838447195E-3</v>
      </c>
      <c r="AR89" s="32">
        <f>IFERROR(IF(AG89="Y",VLOOKUP(AK89,XS_Analyzer_Calculations!$R$5:$T$104,3,TRUE),0),0)</f>
        <v>0.1</v>
      </c>
      <c r="AS89" s="198">
        <f t="shared" si="21"/>
        <v>0.01</v>
      </c>
      <c r="AT89" s="18">
        <f t="shared" si="22"/>
        <v>8.1063408994560113</v>
      </c>
      <c r="AU89" s="38">
        <f>AT89*XS_Analyzer_Calculations!$I$7^0.5</f>
        <v>0.81063408994560116</v>
      </c>
      <c r="AV89" s="18">
        <f t="shared" si="57"/>
        <v>3.6871620084799885</v>
      </c>
      <c r="AW89" s="18">
        <f t="shared" si="23"/>
        <v>2.4389039999999897</v>
      </c>
      <c r="AX89" s="18">
        <f t="shared" si="24"/>
        <v>5</v>
      </c>
      <c r="AY89" s="32">
        <f t="shared" si="25"/>
        <v>4.8856249999999957</v>
      </c>
      <c r="AZ89" s="18">
        <f>((AS89*AP89)/(1.65*XS_Analyzer!$Q$72))*12</f>
        <v>11.231315271108432</v>
      </c>
      <c r="BA89" s="18">
        <f>(AW89/((1.65*62.4)*XS_Analyzer!$Q$73))*12</f>
        <v>6.3167676767676504</v>
      </c>
      <c r="BB89" s="18">
        <f t="shared" si="26"/>
        <v>9.8416803538212445</v>
      </c>
      <c r="BC89" s="38">
        <f t="shared" si="27"/>
        <v>13.621585424933993</v>
      </c>
      <c r="BD89" s="18">
        <f>IF(ISNUMBER(LININTERP(AW89,Permissible_Shear!$T$178:$T$188,Permissible_Shear!$V$178:$V$188)),LININTERP(AW89,Permissible_Shear!$T$178:$T$188,Permissible_Shear!$V$178:$V$188),0)</f>
        <v>7.8799224088404936</v>
      </c>
      <c r="BE89" s="18">
        <f>LININTERP(AW89,Permissible_Shear!$S$205:$S$222,Permissible_Shear!$V$205:$V$222)</f>
        <v>7.934074999999968</v>
      </c>
      <c r="BF89" s="18">
        <f>INDEX($AZ$3:$BE$204,ROW(BF89)-2,MATCH(XS_Analyzer!$S$5,XS_AnalyzerSummary!$AZ$2:$BE$2,0))</f>
        <v>9.8416803538212445</v>
      </c>
      <c r="BG89" s="26">
        <f t="shared" si="28"/>
        <v>0</v>
      </c>
      <c r="BH89" s="26">
        <f t="shared" si="29"/>
        <v>0</v>
      </c>
      <c r="BI89" s="26">
        <f t="shared" si="30"/>
        <v>3.6871620084799885</v>
      </c>
      <c r="BJ89" s="26">
        <f t="shared" si="31"/>
        <v>0</v>
      </c>
      <c r="BK89" s="26">
        <f t="shared" si="32"/>
        <v>0</v>
      </c>
      <c r="BL89" s="26">
        <f t="shared" si="33"/>
        <v>2.4389039999999897</v>
      </c>
      <c r="BM89" s="18">
        <f t="shared" si="34"/>
        <v>0</v>
      </c>
      <c r="BN89" s="18">
        <f t="shared" si="35"/>
        <v>0</v>
      </c>
      <c r="BO89" s="18">
        <f t="shared" si="36"/>
        <v>3.9084999999999837</v>
      </c>
    </row>
    <row r="90" spans="30:67">
      <c r="AD90" s="32">
        <v>86</v>
      </c>
      <c r="AE90" s="25" t="str">
        <f t="shared" si="13"/>
        <v>Left</v>
      </c>
      <c r="AF90" s="25" t="str">
        <f t="shared" si="14"/>
        <v>Channel</v>
      </c>
      <c r="AG90" s="32" t="str">
        <f>IF(XS_AnalyzerSummary!$AB$24&gt;=XS_AnalyzerSummary!AD90,"Y","N")</f>
        <v>Y</v>
      </c>
      <c r="AH90" s="38">
        <v>1</v>
      </c>
      <c r="AI90" s="38">
        <f>IF(AG90="Y",$O$19/XS_AnalyzerSummary!$AB$24,0)</f>
        <v>4.4999999999999998E-2</v>
      </c>
      <c r="AJ90" s="38">
        <f t="shared" si="15"/>
        <v>4.4999999999999998E-2</v>
      </c>
      <c r="AK90" s="93">
        <f t="shared" si="37"/>
        <v>4.9149999999999938</v>
      </c>
      <c r="AL90" s="93">
        <f>IF(AG90="Y",LININTERP(AK90,XS_Analyzer_Calculations!$AY$4:$AY$104,XS_Analyzer_Calculations!$AZ$4:$AZ$104),AL89)</f>
        <v>6.3750000000004636E-2</v>
      </c>
      <c r="AM90" s="38">
        <f t="shared" si="16"/>
        <v>4.9362499999999958</v>
      </c>
      <c r="AN90" s="18">
        <f t="shared" si="17"/>
        <v>0.22137187499999977</v>
      </c>
      <c r="AO90" s="100">
        <f t="shared" si="18"/>
        <v>5.6250000000000182E-2</v>
      </c>
      <c r="AP90" s="100">
        <f t="shared" si="19"/>
        <v>3.9354999999999833</v>
      </c>
      <c r="AQ90" s="18">
        <f t="shared" si="20"/>
        <v>1.7787811838447195E-3</v>
      </c>
      <c r="AR90" s="32">
        <f>IFERROR(IF(AG90="Y",VLOOKUP(AK90,XS_Analyzer_Calculations!$R$5:$T$104,3,TRUE),0),0)</f>
        <v>0.1</v>
      </c>
      <c r="AS90" s="198">
        <f t="shared" si="21"/>
        <v>0.01</v>
      </c>
      <c r="AT90" s="18">
        <f t="shared" si="22"/>
        <v>8.1998869347165773</v>
      </c>
      <c r="AU90" s="38">
        <f>AT90*XS_Analyzer_Calculations!$I$7^0.5</f>
        <v>0.81998869347165781</v>
      </c>
      <c r="AV90" s="18">
        <f t="shared" si="57"/>
        <v>3.7041231794764293</v>
      </c>
      <c r="AW90" s="18">
        <f t="shared" si="23"/>
        <v>2.4557519999999893</v>
      </c>
      <c r="AX90" s="18">
        <f t="shared" si="24"/>
        <v>5</v>
      </c>
      <c r="AY90" s="32">
        <f t="shared" si="25"/>
        <v>4.9193749999999952</v>
      </c>
      <c r="AZ90" s="18">
        <f>((AS90*AP90)/(1.65*XS_Analyzer!$Q$72))*12</f>
        <v>11.308901432633295</v>
      </c>
      <c r="BA90" s="18">
        <f>(AW90/((1.65*62.4)*XS_Analyzer!$Q$73))*12</f>
        <v>6.3604040404040134</v>
      </c>
      <c r="BB90" s="18">
        <f t="shared" si="26"/>
        <v>9.9122886599166637</v>
      </c>
      <c r="BC90" s="38">
        <f t="shared" si="27"/>
        <v>13.690493810406899</v>
      </c>
      <c r="BD90" s="18">
        <f>IF(ISNUMBER(LININTERP(AW90,Permissible_Shear!$T$178:$T$188,Permissible_Shear!$V$178:$V$188)),LININTERP(AW90,Permissible_Shear!$T$178:$T$188,Permissible_Shear!$V$178:$V$188),0)</f>
        <v>7.9345811902267247</v>
      </c>
      <c r="BE90" s="18">
        <f>LININTERP(AW90,Permissible_Shear!$S$205:$S$222,Permissible_Shear!$V$205:$V$222)</f>
        <v>7.986724999999967</v>
      </c>
      <c r="BF90" s="18">
        <f>INDEX($AZ$3:$BE$204,ROW(BF90)-2,MATCH(XS_Analyzer!$S$5,XS_AnalyzerSummary!$AZ$2:$BE$2,0))</f>
        <v>9.9122886599166637</v>
      </c>
      <c r="BG90" s="26">
        <f t="shared" si="28"/>
        <v>0</v>
      </c>
      <c r="BH90" s="26">
        <f t="shared" si="29"/>
        <v>0</v>
      </c>
      <c r="BI90" s="26">
        <f t="shared" si="30"/>
        <v>3.7041231794764293</v>
      </c>
      <c r="BJ90" s="26">
        <f t="shared" si="31"/>
        <v>0</v>
      </c>
      <c r="BK90" s="26">
        <f t="shared" si="32"/>
        <v>0</v>
      </c>
      <c r="BL90" s="26">
        <f t="shared" si="33"/>
        <v>2.4557519999999893</v>
      </c>
      <c r="BM90" s="18">
        <f t="shared" si="34"/>
        <v>0</v>
      </c>
      <c r="BN90" s="18">
        <f t="shared" si="35"/>
        <v>0</v>
      </c>
      <c r="BO90" s="18">
        <f t="shared" si="36"/>
        <v>3.9354999999999833</v>
      </c>
    </row>
    <row r="91" spans="30:67">
      <c r="AD91" s="32">
        <v>87</v>
      </c>
      <c r="AE91" s="25" t="str">
        <f t="shared" si="13"/>
        <v>Left</v>
      </c>
      <c r="AF91" s="25" t="str">
        <f t="shared" si="14"/>
        <v>Channel</v>
      </c>
      <c r="AG91" s="32" t="str">
        <f>IF(XS_AnalyzerSummary!$AB$24&gt;=XS_AnalyzerSummary!AD91,"Y","N")</f>
        <v>Y</v>
      </c>
      <c r="AH91" s="38">
        <v>1</v>
      </c>
      <c r="AI91" s="38">
        <f>IF(AG91="Y",$O$19/XS_AnalyzerSummary!$AB$24,0)</f>
        <v>4.4999999999999998E-2</v>
      </c>
      <c r="AJ91" s="38">
        <f t="shared" si="15"/>
        <v>4.4999999999999998E-2</v>
      </c>
      <c r="AK91" s="93">
        <f t="shared" si="37"/>
        <v>4.9599999999999937</v>
      </c>
      <c r="AL91" s="93">
        <f>IF(AG91="Y",LININTERP(AK91,XS_Analyzer_Calculations!$AY$4:$AY$104,XS_Analyzer_Calculations!$AZ$4:$AZ$104),AL90)</f>
        <v>3.000000000000469E-2</v>
      </c>
      <c r="AM91" s="38">
        <f t="shared" si="16"/>
        <v>4.9699999999999953</v>
      </c>
      <c r="AN91" s="18">
        <f t="shared" si="17"/>
        <v>0.22289062499999979</v>
      </c>
      <c r="AO91" s="100">
        <f t="shared" si="18"/>
        <v>5.6249999999999648E-2</v>
      </c>
      <c r="AP91" s="100">
        <f t="shared" si="19"/>
        <v>3.9625000000000212</v>
      </c>
      <c r="AQ91" s="18">
        <f t="shared" si="20"/>
        <v>1.7787811838447026E-3</v>
      </c>
      <c r="AR91" s="32">
        <f>IFERROR(IF(AG91="Y",VLOOKUP(AK91,XS_Analyzer_Calculations!$R$5:$T$104,3,TRUE),0),0)</f>
        <v>0.1</v>
      </c>
      <c r="AS91" s="198">
        <f t="shared" si="21"/>
        <v>0.01</v>
      </c>
      <c r="AT91" s="18">
        <f t="shared" si="22"/>
        <v>8.2938618085150644</v>
      </c>
      <c r="AU91" s="38">
        <f>AT91*XS_Analyzer_Calculations!$I$7^0.5</f>
        <v>0.8293861808515065</v>
      </c>
      <c r="AV91" s="18">
        <f t="shared" si="57"/>
        <v>3.7210456063439512</v>
      </c>
      <c r="AW91" s="18">
        <f t="shared" si="23"/>
        <v>2.4726000000000132</v>
      </c>
      <c r="AX91" s="18">
        <f t="shared" si="24"/>
        <v>5</v>
      </c>
      <c r="AY91" s="32">
        <f t="shared" si="25"/>
        <v>4.9531249999999956</v>
      </c>
      <c r="AZ91" s="18">
        <f>((AS91*AP91)/(1.65*XS_Analyzer!$Q$72))*12</f>
        <v>11.386487594158268</v>
      </c>
      <c r="BA91" s="18">
        <f>(AW91/((1.65*62.4)*XS_Analyzer!$Q$73))*12</f>
        <v>6.4040404040404395</v>
      </c>
      <c r="BB91" s="18">
        <f t="shared" si="26"/>
        <v>9.9829172450517412</v>
      </c>
      <c r="BC91" s="38">
        <f t="shared" si="27"/>
        <v>13.759277691229711</v>
      </c>
      <c r="BD91" s="18">
        <f>IF(ISNUMBER(LININTERP(AW91,Permissible_Shear!$T$178:$T$188,Permissible_Shear!$V$178:$V$188)),LININTERP(AW91,Permissible_Shear!$T$178:$T$188,Permissible_Shear!$V$178:$V$188),0)</f>
        <v>7.9892399716130349</v>
      </c>
      <c r="BE91" s="18">
        <f>LININTERP(AW91,Permissible_Shear!$S$205:$S$222,Permissible_Shear!$V$205:$V$222)</f>
        <v>8.0393750000000423</v>
      </c>
      <c r="BF91" s="18">
        <f>INDEX($AZ$3:$BE$204,ROW(BF91)-2,MATCH(XS_Analyzer!$S$5,XS_AnalyzerSummary!$AZ$2:$BE$2,0))</f>
        <v>9.9829172450517412</v>
      </c>
      <c r="BG91" s="26">
        <f t="shared" si="28"/>
        <v>0</v>
      </c>
      <c r="BH91" s="26">
        <f t="shared" si="29"/>
        <v>0</v>
      </c>
      <c r="BI91" s="26">
        <f t="shared" si="30"/>
        <v>3.7210456063439512</v>
      </c>
      <c r="BJ91" s="26">
        <f t="shared" si="31"/>
        <v>0</v>
      </c>
      <c r="BK91" s="26">
        <f t="shared" si="32"/>
        <v>0</v>
      </c>
      <c r="BL91" s="26">
        <f t="shared" si="33"/>
        <v>2.4726000000000132</v>
      </c>
      <c r="BM91" s="18">
        <f t="shared" si="34"/>
        <v>0</v>
      </c>
      <c r="BN91" s="18">
        <f t="shared" si="35"/>
        <v>0</v>
      </c>
      <c r="BO91" s="18">
        <f t="shared" si="36"/>
        <v>3.9625000000000212</v>
      </c>
    </row>
    <row r="92" spans="30:67">
      <c r="AD92" s="32">
        <v>88</v>
      </c>
      <c r="AE92" s="25" t="str">
        <f t="shared" si="13"/>
        <v>Thalweg</v>
      </c>
      <c r="AF92" s="25" t="str">
        <f t="shared" si="14"/>
        <v>Channel</v>
      </c>
      <c r="AG92" s="32" t="str">
        <f>IF(XS_AnalyzerSummary!$AB$24&gt;=XS_AnalyzerSummary!AD92,"Y","N")</f>
        <v>Y</v>
      </c>
      <c r="AH92" s="38">
        <v>1</v>
      </c>
      <c r="AI92" s="38">
        <f>IF(AG92="Y",$O$19/XS_AnalyzerSummary!$AB$24,0)</f>
        <v>4.4999999999999998E-2</v>
      </c>
      <c r="AJ92" s="38">
        <f t="shared" si="15"/>
        <v>4.4999999999999998E-2</v>
      </c>
      <c r="AK92" s="93">
        <f t="shared" si="37"/>
        <v>5.0049999999999937</v>
      </c>
      <c r="AL92" s="93">
        <f>IF(AG92="Y",LININTERP(AK92,XS_Analyzer_Calculations!$AY$4:$AY$104,XS_Analyzer_Calculations!$AZ$4:$AZ$104),AL91)</f>
        <v>2.9999999999962058E-3</v>
      </c>
      <c r="AM92" s="38">
        <f t="shared" si="16"/>
        <v>4.9970000000000034</v>
      </c>
      <c r="AN92" s="18">
        <f t="shared" si="17"/>
        <v>0.22425750000000017</v>
      </c>
      <c r="AO92" s="100">
        <f t="shared" si="18"/>
        <v>5.2478567053607254E-2</v>
      </c>
      <c r="AP92" s="100">
        <f t="shared" si="19"/>
        <v>4.2733159952885034</v>
      </c>
      <c r="AQ92" s="18">
        <f t="shared" si="20"/>
        <v>1.6595180023127058E-3</v>
      </c>
      <c r="AR92" s="32">
        <f>IFERROR(IF(AG92="Y",VLOOKUP(AK92,XS_Analyzer_Calculations!$R$5:$T$104,3,TRUE),0),0)</f>
        <v>0.1</v>
      </c>
      <c r="AS92" s="198">
        <f t="shared" si="21"/>
        <v>0.01</v>
      </c>
      <c r="AT92" s="18">
        <f t="shared" si="22"/>
        <v>8.7755792263189907</v>
      </c>
      <c r="AU92" s="38">
        <f>AT92*XS_Analyzer_Calculations!$I$7^0.5</f>
        <v>0.87755792263189913</v>
      </c>
      <c r="AV92" s="18">
        <f t="shared" si="57"/>
        <v>3.9131708978825612</v>
      </c>
      <c r="AW92" s="18">
        <f t="shared" si="23"/>
        <v>2.6665491810600259</v>
      </c>
      <c r="AX92" s="18">
        <f t="shared" si="24"/>
        <v>5</v>
      </c>
      <c r="AY92" s="32">
        <f t="shared" si="25"/>
        <v>4.9835000000000038</v>
      </c>
      <c r="AZ92" s="18">
        <f>((AS92*AP92)/(1.65*XS_Analyzer!$Q$72))*12</f>
        <v>12.279636483601355</v>
      </c>
      <c r="BA92" s="18">
        <f>(AW92/((1.65*62.4)*XS_Analyzer!$Q$73))*12</f>
        <v>6.9063692853147529</v>
      </c>
      <c r="BB92" s="18">
        <f t="shared" si="26"/>
        <v>10.03943462534127</v>
      </c>
      <c r="BC92" s="38">
        <f t="shared" si="27"/>
        <v>13.814215870897687</v>
      </c>
      <c r="BD92" s="18">
        <f>IF(ISNUMBER(LININTERP(AW92,Permissible_Shear!$T$178:$T$188,Permissible_Shear!$V$178:$V$188)),LININTERP(AW92,Permissible_Shear!$T$178:$T$188,Permissible_Shear!$V$178:$V$188),0)</f>
        <v>8.6184556581988616</v>
      </c>
      <c r="BE92" s="18">
        <f>LININTERP(AW92,Permissible_Shear!$S$205:$S$222,Permissible_Shear!$V$205:$V$222)</f>
        <v>8.6454661908125807</v>
      </c>
      <c r="BF92" s="18">
        <f>INDEX($AZ$3:$BE$204,ROW(BF92)-2,MATCH(XS_Analyzer!$S$5,XS_AnalyzerSummary!$AZ$2:$BE$2,0))</f>
        <v>10.03943462534127</v>
      </c>
      <c r="BG92" s="26">
        <f t="shared" si="28"/>
        <v>0</v>
      </c>
      <c r="BH92" s="26">
        <f t="shared" si="29"/>
        <v>0</v>
      </c>
      <c r="BI92" s="26">
        <f t="shared" si="30"/>
        <v>3.9131708978825612</v>
      </c>
      <c r="BJ92" s="26">
        <f t="shared" si="31"/>
        <v>0</v>
      </c>
      <c r="BK92" s="26">
        <f t="shared" si="32"/>
        <v>0</v>
      </c>
      <c r="BL92" s="26">
        <f t="shared" si="33"/>
        <v>2.6665491810600259</v>
      </c>
      <c r="BM92" s="18">
        <f t="shared" si="34"/>
        <v>0</v>
      </c>
      <c r="BN92" s="18">
        <f t="shared" si="35"/>
        <v>0</v>
      </c>
      <c r="BO92" s="18">
        <f t="shared" si="36"/>
        <v>4.2733159952885034</v>
      </c>
    </row>
    <row r="93" spans="30:67">
      <c r="AD93" s="32">
        <v>89</v>
      </c>
      <c r="AE93" s="25" t="str">
        <f t="shared" si="13"/>
        <v>Right</v>
      </c>
      <c r="AF93" s="25" t="str">
        <f t="shared" si="14"/>
        <v>Channel</v>
      </c>
      <c r="AG93" s="32" t="str">
        <f>IF(XS_AnalyzerSummary!$AB$24&gt;=XS_AnalyzerSummary!AD93,"Y","N")</f>
        <v>Y</v>
      </c>
      <c r="AH93" s="38">
        <v>1</v>
      </c>
      <c r="AI93" s="38">
        <f>IF(AG93="Y",$O$19/XS_AnalyzerSummary!$AB$24,0)</f>
        <v>4.4999999999999998E-2</v>
      </c>
      <c r="AJ93" s="38">
        <f t="shared" si="15"/>
        <v>4.4999999999999998E-2</v>
      </c>
      <c r="AK93" s="93">
        <f t="shared" si="37"/>
        <v>5.0499999999999936</v>
      </c>
      <c r="AL93" s="93">
        <f>IF(AG93="Y",LININTERP(AK93,XS_Analyzer_Calculations!$AY$4:$AY$104,XS_Analyzer_Calculations!$AZ$4:$AZ$104),AL92)</f>
        <v>2.9999999999996162E-2</v>
      </c>
      <c r="AM93" s="38">
        <f t="shared" si="16"/>
        <v>4.9700000000000042</v>
      </c>
      <c r="AN93" s="18">
        <f t="shared" si="17"/>
        <v>0.22304250000000017</v>
      </c>
      <c r="AO93" s="100">
        <f t="shared" si="18"/>
        <v>5.2478567053607719E-2</v>
      </c>
      <c r="AP93" s="100">
        <f t="shared" si="19"/>
        <v>4.2501636862942274</v>
      </c>
      <c r="AQ93" s="18">
        <f t="shared" si="20"/>
        <v>1.6595180023127203E-3</v>
      </c>
      <c r="AR93" s="32">
        <f>IFERROR(IF(AG93="Y",VLOOKUP(AK93,XS_Analyzer_Calculations!$R$5:$T$104,3,TRUE),0),0)</f>
        <v>0.1</v>
      </c>
      <c r="AS93" s="198">
        <f t="shared" si="21"/>
        <v>0.01</v>
      </c>
      <c r="AT93" s="18">
        <f t="shared" si="22"/>
        <v>8.6964807092749119</v>
      </c>
      <c r="AU93" s="38">
        <f>AT93*XS_Analyzer_Calculations!$I$7^0.5</f>
        <v>0.86964807092749119</v>
      </c>
      <c r="AV93" s="18">
        <f t="shared" si="57"/>
        <v>3.8990240466614683</v>
      </c>
      <c r="AW93" s="18">
        <f t="shared" si="23"/>
        <v>2.6521021402475982</v>
      </c>
      <c r="AX93" s="18">
        <f t="shared" si="24"/>
        <v>5</v>
      </c>
      <c r="AY93" s="32">
        <f t="shared" si="25"/>
        <v>4.9565000000000037</v>
      </c>
      <c r="AZ93" s="18">
        <f>((AS93*AP93)/(1.65*XS_Analyzer!$Q$72))*12</f>
        <v>12.213106898960488</v>
      </c>
      <c r="BA93" s="18">
        <f>(AW93/((1.65*62.4)*XS_Analyzer!$Q$73))*12</f>
        <v>6.8689514121926916</v>
      </c>
      <c r="BB93" s="18">
        <f t="shared" si="26"/>
        <v>9.9829172450517589</v>
      </c>
      <c r="BC93" s="38">
        <f t="shared" si="27"/>
        <v>13.759277691229727</v>
      </c>
      <c r="BD93" s="18">
        <f>IF(ISNUMBER(LININTERP(AW93,Permissible_Shear!$T$178:$T$188,Permissible_Shear!$V$178:$V$188)),LININTERP(AW93,Permissible_Shear!$T$178:$T$188,Permissible_Shear!$V$178:$V$188),0)</f>
        <v>8.571586139832025</v>
      </c>
      <c r="BE93" s="18">
        <f>LININTERP(AW93,Permissible_Shear!$S$205:$S$222,Permissible_Shear!$V$205:$V$222)</f>
        <v>8.600319188273744</v>
      </c>
      <c r="BF93" s="18">
        <f>INDEX($AZ$3:$BE$204,ROW(BF93)-2,MATCH(XS_Analyzer!$S$5,XS_AnalyzerSummary!$AZ$2:$BE$2,0))</f>
        <v>9.9829172450517589</v>
      </c>
      <c r="BG93" s="26">
        <f t="shared" si="28"/>
        <v>0</v>
      </c>
      <c r="BH93" s="26">
        <f t="shared" si="29"/>
        <v>0</v>
      </c>
      <c r="BI93" s="26">
        <f t="shared" si="30"/>
        <v>3.8990240466614683</v>
      </c>
      <c r="BJ93" s="26">
        <f t="shared" si="31"/>
        <v>0</v>
      </c>
      <c r="BK93" s="26">
        <f t="shared" si="32"/>
        <v>0</v>
      </c>
      <c r="BL93" s="26">
        <f t="shared" si="33"/>
        <v>2.6521021402475982</v>
      </c>
      <c r="BM93" s="18">
        <f t="shared" si="34"/>
        <v>0</v>
      </c>
      <c r="BN93" s="18">
        <f t="shared" si="35"/>
        <v>0</v>
      </c>
      <c r="BO93" s="18">
        <f t="shared" si="36"/>
        <v>4.2501636862942274</v>
      </c>
    </row>
    <row r="94" spans="30:67">
      <c r="AD94" s="32">
        <v>90</v>
      </c>
      <c r="AE94" s="25" t="str">
        <f t="shared" si="13"/>
        <v>Right</v>
      </c>
      <c r="AF94" s="25" t="str">
        <f t="shared" si="14"/>
        <v>Channel</v>
      </c>
      <c r="AG94" s="32" t="str">
        <f>IF(XS_AnalyzerSummary!$AB$24&gt;=XS_AnalyzerSummary!AD94,"Y","N")</f>
        <v>Y</v>
      </c>
      <c r="AH94" s="38">
        <v>1</v>
      </c>
      <c r="AI94" s="38">
        <f>IF(AG94="Y",$O$19/XS_AnalyzerSummary!$AB$24,0)</f>
        <v>4.4999999999999998E-2</v>
      </c>
      <c r="AJ94" s="38">
        <f t="shared" si="15"/>
        <v>4.4999999999999998E-2</v>
      </c>
      <c r="AK94" s="93">
        <f t="shared" si="37"/>
        <v>5.0949999999999935</v>
      </c>
      <c r="AL94" s="93">
        <f>IF(AG94="Y",LININTERP(AK94,XS_Analyzer_Calculations!$AY$4:$AY$104,XS_Analyzer_Calculations!$AZ$4:$AZ$104),AL93)</f>
        <v>5.6999999999996123E-2</v>
      </c>
      <c r="AM94" s="38">
        <f t="shared" si="16"/>
        <v>4.9430000000000041</v>
      </c>
      <c r="AN94" s="18">
        <f t="shared" si="17"/>
        <v>0.22182750000000021</v>
      </c>
      <c r="AO94" s="100">
        <f t="shared" si="18"/>
        <v>5.2478567053607719E-2</v>
      </c>
      <c r="AP94" s="100">
        <f t="shared" si="19"/>
        <v>4.2270113772999895</v>
      </c>
      <c r="AQ94" s="18">
        <f t="shared" si="20"/>
        <v>1.6595180023127203E-3</v>
      </c>
      <c r="AR94" s="32">
        <f>IFERROR(IF(AG94="Y",VLOOKUP(AK94,XS_Analyzer_Calculations!$R$5:$T$104,3,TRUE),0),0)</f>
        <v>0.1</v>
      </c>
      <c r="AS94" s="198">
        <f t="shared" si="21"/>
        <v>0.01</v>
      </c>
      <c r="AT94" s="18">
        <f t="shared" si="22"/>
        <v>8.6176689259798973</v>
      </c>
      <c r="AU94" s="38">
        <f>AT94*XS_Analyzer_Calculations!$I$7^0.5</f>
        <v>0.86176689259798978</v>
      </c>
      <c r="AV94" s="18">
        <f t="shared" si="57"/>
        <v>3.8848514841396535</v>
      </c>
      <c r="AW94" s="18">
        <f t="shared" si="23"/>
        <v>2.6376550994351935</v>
      </c>
      <c r="AX94" s="18">
        <f t="shared" si="24"/>
        <v>5</v>
      </c>
      <c r="AY94" s="32">
        <f t="shared" si="25"/>
        <v>4.9295000000000044</v>
      </c>
      <c r="AZ94" s="18">
        <f>((AS94*AP94)/(1.65*XS_Analyzer!$Q$72))*12</f>
        <v>12.146577314319728</v>
      </c>
      <c r="BA94" s="18">
        <f>(AW94/((1.65*62.4)*XS_Analyzer!$Q$73))*12</f>
        <v>6.8315335390706906</v>
      </c>
      <c r="BB94" s="18">
        <f t="shared" si="26"/>
        <v>9.9264127588682047</v>
      </c>
      <c r="BC94" s="38">
        <f t="shared" si="27"/>
        <v>13.704260512524533</v>
      </c>
      <c r="BD94" s="18">
        <f>IF(ISNUMBER(LININTERP(AW94,Permissible_Shear!$T$178:$T$188,Permissible_Shear!$V$178:$V$188)),LININTERP(AW94,Permissible_Shear!$T$178:$T$188,Permissible_Shear!$V$178:$V$188),0)</f>
        <v>8.524716621465263</v>
      </c>
      <c r="BE94" s="18">
        <f>LININTERP(AW94,Permissible_Shear!$S$205:$S$222,Permissible_Shear!$V$205:$V$222)</f>
        <v>8.5551721857349801</v>
      </c>
      <c r="BF94" s="18">
        <f>INDEX($AZ$3:$BE$204,ROW(BF94)-2,MATCH(XS_Analyzer!$S$5,XS_AnalyzerSummary!$AZ$2:$BE$2,0))</f>
        <v>9.9264127588682047</v>
      </c>
      <c r="BG94" s="26">
        <f t="shared" si="28"/>
        <v>0</v>
      </c>
      <c r="BH94" s="26">
        <f t="shared" si="29"/>
        <v>0</v>
      </c>
      <c r="BI94" s="26">
        <f t="shared" si="30"/>
        <v>3.8848514841396535</v>
      </c>
      <c r="BJ94" s="26">
        <f t="shared" si="31"/>
        <v>0</v>
      </c>
      <c r="BK94" s="26">
        <f t="shared" si="32"/>
        <v>0</v>
      </c>
      <c r="BL94" s="26">
        <f t="shared" si="33"/>
        <v>2.6376550994351935</v>
      </c>
      <c r="BM94" s="18">
        <f t="shared" si="34"/>
        <v>0</v>
      </c>
      <c r="BN94" s="18">
        <f t="shared" si="35"/>
        <v>0</v>
      </c>
      <c r="BO94" s="18">
        <f t="shared" si="36"/>
        <v>4.2270113772999895</v>
      </c>
    </row>
    <row r="95" spans="30:67">
      <c r="AD95" s="32">
        <v>91</v>
      </c>
      <c r="AE95" s="25" t="str">
        <f t="shared" si="13"/>
        <v>Right</v>
      </c>
      <c r="AF95" s="25" t="str">
        <f t="shared" si="14"/>
        <v>Channel</v>
      </c>
      <c r="AG95" s="32" t="str">
        <f>IF(XS_AnalyzerSummary!$AB$24&gt;=XS_AnalyzerSummary!AD95,"Y","N")</f>
        <v>Y</v>
      </c>
      <c r="AH95" s="38">
        <v>1</v>
      </c>
      <c r="AI95" s="38">
        <f>IF(AG95="Y",$O$19/XS_AnalyzerSummary!$AB$24,0)</f>
        <v>4.4999999999999998E-2</v>
      </c>
      <c r="AJ95" s="38">
        <f t="shared" si="15"/>
        <v>4.4999999999999998E-2</v>
      </c>
      <c r="AK95" s="93">
        <f t="shared" si="37"/>
        <v>5.1399999999999935</v>
      </c>
      <c r="AL95" s="93">
        <f>IF(AG95="Y",LININTERP(AK95,XS_Analyzer_Calculations!$AY$4:$AY$104,XS_Analyzer_Calculations!$AZ$4:$AZ$104),AL94)</f>
        <v>8.3999999999996078E-2</v>
      </c>
      <c r="AM95" s="38">
        <f t="shared" si="16"/>
        <v>4.9160000000000039</v>
      </c>
      <c r="AN95" s="18">
        <f t="shared" si="17"/>
        <v>0.22061250000000016</v>
      </c>
      <c r="AO95" s="100">
        <f t="shared" si="18"/>
        <v>5.2478567053607719E-2</v>
      </c>
      <c r="AP95" s="100">
        <f t="shared" si="19"/>
        <v>4.20385906830575</v>
      </c>
      <c r="AQ95" s="18">
        <f t="shared" si="20"/>
        <v>1.6595180023127203E-3</v>
      </c>
      <c r="AR95" s="32">
        <f>IFERROR(IF(AG95="Y",VLOOKUP(AK95,XS_Analyzer_Calculations!$R$5:$T$104,3,TRUE),0),0)</f>
        <v>0.1</v>
      </c>
      <c r="AS95" s="198">
        <f t="shared" si="21"/>
        <v>0.01</v>
      </c>
      <c r="AT95" s="18">
        <f t="shared" si="22"/>
        <v>8.5391443989866023</v>
      </c>
      <c r="AU95" s="38">
        <f>AT95*XS_Analyzer_Calculations!$I$7^0.5</f>
        <v>0.85391443989866023</v>
      </c>
      <c r="AV95" s="18">
        <f t="shared" si="57"/>
        <v>3.8706530223747957</v>
      </c>
      <c r="AW95" s="18">
        <f t="shared" si="23"/>
        <v>2.6232080586227879</v>
      </c>
      <c r="AX95" s="18">
        <f t="shared" si="24"/>
        <v>5</v>
      </c>
      <c r="AY95" s="32">
        <f t="shared" si="25"/>
        <v>4.9025000000000034</v>
      </c>
      <c r="AZ95" s="18">
        <f>((AS95*AP95)/(1.65*XS_Analyzer!$Q$72))*12</f>
        <v>12.080047729678963</v>
      </c>
      <c r="BA95" s="18">
        <f>(AW95/((1.65*62.4)*XS_Analyzer!$Q$73))*12</f>
        <v>6.7941156659486879</v>
      </c>
      <c r="BB95" s="18">
        <f t="shared" si="26"/>
        <v>9.8699212342565161</v>
      </c>
      <c r="BC95" s="38">
        <f t="shared" si="27"/>
        <v>13.649163788732796</v>
      </c>
      <c r="BD95" s="18">
        <f>IF(ISNUMBER(LININTERP(AW95,Permissible_Shear!$T$178:$T$188,Permissible_Shear!$V$178:$V$188)),LININTERP(AW95,Permissible_Shear!$T$178:$T$188,Permissible_Shear!$V$178:$V$188),0)</f>
        <v>8.4778471030984992</v>
      </c>
      <c r="BE95" s="18">
        <f>LININTERP(AW95,Permissible_Shear!$S$205:$S$222,Permissible_Shear!$V$205:$V$222)</f>
        <v>8.5100251831962126</v>
      </c>
      <c r="BF95" s="18">
        <f>INDEX($AZ$3:$BE$204,ROW(BF95)-2,MATCH(XS_Analyzer!$S$5,XS_AnalyzerSummary!$AZ$2:$BE$2,0))</f>
        <v>9.8699212342565161</v>
      </c>
      <c r="BG95" s="26">
        <f t="shared" si="28"/>
        <v>0</v>
      </c>
      <c r="BH95" s="26">
        <f t="shared" si="29"/>
        <v>0</v>
      </c>
      <c r="BI95" s="26">
        <f t="shared" si="30"/>
        <v>3.8706530223747957</v>
      </c>
      <c r="BJ95" s="26">
        <f t="shared" si="31"/>
        <v>0</v>
      </c>
      <c r="BK95" s="26">
        <f t="shared" si="32"/>
        <v>0</v>
      </c>
      <c r="BL95" s="26">
        <f t="shared" si="33"/>
        <v>2.6232080586227879</v>
      </c>
      <c r="BM95" s="18">
        <f t="shared" si="34"/>
        <v>0</v>
      </c>
      <c r="BN95" s="18">
        <f t="shared" si="35"/>
        <v>0</v>
      </c>
      <c r="BO95" s="18">
        <f t="shared" si="36"/>
        <v>4.20385906830575</v>
      </c>
    </row>
    <row r="96" spans="30:67">
      <c r="AD96" s="32">
        <v>92</v>
      </c>
      <c r="AE96" s="25" t="str">
        <f t="shared" si="13"/>
        <v>Right</v>
      </c>
      <c r="AF96" s="25" t="str">
        <f t="shared" si="14"/>
        <v>Channel</v>
      </c>
      <c r="AG96" s="32" t="str">
        <f>IF(XS_AnalyzerSummary!$AB$24&gt;=XS_AnalyzerSummary!AD96,"Y","N")</f>
        <v>Y</v>
      </c>
      <c r="AH96" s="38">
        <v>1</v>
      </c>
      <c r="AI96" s="38">
        <f>IF(AG96="Y",$O$19/XS_AnalyzerSummary!$AB$24,0)</f>
        <v>4.4999999999999998E-2</v>
      </c>
      <c r="AJ96" s="38">
        <f t="shared" si="15"/>
        <v>4.4999999999999998E-2</v>
      </c>
      <c r="AK96" s="93">
        <f t="shared" si="37"/>
        <v>5.1849999999999934</v>
      </c>
      <c r="AL96" s="93">
        <f>IF(AG96="Y",LININTERP(AK96,XS_Analyzer_Calculations!$AY$4:$AY$104,XS_Analyzer_Calculations!$AZ$4:$AZ$104),AL95)</f>
        <v>0.11099999999999603</v>
      </c>
      <c r="AM96" s="38">
        <f t="shared" si="16"/>
        <v>4.8890000000000038</v>
      </c>
      <c r="AN96" s="18">
        <f t="shared" si="17"/>
        <v>0.21939750000000019</v>
      </c>
      <c r="AO96" s="100">
        <f t="shared" si="18"/>
        <v>5.2478567053607719E-2</v>
      </c>
      <c r="AP96" s="100">
        <f t="shared" si="19"/>
        <v>4.1807067593115113</v>
      </c>
      <c r="AQ96" s="18">
        <f t="shared" si="20"/>
        <v>1.6595180023127203E-3</v>
      </c>
      <c r="AR96" s="32">
        <f>IFERROR(IF(AG96="Y",VLOOKUP(AK96,XS_Analyzer_Calculations!$R$5:$T$104,3,TRUE),0),0)</f>
        <v>0.1</v>
      </c>
      <c r="AS96" s="198">
        <f t="shared" si="21"/>
        <v>0.01</v>
      </c>
      <c r="AT96" s="18">
        <f t="shared" si="22"/>
        <v>8.4609076546779836</v>
      </c>
      <c r="AU96" s="38">
        <f>AT96*XS_Analyzer_Calculations!$I$7^0.5</f>
        <v>0.84609076546779838</v>
      </c>
      <c r="AV96" s="18">
        <f t="shared" si="57"/>
        <v>3.8564284710071792</v>
      </c>
      <c r="AW96" s="18">
        <f t="shared" si="23"/>
        <v>2.6087610178103833</v>
      </c>
      <c r="AX96" s="18">
        <f t="shared" si="24"/>
        <v>5</v>
      </c>
      <c r="AY96" s="32">
        <f t="shared" si="25"/>
        <v>4.8755000000000042</v>
      </c>
      <c r="AZ96" s="18">
        <f>((AS96*AP96)/(1.65*XS_Analyzer!$Q$72))*12</f>
        <v>12.013518145038203</v>
      </c>
      <c r="BA96" s="18">
        <f>(AW96/((1.65*62.4)*XS_Analyzer!$Q$73))*12</f>
        <v>6.7566977928266869</v>
      </c>
      <c r="BB96" s="18">
        <f t="shared" si="26"/>
        <v>9.813442739408055</v>
      </c>
      <c r="BC96" s="38">
        <f t="shared" si="27"/>
        <v>13.593986967008824</v>
      </c>
      <c r="BD96" s="18">
        <f>IF(ISNUMBER(LININTERP(AW96,Permissible_Shear!$T$178:$T$188,Permissible_Shear!$V$178:$V$188)),LININTERP(AW96,Permissible_Shear!$T$178:$T$188,Permissible_Shear!$V$178:$V$188),0)</f>
        <v>8.4309775847317372</v>
      </c>
      <c r="BE96" s="18">
        <f>LININTERP(AW96,Permissible_Shear!$S$205:$S$222,Permissible_Shear!$V$205:$V$222)</f>
        <v>8.4648781806574487</v>
      </c>
      <c r="BF96" s="18">
        <f>INDEX($AZ$3:$BE$204,ROW(BF96)-2,MATCH(XS_Analyzer!$S$5,XS_AnalyzerSummary!$AZ$2:$BE$2,0))</f>
        <v>9.813442739408055</v>
      </c>
      <c r="BG96" s="26">
        <f t="shared" si="28"/>
        <v>0</v>
      </c>
      <c r="BH96" s="26">
        <f t="shared" si="29"/>
        <v>0</v>
      </c>
      <c r="BI96" s="26">
        <f t="shared" si="30"/>
        <v>3.8564284710071792</v>
      </c>
      <c r="BJ96" s="26">
        <f t="shared" si="31"/>
        <v>0</v>
      </c>
      <c r="BK96" s="26">
        <f t="shared" si="32"/>
        <v>0</v>
      </c>
      <c r="BL96" s="26">
        <f t="shared" si="33"/>
        <v>2.6087610178103833</v>
      </c>
      <c r="BM96" s="18">
        <f t="shared" si="34"/>
        <v>0</v>
      </c>
      <c r="BN96" s="18">
        <f t="shared" si="35"/>
        <v>0</v>
      </c>
      <c r="BO96" s="18">
        <f t="shared" si="36"/>
        <v>4.1807067593115113</v>
      </c>
    </row>
    <row r="97" spans="30:67">
      <c r="AD97" s="32">
        <v>93</v>
      </c>
      <c r="AE97" s="25" t="str">
        <f t="shared" si="13"/>
        <v>Right</v>
      </c>
      <c r="AF97" s="25" t="str">
        <f t="shared" si="14"/>
        <v>Channel</v>
      </c>
      <c r="AG97" s="32" t="str">
        <f>IF(XS_AnalyzerSummary!$AB$24&gt;=XS_AnalyzerSummary!AD97,"Y","N")</f>
        <v>Y</v>
      </c>
      <c r="AH97" s="38">
        <v>1</v>
      </c>
      <c r="AI97" s="38">
        <f>IF(AG97="Y",$O$19/XS_AnalyzerSummary!$AB$24,0)</f>
        <v>4.4999999999999998E-2</v>
      </c>
      <c r="AJ97" s="38">
        <f t="shared" si="15"/>
        <v>4.4999999999999998E-2</v>
      </c>
      <c r="AK97" s="93">
        <f t="shared" si="37"/>
        <v>5.2299999999999933</v>
      </c>
      <c r="AL97" s="93">
        <f>IF(AG97="Y",LININTERP(AK97,XS_Analyzer_Calculations!$AY$4:$AY$104,XS_Analyzer_Calculations!$AZ$4:$AZ$104),AL96)</f>
        <v>0.13799999999999599</v>
      </c>
      <c r="AM97" s="38">
        <f t="shared" si="16"/>
        <v>4.8620000000000037</v>
      </c>
      <c r="AN97" s="18">
        <f t="shared" si="17"/>
        <v>0.21818250000000017</v>
      </c>
      <c r="AO97" s="100">
        <f t="shared" si="18"/>
        <v>5.2478567053607254E-2</v>
      </c>
      <c r="AP97" s="100">
        <f t="shared" si="19"/>
        <v>4.157554450317309</v>
      </c>
      <c r="AQ97" s="18">
        <f t="shared" si="20"/>
        <v>1.6595180023127058E-3</v>
      </c>
      <c r="AR97" s="32">
        <f>IFERROR(IF(AG97="Y",VLOOKUP(AK97,XS_Analyzer_Calculations!$R$5:$T$104,3,TRUE),0),0)</f>
        <v>0.1</v>
      </c>
      <c r="AS97" s="198">
        <f t="shared" si="21"/>
        <v>0.01</v>
      </c>
      <c r="AT97" s="18">
        <f t="shared" si="22"/>
        <v>8.3829592233166625</v>
      </c>
      <c r="AU97" s="38">
        <f>AT97*XS_Analyzer_Calculations!$I$7^0.5</f>
        <v>0.83829592233166628</v>
      </c>
      <c r="AV97" s="18">
        <f t="shared" si="57"/>
        <v>3.842177637215018</v>
      </c>
      <c r="AW97" s="18">
        <f t="shared" si="23"/>
        <v>2.5943139769980008</v>
      </c>
      <c r="AX97" s="18">
        <f t="shared" si="24"/>
        <v>5</v>
      </c>
      <c r="AY97" s="32">
        <f t="shared" si="25"/>
        <v>4.848500000000004</v>
      </c>
      <c r="AZ97" s="18">
        <f>((AS97*AP97)/(1.65*XS_Analyzer!$Q$72))*12</f>
        <v>11.946988560397546</v>
      </c>
      <c r="BA97" s="18">
        <f>(AW97/((1.65*62.4)*XS_Analyzer!$Q$73))*12</f>
        <v>6.7192799197047428</v>
      </c>
      <c r="BB97" s="18">
        <f t="shared" si="26"/>
        <v>9.7569773432514779</v>
      </c>
      <c r="BC97" s="38">
        <f t="shared" si="27"/>
        <v>13.538729487587924</v>
      </c>
      <c r="BD97" s="18">
        <f>IF(ISNUMBER(LININTERP(AW97,Permissible_Shear!$T$178:$T$188,Permissible_Shear!$V$178:$V$188)),LININTERP(AW97,Permissible_Shear!$T$178:$T$188,Permissible_Shear!$V$178:$V$188),0)</f>
        <v>8.384108066365048</v>
      </c>
      <c r="BE97" s="18">
        <f>LININTERP(AW97,Permissible_Shear!$S$205:$S$222,Permissible_Shear!$V$205:$V$222)</f>
        <v>8.4197311781187523</v>
      </c>
      <c r="BF97" s="18">
        <f>INDEX($AZ$3:$BE$204,ROW(BF97)-2,MATCH(XS_Analyzer!$S$5,XS_AnalyzerSummary!$AZ$2:$BE$2,0))</f>
        <v>9.7569773432514779</v>
      </c>
      <c r="BG97" s="26">
        <f t="shared" si="28"/>
        <v>0</v>
      </c>
      <c r="BH97" s="26">
        <f t="shared" si="29"/>
        <v>0</v>
      </c>
      <c r="BI97" s="26">
        <f t="shared" si="30"/>
        <v>3.842177637215018</v>
      </c>
      <c r="BJ97" s="26">
        <f t="shared" si="31"/>
        <v>0</v>
      </c>
      <c r="BK97" s="26">
        <f t="shared" si="32"/>
        <v>0</v>
      </c>
      <c r="BL97" s="26">
        <f t="shared" si="33"/>
        <v>2.5943139769980008</v>
      </c>
      <c r="BM97" s="18">
        <f t="shared" si="34"/>
        <v>0</v>
      </c>
      <c r="BN97" s="18">
        <f t="shared" si="35"/>
        <v>0</v>
      </c>
      <c r="BO97" s="18">
        <f t="shared" si="36"/>
        <v>4.157554450317309</v>
      </c>
    </row>
    <row r="98" spans="30:67">
      <c r="AD98" s="32">
        <v>94</v>
      </c>
      <c r="AE98" s="25" t="str">
        <f t="shared" si="13"/>
        <v>Right</v>
      </c>
      <c r="AF98" s="25" t="str">
        <f t="shared" si="14"/>
        <v>Channel</v>
      </c>
      <c r="AG98" s="32" t="str">
        <f>IF(XS_AnalyzerSummary!$AB$24&gt;=XS_AnalyzerSummary!AD98,"Y","N")</f>
        <v>Y</v>
      </c>
      <c r="AH98" s="38">
        <v>1</v>
      </c>
      <c r="AI98" s="38">
        <f>IF(AG98="Y",$O$19/XS_AnalyzerSummary!$AB$24,0)</f>
        <v>4.4999999999999998E-2</v>
      </c>
      <c r="AJ98" s="38">
        <f t="shared" si="15"/>
        <v>4.4999999999999998E-2</v>
      </c>
      <c r="AK98" s="93">
        <f t="shared" si="37"/>
        <v>5.2749999999999932</v>
      </c>
      <c r="AL98" s="93">
        <f>IF(AG98="Y",LININTERP(AK98,XS_Analyzer_Calculations!$AY$4:$AY$104,XS_Analyzer_Calculations!$AZ$4:$AZ$104),AL97)</f>
        <v>0.16499999999999596</v>
      </c>
      <c r="AM98" s="38">
        <f t="shared" si="16"/>
        <v>4.8350000000000044</v>
      </c>
      <c r="AN98" s="18">
        <f t="shared" si="17"/>
        <v>0.21696750000000017</v>
      </c>
      <c r="AO98" s="100">
        <f t="shared" si="18"/>
        <v>5.2478567053607719E-2</v>
      </c>
      <c r="AP98" s="100">
        <f t="shared" si="19"/>
        <v>4.1344021413230339</v>
      </c>
      <c r="AQ98" s="18">
        <f t="shared" si="20"/>
        <v>1.6595180023127203E-3</v>
      </c>
      <c r="AR98" s="32">
        <f>IFERROR(IF(AG98="Y",VLOOKUP(AK98,XS_Analyzer_Calculations!$R$5:$T$104,3,TRUE),0),0)</f>
        <v>0.1</v>
      </c>
      <c r="AS98" s="198">
        <f t="shared" si="21"/>
        <v>0.01</v>
      </c>
      <c r="AT98" s="18">
        <f t="shared" si="22"/>
        <v>8.3052996390950415</v>
      </c>
      <c r="AU98" s="38">
        <f>AT98*XS_Analyzer_Calculations!$I$7^0.5</f>
        <v>0.83052996390950418</v>
      </c>
      <c r="AV98" s="18">
        <f t="shared" si="57"/>
        <v>3.8279003256686073</v>
      </c>
      <c r="AW98" s="18">
        <f t="shared" si="23"/>
        <v>2.5798669361855731</v>
      </c>
      <c r="AX98" s="18">
        <f t="shared" si="24"/>
        <v>5</v>
      </c>
      <c r="AY98" s="32">
        <f t="shared" si="25"/>
        <v>4.8215000000000039</v>
      </c>
      <c r="AZ98" s="18">
        <f>((AS98*AP98)/(1.65*XS_Analyzer!$Q$72))*12</f>
        <v>11.880458975756682</v>
      </c>
      <c r="BA98" s="18">
        <f>(AW98/((1.65*62.4)*XS_Analyzer!$Q$73))*12</f>
        <v>6.6818620465826815</v>
      </c>
      <c r="BB98" s="18">
        <f t="shared" si="26"/>
        <v>9.7005251154648402</v>
      </c>
      <c r="BC98" s="38">
        <f t="shared" si="27"/>
        <v>13.483390783660871</v>
      </c>
      <c r="BD98" s="18">
        <f>IF(ISNUMBER(LININTERP(AW98,Permissible_Shear!$T$178:$T$188,Permissible_Shear!$V$178:$V$188)),LININTERP(AW98,Permissible_Shear!$T$178:$T$188,Permissible_Shear!$V$178:$V$188),0)</f>
        <v>8.3372385479982114</v>
      </c>
      <c r="BE98" s="18">
        <f>LININTERP(AW98,Permissible_Shear!$S$205:$S$222,Permissible_Shear!$V$205:$V$222)</f>
        <v>8.3745841755799155</v>
      </c>
      <c r="BF98" s="18">
        <f>INDEX($AZ$3:$BE$204,ROW(BF98)-2,MATCH(XS_Analyzer!$S$5,XS_AnalyzerSummary!$AZ$2:$BE$2,0))</f>
        <v>9.7005251154648402</v>
      </c>
      <c r="BG98" s="26">
        <f t="shared" si="28"/>
        <v>0</v>
      </c>
      <c r="BH98" s="26">
        <f t="shared" si="29"/>
        <v>0</v>
      </c>
      <c r="BI98" s="26">
        <f t="shared" si="30"/>
        <v>3.8279003256686073</v>
      </c>
      <c r="BJ98" s="26">
        <f t="shared" si="31"/>
        <v>0</v>
      </c>
      <c r="BK98" s="26">
        <f t="shared" si="32"/>
        <v>0</v>
      </c>
      <c r="BL98" s="26">
        <f t="shared" si="33"/>
        <v>2.5798669361855731</v>
      </c>
      <c r="BM98" s="18">
        <f t="shared" si="34"/>
        <v>0</v>
      </c>
      <c r="BN98" s="18">
        <f t="shared" si="35"/>
        <v>0</v>
      </c>
      <c r="BO98" s="18">
        <f t="shared" si="36"/>
        <v>4.1344021413230339</v>
      </c>
    </row>
    <row r="99" spans="30:67">
      <c r="AD99" s="32">
        <v>95</v>
      </c>
      <c r="AE99" s="25" t="str">
        <f t="shared" si="13"/>
        <v>Right</v>
      </c>
      <c r="AF99" s="25" t="str">
        <f t="shared" si="14"/>
        <v>Channel</v>
      </c>
      <c r="AG99" s="32" t="str">
        <f>IF(XS_AnalyzerSummary!$AB$24&gt;=XS_AnalyzerSummary!AD99,"Y","N")</f>
        <v>Y</v>
      </c>
      <c r="AH99" s="38">
        <v>1</v>
      </c>
      <c r="AI99" s="38">
        <f>IF(AG99="Y",$O$19/XS_AnalyzerSummary!$AB$24,0)</f>
        <v>4.4999999999999998E-2</v>
      </c>
      <c r="AJ99" s="38">
        <f t="shared" si="15"/>
        <v>4.4999999999999998E-2</v>
      </c>
      <c r="AK99" s="93">
        <f t="shared" si="37"/>
        <v>5.3199999999999932</v>
      </c>
      <c r="AL99" s="93">
        <f>IF(AG99="Y",LININTERP(AK99,XS_Analyzer_Calculations!$AY$4:$AY$104,XS_Analyzer_Calculations!$AZ$4:$AZ$104),AL98)</f>
        <v>0.1919999999999959</v>
      </c>
      <c r="AM99" s="38">
        <f t="shared" si="16"/>
        <v>4.8080000000000043</v>
      </c>
      <c r="AN99" s="18">
        <f t="shared" si="17"/>
        <v>0.21575250000000021</v>
      </c>
      <c r="AO99" s="100">
        <f t="shared" si="18"/>
        <v>5.2478567053607719E-2</v>
      </c>
      <c r="AP99" s="100">
        <f t="shared" si="19"/>
        <v>4.111249832328796</v>
      </c>
      <c r="AQ99" s="18">
        <f t="shared" si="20"/>
        <v>1.6595180023127203E-3</v>
      </c>
      <c r="AR99" s="32">
        <f>IFERROR(IF(AG99="Y",VLOOKUP(AK99,XS_Analyzer_Calculations!$R$5:$T$104,3,TRUE),0),0)</f>
        <v>0.1</v>
      </c>
      <c r="AS99" s="198">
        <f t="shared" si="21"/>
        <v>0.01</v>
      </c>
      <c r="AT99" s="18">
        <f t="shared" si="22"/>
        <v>8.2279294401870118</v>
      </c>
      <c r="AU99" s="38">
        <f>AT99*XS_Analyzer_Calculations!$I$7^0.5</f>
        <v>0.82279294401870118</v>
      </c>
      <c r="AV99" s="18">
        <f t="shared" si="57"/>
        <v>3.8135963384836811</v>
      </c>
      <c r="AW99" s="18">
        <f t="shared" si="23"/>
        <v>2.5654198953731684</v>
      </c>
      <c r="AX99" s="18">
        <f t="shared" si="24"/>
        <v>5</v>
      </c>
      <c r="AY99" s="32">
        <f t="shared" si="25"/>
        <v>4.7945000000000046</v>
      </c>
      <c r="AZ99" s="18">
        <f>((AS99*AP99)/(1.65*XS_Analyzer!$Q$72))*12</f>
        <v>11.813929391115922</v>
      </c>
      <c r="BA99" s="18">
        <f>(AW99/((1.65*62.4)*XS_Analyzer!$Q$73))*12</f>
        <v>6.6444441734606796</v>
      </c>
      <c r="BB99" s="18">
        <f t="shared" si="26"/>
        <v>9.644086126487986</v>
      </c>
      <c r="BC99" s="38">
        <f t="shared" si="27"/>
        <v>13.42797028124539</v>
      </c>
      <c r="BD99" s="18">
        <f>IF(ISNUMBER(LININTERP(AW99,Permissible_Shear!$T$178:$T$188,Permissible_Shear!$V$178:$V$188)),LININTERP(AW99,Permissible_Shear!$T$178:$T$188,Permissible_Shear!$V$178:$V$188),0)</f>
        <v>8.2903690296314494</v>
      </c>
      <c r="BE99" s="18">
        <f>LININTERP(AW99,Permissible_Shear!$S$205:$S$222,Permissible_Shear!$V$205:$V$222)</f>
        <v>8.3294371730411516</v>
      </c>
      <c r="BF99" s="18">
        <f>INDEX($AZ$3:$BE$204,ROW(BF99)-2,MATCH(XS_Analyzer!$S$5,XS_AnalyzerSummary!$AZ$2:$BE$2,0))</f>
        <v>9.644086126487986</v>
      </c>
      <c r="BG99" s="26">
        <f t="shared" si="28"/>
        <v>0</v>
      </c>
      <c r="BH99" s="26">
        <f t="shared" si="29"/>
        <v>0</v>
      </c>
      <c r="BI99" s="26">
        <f t="shared" si="30"/>
        <v>3.8135963384836811</v>
      </c>
      <c r="BJ99" s="26">
        <f t="shared" si="31"/>
        <v>0</v>
      </c>
      <c r="BK99" s="26">
        <f t="shared" si="32"/>
        <v>0</v>
      </c>
      <c r="BL99" s="26">
        <f t="shared" si="33"/>
        <v>2.5654198953731684</v>
      </c>
      <c r="BM99" s="18">
        <f t="shared" si="34"/>
        <v>0</v>
      </c>
      <c r="BN99" s="18">
        <f t="shared" si="35"/>
        <v>0</v>
      </c>
      <c r="BO99" s="18">
        <f t="shared" si="36"/>
        <v>4.111249832328796</v>
      </c>
    </row>
    <row r="100" spans="30:67">
      <c r="AD100" s="32">
        <v>96</v>
      </c>
      <c r="AE100" s="25" t="str">
        <f t="shared" si="13"/>
        <v>Right</v>
      </c>
      <c r="AF100" s="25" t="str">
        <f t="shared" si="14"/>
        <v>Channel</v>
      </c>
      <c r="AG100" s="32" t="str">
        <f>IF(XS_AnalyzerSummary!$AB$24&gt;=XS_AnalyzerSummary!AD100,"Y","N")</f>
        <v>Y</v>
      </c>
      <c r="AH100" s="38">
        <v>1</v>
      </c>
      <c r="AI100" s="38">
        <f>IF(AG100="Y",$O$19/XS_AnalyzerSummary!$AB$24,0)</f>
        <v>4.4999999999999998E-2</v>
      </c>
      <c r="AJ100" s="38">
        <f t="shared" si="15"/>
        <v>4.4999999999999998E-2</v>
      </c>
      <c r="AK100" s="93">
        <f t="shared" si="37"/>
        <v>5.3649999999999931</v>
      </c>
      <c r="AL100" s="93">
        <f>IF(AG100="Y",LININTERP(AK100,XS_Analyzer_Calculations!$AY$4:$AY$104,XS_Analyzer_Calculations!$AZ$4:$AZ$104),AL99)</f>
        <v>0.21899999999999586</v>
      </c>
      <c r="AM100" s="38">
        <f t="shared" si="16"/>
        <v>4.7810000000000041</v>
      </c>
      <c r="AN100" s="18">
        <f t="shared" si="17"/>
        <v>0.21453750000000016</v>
      </c>
      <c r="AO100" s="100">
        <f t="shared" si="18"/>
        <v>5.2478567053607719E-2</v>
      </c>
      <c r="AP100" s="100">
        <f t="shared" si="19"/>
        <v>4.0880975233345564</v>
      </c>
      <c r="AQ100" s="18">
        <f t="shared" si="20"/>
        <v>1.6595180023127203E-3</v>
      </c>
      <c r="AR100" s="32">
        <f>IFERROR(IF(AG100="Y",VLOOKUP(AK100,XS_Analyzer_Calculations!$R$5:$T$104,3,TRUE),0),0)</f>
        <v>0.1</v>
      </c>
      <c r="AS100" s="198">
        <f t="shared" si="21"/>
        <v>0.01</v>
      </c>
      <c r="AT100" s="18">
        <f t="shared" si="22"/>
        <v>8.1508491687997022</v>
      </c>
      <c r="AU100" s="38">
        <f>AT100*XS_Analyzer_Calculations!$I$7^0.5</f>
        <v>0.81508491687997031</v>
      </c>
      <c r="AV100" s="18">
        <f t="shared" si="57"/>
        <v>3.7992654751731969</v>
      </c>
      <c r="AW100" s="18">
        <f t="shared" si="23"/>
        <v>2.5509728545607633</v>
      </c>
      <c r="AX100" s="18">
        <f t="shared" si="24"/>
        <v>5</v>
      </c>
      <c r="AY100" s="32">
        <f t="shared" si="25"/>
        <v>4.7675000000000036</v>
      </c>
      <c r="AZ100" s="18">
        <f>((AS100*AP100)/(1.65*XS_Analyzer!$Q$72))*12</f>
        <v>11.747399806475157</v>
      </c>
      <c r="BA100" s="18">
        <f>(AW100/((1.65*62.4)*XS_Analyzer!$Q$73))*12</f>
        <v>6.6070263003386778</v>
      </c>
      <c r="BB100" s="18">
        <f t="shared" si="26"/>
        <v>9.5876604475351979</v>
      </c>
      <c r="BC100" s="38">
        <f t="shared" si="27"/>
        <v>13.372467399054562</v>
      </c>
      <c r="BD100" s="18">
        <f>IF(ISNUMBER(LININTERP(AW100,Permissible_Shear!$T$178:$T$188,Permissible_Shear!$V$178:$V$188)),LININTERP(AW100,Permissible_Shear!$T$178:$T$188,Permissible_Shear!$V$178:$V$188),0)</f>
        <v>8.2434995112646856</v>
      </c>
      <c r="BE100" s="18">
        <f>LININTERP(AW100,Permissible_Shear!$S$205:$S$222,Permissible_Shear!$V$205:$V$222)</f>
        <v>8.2842901705023859</v>
      </c>
      <c r="BF100" s="18">
        <f>INDEX($AZ$3:$BE$204,ROW(BF100)-2,MATCH(XS_Analyzer!$S$5,XS_AnalyzerSummary!$AZ$2:$BE$2,0))</f>
        <v>9.5876604475351979</v>
      </c>
      <c r="BG100" s="26">
        <f t="shared" si="28"/>
        <v>0</v>
      </c>
      <c r="BH100" s="26">
        <f t="shared" si="29"/>
        <v>0</v>
      </c>
      <c r="BI100" s="26">
        <f t="shared" si="30"/>
        <v>3.7992654751731969</v>
      </c>
      <c r="BJ100" s="26">
        <f t="shared" si="31"/>
        <v>0</v>
      </c>
      <c r="BK100" s="26">
        <f t="shared" si="32"/>
        <v>0</v>
      </c>
      <c r="BL100" s="26">
        <f t="shared" si="33"/>
        <v>2.5509728545607633</v>
      </c>
      <c r="BM100" s="18">
        <f t="shared" si="34"/>
        <v>0</v>
      </c>
      <c r="BN100" s="18">
        <f t="shared" si="35"/>
        <v>0</v>
      </c>
      <c r="BO100" s="18">
        <f t="shared" si="36"/>
        <v>4.0880975233345564</v>
      </c>
    </row>
    <row r="101" spans="30:67">
      <c r="AD101" s="32">
        <v>97</v>
      </c>
      <c r="AE101" s="25" t="str">
        <f t="shared" si="13"/>
        <v>Right</v>
      </c>
      <c r="AF101" s="25" t="str">
        <f t="shared" si="14"/>
        <v>Channel</v>
      </c>
      <c r="AG101" s="32" t="str">
        <f>IF(XS_AnalyzerSummary!$AB$24&gt;=XS_AnalyzerSummary!AD101,"Y","N")</f>
        <v>Y</v>
      </c>
      <c r="AH101" s="38">
        <v>1</v>
      </c>
      <c r="AI101" s="38">
        <f>IF(AG101="Y",$O$19/XS_AnalyzerSummary!$AB$24,0)</f>
        <v>4.4999999999999998E-2</v>
      </c>
      <c r="AJ101" s="38">
        <f t="shared" si="15"/>
        <v>4.4999999999999998E-2</v>
      </c>
      <c r="AK101" s="93">
        <f t="shared" si="37"/>
        <v>5.409999999999993</v>
      </c>
      <c r="AL101" s="93">
        <f>IF(AG101="Y",LININTERP(AK101,XS_Analyzer_Calculations!$AY$4:$AY$104,XS_Analyzer_Calculations!$AZ$4:$AZ$104),AL100)</f>
        <v>0.24599999999999583</v>
      </c>
      <c r="AM101" s="38">
        <f t="shared" si="16"/>
        <v>4.754000000000004</v>
      </c>
      <c r="AN101" s="18">
        <f t="shared" si="17"/>
        <v>0.21332250000000019</v>
      </c>
      <c r="AO101" s="100">
        <f t="shared" si="18"/>
        <v>5.2478567053607719E-2</v>
      </c>
      <c r="AP101" s="100">
        <f t="shared" si="19"/>
        <v>4.0649452143403186</v>
      </c>
      <c r="AQ101" s="18">
        <f t="shared" si="20"/>
        <v>1.6595180023127203E-3</v>
      </c>
      <c r="AR101" s="32">
        <f>IFERROR(IF(AG101="Y",VLOOKUP(AK101,XS_Analyzer_Calculations!$R$5:$T$104,3,TRUE),0),0)</f>
        <v>0.1</v>
      </c>
      <c r="AS101" s="198">
        <f t="shared" si="21"/>
        <v>0.01</v>
      </c>
      <c r="AT101" s="18">
        <f t="shared" si="22"/>
        <v>8.0740593712269249</v>
      </c>
      <c r="AU101" s="38">
        <f>AT101*XS_Analyzer_Calculations!$I$7^0.5</f>
        <v>0.80740593712269249</v>
      </c>
      <c r="AV101" s="18">
        <f t="shared" si="57"/>
        <v>3.7849075325982575</v>
      </c>
      <c r="AW101" s="18">
        <f t="shared" si="23"/>
        <v>2.5365258137483586</v>
      </c>
      <c r="AX101" s="18">
        <f t="shared" si="24"/>
        <v>5</v>
      </c>
      <c r="AY101" s="32">
        <f t="shared" si="25"/>
        <v>4.7405000000000044</v>
      </c>
      <c r="AZ101" s="18">
        <f>((AS101*AP101)/(1.65*XS_Analyzer!$Q$72))*12</f>
        <v>11.6808702218344</v>
      </c>
      <c r="BA101" s="18">
        <f>(AW101/((1.65*62.4)*XS_Analyzer!$Q$73))*12</f>
        <v>6.5696084272166768</v>
      </c>
      <c r="BB101" s="18">
        <f t="shared" si="26"/>
        <v>9.5312481506081301</v>
      </c>
      <c r="BC101" s="38">
        <f t="shared" si="27"/>
        <v>13.316881548362053</v>
      </c>
      <c r="BD101" s="18">
        <f>IF(ISNUMBER(LININTERP(AW101,Permissible_Shear!$T$178:$T$188,Permissible_Shear!$V$178:$V$188)),LININTERP(AW101,Permissible_Shear!$T$178:$T$188,Permissible_Shear!$V$178:$V$188),0)</f>
        <v>8.1966299928979236</v>
      </c>
      <c r="BE101" s="18">
        <f>LININTERP(AW101,Permissible_Shear!$S$205:$S$222,Permissible_Shear!$V$205:$V$222)</f>
        <v>8.239143167963622</v>
      </c>
      <c r="BF101" s="18">
        <f>INDEX($AZ$3:$BE$204,ROW(BF101)-2,MATCH(XS_Analyzer!$S$5,XS_AnalyzerSummary!$AZ$2:$BE$2,0))</f>
        <v>9.5312481506081301</v>
      </c>
      <c r="BG101" s="26">
        <f t="shared" si="28"/>
        <v>0</v>
      </c>
      <c r="BH101" s="26">
        <f t="shared" si="29"/>
        <v>0</v>
      </c>
      <c r="BI101" s="26">
        <f t="shared" si="30"/>
        <v>3.7849075325982575</v>
      </c>
      <c r="BJ101" s="26">
        <f t="shared" si="31"/>
        <v>0</v>
      </c>
      <c r="BK101" s="26">
        <f t="shared" si="32"/>
        <v>0</v>
      </c>
      <c r="BL101" s="26">
        <f t="shared" si="33"/>
        <v>2.5365258137483586</v>
      </c>
      <c r="BM101" s="18">
        <f t="shared" si="34"/>
        <v>0</v>
      </c>
      <c r="BN101" s="18">
        <f t="shared" si="35"/>
        <v>0</v>
      </c>
      <c r="BO101" s="18">
        <f t="shared" si="36"/>
        <v>4.0649452143403186</v>
      </c>
    </row>
    <row r="102" spans="30:67">
      <c r="AD102" s="32">
        <v>98</v>
      </c>
      <c r="AE102" s="25" t="str">
        <f t="shared" si="13"/>
        <v>Right</v>
      </c>
      <c r="AF102" s="25" t="str">
        <f t="shared" si="14"/>
        <v>Channel</v>
      </c>
      <c r="AG102" s="32" t="str">
        <f>IF(XS_AnalyzerSummary!$AB$24&gt;=XS_AnalyzerSummary!AD102,"Y","N")</f>
        <v>Y</v>
      </c>
      <c r="AH102" s="38">
        <v>1</v>
      </c>
      <c r="AI102" s="38">
        <f>IF(AG102="Y",$O$19/XS_AnalyzerSummary!$AB$24,0)</f>
        <v>4.4999999999999998E-2</v>
      </c>
      <c r="AJ102" s="38">
        <f t="shared" si="15"/>
        <v>4.4999999999999998E-2</v>
      </c>
      <c r="AK102" s="93">
        <f t="shared" si="37"/>
        <v>5.454999999999993</v>
      </c>
      <c r="AL102" s="93">
        <f>IF(AG102="Y",LININTERP(AK102,XS_Analyzer_Calculations!$AY$4:$AY$104,XS_Analyzer_Calculations!$AZ$4:$AZ$104),AL101)</f>
        <v>0.2729999999999958</v>
      </c>
      <c r="AM102" s="38">
        <f t="shared" si="16"/>
        <v>4.7270000000000039</v>
      </c>
      <c r="AN102" s="18">
        <f t="shared" si="17"/>
        <v>0.21210750000000017</v>
      </c>
      <c r="AO102" s="100">
        <f t="shared" si="18"/>
        <v>5.2478567053607254E-2</v>
      </c>
      <c r="AP102" s="100">
        <f t="shared" si="19"/>
        <v>4.0417929053461146</v>
      </c>
      <c r="AQ102" s="18">
        <f t="shared" si="20"/>
        <v>1.6595180023127058E-3</v>
      </c>
      <c r="AR102" s="32">
        <f>IFERROR(IF(AG102="Y",VLOOKUP(AK102,XS_Analyzer_Calculations!$R$5:$T$104,3,TRUE),0),0)</f>
        <v>0.1</v>
      </c>
      <c r="AS102" s="198">
        <f t="shared" si="21"/>
        <v>0.01</v>
      </c>
      <c r="AT102" s="18">
        <f t="shared" si="22"/>
        <v>7.9975605979033624</v>
      </c>
      <c r="AU102" s="38">
        <f>AT102*XS_Analyzer_Calculations!$I$7^0.5</f>
        <v>0.79975605979033626</v>
      </c>
      <c r="AV102" s="18">
        <f t="shared" si="57"/>
        <v>3.7705223049177214</v>
      </c>
      <c r="AW102" s="18">
        <f t="shared" si="23"/>
        <v>2.5220787729359753</v>
      </c>
      <c r="AX102" s="18">
        <f t="shared" si="24"/>
        <v>5</v>
      </c>
      <c r="AY102" s="32">
        <f t="shared" si="25"/>
        <v>4.7135000000000042</v>
      </c>
      <c r="AZ102" s="18">
        <f>((AS102*AP102)/(1.65*XS_Analyzer!$Q$72))*12</f>
        <v>11.614340637193736</v>
      </c>
      <c r="BA102" s="18">
        <f>(AW102/((1.65*62.4)*XS_Analyzer!$Q$73))*12</f>
        <v>6.53219055409473</v>
      </c>
      <c r="BB102" s="18">
        <f t="shared" si="26"/>
        <v>9.4748493085090324</v>
      </c>
      <c r="BC102" s="38">
        <f t="shared" si="27"/>
        <v>13.261212132864072</v>
      </c>
      <c r="BD102" s="18">
        <f>IF(ISNUMBER(LININTERP(AW102,Permissible_Shear!$T$178:$T$188,Permissible_Shear!$V$178:$V$188)),LININTERP(AW102,Permissible_Shear!$T$178:$T$188,Permissible_Shear!$V$178:$V$188),0)</f>
        <v>8.1497604745312309</v>
      </c>
      <c r="BE102" s="18">
        <f>LININTERP(AW102,Permissible_Shear!$S$205:$S$222,Permissible_Shear!$V$205:$V$222)</f>
        <v>8.1939961654249238</v>
      </c>
      <c r="BF102" s="18">
        <f>INDEX($AZ$3:$BE$204,ROW(BF102)-2,MATCH(XS_Analyzer!$S$5,XS_AnalyzerSummary!$AZ$2:$BE$2,0))</f>
        <v>9.4748493085090324</v>
      </c>
      <c r="BG102" s="26">
        <f t="shared" si="28"/>
        <v>0</v>
      </c>
      <c r="BH102" s="26">
        <f t="shared" si="29"/>
        <v>0</v>
      </c>
      <c r="BI102" s="26">
        <f t="shared" si="30"/>
        <v>3.7705223049177214</v>
      </c>
      <c r="BJ102" s="26">
        <f t="shared" si="31"/>
        <v>0</v>
      </c>
      <c r="BK102" s="26">
        <f t="shared" si="32"/>
        <v>0</v>
      </c>
      <c r="BL102" s="26">
        <f t="shared" si="33"/>
        <v>2.5220787729359753</v>
      </c>
      <c r="BM102" s="18">
        <f t="shared" si="34"/>
        <v>0</v>
      </c>
      <c r="BN102" s="18">
        <f t="shared" si="35"/>
        <v>0</v>
      </c>
      <c r="BO102" s="18">
        <f t="shared" si="36"/>
        <v>4.0417929053461146</v>
      </c>
    </row>
    <row r="103" spans="30:67">
      <c r="AD103" s="32">
        <v>99</v>
      </c>
      <c r="AE103" s="25" t="str">
        <f t="shared" si="13"/>
        <v>Right</v>
      </c>
      <c r="AF103" s="25" t="str">
        <f t="shared" si="14"/>
        <v>Channel</v>
      </c>
      <c r="AG103" s="32" t="str">
        <f>IF(XS_AnalyzerSummary!$AB$24&gt;=XS_AnalyzerSummary!AD103,"Y","N")</f>
        <v>Y</v>
      </c>
      <c r="AH103" s="38">
        <v>1</v>
      </c>
      <c r="AI103" s="38">
        <f>IF(AG103="Y",$O$19/XS_AnalyzerSummary!$AB$24,0)</f>
        <v>4.4999999999999998E-2</v>
      </c>
      <c r="AJ103" s="38">
        <f t="shared" si="15"/>
        <v>4.4999999999999998E-2</v>
      </c>
      <c r="AK103" s="93">
        <f t="shared" si="37"/>
        <v>5.4999999999999929</v>
      </c>
      <c r="AL103" s="93">
        <f>IF(AG103="Y",LININTERP(AK103,XS_Analyzer_Calculations!$AY$4:$AY$104,XS_Analyzer_Calculations!$AZ$4:$AZ$104),AL102)</f>
        <v>0.29999999999999571</v>
      </c>
      <c r="AM103" s="38">
        <f t="shared" si="16"/>
        <v>4.7000000000000046</v>
      </c>
      <c r="AN103" s="18">
        <f t="shared" si="17"/>
        <v>0.21089250000000018</v>
      </c>
      <c r="AO103" s="100">
        <f t="shared" si="18"/>
        <v>5.2478567053607719E-2</v>
      </c>
      <c r="AP103" s="100">
        <f t="shared" si="19"/>
        <v>4.0186405963518403</v>
      </c>
      <c r="AQ103" s="18">
        <f t="shared" si="20"/>
        <v>1.6595180023127203E-3</v>
      </c>
      <c r="AR103" s="32">
        <f>IFERROR(IF(AG103="Y",VLOOKUP(AK103,XS_Analyzer_Calculations!$R$5:$T$104,3,TRUE),0),0)</f>
        <v>0.1</v>
      </c>
      <c r="AS103" s="198">
        <f t="shared" si="21"/>
        <v>0.01</v>
      </c>
      <c r="AT103" s="18">
        <f t="shared" si="22"/>
        <v>7.9213534034596034</v>
      </c>
      <c r="AU103" s="38">
        <f>AT103*XS_Analyzer_Calculations!$I$7^0.5</f>
        <v>0.79213534034596034</v>
      </c>
      <c r="AV103" s="18">
        <f t="shared" si="57"/>
        <v>3.7561095835364449</v>
      </c>
      <c r="AW103" s="18">
        <f t="shared" si="23"/>
        <v>2.5076317321235484</v>
      </c>
      <c r="AX103" s="18">
        <f t="shared" si="24"/>
        <v>5</v>
      </c>
      <c r="AY103" s="32">
        <f t="shared" si="25"/>
        <v>4.6865000000000041</v>
      </c>
      <c r="AZ103" s="18">
        <f>((AS103*AP103)/(1.65*XS_Analyzer!$Q$72))*12</f>
        <v>11.547811052552875</v>
      </c>
      <c r="BA103" s="18">
        <f>(AW103/((1.65*62.4)*XS_Analyzer!$Q$73))*12</f>
        <v>6.4947726809726714</v>
      </c>
      <c r="BB103" s="18">
        <f t="shared" si="26"/>
        <v>9.4184639948542852</v>
      </c>
      <c r="BC103" s="38">
        <f t="shared" si="27"/>
        <v>13.205458548537978</v>
      </c>
      <c r="BD103" s="18">
        <f>IF(ISNUMBER(LININTERP(AW103,Permissible_Shear!$T$178:$T$188,Permissible_Shear!$V$178:$V$188)),LININTERP(AW103,Permissible_Shear!$T$178:$T$188,Permissible_Shear!$V$178:$V$188),0)</f>
        <v>8.1028909561643978</v>
      </c>
      <c r="BE103" s="18">
        <f>LININTERP(AW103,Permissible_Shear!$S$205:$S$222,Permissible_Shear!$V$205:$V$222)</f>
        <v>8.1488491628860888</v>
      </c>
      <c r="BF103" s="18">
        <f>INDEX($AZ$3:$BE$204,ROW(BF103)-2,MATCH(XS_Analyzer!$S$5,XS_AnalyzerSummary!$AZ$2:$BE$2,0))</f>
        <v>9.4184639948542852</v>
      </c>
      <c r="BG103" s="26">
        <f t="shared" si="28"/>
        <v>0</v>
      </c>
      <c r="BH103" s="26">
        <f t="shared" si="29"/>
        <v>0</v>
      </c>
      <c r="BI103" s="26">
        <f t="shared" si="30"/>
        <v>3.7561095835364449</v>
      </c>
      <c r="BJ103" s="26">
        <f t="shared" si="31"/>
        <v>0</v>
      </c>
      <c r="BK103" s="26">
        <f t="shared" si="32"/>
        <v>0</v>
      </c>
      <c r="BL103" s="26">
        <f t="shared" si="33"/>
        <v>2.5076317321235484</v>
      </c>
      <c r="BM103" s="18">
        <f t="shared" si="34"/>
        <v>0</v>
      </c>
      <c r="BN103" s="18">
        <f t="shared" si="35"/>
        <v>0</v>
      </c>
      <c r="BO103" s="18">
        <f t="shared" si="36"/>
        <v>4.0186405963518403</v>
      </c>
    </row>
    <row r="104" spans="30:67">
      <c r="AD104" s="32">
        <v>100</v>
      </c>
      <c r="AE104" s="25" t="str">
        <f t="shared" si="13"/>
        <v>Right</v>
      </c>
      <c r="AF104" s="25" t="str">
        <f t="shared" si="14"/>
        <v>Channel</v>
      </c>
      <c r="AG104" s="32" t="str">
        <f>IF(XS_AnalyzerSummary!$AB$24&gt;=XS_AnalyzerSummary!AD104,"Y","N")</f>
        <v>Y</v>
      </c>
      <c r="AH104" s="38">
        <v>1</v>
      </c>
      <c r="AI104" s="38">
        <f>IF(AG104="Y",$O$19/XS_AnalyzerSummary!$AB$24,0)</f>
        <v>4.4999999999999998E-2</v>
      </c>
      <c r="AJ104" s="38">
        <f t="shared" si="15"/>
        <v>4.4999999999999998E-2</v>
      </c>
      <c r="AK104" s="93">
        <f t="shared" si="37"/>
        <v>5.5449999999999928</v>
      </c>
      <c r="AL104" s="93">
        <f>IF(AG104="Y",LININTERP(AK104,XS_Analyzer_Calculations!$AY$4:$AY$104,XS_Analyzer_Calculations!$AZ$4:$AZ$104),AL103)</f>
        <v>0.32699999999999568</v>
      </c>
      <c r="AM104" s="38">
        <f t="shared" si="16"/>
        <v>4.6730000000000045</v>
      </c>
      <c r="AN104" s="18">
        <f t="shared" si="17"/>
        <v>0.20967750000000021</v>
      </c>
      <c r="AO104" s="100">
        <f t="shared" si="18"/>
        <v>5.2478567053607719E-2</v>
      </c>
      <c r="AP104" s="100">
        <f t="shared" si="19"/>
        <v>3.9954882873576025</v>
      </c>
      <c r="AQ104" s="18">
        <f t="shared" si="20"/>
        <v>1.6595180023127203E-3</v>
      </c>
      <c r="AR104" s="32">
        <f>IFERROR(IF(AG104="Y",VLOOKUP(AK104,XS_Analyzer_Calculations!$R$5:$T$104,3,TRUE),0),0)</f>
        <v>0.1</v>
      </c>
      <c r="AS104" s="198">
        <f t="shared" si="21"/>
        <v>0.01</v>
      </c>
      <c r="AT104" s="18">
        <f t="shared" si="22"/>
        <v>7.8454383467788915</v>
      </c>
      <c r="AU104" s="38">
        <f>AT104*XS_Analyzer_Calculations!$I$7^0.5</f>
        <v>0.78454383467788924</v>
      </c>
      <c r="AV104" s="18">
        <f t="shared" si="57"/>
        <v>3.7416691570525615</v>
      </c>
      <c r="AW104" s="18">
        <f t="shared" si="23"/>
        <v>2.4931846913111442</v>
      </c>
      <c r="AX104" s="18">
        <f t="shared" si="24"/>
        <v>5</v>
      </c>
      <c r="AY104" s="32">
        <f t="shared" si="25"/>
        <v>4.6595000000000049</v>
      </c>
      <c r="AZ104" s="18">
        <f>((AS104*AP104)/(1.65*XS_Analyzer!$Q$72))*12</f>
        <v>11.481281467912115</v>
      </c>
      <c r="BA104" s="18">
        <f>(AW104/((1.65*62.4)*XS_Analyzer!$Q$73))*12</f>
        <v>6.4573548078506722</v>
      </c>
      <c r="BB104" s="18">
        <f t="shared" si="26"/>
        <v>9.3620922840882166</v>
      </c>
      <c r="BC104" s="38">
        <f t="shared" si="27"/>
        <v>13.149620183497397</v>
      </c>
      <c r="BD104" s="18">
        <f>IF(ISNUMBER(LININTERP(AW104,Permissible_Shear!$T$178:$T$188,Permissible_Shear!$V$178:$V$188)),LININTERP(AW104,Permissible_Shear!$T$178:$T$188,Permissible_Shear!$V$178:$V$188),0)</f>
        <v>8.0560214377976376</v>
      </c>
      <c r="BE104" s="18">
        <f>LININTERP(AW104,Permissible_Shear!$S$205:$S$222,Permissible_Shear!$V$205:$V$222)</f>
        <v>8.1037021603473267</v>
      </c>
      <c r="BF104" s="18">
        <f>INDEX($AZ$3:$BE$204,ROW(BF104)-2,MATCH(XS_Analyzer!$S$5,XS_AnalyzerSummary!$AZ$2:$BE$2,0))</f>
        <v>9.3620922840882166</v>
      </c>
      <c r="BG104" s="26">
        <f t="shared" si="28"/>
        <v>0</v>
      </c>
      <c r="BH104" s="26">
        <f t="shared" si="29"/>
        <v>0</v>
      </c>
      <c r="BI104" s="26">
        <f t="shared" si="30"/>
        <v>3.7416691570525615</v>
      </c>
      <c r="BJ104" s="26">
        <f t="shared" si="31"/>
        <v>0</v>
      </c>
      <c r="BK104" s="26">
        <f t="shared" si="32"/>
        <v>0</v>
      </c>
      <c r="BL104" s="26">
        <f t="shared" si="33"/>
        <v>2.4931846913111442</v>
      </c>
      <c r="BM104" s="18">
        <f t="shared" si="34"/>
        <v>0</v>
      </c>
      <c r="BN104" s="18">
        <f t="shared" si="35"/>
        <v>0</v>
      </c>
      <c r="BO104" s="18">
        <f t="shared" si="36"/>
        <v>3.9954882873576025</v>
      </c>
    </row>
    <row r="105" spans="30:67">
      <c r="AD105" s="32">
        <v>101</v>
      </c>
      <c r="AE105" s="25" t="str">
        <f t="shared" si="13"/>
        <v>Right</v>
      </c>
      <c r="AF105" s="25" t="str">
        <f t="shared" si="14"/>
        <v>Channel</v>
      </c>
      <c r="AG105" s="32" t="str">
        <f>IF(XS_AnalyzerSummary!$AB$24&gt;=XS_AnalyzerSummary!AD105,"Y","N")</f>
        <v>Y</v>
      </c>
      <c r="AH105" s="38">
        <v>1</v>
      </c>
      <c r="AI105" s="38">
        <f>IF(AG105="Y",$O$19/XS_AnalyzerSummary!$AB$24,0)</f>
        <v>4.4999999999999998E-2</v>
      </c>
      <c r="AJ105" s="38">
        <f t="shared" si="15"/>
        <v>4.4999999999999998E-2</v>
      </c>
      <c r="AK105" s="93">
        <f t="shared" si="37"/>
        <v>5.5899999999999928</v>
      </c>
      <c r="AL105" s="93">
        <f>IF(AG105="Y",LININTERP(AK105,XS_Analyzer_Calculations!$AY$4:$AY$104,XS_Analyzer_Calculations!$AZ$4:$AZ$104),AL104)</f>
        <v>0.35399999999999565</v>
      </c>
      <c r="AM105" s="38">
        <f t="shared" si="16"/>
        <v>4.6460000000000043</v>
      </c>
      <c r="AN105" s="18">
        <f t="shared" si="17"/>
        <v>0.20846250000000016</v>
      </c>
      <c r="AO105" s="100">
        <f t="shared" si="18"/>
        <v>5.2478567053607719E-2</v>
      </c>
      <c r="AP105" s="100">
        <f t="shared" si="19"/>
        <v>3.9723359783633629</v>
      </c>
      <c r="AQ105" s="18">
        <f t="shared" si="20"/>
        <v>1.6595180023127203E-3</v>
      </c>
      <c r="AR105" s="32">
        <f>IFERROR(IF(AG105="Y",VLOOKUP(AK105,XS_Analyzer_Calculations!$R$5:$T$104,3,TRUE),0),0)</f>
        <v>0.1</v>
      </c>
      <c r="AS105" s="198">
        <f t="shared" si="21"/>
        <v>0.01</v>
      </c>
      <c r="AT105" s="18">
        <f t="shared" si="22"/>
        <v>7.7698159910540374</v>
      </c>
      <c r="AU105" s="38">
        <f>AT105*XS_Analyzer_Calculations!$I$7^0.5</f>
        <v>0.77698159910540376</v>
      </c>
      <c r="AV105" s="18">
        <f t="shared" si="57"/>
        <v>3.7272008112029895</v>
      </c>
      <c r="AW105" s="18">
        <f t="shared" si="23"/>
        <v>2.4787376504987386</v>
      </c>
      <c r="AX105" s="18">
        <f t="shared" si="24"/>
        <v>5</v>
      </c>
      <c r="AY105" s="32">
        <f t="shared" si="25"/>
        <v>4.6325000000000038</v>
      </c>
      <c r="AZ105" s="18">
        <f>((AS105*AP105)/(1.65*XS_Analyzer!$Q$72))*12</f>
        <v>11.41475188327135</v>
      </c>
      <c r="BA105" s="18">
        <f>(AW105/((1.65*62.4)*XS_Analyzer!$Q$73))*12</f>
        <v>6.4199369347286686</v>
      </c>
      <c r="BB105" s="18">
        <f t="shared" si="26"/>
        <v>9.3057342514972721</v>
      </c>
      <c r="BC105" s="38">
        <f t="shared" si="27"/>
        <v>13.093696417843802</v>
      </c>
      <c r="BD105" s="18">
        <f>IF(ISNUMBER(LININTERP(AW105,Permissible_Shear!$T$178:$T$188,Permissible_Shear!$V$178:$V$188)),LININTERP(AW105,Permissible_Shear!$T$178:$T$188,Permissible_Shear!$V$178:$V$188),0)</f>
        <v>8.009151919430872</v>
      </c>
      <c r="BE105" s="18">
        <f>LININTERP(AW105,Permissible_Shear!$S$205:$S$222,Permissible_Shear!$V$205:$V$222)</f>
        <v>8.0585551578085592</v>
      </c>
      <c r="BF105" s="18">
        <f>INDEX($AZ$3:$BE$204,ROW(BF105)-2,MATCH(XS_Analyzer!$S$5,XS_AnalyzerSummary!$AZ$2:$BE$2,0))</f>
        <v>9.3057342514972721</v>
      </c>
      <c r="BG105" s="26">
        <f t="shared" si="28"/>
        <v>0</v>
      </c>
      <c r="BH105" s="26">
        <f t="shared" si="29"/>
        <v>0</v>
      </c>
      <c r="BI105" s="26">
        <f t="shared" si="30"/>
        <v>3.7272008112029895</v>
      </c>
      <c r="BJ105" s="26">
        <f t="shared" si="31"/>
        <v>0</v>
      </c>
      <c r="BK105" s="26">
        <f t="shared" si="32"/>
        <v>0</v>
      </c>
      <c r="BL105" s="26">
        <f t="shared" si="33"/>
        <v>2.4787376504987386</v>
      </c>
      <c r="BM105" s="18">
        <f t="shared" si="34"/>
        <v>0</v>
      </c>
      <c r="BN105" s="18">
        <f t="shared" si="35"/>
        <v>0</v>
      </c>
      <c r="BO105" s="18">
        <f t="shared" si="36"/>
        <v>3.9723359783633629</v>
      </c>
    </row>
    <row r="106" spans="30:67">
      <c r="AD106" s="32">
        <v>102</v>
      </c>
      <c r="AE106" s="25" t="str">
        <f t="shared" si="13"/>
        <v>Right</v>
      </c>
      <c r="AF106" s="25" t="str">
        <f t="shared" si="14"/>
        <v>Channel</v>
      </c>
      <c r="AG106" s="32" t="str">
        <f>IF(XS_AnalyzerSummary!$AB$24&gt;=XS_AnalyzerSummary!AD106,"Y","N")</f>
        <v>Y</v>
      </c>
      <c r="AH106" s="38">
        <v>1</v>
      </c>
      <c r="AI106" s="38">
        <f>IF(AG106="Y",$O$19/XS_AnalyzerSummary!$AB$24,0)</f>
        <v>4.4999999999999998E-2</v>
      </c>
      <c r="AJ106" s="38">
        <f t="shared" si="15"/>
        <v>4.4999999999999998E-2</v>
      </c>
      <c r="AK106" s="93">
        <f t="shared" si="37"/>
        <v>5.6349999999999927</v>
      </c>
      <c r="AL106" s="93">
        <f>IF(AG106="Y",LININTERP(AK106,XS_Analyzer_Calculations!$AY$4:$AY$104,XS_Analyzer_Calculations!$AZ$4:$AZ$104),AL105)</f>
        <v>0.38099999999999562</v>
      </c>
      <c r="AM106" s="38">
        <f t="shared" si="16"/>
        <v>4.6190000000000042</v>
      </c>
      <c r="AN106" s="18">
        <f t="shared" si="17"/>
        <v>0.2072475000000002</v>
      </c>
      <c r="AO106" s="100">
        <f t="shared" si="18"/>
        <v>5.2478567053607719E-2</v>
      </c>
      <c r="AP106" s="100">
        <f t="shared" si="19"/>
        <v>3.9491836693691247</v>
      </c>
      <c r="AQ106" s="18">
        <f t="shared" si="20"/>
        <v>1.6595180023127203E-3</v>
      </c>
      <c r="AR106" s="32">
        <f>IFERROR(IF(AG106="Y",VLOOKUP(AK106,XS_Analyzer_Calculations!$R$5:$T$104,3,TRUE),0),0)</f>
        <v>0.1</v>
      </c>
      <c r="AS106" s="198">
        <f t="shared" si="21"/>
        <v>0.01</v>
      </c>
      <c r="AT106" s="18">
        <f t="shared" si="22"/>
        <v>7.6944869038461823</v>
      </c>
      <c r="AU106" s="38">
        <f>AT106*XS_Analyzer_Calculations!$I$7^0.5</f>
        <v>0.76944869038461827</v>
      </c>
      <c r="AV106" s="18">
        <f t="shared" si="57"/>
        <v>3.7127043288079111</v>
      </c>
      <c r="AW106" s="18">
        <f t="shared" si="23"/>
        <v>2.4642906096863335</v>
      </c>
      <c r="AX106" s="18">
        <f t="shared" si="24"/>
        <v>5</v>
      </c>
      <c r="AY106" s="32">
        <f t="shared" si="25"/>
        <v>4.6055000000000046</v>
      </c>
      <c r="AZ106" s="18">
        <f>((AS106*AP106)/(1.65*XS_Analyzer!$Q$72))*12</f>
        <v>11.348222298630592</v>
      </c>
      <c r="BA106" s="18">
        <f>(AW106/((1.65*62.4)*XS_Analyzer!$Q$73))*12</f>
        <v>6.3825190616066667</v>
      </c>
      <c r="BB106" s="18">
        <f t="shared" si="26"/>
        <v>9.2493899732244689</v>
      </c>
      <c r="BC106" s="38">
        <f t="shared" si="27"/>
        <v>13.037686623514364</v>
      </c>
      <c r="BD106" s="18">
        <f>IF(ISNUMBER(LININTERP(AW106,Permissible_Shear!$T$178:$T$188,Permissible_Shear!$V$178:$V$188)),LININTERP(AW106,Permissible_Shear!$T$178:$T$188,Permissible_Shear!$V$178:$V$188),0)</f>
        <v>7.9622824010641091</v>
      </c>
      <c r="BE106" s="18">
        <f>LININTERP(AW106,Permissible_Shear!$S$205:$S$222,Permissible_Shear!$V$205:$V$222)</f>
        <v>8.0134081552697936</v>
      </c>
      <c r="BF106" s="18">
        <f>INDEX($AZ$3:$BE$204,ROW(BF106)-2,MATCH(XS_Analyzer!$S$5,XS_AnalyzerSummary!$AZ$2:$BE$2,0))</f>
        <v>9.2493899732244689</v>
      </c>
      <c r="BG106" s="26">
        <f t="shared" si="28"/>
        <v>0</v>
      </c>
      <c r="BH106" s="26">
        <f t="shared" si="29"/>
        <v>0</v>
      </c>
      <c r="BI106" s="26">
        <f t="shared" si="30"/>
        <v>3.7127043288079111</v>
      </c>
      <c r="BJ106" s="26">
        <f t="shared" si="31"/>
        <v>0</v>
      </c>
      <c r="BK106" s="26">
        <f t="shared" si="32"/>
        <v>0</v>
      </c>
      <c r="BL106" s="26">
        <f t="shared" si="33"/>
        <v>2.4642906096863335</v>
      </c>
      <c r="BM106" s="18">
        <f t="shared" si="34"/>
        <v>0</v>
      </c>
      <c r="BN106" s="18">
        <f t="shared" si="35"/>
        <v>0</v>
      </c>
      <c r="BO106" s="18">
        <f t="shared" si="36"/>
        <v>3.9491836693691247</v>
      </c>
    </row>
    <row r="107" spans="30:67">
      <c r="AD107" s="32">
        <v>103</v>
      </c>
      <c r="AE107" s="25" t="str">
        <f t="shared" si="13"/>
        <v>Right</v>
      </c>
      <c r="AF107" s="25" t="str">
        <f t="shared" si="14"/>
        <v>Channel</v>
      </c>
      <c r="AG107" s="32" t="str">
        <f>IF(XS_AnalyzerSummary!$AB$24&gt;=XS_AnalyzerSummary!AD107,"Y","N")</f>
        <v>Y</v>
      </c>
      <c r="AH107" s="38">
        <v>1</v>
      </c>
      <c r="AI107" s="38">
        <f>IF(AG107="Y",$O$19/XS_AnalyzerSummary!$AB$24,0)</f>
        <v>4.4999999999999998E-2</v>
      </c>
      <c r="AJ107" s="38">
        <f t="shared" si="15"/>
        <v>4.4999999999999998E-2</v>
      </c>
      <c r="AK107" s="93">
        <f t="shared" si="37"/>
        <v>5.6799999999999926</v>
      </c>
      <c r="AL107" s="93">
        <f>IF(AG107="Y",LININTERP(AK107,XS_Analyzer_Calculations!$AY$4:$AY$104,XS_Analyzer_Calculations!$AZ$4:$AZ$104),AL106)</f>
        <v>0.40799999999999559</v>
      </c>
      <c r="AM107" s="38">
        <f t="shared" si="16"/>
        <v>4.5920000000000041</v>
      </c>
      <c r="AN107" s="18">
        <f t="shared" si="17"/>
        <v>0.2060325000000002</v>
      </c>
      <c r="AO107" s="100">
        <f t="shared" si="18"/>
        <v>5.2478567053607254E-2</v>
      </c>
      <c r="AP107" s="100">
        <f t="shared" si="19"/>
        <v>3.9260313603749211</v>
      </c>
      <c r="AQ107" s="18">
        <f t="shared" si="20"/>
        <v>1.6595180023127058E-3</v>
      </c>
      <c r="AR107" s="32">
        <f>IFERROR(IF(AG107="Y",VLOOKUP(AK107,XS_Analyzer_Calculations!$R$5:$T$104,3,TRUE),0),0)</f>
        <v>0.1</v>
      </c>
      <c r="AS107" s="198">
        <f t="shared" si="21"/>
        <v>0.01</v>
      </c>
      <c r="AT107" s="18">
        <f t="shared" si="22"/>
        <v>7.6194516571444018</v>
      </c>
      <c r="AU107" s="38">
        <f>AT107*XS_Analyzer_Calculations!$I$7^0.5</f>
        <v>0.76194516571444026</v>
      </c>
      <c r="AV107" s="18">
        <f t="shared" si="57"/>
        <v>3.6981794897137079</v>
      </c>
      <c r="AW107" s="18">
        <f t="shared" si="23"/>
        <v>2.449843568873951</v>
      </c>
      <c r="AX107" s="18">
        <f t="shared" si="24"/>
        <v>5</v>
      </c>
      <c r="AY107" s="32">
        <f t="shared" si="25"/>
        <v>4.5785000000000045</v>
      </c>
      <c r="AZ107" s="18">
        <f>((AS107*AP107)/(1.65*XS_Analyzer!$Q$72))*12</f>
        <v>11.28169271398993</v>
      </c>
      <c r="BA107" s="18">
        <f>(AW107/((1.65*62.4)*XS_Analyzer!$Q$73))*12</f>
        <v>6.3451011884847226</v>
      </c>
      <c r="BB107" s="18">
        <f t="shared" si="26"/>
        <v>9.1930595262842161</v>
      </c>
      <c r="BC107" s="38">
        <f t="shared" si="27"/>
        <v>12.981590164126063</v>
      </c>
      <c r="BD107" s="18">
        <f>IF(ISNUMBER(LININTERP(AW107,Permissible_Shear!$T$178:$T$188,Permissible_Shear!$V$178:$V$188)),LININTERP(AW107,Permissible_Shear!$T$178:$T$188,Permissible_Shear!$V$178:$V$188),0)</f>
        <v>7.9154128826974191</v>
      </c>
      <c r="BE107" s="18">
        <f>LININTERP(AW107,Permissible_Shear!$S$205:$S$222,Permissible_Shear!$V$205:$V$222)</f>
        <v>7.9682611527310971</v>
      </c>
      <c r="BF107" s="18">
        <f>INDEX($AZ$3:$BE$204,ROW(BF107)-2,MATCH(XS_Analyzer!$S$5,XS_AnalyzerSummary!$AZ$2:$BE$2,0))</f>
        <v>9.1930595262842161</v>
      </c>
      <c r="BG107" s="26">
        <f t="shared" si="28"/>
        <v>0</v>
      </c>
      <c r="BH107" s="26">
        <f t="shared" si="29"/>
        <v>0</v>
      </c>
      <c r="BI107" s="26">
        <f t="shared" si="30"/>
        <v>3.6981794897137079</v>
      </c>
      <c r="BJ107" s="26">
        <f t="shared" si="31"/>
        <v>0</v>
      </c>
      <c r="BK107" s="26">
        <f t="shared" si="32"/>
        <v>0</v>
      </c>
      <c r="BL107" s="26">
        <f t="shared" si="33"/>
        <v>2.449843568873951</v>
      </c>
      <c r="BM107" s="18">
        <f t="shared" si="34"/>
        <v>0</v>
      </c>
      <c r="BN107" s="18">
        <f t="shared" si="35"/>
        <v>0</v>
      </c>
      <c r="BO107" s="18">
        <f t="shared" si="36"/>
        <v>3.9260313603749211</v>
      </c>
    </row>
    <row r="108" spans="30:67">
      <c r="AD108" s="32">
        <v>104</v>
      </c>
      <c r="AE108" s="25" t="str">
        <f t="shared" si="13"/>
        <v>Right</v>
      </c>
      <c r="AF108" s="25" t="str">
        <f t="shared" si="14"/>
        <v>Channel</v>
      </c>
      <c r="AG108" s="32" t="str">
        <f>IF(XS_AnalyzerSummary!$AB$24&gt;=XS_AnalyzerSummary!AD108,"Y","N")</f>
        <v>Y</v>
      </c>
      <c r="AH108" s="38">
        <v>1</v>
      </c>
      <c r="AI108" s="38">
        <f>IF(AG108="Y",$O$19/XS_AnalyzerSummary!$AB$24,0)</f>
        <v>4.4999999999999998E-2</v>
      </c>
      <c r="AJ108" s="38">
        <f t="shared" si="15"/>
        <v>4.4999999999999998E-2</v>
      </c>
      <c r="AK108" s="93">
        <f t="shared" si="37"/>
        <v>5.7249999999999925</v>
      </c>
      <c r="AL108" s="93">
        <f>IF(AG108="Y",LININTERP(AK108,XS_Analyzer_Calculations!$AY$4:$AY$104,XS_Analyzer_Calculations!$AZ$4:$AZ$104),AL107)</f>
        <v>0.4349999999999955</v>
      </c>
      <c r="AM108" s="38">
        <f t="shared" si="16"/>
        <v>4.5650000000000048</v>
      </c>
      <c r="AN108" s="18">
        <f t="shared" si="17"/>
        <v>0.20481750000000018</v>
      </c>
      <c r="AO108" s="100">
        <f t="shared" si="18"/>
        <v>5.2478567053607719E-2</v>
      </c>
      <c r="AP108" s="100">
        <f t="shared" si="19"/>
        <v>3.9028790513806473</v>
      </c>
      <c r="AQ108" s="18">
        <f t="shared" si="20"/>
        <v>1.6595180023127203E-3</v>
      </c>
      <c r="AR108" s="32">
        <f>IFERROR(IF(AG108="Y",VLOOKUP(AK108,XS_Analyzer_Calculations!$R$5:$T$104,3,TRUE),0),0)</f>
        <v>0.1</v>
      </c>
      <c r="AS108" s="198">
        <f t="shared" si="21"/>
        <v>0.01</v>
      </c>
      <c r="AT108" s="18">
        <f t="shared" si="22"/>
        <v>7.5447108274263055</v>
      </c>
      <c r="AU108" s="38">
        <f>AT108*XS_Analyzer_Calculations!$I$7^0.5</f>
        <v>0.75447108274263064</v>
      </c>
      <c r="AV108" s="18">
        <f t="shared" si="57"/>
        <v>3.6836260707343365</v>
      </c>
      <c r="AW108" s="18">
        <f t="shared" si="23"/>
        <v>2.4353965280615237</v>
      </c>
      <c r="AX108" s="18">
        <f t="shared" si="24"/>
        <v>5</v>
      </c>
      <c r="AY108" s="32">
        <f t="shared" si="25"/>
        <v>4.5515000000000043</v>
      </c>
      <c r="AZ108" s="18">
        <f>((AS108*AP108)/(1.65*XS_Analyzer!$Q$72))*12</f>
        <v>11.215163129349069</v>
      </c>
      <c r="BA108" s="18">
        <f>(AW108/((1.65*62.4)*XS_Analyzer!$Q$73))*12</f>
        <v>6.307683315362663</v>
      </c>
      <c r="BB108" s="18">
        <f t="shared" si="26"/>
        <v>9.136742988577474</v>
      </c>
      <c r="BC108" s="38">
        <f t="shared" si="27"/>
        <v>12.925406394815834</v>
      </c>
      <c r="BD108" s="18">
        <f>IF(ISNUMBER(LININTERP(AW108,Permissible_Shear!$T$178:$T$188,Permissible_Shear!$V$178:$V$188)),LININTERP(AW108,Permissible_Shear!$T$178:$T$188,Permissible_Shear!$V$178:$V$188),0)</f>
        <v>7.8685433643305842</v>
      </c>
      <c r="BE108" s="18">
        <f>LININTERP(AW108,Permissible_Shear!$S$205:$S$222,Permissible_Shear!$V$205:$V$222)</f>
        <v>7.9231141501922622</v>
      </c>
      <c r="BF108" s="18">
        <f>INDEX($AZ$3:$BE$204,ROW(BF108)-2,MATCH(XS_Analyzer!$S$5,XS_AnalyzerSummary!$AZ$2:$BE$2,0))</f>
        <v>9.136742988577474</v>
      </c>
      <c r="BG108" s="26">
        <f t="shared" si="28"/>
        <v>0</v>
      </c>
      <c r="BH108" s="26">
        <f t="shared" si="29"/>
        <v>0</v>
      </c>
      <c r="BI108" s="26">
        <f t="shared" si="30"/>
        <v>3.6836260707343365</v>
      </c>
      <c r="BJ108" s="26">
        <f t="shared" si="31"/>
        <v>0</v>
      </c>
      <c r="BK108" s="26">
        <f t="shared" si="32"/>
        <v>0</v>
      </c>
      <c r="BL108" s="26">
        <f t="shared" si="33"/>
        <v>2.4353965280615237</v>
      </c>
      <c r="BM108" s="18">
        <f t="shared" si="34"/>
        <v>0</v>
      </c>
      <c r="BN108" s="18">
        <f t="shared" si="35"/>
        <v>0</v>
      </c>
      <c r="BO108" s="18">
        <f t="shared" si="36"/>
        <v>3.9028790513806473</v>
      </c>
    </row>
    <row r="109" spans="30:67">
      <c r="AD109" s="32">
        <v>105</v>
      </c>
      <c r="AE109" s="25" t="str">
        <f t="shared" si="13"/>
        <v>Right</v>
      </c>
      <c r="AF109" s="25" t="str">
        <f t="shared" si="14"/>
        <v>Channel</v>
      </c>
      <c r="AG109" s="32" t="str">
        <f>IF(XS_AnalyzerSummary!$AB$24&gt;=XS_AnalyzerSummary!AD109,"Y","N")</f>
        <v>Y</v>
      </c>
      <c r="AH109" s="38">
        <v>1</v>
      </c>
      <c r="AI109" s="38">
        <f>IF(AG109="Y",$O$19/XS_AnalyzerSummary!$AB$24,0)</f>
        <v>4.4999999999999998E-2</v>
      </c>
      <c r="AJ109" s="38">
        <f t="shared" si="15"/>
        <v>4.4999999999999998E-2</v>
      </c>
      <c r="AK109" s="93">
        <f t="shared" si="37"/>
        <v>5.7699999999999925</v>
      </c>
      <c r="AL109" s="93">
        <f>IF(AG109="Y",LININTERP(AK109,XS_Analyzer_Calculations!$AY$4:$AY$104,XS_Analyzer_Calculations!$AZ$4:$AZ$104),AL108)</f>
        <v>0.46199999999999547</v>
      </c>
      <c r="AM109" s="38">
        <f t="shared" si="16"/>
        <v>4.5380000000000047</v>
      </c>
      <c r="AN109" s="18">
        <f t="shared" si="17"/>
        <v>0.20360250000000021</v>
      </c>
      <c r="AO109" s="100">
        <f t="shared" si="18"/>
        <v>5.2478567053607719E-2</v>
      </c>
      <c r="AP109" s="100">
        <f t="shared" si="19"/>
        <v>3.879726742386409</v>
      </c>
      <c r="AQ109" s="18">
        <f t="shared" si="20"/>
        <v>1.6595180023127203E-3</v>
      </c>
      <c r="AR109" s="32">
        <f>IFERROR(IF(AG109="Y",VLOOKUP(AK109,XS_Analyzer_Calculations!$R$5:$T$104,3,TRUE),0),0)</f>
        <v>0.1</v>
      </c>
      <c r="AS109" s="198">
        <f t="shared" si="21"/>
        <v>0.01</v>
      </c>
      <c r="AT109" s="18">
        <f t="shared" si="22"/>
        <v>7.4702649957205089</v>
      </c>
      <c r="AU109" s="38">
        <f>AT109*XS_Analyzer_Calculations!$I$7^0.5</f>
        <v>0.74702649957205092</v>
      </c>
      <c r="AV109" s="18">
        <f t="shared" si="57"/>
        <v>3.6690438455915331</v>
      </c>
      <c r="AW109" s="18">
        <f t="shared" si="23"/>
        <v>2.4209494872491191</v>
      </c>
      <c r="AX109" s="18">
        <f t="shared" si="24"/>
        <v>5</v>
      </c>
      <c r="AY109" s="32">
        <f t="shared" si="25"/>
        <v>4.5245000000000051</v>
      </c>
      <c r="AZ109" s="18">
        <f>((AS109*AP109)/(1.65*XS_Analyzer!$Q$72))*12</f>
        <v>11.148633544708311</v>
      </c>
      <c r="BA109" s="18">
        <f>(AW109/((1.65*62.4)*XS_Analyzer!$Q$73))*12</f>
        <v>6.2702654422406603</v>
      </c>
      <c r="BB109" s="18">
        <f t="shared" si="26"/>
        <v>9.0804404389072477</v>
      </c>
      <c r="BC109" s="38">
        <f t="shared" si="27"/>
        <v>12.869134662076711</v>
      </c>
      <c r="BD109" s="18">
        <f>IF(ISNUMBER(LININTERP(AW109,Permissible_Shear!$T$178:$T$188,Permissible_Shear!$V$178:$V$188)),LININTERP(AW109,Permissible_Shear!$T$178:$T$188,Permissible_Shear!$V$178:$V$188),0)</f>
        <v>7.8216738459638222</v>
      </c>
      <c r="BE109" s="18">
        <f>LININTERP(AW109,Permissible_Shear!$S$205:$S$222,Permissible_Shear!$V$205:$V$222)</f>
        <v>7.8779671476534974</v>
      </c>
      <c r="BF109" s="18">
        <f>INDEX($AZ$3:$BE$204,ROW(BF109)-2,MATCH(XS_Analyzer!$S$5,XS_AnalyzerSummary!$AZ$2:$BE$2,0))</f>
        <v>9.0804404389072477</v>
      </c>
      <c r="BG109" s="26">
        <f t="shared" si="28"/>
        <v>0</v>
      </c>
      <c r="BH109" s="26">
        <f t="shared" si="29"/>
        <v>0</v>
      </c>
      <c r="BI109" s="26">
        <f t="shared" si="30"/>
        <v>3.6690438455915331</v>
      </c>
      <c r="BJ109" s="26">
        <f t="shared" si="31"/>
        <v>0</v>
      </c>
      <c r="BK109" s="26">
        <f t="shared" si="32"/>
        <v>0</v>
      </c>
      <c r="BL109" s="26">
        <f t="shared" si="33"/>
        <v>2.4209494872491191</v>
      </c>
      <c r="BM109" s="18">
        <f t="shared" si="34"/>
        <v>0</v>
      </c>
      <c r="BN109" s="18">
        <f t="shared" si="35"/>
        <v>0</v>
      </c>
      <c r="BO109" s="18">
        <f t="shared" si="36"/>
        <v>3.879726742386409</v>
      </c>
    </row>
    <row r="110" spans="30:67">
      <c r="AD110" s="32">
        <v>106</v>
      </c>
      <c r="AE110" s="25" t="str">
        <f t="shared" si="13"/>
        <v>Right</v>
      </c>
      <c r="AF110" s="25" t="str">
        <f t="shared" si="14"/>
        <v>Channel</v>
      </c>
      <c r="AG110" s="32" t="str">
        <f>IF(XS_AnalyzerSummary!$AB$24&gt;=XS_AnalyzerSummary!AD110,"Y","N")</f>
        <v>Y</v>
      </c>
      <c r="AH110" s="38">
        <v>1</v>
      </c>
      <c r="AI110" s="38">
        <f>IF(AG110="Y",$O$19/XS_AnalyzerSummary!$AB$24,0)</f>
        <v>4.4999999999999998E-2</v>
      </c>
      <c r="AJ110" s="38">
        <f t="shared" si="15"/>
        <v>4.4999999999999998E-2</v>
      </c>
      <c r="AK110" s="93">
        <f t="shared" si="37"/>
        <v>5.8149999999999924</v>
      </c>
      <c r="AL110" s="93">
        <f>IF(AG110="Y",LININTERP(AK110,XS_Analyzer_Calculations!$AY$4:$AY$104,XS_Analyzer_Calculations!$AZ$4:$AZ$104),AL109)</f>
        <v>0.48899999999999544</v>
      </c>
      <c r="AM110" s="38">
        <f t="shared" si="16"/>
        <v>4.5110000000000046</v>
      </c>
      <c r="AN110" s="18">
        <f t="shared" si="17"/>
        <v>0.20238750000000016</v>
      </c>
      <c r="AO110" s="100">
        <f t="shared" si="18"/>
        <v>5.2478567053607719E-2</v>
      </c>
      <c r="AP110" s="100">
        <f t="shared" si="19"/>
        <v>3.8565744333921694</v>
      </c>
      <c r="AQ110" s="18">
        <f t="shared" si="20"/>
        <v>1.6595180023127203E-3</v>
      </c>
      <c r="AR110" s="32">
        <f>IFERROR(IF(AG110="Y",VLOOKUP(AK110,XS_Analyzer_Calculations!$R$5:$T$104,3,TRUE),0),0)</f>
        <v>0.1</v>
      </c>
      <c r="AS110" s="198">
        <f t="shared" si="21"/>
        <v>0.01</v>
      </c>
      <c r="AT110" s="18">
        <f t="shared" si="22"/>
        <v>7.3961147476693965</v>
      </c>
      <c r="AU110" s="38">
        <f>AT110*XS_Analyzer_Calculations!$I$7^0.5</f>
        <v>0.73961147476693967</v>
      </c>
      <c r="AV110" s="18">
        <f t="shared" si="57"/>
        <v>3.6544325848530126</v>
      </c>
      <c r="AW110" s="18">
        <f t="shared" si="23"/>
        <v>2.4065024464367135</v>
      </c>
      <c r="AX110" s="18">
        <f t="shared" si="24"/>
        <v>5</v>
      </c>
      <c r="AY110" s="32">
        <f t="shared" si="25"/>
        <v>4.4975000000000041</v>
      </c>
      <c r="AZ110" s="18">
        <f>((AS110*AP110)/(1.65*XS_Analyzer!$Q$72))*12</f>
        <v>11.082103960067546</v>
      </c>
      <c r="BA110" s="18">
        <f>(AW110/((1.65*62.4)*XS_Analyzer!$Q$73))*12</f>
        <v>6.2328475691186576</v>
      </c>
      <c r="BB110" s="18">
        <f t="shared" si="26"/>
        <v>9.0241519569944728</v>
      </c>
      <c r="BC110" s="38">
        <f t="shared" si="27"/>
        <v>12.812774303589809</v>
      </c>
      <c r="BD110" s="18">
        <f>IF(ISNUMBER(LININTERP(AW110,Permissible_Shear!$T$178:$T$188,Permissible_Shear!$V$178:$V$188)),LININTERP(AW110,Permissible_Shear!$T$178:$T$188,Permissible_Shear!$V$178:$V$188),0)</f>
        <v>7.7748043275970575</v>
      </c>
      <c r="BE110" s="18">
        <f>LININTERP(AW110,Permissible_Shear!$S$205:$S$222,Permissible_Shear!$V$205:$V$222)</f>
        <v>7.8328201451147299</v>
      </c>
      <c r="BF110" s="18">
        <f>INDEX($AZ$3:$BE$204,ROW(BF110)-2,MATCH(XS_Analyzer!$S$5,XS_AnalyzerSummary!$AZ$2:$BE$2,0))</f>
        <v>9.0241519569944728</v>
      </c>
      <c r="BG110" s="26">
        <f t="shared" si="28"/>
        <v>0</v>
      </c>
      <c r="BH110" s="26">
        <f t="shared" si="29"/>
        <v>0</v>
      </c>
      <c r="BI110" s="26">
        <f t="shared" si="30"/>
        <v>3.6544325848530126</v>
      </c>
      <c r="BJ110" s="26">
        <f t="shared" si="31"/>
        <v>0</v>
      </c>
      <c r="BK110" s="26">
        <f t="shared" si="32"/>
        <v>0</v>
      </c>
      <c r="BL110" s="26">
        <f t="shared" si="33"/>
        <v>2.4065024464367135</v>
      </c>
      <c r="BM110" s="18">
        <f t="shared" si="34"/>
        <v>0</v>
      </c>
      <c r="BN110" s="18">
        <f t="shared" si="35"/>
        <v>0</v>
      </c>
      <c r="BO110" s="18">
        <f t="shared" si="36"/>
        <v>3.8565744333921694</v>
      </c>
    </row>
    <row r="111" spans="30:67">
      <c r="AD111" s="32">
        <v>107</v>
      </c>
      <c r="AE111" s="25" t="str">
        <f t="shared" si="13"/>
        <v>Right</v>
      </c>
      <c r="AF111" s="25" t="str">
        <f t="shared" si="14"/>
        <v>Channel</v>
      </c>
      <c r="AG111" s="32" t="str">
        <f>IF(XS_AnalyzerSummary!$AB$24&gt;=XS_AnalyzerSummary!AD111,"Y","N")</f>
        <v>Y</v>
      </c>
      <c r="AH111" s="38">
        <v>1</v>
      </c>
      <c r="AI111" s="38">
        <f>IF(AG111="Y",$O$19/XS_AnalyzerSummary!$AB$24,0)</f>
        <v>4.4999999999999998E-2</v>
      </c>
      <c r="AJ111" s="38">
        <f t="shared" si="15"/>
        <v>4.4999999999999998E-2</v>
      </c>
      <c r="AK111" s="93">
        <f t="shared" si="37"/>
        <v>5.8599999999999923</v>
      </c>
      <c r="AL111" s="93">
        <f>IF(AG111="Y",LININTERP(AK111,XS_Analyzer_Calculations!$AY$4:$AY$104,XS_Analyzer_Calculations!$AZ$4:$AZ$104),AL110)</f>
        <v>0.51599999999999535</v>
      </c>
      <c r="AM111" s="38">
        <f t="shared" si="16"/>
        <v>4.4840000000000044</v>
      </c>
      <c r="AN111" s="18">
        <f t="shared" si="17"/>
        <v>0.2011725000000002</v>
      </c>
      <c r="AO111" s="100">
        <f t="shared" si="18"/>
        <v>5.2478567053607719E-2</v>
      </c>
      <c r="AP111" s="100">
        <f t="shared" si="19"/>
        <v>3.8334221243979316</v>
      </c>
      <c r="AQ111" s="18">
        <f t="shared" si="20"/>
        <v>1.6595180023127203E-3</v>
      </c>
      <c r="AR111" s="32">
        <f>IFERROR(IF(AG111="Y",VLOOKUP(AK111,XS_Analyzer_Calculations!$R$5:$T$104,3,TRUE),0),0)</f>
        <v>0.1</v>
      </c>
      <c r="AS111" s="198">
        <f t="shared" si="21"/>
        <v>0.01</v>
      </c>
      <c r="AT111" s="18">
        <f t="shared" si="22"/>
        <v>7.3222606735938776</v>
      </c>
      <c r="AU111" s="38">
        <f>AT111*XS_Analyzer_Calculations!$I$7^0.5</f>
        <v>0.73222606735938778</v>
      </c>
      <c r="AV111" s="18">
        <f t="shared" si="57"/>
        <v>3.639792055869401</v>
      </c>
      <c r="AW111" s="18">
        <f t="shared" si="23"/>
        <v>2.3920554056243093</v>
      </c>
      <c r="AX111" s="18">
        <f t="shared" si="24"/>
        <v>5</v>
      </c>
      <c r="AY111" s="32">
        <f t="shared" si="25"/>
        <v>4.4705000000000048</v>
      </c>
      <c r="AZ111" s="18">
        <f>((AS111*AP111)/(1.65*XS_Analyzer!$Q$72))*12</f>
        <v>11.015574375426787</v>
      </c>
      <c r="BA111" s="18">
        <f>(AW111/((1.65*62.4)*XS_Analyzer!$Q$73))*12</f>
        <v>6.1954296959966575</v>
      </c>
      <c r="BB111" s="18">
        <f t="shared" si="26"/>
        <v>8.9678776234942603</v>
      </c>
      <c r="BC111" s="38">
        <f t="shared" si="27"/>
        <v>12.756324648051987</v>
      </c>
      <c r="BD111" s="18">
        <f>IF(ISNUMBER(LININTERP(AW111,Permissible_Shear!$T$178:$T$188,Permissible_Shear!$V$178:$V$188)),LININTERP(AW111,Permissible_Shear!$T$178:$T$188,Permissible_Shear!$V$178:$V$188),0)</f>
        <v>7.7279348092302973</v>
      </c>
      <c r="BE111" s="18">
        <f>LININTERP(AW111,Permissible_Shear!$S$205:$S$222,Permissible_Shear!$V$205:$V$222)</f>
        <v>7.7876731425759669</v>
      </c>
      <c r="BF111" s="18">
        <f>INDEX($AZ$3:$BE$204,ROW(BF111)-2,MATCH(XS_Analyzer!$S$5,XS_AnalyzerSummary!$AZ$2:$BE$2,0))</f>
        <v>8.9678776234942603</v>
      </c>
      <c r="BG111" s="26">
        <f t="shared" si="28"/>
        <v>0</v>
      </c>
      <c r="BH111" s="26">
        <f t="shared" si="29"/>
        <v>0</v>
      </c>
      <c r="BI111" s="26">
        <f t="shared" si="30"/>
        <v>3.639792055869401</v>
      </c>
      <c r="BJ111" s="26">
        <f t="shared" si="31"/>
        <v>0</v>
      </c>
      <c r="BK111" s="26">
        <f t="shared" si="32"/>
        <v>0</v>
      </c>
      <c r="BL111" s="26">
        <f t="shared" si="33"/>
        <v>2.3920554056243093</v>
      </c>
      <c r="BM111" s="18">
        <f t="shared" si="34"/>
        <v>0</v>
      </c>
      <c r="BN111" s="18">
        <f t="shared" si="35"/>
        <v>0</v>
      </c>
      <c r="BO111" s="18">
        <f t="shared" si="36"/>
        <v>3.8334221243979316</v>
      </c>
    </row>
    <row r="112" spans="30:67">
      <c r="AD112" s="32">
        <v>108</v>
      </c>
      <c r="AE112" s="25" t="str">
        <f t="shared" si="13"/>
        <v>Right</v>
      </c>
      <c r="AF112" s="25" t="str">
        <f t="shared" si="14"/>
        <v>Channel</v>
      </c>
      <c r="AG112" s="32" t="str">
        <f>IF(XS_AnalyzerSummary!$AB$24&gt;=XS_AnalyzerSummary!AD112,"Y","N")</f>
        <v>Y</v>
      </c>
      <c r="AH112" s="38">
        <v>1</v>
      </c>
      <c r="AI112" s="38">
        <f>IF(AG112="Y",$O$19/XS_AnalyzerSummary!$AB$24,0)</f>
        <v>4.4999999999999998E-2</v>
      </c>
      <c r="AJ112" s="38">
        <f t="shared" si="15"/>
        <v>4.4999999999999998E-2</v>
      </c>
      <c r="AK112" s="93">
        <f t="shared" si="37"/>
        <v>5.9049999999999923</v>
      </c>
      <c r="AL112" s="93">
        <f>IF(AG112="Y",LININTERP(AK112,XS_Analyzer_Calculations!$AY$4:$AY$104,XS_Analyzer_Calculations!$AZ$4:$AZ$104),AL111)</f>
        <v>0.54299999999999538</v>
      </c>
      <c r="AM112" s="38">
        <f t="shared" si="16"/>
        <v>4.4570000000000043</v>
      </c>
      <c r="AN112" s="18">
        <f t="shared" si="17"/>
        <v>0.1999575000000002</v>
      </c>
      <c r="AO112" s="100">
        <f t="shared" si="18"/>
        <v>5.2478567053607254E-2</v>
      </c>
      <c r="AP112" s="100">
        <f t="shared" si="19"/>
        <v>3.8102698154037267</v>
      </c>
      <c r="AQ112" s="18">
        <f t="shared" si="20"/>
        <v>1.6595180023127058E-3</v>
      </c>
      <c r="AR112" s="32">
        <f>IFERROR(IF(AG112="Y",VLOOKUP(AK112,XS_Analyzer_Calculations!$R$5:$T$104,3,TRUE),0),0)</f>
        <v>0.1</v>
      </c>
      <c r="AS112" s="198">
        <f t="shared" si="21"/>
        <v>0.01</v>
      </c>
      <c r="AT112" s="18">
        <f t="shared" si="22"/>
        <v>7.2487033685591671</v>
      </c>
      <c r="AU112" s="38">
        <f>AT112*XS_Analyzer_Calculations!$I$7^0.5</f>
        <v>0.72487033685591673</v>
      </c>
      <c r="AV112" s="18">
        <f t="shared" si="57"/>
        <v>3.6251220227094056</v>
      </c>
      <c r="AW112" s="18">
        <f t="shared" si="23"/>
        <v>2.3776083648119255</v>
      </c>
      <c r="AX112" s="18">
        <f t="shared" si="24"/>
        <v>5</v>
      </c>
      <c r="AY112" s="32">
        <f t="shared" si="25"/>
        <v>4.4435000000000047</v>
      </c>
      <c r="AZ112" s="18">
        <f>((AS112*AP112)/(1.65*XS_Analyzer!$Q$72))*12</f>
        <v>10.949044790786122</v>
      </c>
      <c r="BA112" s="18">
        <f>(AW112/((1.65*62.4)*XS_Analyzer!$Q$73))*12</f>
        <v>6.1580118228747107</v>
      </c>
      <c r="BB112" s="18">
        <f t="shared" si="26"/>
        <v>8.9116175200125447</v>
      </c>
      <c r="BC112" s="38">
        <f t="shared" si="27"/>
        <v>12.699785014999117</v>
      </c>
      <c r="BD112" s="18">
        <f>IF(ISNUMBER(LININTERP(AW112,Permissible_Shear!$T$178:$T$188,Permissible_Shear!$V$178:$V$188)),LININTERP(AW112,Permissible_Shear!$T$178:$T$188,Permissible_Shear!$V$178:$V$188),0)</f>
        <v>7.6810652908636037</v>
      </c>
      <c r="BE112" s="18">
        <f>LININTERP(AW112,Permissible_Shear!$S$205:$S$222,Permissible_Shear!$V$205:$V$222)</f>
        <v>7.7425261400372678</v>
      </c>
      <c r="BF112" s="18">
        <f>INDEX($AZ$3:$BE$204,ROW(BF112)-2,MATCH(XS_Analyzer!$S$5,XS_AnalyzerSummary!$AZ$2:$BE$2,0))</f>
        <v>8.9116175200125447</v>
      </c>
      <c r="BG112" s="26">
        <f t="shared" si="28"/>
        <v>0</v>
      </c>
      <c r="BH112" s="26">
        <f t="shared" si="29"/>
        <v>0</v>
      </c>
      <c r="BI112" s="26">
        <f t="shared" si="30"/>
        <v>3.6251220227094056</v>
      </c>
      <c r="BJ112" s="26">
        <f t="shared" si="31"/>
        <v>0</v>
      </c>
      <c r="BK112" s="26">
        <f t="shared" si="32"/>
        <v>0</v>
      </c>
      <c r="BL112" s="26">
        <f t="shared" si="33"/>
        <v>2.3776083648119255</v>
      </c>
      <c r="BM112" s="18">
        <f t="shared" si="34"/>
        <v>0</v>
      </c>
      <c r="BN112" s="18">
        <f t="shared" si="35"/>
        <v>0</v>
      </c>
      <c r="BO112" s="18">
        <f t="shared" si="36"/>
        <v>3.8102698154037267</v>
      </c>
    </row>
    <row r="113" spans="30:67">
      <c r="AD113" s="32">
        <v>109</v>
      </c>
      <c r="AE113" s="25" t="str">
        <f t="shared" si="13"/>
        <v>Right</v>
      </c>
      <c r="AF113" s="25" t="str">
        <f t="shared" si="14"/>
        <v>Channel</v>
      </c>
      <c r="AG113" s="32" t="str">
        <f>IF(XS_AnalyzerSummary!$AB$24&gt;=XS_AnalyzerSummary!AD113,"Y","N")</f>
        <v>Y</v>
      </c>
      <c r="AH113" s="38">
        <v>1</v>
      </c>
      <c r="AI113" s="38">
        <f>IF(AG113="Y",$O$19/XS_AnalyzerSummary!$AB$24,0)</f>
        <v>4.4999999999999998E-2</v>
      </c>
      <c r="AJ113" s="38">
        <f t="shared" si="15"/>
        <v>4.4999999999999998E-2</v>
      </c>
      <c r="AK113" s="93">
        <f t="shared" si="37"/>
        <v>5.9499999999999922</v>
      </c>
      <c r="AL113" s="93">
        <f>IF(AG113="Y",LININTERP(AK113,XS_Analyzer_Calculations!$AY$4:$AY$104,XS_Analyzer_Calculations!$AZ$4:$AZ$104),AL112)</f>
        <v>0.56999999999999529</v>
      </c>
      <c r="AM113" s="38">
        <f t="shared" si="16"/>
        <v>4.430000000000005</v>
      </c>
      <c r="AN113" s="18">
        <f t="shared" si="17"/>
        <v>0.19874250000000018</v>
      </c>
      <c r="AO113" s="100">
        <f t="shared" si="18"/>
        <v>5.2478567053607719E-2</v>
      </c>
      <c r="AP113" s="100">
        <f t="shared" si="19"/>
        <v>3.7871175064094538</v>
      </c>
      <c r="AQ113" s="18">
        <f t="shared" si="20"/>
        <v>1.6595180023127203E-3</v>
      </c>
      <c r="AR113" s="32">
        <f>IFERROR(IF(AG113="Y",VLOOKUP(AK113,XS_Analyzer_Calculations!$R$5:$T$104,3,TRUE),0),0)</f>
        <v>0.1</v>
      </c>
      <c r="AS113" s="198">
        <f t="shared" si="21"/>
        <v>0.01</v>
      </c>
      <c r="AT113" s="18">
        <f t="shared" si="22"/>
        <v>7.1754434324417078</v>
      </c>
      <c r="AU113" s="38">
        <f>AT113*XS_Analyzer_Calculations!$I$7^0.5</f>
        <v>0.71754434324417082</v>
      </c>
      <c r="AV113" s="18">
        <f t="shared" si="57"/>
        <v>3.6104222460931616</v>
      </c>
      <c r="AW113" s="18">
        <f t="shared" si="23"/>
        <v>2.3631613239994991</v>
      </c>
      <c r="AX113" s="18">
        <f t="shared" si="24"/>
        <v>5</v>
      </c>
      <c r="AY113" s="32">
        <f t="shared" si="25"/>
        <v>4.4165000000000045</v>
      </c>
      <c r="AZ113" s="18">
        <f>((AS113*AP113)/(1.65*XS_Analyzer!$Q$72))*12</f>
        <v>10.882515206145261</v>
      </c>
      <c r="BA113" s="18">
        <f>(AW113/((1.65*62.4)*XS_Analyzer!$Q$73))*12</f>
        <v>6.1205939497526529</v>
      </c>
      <c r="BB113" s="18">
        <f t="shared" si="26"/>
        <v>8.855371729123096</v>
      </c>
      <c r="BC113" s="38">
        <f t="shared" si="27"/>
        <v>12.643154714624764</v>
      </c>
      <c r="BD113" s="18">
        <f>IF(ISNUMBER(LININTERP(AW113,Permissible_Shear!$T$178:$T$188,Permissible_Shear!$V$178:$V$188)),LININTERP(AW113,Permissible_Shear!$T$178:$T$188,Permissible_Shear!$V$178:$V$188),0)</f>
        <v>7.6341957724967706</v>
      </c>
      <c r="BE113" s="18">
        <f>LININTERP(AW113,Permissible_Shear!$S$205:$S$222,Permissible_Shear!$V$205:$V$222)</f>
        <v>7.6973791374984355</v>
      </c>
      <c r="BF113" s="18">
        <f>INDEX($AZ$3:$BE$204,ROW(BF113)-2,MATCH(XS_Analyzer!$S$5,XS_AnalyzerSummary!$AZ$2:$BE$2,0))</f>
        <v>8.855371729123096</v>
      </c>
      <c r="BG113" s="26">
        <f t="shared" si="28"/>
        <v>0</v>
      </c>
      <c r="BH113" s="26">
        <f t="shared" si="29"/>
        <v>0</v>
      </c>
      <c r="BI113" s="26">
        <f t="shared" si="30"/>
        <v>3.6104222460931616</v>
      </c>
      <c r="BJ113" s="26">
        <f t="shared" si="31"/>
        <v>0</v>
      </c>
      <c r="BK113" s="26">
        <f t="shared" si="32"/>
        <v>0</v>
      </c>
      <c r="BL113" s="26">
        <f t="shared" si="33"/>
        <v>2.3631613239994991</v>
      </c>
      <c r="BM113" s="18">
        <f t="shared" si="34"/>
        <v>0</v>
      </c>
      <c r="BN113" s="18">
        <f t="shared" si="35"/>
        <v>0</v>
      </c>
      <c r="BO113" s="18">
        <f t="shared" si="36"/>
        <v>3.7871175064094538</v>
      </c>
    </row>
    <row r="114" spans="30:67">
      <c r="AD114" s="32">
        <v>110</v>
      </c>
      <c r="AE114" s="25" t="str">
        <f t="shared" si="13"/>
        <v>Right</v>
      </c>
      <c r="AF114" s="25" t="str">
        <f t="shared" si="14"/>
        <v>Channel</v>
      </c>
      <c r="AG114" s="32" t="str">
        <f>IF(XS_AnalyzerSummary!$AB$24&gt;=XS_AnalyzerSummary!AD114,"Y","N")</f>
        <v>Y</v>
      </c>
      <c r="AH114" s="38">
        <v>1</v>
      </c>
      <c r="AI114" s="38">
        <f>IF(AG114="Y",$O$19/XS_AnalyzerSummary!$AB$24,0)</f>
        <v>4.4999999999999998E-2</v>
      </c>
      <c r="AJ114" s="38">
        <f t="shared" si="15"/>
        <v>4.4999999999999998E-2</v>
      </c>
      <c r="AK114" s="93">
        <f t="shared" si="37"/>
        <v>5.9949999999999921</v>
      </c>
      <c r="AL114" s="93">
        <f>IF(AG114="Y",LININTERP(AK114,XS_Analyzer_Calculations!$AY$4:$AY$104,XS_Analyzer_Calculations!$AZ$4:$AZ$104),AL113)</f>
        <v>0.59699999999999531</v>
      </c>
      <c r="AM114" s="38">
        <f t="shared" si="16"/>
        <v>4.4030000000000049</v>
      </c>
      <c r="AN114" s="18">
        <f t="shared" si="17"/>
        <v>0.19752750000000022</v>
      </c>
      <c r="AO114" s="100">
        <f t="shared" si="18"/>
        <v>5.2478567053607719E-2</v>
      </c>
      <c r="AP114" s="100">
        <f t="shared" si="19"/>
        <v>3.763965197415216</v>
      </c>
      <c r="AQ114" s="18">
        <f t="shared" si="20"/>
        <v>1.6595180023127203E-3</v>
      </c>
      <c r="AR114" s="32">
        <f>IFERROR(IF(AG114="Y",VLOOKUP(AK114,XS_Analyzer_Calculations!$R$5:$T$104,3,TRUE),0),0)</f>
        <v>0.1</v>
      </c>
      <c r="AS114" s="198">
        <f t="shared" si="21"/>
        <v>0.01</v>
      </c>
      <c r="AT114" s="18">
        <f t="shared" si="22"/>
        <v>7.1024814699981</v>
      </c>
      <c r="AU114" s="38">
        <f>AT114*XS_Analyzer_Calculations!$I$7^0.5</f>
        <v>0.71024814699981009</v>
      </c>
      <c r="AV114" s="18">
        <f t="shared" si="57"/>
        <v>3.5956924833241413</v>
      </c>
      <c r="AW114" s="18">
        <f t="shared" si="23"/>
        <v>2.3487142831870949</v>
      </c>
      <c r="AX114" s="18">
        <f t="shared" si="24"/>
        <v>5</v>
      </c>
      <c r="AY114" s="32">
        <f t="shared" si="25"/>
        <v>4.3895000000000053</v>
      </c>
      <c r="AZ114" s="18">
        <f>((AS114*AP114)/(1.65*XS_Analyzer!$Q$72))*12</f>
        <v>10.815985621504502</v>
      </c>
      <c r="BA114" s="18">
        <f>(AW114/((1.65*62.4)*XS_Analyzer!$Q$73))*12</f>
        <v>6.0831760766306537</v>
      </c>
      <c r="BB114" s="18">
        <f t="shared" si="26"/>
        <v>8.7991403343849939</v>
      </c>
      <c r="BC114" s="38">
        <f t="shared" si="27"/>
        <v>12.586433047594145</v>
      </c>
      <c r="BD114" s="18">
        <f>IF(ISNUMBER(LININTERP(AW114,Permissible_Shear!$T$178:$T$188,Permissible_Shear!$V$178:$V$188)),LININTERP(AW114,Permissible_Shear!$T$178:$T$188,Permissible_Shear!$V$178:$V$188),0)</f>
        <v>7.5873262541300104</v>
      </c>
      <c r="BE114" s="18">
        <f>LININTERP(AW114,Permissible_Shear!$S$205:$S$222,Permissible_Shear!$V$205:$V$222)</f>
        <v>7.6522321349596716</v>
      </c>
      <c r="BF114" s="18">
        <f>INDEX($AZ$3:$BE$204,ROW(BF114)-2,MATCH(XS_Analyzer!$S$5,XS_AnalyzerSummary!$AZ$2:$BE$2,0))</f>
        <v>8.7991403343849939</v>
      </c>
      <c r="BG114" s="26">
        <f t="shared" si="28"/>
        <v>0</v>
      </c>
      <c r="BH114" s="26">
        <f t="shared" si="29"/>
        <v>0</v>
      </c>
      <c r="BI114" s="26">
        <f t="shared" si="30"/>
        <v>3.5956924833241413</v>
      </c>
      <c r="BJ114" s="26">
        <f t="shared" si="31"/>
        <v>0</v>
      </c>
      <c r="BK114" s="26">
        <f t="shared" si="32"/>
        <v>0</v>
      </c>
      <c r="BL114" s="26">
        <f t="shared" si="33"/>
        <v>2.3487142831870949</v>
      </c>
      <c r="BM114" s="18">
        <f t="shared" si="34"/>
        <v>0</v>
      </c>
      <c r="BN114" s="18">
        <f t="shared" si="35"/>
        <v>0</v>
      </c>
      <c r="BO114" s="18">
        <f t="shared" si="36"/>
        <v>3.763965197415216</v>
      </c>
    </row>
    <row r="115" spans="30:67">
      <c r="AD115" s="32">
        <v>111</v>
      </c>
      <c r="AE115" s="25" t="str">
        <f t="shared" si="13"/>
        <v>Right</v>
      </c>
      <c r="AF115" s="25" t="str">
        <f t="shared" si="14"/>
        <v>Channel</v>
      </c>
      <c r="AG115" s="32" t="str">
        <f>IF(XS_AnalyzerSummary!$AB$24&gt;=XS_AnalyzerSummary!AD115,"Y","N")</f>
        <v>Y</v>
      </c>
      <c r="AH115" s="38">
        <v>1</v>
      </c>
      <c r="AI115" s="38">
        <f>IF(AG115="Y",$O$19/XS_AnalyzerSummary!$AB$24,0)</f>
        <v>4.4999999999999998E-2</v>
      </c>
      <c r="AJ115" s="38">
        <f t="shared" si="15"/>
        <v>4.4999999999999998E-2</v>
      </c>
      <c r="AK115" s="93">
        <f t="shared" si="37"/>
        <v>6.039999999999992</v>
      </c>
      <c r="AL115" s="93">
        <f>IF(AG115="Y",LININTERP(AK115,XS_Analyzer_Calculations!$AY$4:$AY$104,XS_Analyzer_Calculations!$AZ$4:$AZ$104),AL114)</f>
        <v>0.62399999999999523</v>
      </c>
      <c r="AM115" s="38">
        <f t="shared" si="16"/>
        <v>4.3760000000000048</v>
      </c>
      <c r="AN115" s="18">
        <f t="shared" si="17"/>
        <v>0.1963125000000002</v>
      </c>
      <c r="AO115" s="100">
        <f t="shared" si="18"/>
        <v>5.2478567053607719E-2</v>
      </c>
      <c r="AP115" s="100">
        <f t="shared" si="19"/>
        <v>3.7408128884209768</v>
      </c>
      <c r="AQ115" s="18">
        <f t="shared" si="20"/>
        <v>1.6595180023127203E-3</v>
      </c>
      <c r="AR115" s="32">
        <f>IFERROR(IF(AG115="Y",VLOOKUP(AK115,XS_Analyzer_Calculations!$R$5:$T$104,3,TRUE),0),0)</f>
        <v>0.1</v>
      </c>
      <c r="AS115" s="198">
        <f t="shared" si="21"/>
        <v>0.01</v>
      </c>
      <c r="AT115" s="18">
        <f t="shared" si="22"/>
        <v>7.0298180909345502</v>
      </c>
      <c r="AU115" s="38">
        <f>AT115*XS_Analyzer_Calculations!$I$7^0.5</f>
        <v>0.70298180909345509</v>
      </c>
      <c r="AV115" s="18">
        <f t="shared" si="57"/>
        <v>3.5809324882188061</v>
      </c>
      <c r="AW115" s="18">
        <f t="shared" si="23"/>
        <v>2.3342672423746897</v>
      </c>
      <c r="AX115" s="18">
        <f t="shared" si="24"/>
        <v>5</v>
      </c>
      <c r="AY115" s="32">
        <f t="shared" si="25"/>
        <v>4.3625000000000043</v>
      </c>
      <c r="AZ115" s="18">
        <f>((AS115*AP115)/(1.65*XS_Analyzer!$Q$72))*12</f>
        <v>10.749456036863741</v>
      </c>
      <c r="BA115" s="18">
        <f>(AW115/((1.65*62.4)*XS_Analyzer!$Q$73))*12</f>
        <v>6.045758203508651</v>
      </c>
      <c r="BB115" s="18">
        <f t="shared" si="26"/>
        <v>8.7429234203604711</v>
      </c>
      <c r="BC115" s="38">
        <f t="shared" si="27"/>
        <v>12.529619304853227</v>
      </c>
      <c r="BD115" s="18">
        <f>IF(ISNUMBER(LININTERP(AW115,Permissible_Shear!$T$178:$T$188,Permissible_Shear!$V$178:$V$188)),LININTERP(AW115,Permissible_Shear!$T$178:$T$188,Permissible_Shear!$V$178:$V$188),0)</f>
        <v>7.5411484111397886</v>
      </c>
      <c r="BE115" s="18">
        <f>LININTERP(AW115,Permissible_Shear!$S$205:$S$222,Permissible_Shear!$V$205:$V$222)</f>
        <v>7.6070851324209059</v>
      </c>
      <c r="BF115" s="18">
        <f>INDEX($AZ$3:$BE$204,ROW(BF115)-2,MATCH(XS_Analyzer!$S$5,XS_AnalyzerSummary!$AZ$2:$BE$2,0))</f>
        <v>8.7429234203604711</v>
      </c>
      <c r="BG115" s="26">
        <f t="shared" si="28"/>
        <v>0</v>
      </c>
      <c r="BH115" s="26">
        <f t="shared" si="29"/>
        <v>0</v>
      </c>
      <c r="BI115" s="26">
        <f t="shared" si="30"/>
        <v>3.5809324882188061</v>
      </c>
      <c r="BJ115" s="26">
        <f t="shared" si="31"/>
        <v>0</v>
      </c>
      <c r="BK115" s="26">
        <f t="shared" si="32"/>
        <v>0</v>
      </c>
      <c r="BL115" s="26">
        <f t="shared" si="33"/>
        <v>2.3342672423746897</v>
      </c>
      <c r="BM115" s="18">
        <f t="shared" si="34"/>
        <v>0</v>
      </c>
      <c r="BN115" s="18">
        <f t="shared" si="35"/>
        <v>0</v>
      </c>
      <c r="BO115" s="18">
        <f t="shared" si="36"/>
        <v>3.7408128884209768</v>
      </c>
    </row>
    <row r="116" spans="30:67">
      <c r="AD116" s="32">
        <v>112</v>
      </c>
      <c r="AE116" s="25" t="str">
        <f t="shared" si="13"/>
        <v>Right</v>
      </c>
      <c r="AF116" s="25" t="str">
        <f t="shared" si="14"/>
        <v>Channel</v>
      </c>
      <c r="AG116" s="32" t="str">
        <f>IF(XS_AnalyzerSummary!$AB$24&gt;=XS_AnalyzerSummary!AD116,"Y","N")</f>
        <v>Y</v>
      </c>
      <c r="AH116" s="38">
        <v>1</v>
      </c>
      <c r="AI116" s="38">
        <f>IF(AG116="Y",$O$19/XS_AnalyzerSummary!$AB$24,0)</f>
        <v>4.4999999999999998E-2</v>
      </c>
      <c r="AJ116" s="38">
        <f t="shared" si="15"/>
        <v>4.4999999999999998E-2</v>
      </c>
      <c r="AK116" s="93">
        <f t="shared" si="37"/>
        <v>6.084999999999992</v>
      </c>
      <c r="AL116" s="93">
        <f>IF(AG116="Y",LININTERP(AK116,XS_Analyzer_Calculations!$AY$4:$AY$104,XS_Analyzer_Calculations!$AZ$4:$AZ$104),AL115)</f>
        <v>0.65099999999999514</v>
      </c>
      <c r="AM116" s="38">
        <f t="shared" si="16"/>
        <v>4.3490000000000046</v>
      </c>
      <c r="AN116" s="18">
        <f t="shared" si="17"/>
        <v>0.19509750000000023</v>
      </c>
      <c r="AO116" s="100">
        <f t="shared" si="18"/>
        <v>5.2478567053607719E-2</v>
      </c>
      <c r="AP116" s="100">
        <f t="shared" si="19"/>
        <v>3.7176605794267386</v>
      </c>
      <c r="AQ116" s="18">
        <f t="shared" si="20"/>
        <v>1.6595180023127203E-3</v>
      </c>
      <c r="AR116" s="32">
        <f>IFERROR(IF(AG116="Y",VLOOKUP(AK116,XS_Analyzer_Calculations!$R$5:$T$104,3,TRUE),0),0)</f>
        <v>0.1</v>
      </c>
      <c r="AS116" s="198">
        <f t="shared" si="21"/>
        <v>0.01</v>
      </c>
      <c r="AT116" s="18">
        <f t="shared" si="22"/>
        <v>6.9574539099784527</v>
      </c>
      <c r="AU116" s="38">
        <f>AT116*XS_Analyzer_Calculations!$I$7^0.5</f>
        <v>0.69574539099784527</v>
      </c>
      <c r="AV116" s="18">
        <f t="shared" si="57"/>
        <v>3.5661420110347106</v>
      </c>
      <c r="AW116" s="18">
        <f t="shared" si="23"/>
        <v>2.3198202015622851</v>
      </c>
      <c r="AX116" s="18">
        <f t="shared" si="24"/>
        <v>5</v>
      </c>
      <c r="AY116" s="32">
        <f t="shared" si="25"/>
        <v>4.335500000000005</v>
      </c>
      <c r="AZ116" s="18">
        <f>((AS116*AP116)/(1.65*XS_Analyzer!$Q$72))*12</f>
        <v>10.682926452222983</v>
      </c>
      <c r="BA116" s="18">
        <f>(AW116/((1.65*62.4)*XS_Analyzer!$Q$73))*12</f>
        <v>6.0083403303866483</v>
      </c>
      <c r="BB116" s="18">
        <f t="shared" si="26"/>
        <v>8.6867210726332544</v>
      </c>
      <c r="BC116" s="38">
        <f t="shared" si="27"/>
        <v>12.472712767432812</v>
      </c>
      <c r="BD116" s="18">
        <f>IF(ISNUMBER(LININTERP(AW116,Permissible_Shear!$T$178:$T$188,Permissible_Shear!$V$178:$V$188)),LININTERP(AW116,Permissible_Shear!$T$178:$T$188,Permissible_Shear!$V$178:$V$188),0)</f>
        <v>7.4960219740345995</v>
      </c>
      <c r="BE116" s="18">
        <f>LININTERP(AW116,Permissible_Shear!$S$205:$S$222,Permissible_Shear!$V$205:$V$222)</f>
        <v>7.5619381298821411</v>
      </c>
      <c r="BF116" s="18">
        <f>INDEX($AZ$3:$BE$204,ROW(BF116)-2,MATCH(XS_Analyzer!$S$5,XS_AnalyzerSummary!$AZ$2:$BE$2,0))</f>
        <v>8.6867210726332544</v>
      </c>
      <c r="BG116" s="26">
        <f t="shared" si="28"/>
        <v>0</v>
      </c>
      <c r="BH116" s="26">
        <f t="shared" si="29"/>
        <v>0</v>
      </c>
      <c r="BI116" s="26">
        <f t="shared" si="30"/>
        <v>3.5661420110347106</v>
      </c>
      <c r="BJ116" s="26">
        <f t="shared" si="31"/>
        <v>0</v>
      </c>
      <c r="BK116" s="26">
        <f t="shared" si="32"/>
        <v>0</v>
      </c>
      <c r="BL116" s="26">
        <f t="shared" si="33"/>
        <v>2.3198202015622851</v>
      </c>
      <c r="BM116" s="18">
        <f t="shared" si="34"/>
        <v>0</v>
      </c>
      <c r="BN116" s="18">
        <f t="shared" si="35"/>
        <v>0</v>
      </c>
      <c r="BO116" s="18">
        <f t="shared" si="36"/>
        <v>3.7176605794267386</v>
      </c>
    </row>
    <row r="117" spans="30:67">
      <c r="AD117" s="32">
        <v>113</v>
      </c>
      <c r="AE117" s="25" t="str">
        <f t="shared" si="13"/>
        <v>Right</v>
      </c>
      <c r="AF117" s="25" t="str">
        <f t="shared" si="14"/>
        <v>Channel</v>
      </c>
      <c r="AG117" s="32" t="str">
        <f>IF(XS_AnalyzerSummary!$AB$24&gt;=XS_AnalyzerSummary!AD117,"Y","N")</f>
        <v>Y</v>
      </c>
      <c r="AH117" s="38">
        <v>1</v>
      </c>
      <c r="AI117" s="38">
        <f>IF(AG117="Y",$O$19/XS_AnalyzerSummary!$AB$24,0)</f>
        <v>4.4999999999999998E-2</v>
      </c>
      <c r="AJ117" s="38">
        <f t="shared" si="15"/>
        <v>4.4999999999999998E-2</v>
      </c>
      <c r="AK117" s="93">
        <f t="shared" si="37"/>
        <v>6.1299999999999919</v>
      </c>
      <c r="AL117" s="93">
        <f>IF(AG117="Y",LININTERP(AK117,XS_Analyzer_Calculations!$AY$4:$AY$104,XS_Analyzer_Calculations!$AZ$4:$AZ$104),AL116)</f>
        <v>0.67799999999999516</v>
      </c>
      <c r="AM117" s="38">
        <f t="shared" si="16"/>
        <v>4.3220000000000045</v>
      </c>
      <c r="AN117" s="18">
        <f t="shared" si="17"/>
        <v>0.19388250000000021</v>
      </c>
      <c r="AO117" s="100">
        <f t="shared" si="18"/>
        <v>5.2478567053607254E-2</v>
      </c>
      <c r="AP117" s="100">
        <f t="shared" si="19"/>
        <v>3.6945082704325323</v>
      </c>
      <c r="AQ117" s="18">
        <f t="shared" si="20"/>
        <v>1.6595180023127058E-3</v>
      </c>
      <c r="AR117" s="32">
        <f>IFERROR(IF(AG117="Y",VLOOKUP(AK117,XS_Analyzer_Calculations!$R$5:$T$104,3,TRUE),0),0)</f>
        <v>0.1</v>
      </c>
      <c r="AS117" s="198">
        <f t="shared" si="21"/>
        <v>0.01</v>
      </c>
      <c r="AT117" s="18">
        <f t="shared" si="22"/>
        <v>6.8853895469511661</v>
      </c>
      <c r="AU117" s="38">
        <f>AT117*XS_Analyzer_Calculations!$I$7^0.5</f>
        <v>0.68853895469511661</v>
      </c>
      <c r="AV117" s="18">
        <f t="shared" si="57"/>
        <v>3.5513207983965334</v>
      </c>
      <c r="AW117" s="18">
        <f t="shared" si="23"/>
        <v>2.3053731607499</v>
      </c>
      <c r="AX117" s="18">
        <f t="shared" si="24"/>
        <v>5</v>
      </c>
      <c r="AY117" s="32">
        <f t="shared" si="25"/>
        <v>4.3085000000000049</v>
      </c>
      <c r="AZ117" s="18">
        <f>((AS117*AP117)/(1.65*XS_Analyzer!$Q$72))*12</f>
        <v>10.616396867582313</v>
      </c>
      <c r="BA117" s="18">
        <f>(AW117/((1.65*62.4)*XS_Analyzer!$Q$73))*12</f>
        <v>5.9709224572646988</v>
      </c>
      <c r="BB117" s="18">
        <f t="shared" si="26"/>
        <v>8.6305333778272928</v>
      </c>
      <c r="BC117" s="38">
        <f t="shared" si="27"/>
        <v>12.415712706247406</v>
      </c>
      <c r="BD117" s="18">
        <f>IF(ISNUMBER(LININTERP(AW117,Permissible_Shear!$T$178:$T$188,Permissible_Shear!$V$178:$V$188)),LININTERP(AW117,Permissible_Shear!$T$178:$T$188,Permissible_Shear!$V$178:$V$188),0)</f>
        <v>7.4508955369294734</v>
      </c>
      <c r="BE117" s="18">
        <f>LININTERP(AW117,Permissible_Shear!$S$205:$S$222,Permissible_Shear!$V$205:$V$222)</f>
        <v>7.5167911273434376</v>
      </c>
      <c r="BF117" s="18">
        <f>INDEX($AZ$3:$BE$204,ROW(BF117)-2,MATCH(XS_Analyzer!$S$5,XS_AnalyzerSummary!$AZ$2:$BE$2,0))</f>
        <v>8.6305333778272928</v>
      </c>
      <c r="BG117" s="26">
        <f t="shared" si="28"/>
        <v>0</v>
      </c>
      <c r="BH117" s="26">
        <f t="shared" si="29"/>
        <v>0</v>
      </c>
      <c r="BI117" s="26">
        <f t="shared" si="30"/>
        <v>3.5513207983965334</v>
      </c>
      <c r="BJ117" s="26">
        <f t="shared" si="31"/>
        <v>0</v>
      </c>
      <c r="BK117" s="26">
        <f t="shared" si="32"/>
        <v>0</v>
      </c>
      <c r="BL117" s="26">
        <f t="shared" si="33"/>
        <v>2.3053731607499</v>
      </c>
      <c r="BM117" s="18">
        <f t="shared" si="34"/>
        <v>0</v>
      </c>
      <c r="BN117" s="18">
        <f t="shared" si="35"/>
        <v>0</v>
      </c>
      <c r="BO117" s="18">
        <f t="shared" si="36"/>
        <v>3.6945082704325323</v>
      </c>
    </row>
    <row r="118" spans="30:67">
      <c r="AD118" s="32">
        <v>114</v>
      </c>
      <c r="AE118" s="25" t="str">
        <f t="shared" si="13"/>
        <v>Right</v>
      </c>
      <c r="AF118" s="25" t="str">
        <f t="shared" si="14"/>
        <v>Channel</v>
      </c>
      <c r="AG118" s="32" t="str">
        <f>IF(XS_AnalyzerSummary!$AB$24&gt;=XS_AnalyzerSummary!AD118,"Y","N")</f>
        <v>Y</v>
      </c>
      <c r="AH118" s="38">
        <v>1</v>
      </c>
      <c r="AI118" s="38">
        <f>IF(AG118="Y",$O$19/XS_AnalyzerSummary!$AB$24,0)</f>
        <v>4.4999999999999998E-2</v>
      </c>
      <c r="AJ118" s="38">
        <f t="shared" si="15"/>
        <v>4.4999999999999998E-2</v>
      </c>
      <c r="AK118" s="93">
        <f t="shared" si="37"/>
        <v>6.1749999999999918</v>
      </c>
      <c r="AL118" s="93">
        <f>IF(AG118="Y",LININTERP(AK118,XS_Analyzer_Calculations!$AY$4:$AY$104,XS_Analyzer_Calculations!$AZ$4:$AZ$104),AL117)</f>
        <v>0.70499999999999508</v>
      </c>
      <c r="AM118" s="38">
        <f t="shared" si="16"/>
        <v>4.2950000000000053</v>
      </c>
      <c r="AN118" s="18">
        <f t="shared" si="17"/>
        <v>0.19266750000000021</v>
      </c>
      <c r="AO118" s="100">
        <f t="shared" si="18"/>
        <v>5.2478567053607719E-2</v>
      </c>
      <c r="AP118" s="100">
        <f t="shared" si="19"/>
        <v>3.6713559614382612</v>
      </c>
      <c r="AQ118" s="18">
        <f t="shared" si="20"/>
        <v>1.6595180023127203E-3</v>
      </c>
      <c r="AR118" s="32">
        <f>IFERROR(IF(AG118="Y",VLOOKUP(AK118,XS_Analyzer_Calculations!$R$5:$T$104,3,TRUE),0),0)</f>
        <v>0.1</v>
      </c>
      <c r="AS118" s="198">
        <f t="shared" si="21"/>
        <v>0.01</v>
      </c>
      <c r="AT118" s="18">
        <f t="shared" si="22"/>
        <v>6.8136256268421738</v>
      </c>
      <c r="AU118" s="38">
        <f>AT118*XS_Analyzer_Calculations!$I$7^0.5</f>
        <v>0.68136256268421747</v>
      </c>
      <c r="AV118" s="18">
        <f t="shared" si="57"/>
        <v>3.5364685932200124</v>
      </c>
      <c r="AW118" s="18">
        <f t="shared" si="23"/>
        <v>2.2909261199374749</v>
      </c>
      <c r="AX118" s="18">
        <f t="shared" si="24"/>
        <v>5</v>
      </c>
      <c r="AY118" s="32">
        <f t="shared" si="25"/>
        <v>4.2815000000000047</v>
      </c>
      <c r="AZ118" s="18">
        <f>((AS118*AP118)/(1.65*XS_Analyzer!$Q$72))*12</f>
        <v>10.549867282941459</v>
      </c>
      <c r="BA118" s="18">
        <f>(AW118/((1.65*62.4)*XS_Analyzer!$Q$73))*12</f>
        <v>5.9335045841426446</v>
      </c>
      <c r="BB118" s="18">
        <f t="shared" si="26"/>
        <v>8.5743604236259863</v>
      </c>
      <c r="BC118" s="38">
        <f t="shared" si="27"/>
        <v>12.358618381888727</v>
      </c>
      <c r="BD118" s="18">
        <f>IF(ISNUMBER(LININTERP(AW118,Permissible_Shear!$T$178:$T$188,Permissible_Shear!$V$178:$V$188)),LININTERP(AW118,Permissible_Shear!$T$178:$T$188,Permissible_Shear!$V$178:$V$188),0)</f>
        <v>7.4057690998242212</v>
      </c>
      <c r="BE118" s="18">
        <f>LININTERP(AW118,Permissible_Shear!$S$205:$S$222,Permissible_Shear!$V$205:$V$222)</f>
        <v>7.4716441248046088</v>
      </c>
      <c r="BF118" s="18">
        <f>INDEX($AZ$3:$BE$204,ROW(BF118)-2,MATCH(XS_Analyzer!$S$5,XS_AnalyzerSummary!$AZ$2:$BE$2,0))</f>
        <v>8.5743604236259863</v>
      </c>
      <c r="BG118" s="26">
        <f t="shared" si="28"/>
        <v>0</v>
      </c>
      <c r="BH118" s="26">
        <f t="shared" si="29"/>
        <v>0</v>
      </c>
      <c r="BI118" s="26">
        <f t="shared" si="30"/>
        <v>3.5364685932200124</v>
      </c>
      <c r="BJ118" s="26">
        <f t="shared" si="31"/>
        <v>0</v>
      </c>
      <c r="BK118" s="26">
        <f t="shared" si="32"/>
        <v>0</v>
      </c>
      <c r="BL118" s="26">
        <f t="shared" si="33"/>
        <v>2.2909261199374749</v>
      </c>
      <c r="BM118" s="18">
        <f t="shared" si="34"/>
        <v>0</v>
      </c>
      <c r="BN118" s="18">
        <f t="shared" si="35"/>
        <v>0</v>
      </c>
      <c r="BO118" s="18">
        <f t="shared" si="36"/>
        <v>3.6713559614382612</v>
      </c>
    </row>
    <row r="119" spans="30:67">
      <c r="AD119" s="32">
        <v>115</v>
      </c>
      <c r="AE119" s="25" t="str">
        <f t="shared" si="13"/>
        <v>Right</v>
      </c>
      <c r="AF119" s="25" t="str">
        <f t="shared" si="14"/>
        <v>Channel</v>
      </c>
      <c r="AG119" s="32" t="str">
        <f>IF(XS_AnalyzerSummary!$AB$24&gt;=XS_AnalyzerSummary!AD119,"Y","N")</f>
        <v>Y</v>
      </c>
      <c r="AH119" s="38">
        <v>1</v>
      </c>
      <c r="AI119" s="38">
        <f>IF(AG119="Y",$O$19/XS_AnalyzerSummary!$AB$24,0)</f>
        <v>4.4999999999999998E-2</v>
      </c>
      <c r="AJ119" s="38">
        <f t="shared" si="15"/>
        <v>4.4999999999999998E-2</v>
      </c>
      <c r="AK119" s="93">
        <f t="shared" si="37"/>
        <v>6.2199999999999918</v>
      </c>
      <c r="AL119" s="93">
        <f>IF(AG119="Y",LININTERP(AK119,XS_Analyzer_Calculations!$AY$4:$AY$104,XS_Analyzer_Calculations!$AZ$4:$AZ$104),AL118)</f>
        <v>0.7319999999999951</v>
      </c>
      <c r="AM119" s="38">
        <f t="shared" si="16"/>
        <v>4.2680000000000051</v>
      </c>
      <c r="AN119" s="18">
        <f t="shared" si="17"/>
        <v>0.19145250000000025</v>
      </c>
      <c r="AO119" s="100">
        <f t="shared" si="18"/>
        <v>5.2478567053607719E-2</v>
      </c>
      <c r="AP119" s="100">
        <f t="shared" si="19"/>
        <v>3.6482036524440229</v>
      </c>
      <c r="AQ119" s="18">
        <f t="shared" si="20"/>
        <v>1.6595180023127203E-3</v>
      </c>
      <c r="AR119" s="32">
        <f>IFERROR(IF(AG119="Y",VLOOKUP(AK119,XS_Analyzer_Calculations!$R$5:$T$104,3,TRUE),0),0)</f>
        <v>0.1</v>
      </c>
      <c r="AS119" s="198">
        <f t="shared" si="21"/>
        <v>0.01</v>
      </c>
      <c r="AT119" s="18">
        <f t="shared" si="22"/>
        <v>6.7421627798853612</v>
      </c>
      <c r="AU119" s="38">
        <f>AT119*XS_Analyzer_Calculations!$I$7^0.5</f>
        <v>0.67421627798853612</v>
      </c>
      <c r="AV119" s="18">
        <f t="shared" si="57"/>
        <v>3.5215851346341012</v>
      </c>
      <c r="AW119" s="18">
        <f t="shared" si="23"/>
        <v>2.2764790791250706</v>
      </c>
      <c r="AX119" s="18">
        <f t="shared" si="24"/>
        <v>5</v>
      </c>
      <c r="AY119" s="32">
        <f t="shared" si="25"/>
        <v>4.2545000000000055</v>
      </c>
      <c r="AZ119" s="18">
        <f>((AS119*AP119)/(1.65*XS_Analyzer!$Q$72))*12</f>
        <v>10.4833376983007</v>
      </c>
      <c r="BA119" s="18">
        <f>(AW119/((1.65*62.4)*XS_Analyzer!$Q$73))*12</f>
        <v>5.8960867110206445</v>
      </c>
      <c r="BB119" s="18">
        <f t="shared" si="26"/>
        <v>8.5182022987918788</v>
      </c>
      <c r="BC119" s="38">
        <f t="shared" si="27"/>
        <v>12.301429044413684</v>
      </c>
      <c r="BD119" s="18">
        <f>IF(ISNUMBER(LININTERP(AW119,Permissible_Shear!$T$178:$T$188,Permissible_Shear!$V$178:$V$188)),LININTERP(AW119,Permissible_Shear!$T$178:$T$188,Permissible_Shear!$V$178:$V$188),0)</f>
        <v>7.3606426627190356</v>
      </c>
      <c r="BE119" s="18">
        <f>LININTERP(AW119,Permissible_Shear!$S$205:$S$222,Permissible_Shear!$V$205:$V$222)</f>
        <v>7.4264971222658467</v>
      </c>
      <c r="BF119" s="18">
        <f>INDEX($AZ$3:$BE$204,ROW(BF119)-2,MATCH(XS_Analyzer!$S$5,XS_AnalyzerSummary!$AZ$2:$BE$2,0))</f>
        <v>8.5182022987918788</v>
      </c>
      <c r="BG119" s="26">
        <f t="shared" si="28"/>
        <v>0</v>
      </c>
      <c r="BH119" s="26">
        <f t="shared" si="29"/>
        <v>0</v>
      </c>
      <c r="BI119" s="26">
        <f t="shared" si="30"/>
        <v>3.5215851346341012</v>
      </c>
      <c r="BJ119" s="26">
        <f t="shared" si="31"/>
        <v>0</v>
      </c>
      <c r="BK119" s="26">
        <f t="shared" si="32"/>
        <v>0</v>
      </c>
      <c r="BL119" s="26">
        <f t="shared" si="33"/>
        <v>2.2764790791250706</v>
      </c>
      <c r="BM119" s="18">
        <f t="shared" si="34"/>
        <v>0</v>
      </c>
      <c r="BN119" s="18">
        <f t="shared" si="35"/>
        <v>0</v>
      </c>
      <c r="BO119" s="18">
        <f t="shared" si="36"/>
        <v>3.6482036524440229</v>
      </c>
    </row>
    <row r="120" spans="30:67">
      <c r="AD120" s="32">
        <v>116</v>
      </c>
      <c r="AE120" s="25" t="str">
        <f t="shared" si="13"/>
        <v>Right</v>
      </c>
      <c r="AF120" s="25" t="str">
        <f t="shared" si="14"/>
        <v>Channel</v>
      </c>
      <c r="AG120" s="32" t="str">
        <f>IF(XS_AnalyzerSummary!$AB$24&gt;=XS_AnalyzerSummary!AD120,"Y","N")</f>
        <v>Y</v>
      </c>
      <c r="AH120" s="38">
        <v>1</v>
      </c>
      <c r="AI120" s="38">
        <f>IF(AG120="Y",$O$19/XS_AnalyzerSummary!$AB$24,0)</f>
        <v>4.4999999999999998E-2</v>
      </c>
      <c r="AJ120" s="38">
        <f t="shared" si="15"/>
        <v>4.4999999999999998E-2</v>
      </c>
      <c r="AK120" s="93">
        <f t="shared" si="37"/>
        <v>6.2649999999999917</v>
      </c>
      <c r="AL120" s="93">
        <f>IF(AG120="Y",LININTERP(AK120,XS_Analyzer_Calculations!$AY$4:$AY$104,XS_Analyzer_Calculations!$AZ$4:$AZ$104),AL119)</f>
        <v>0.75899999999999501</v>
      </c>
      <c r="AM120" s="38">
        <f t="shared" si="16"/>
        <v>4.241000000000005</v>
      </c>
      <c r="AN120" s="18">
        <f t="shared" si="17"/>
        <v>0.1902375000000002</v>
      </c>
      <c r="AO120" s="100">
        <f t="shared" si="18"/>
        <v>5.2478567053607719E-2</v>
      </c>
      <c r="AP120" s="100">
        <f t="shared" si="19"/>
        <v>3.6250513434497833</v>
      </c>
      <c r="AQ120" s="18">
        <f t="shared" si="20"/>
        <v>1.6595180023127203E-3</v>
      </c>
      <c r="AR120" s="32">
        <f>IFERROR(IF(AG120="Y",VLOOKUP(AK120,XS_Analyzer_Calculations!$R$5:$T$104,3,TRUE),0),0)</f>
        <v>0.1</v>
      </c>
      <c r="AS120" s="198">
        <f t="shared" si="21"/>
        <v>0.01</v>
      </c>
      <c r="AT120" s="18">
        <f t="shared" si="22"/>
        <v>6.6710016416361002</v>
      </c>
      <c r="AU120" s="38">
        <f>AT120*XS_Analyzer_Calculations!$I$7^0.5</f>
        <v>0.66710016416361007</v>
      </c>
      <c r="AV120" s="18">
        <f t="shared" si="57"/>
        <v>3.5066701579005684</v>
      </c>
      <c r="AW120" s="18">
        <f t="shared" si="23"/>
        <v>2.2620320383126646</v>
      </c>
      <c r="AX120" s="18">
        <f t="shared" si="24"/>
        <v>5</v>
      </c>
      <c r="AY120" s="32">
        <f t="shared" si="25"/>
        <v>4.2275000000000045</v>
      </c>
      <c r="AZ120" s="18">
        <f>((AS120*AP120)/(1.65*XS_Analyzer!$Q$72))*12</f>
        <v>10.416808113659934</v>
      </c>
      <c r="BA120" s="18">
        <f>(AW120/((1.65*62.4)*XS_Analyzer!$Q$73))*12</f>
        <v>5.8586688378986391</v>
      </c>
      <c r="BB120" s="18">
        <f t="shared" si="26"/>
        <v>8.4620590931868698</v>
      </c>
      <c r="BC120" s="38">
        <f t="shared" si="27"/>
        <v>12.244143933126642</v>
      </c>
      <c r="BD120" s="18">
        <f>IF(ISNUMBER(LININTERP(AW120,Permissible_Shear!$T$178:$T$188,Permissible_Shear!$V$178:$V$188)),LININTERP(AW120,Permissible_Shear!$T$178:$T$188,Permissible_Shear!$V$178:$V$188),0)</f>
        <v>7.3155162256138428</v>
      </c>
      <c r="BE120" s="18">
        <f>LININTERP(AW120,Permissible_Shear!$S$205:$S$222,Permissible_Shear!$V$205:$V$222)</f>
        <v>7.3813501197270774</v>
      </c>
      <c r="BF120" s="18">
        <f>INDEX($AZ$3:$BE$204,ROW(BF120)-2,MATCH(XS_Analyzer!$S$5,XS_AnalyzerSummary!$AZ$2:$BE$2,0))</f>
        <v>8.4620590931868698</v>
      </c>
      <c r="BG120" s="26">
        <f t="shared" si="28"/>
        <v>0</v>
      </c>
      <c r="BH120" s="26">
        <f t="shared" si="29"/>
        <v>0</v>
      </c>
      <c r="BI120" s="26">
        <f t="shared" si="30"/>
        <v>3.5066701579005684</v>
      </c>
      <c r="BJ120" s="26">
        <f t="shared" si="31"/>
        <v>0</v>
      </c>
      <c r="BK120" s="26">
        <f t="shared" si="32"/>
        <v>0</v>
      </c>
      <c r="BL120" s="26">
        <f t="shared" si="33"/>
        <v>2.2620320383126646</v>
      </c>
      <c r="BM120" s="18">
        <f t="shared" si="34"/>
        <v>0</v>
      </c>
      <c r="BN120" s="18">
        <f t="shared" si="35"/>
        <v>0</v>
      </c>
      <c r="BO120" s="18">
        <f t="shared" si="36"/>
        <v>3.6250513434497833</v>
      </c>
    </row>
    <row r="121" spans="30:67">
      <c r="AD121" s="32">
        <v>117</v>
      </c>
      <c r="AE121" s="25" t="str">
        <f t="shared" si="13"/>
        <v>Right</v>
      </c>
      <c r="AF121" s="25" t="str">
        <f t="shared" si="14"/>
        <v>Channel</v>
      </c>
      <c r="AG121" s="32" t="str">
        <f>IF(XS_AnalyzerSummary!$AB$24&gt;=XS_AnalyzerSummary!AD121,"Y","N")</f>
        <v>Y</v>
      </c>
      <c r="AH121" s="38">
        <v>1</v>
      </c>
      <c r="AI121" s="38">
        <f>IF(AG121="Y",$O$19/XS_AnalyzerSummary!$AB$24,0)</f>
        <v>4.4999999999999998E-2</v>
      </c>
      <c r="AJ121" s="38">
        <f t="shared" si="15"/>
        <v>4.4999999999999998E-2</v>
      </c>
      <c r="AK121" s="93">
        <f t="shared" si="37"/>
        <v>6.3099999999999916</v>
      </c>
      <c r="AL121" s="93">
        <f>IF(AG121="Y",LININTERP(AK121,XS_Analyzer_Calculations!$AY$4:$AY$104,XS_Analyzer_Calculations!$AZ$4:$AZ$104),AL120)</f>
        <v>0.78599999999999492</v>
      </c>
      <c r="AM121" s="38">
        <f t="shared" si="16"/>
        <v>4.2140000000000049</v>
      </c>
      <c r="AN121" s="18">
        <f t="shared" si="17"/>
        <v>0.18902250000000023</v>
      </c>
      <c r="AO121" s="100">
        <f t="shared" si="18"/>
        <v>5.2478567053607719E-2</v>
      </c>
      <c r="AP121" s="100">
        <f t="shared" si="19"/>
        <v>3.601899034455545</v>
      </c>
      <c r="AQ121" s="18">
        <f t="shared" si="20"/>
        <v>1.6595180023127203E-3</v>
      </c>
      <c r="AR121" s="32">
        <f>IFERROR(IF(AG121="Y",VLOOKUP(AK121,XS_Analyzer_Calculations!$R$5:$T$104,3,TRUE),0),0)</f>
        <v>0.1</v>
      </c>
      <c r="AS121" s="198">
        <f t="shared" si="21"/>
        <v>0.01</v>
      </c>
      <c r="AT121" s="18">
        <f t="shared" si="22"/>
        <v>6.6001428530506185</v>
      </c>
      <c r="AU121" s="38">
        <f>AT121*XS_Analyzer_Calculations!$I$7^0.5</f>
        <v>0.6600142853050619</v>
      </c>
      <c r="AV121" s="18">
        <f t="shared" si="57"/>
        <v>3.4917233943316859</v>
      </c>
      <c r="AW121" s="18">
        <f t="shared" si="23"/>
        <v>2.24758499750026</v>
      </c>
      <c r="AX121" s="18">
        <f t="shared" si="24"/>
        <v>5</v>
      </c>
      <c r="AY121" s="32">
        <f t="shared" si="25"/>
        <v>4.2005000000000052</v>
      </c>
      <c r="AZ121" s="18">
        <f>((AS121*AP121)/(1.65*XS_Analyzer!$Q$72))*12</f>
        <v>10.350278529019176</v>
      </c>
      <c r="BA121" s="18">
        <f>(AW121/((1.65*62.4)*XS_Analyzer!$Q$73))*12</f>
        <v>5.8212509647766382</v>
      </c>
      <c r="BB121" s="18">
        <f t="shared" si="26"/>
        <v>8.4059308977928922</v>
      </c>
      <c r="BC121" s="38">
        <f t="shared" si="27"/>
        <v>12.186762276355747</v>
      </c>
      <c r="BD121" s="18">
        <f>IF(ISNUMBER(LININTERP(AW121,Permissible_Shear!$T$178:$T$188,Permissible_Shear!$V$178:$V$188)),LININTERP(AW121,Permissible_Shear!$T$178:$T$188,Permissible_Shear!$V$178:$V$188),0)</f>
        <v>7.2703897885086546</v>
      </c>
      <c r="BE121" s="18">
        <f>LININTERP(AW121,Permissible_Shear!$S$205:$S$222,Permissible_Shear!$V$205:$V$222)</f>
        <v>7.3362031171883126</v>
      </c>
      <c r="BF121" s="18">
        <f>INDEX($AZ$3:$BE$204,ROW(BF121)-2,MATCH(XS_Analyzer!$S$5,XS_AnalyzerSummary!$AZ$2:$BE$2,0))</f>
        <v>8.4059308977928922</v>
      </c>
      <c r="BG121" s="26">
        <f t="shared" si="28"/>
        <v>0</v>
      </c>
      <c r="BH121" s="26">
        <f t="shared" si="29"/>
        <v>0</v>
      </c>
      <c r="BI121" s="26">
        <f t="shared" si="30"/>
        <v>3.4917233943316859</v>
      </c>
      <c r="BJ121" s="26">
        <f t="shared" si="31"/>
        <v>0</v>
      </c>
      <c r="BK121" s="26">
        <f t="shared" si="32"/>
        <v>0</v>
      </c>
      <c r="BL121" s="26">
        <f t="shared" si="33"/>
        <v>2.24758499750026</v>
      </c>
      <c r="BM121" s="18">
        <f t="shared" si="34"/>
        <v>0</v>
      </c>
      <c r="BN121" s="18">
        <f t="shared" si="35"/>
        <v>0</v>
      </c>
      <c r="BO121" s="18">
        <f t="shared" si="36"/>
        <v>3.601899034455545</v>
      </c>
    </row>
    <row r="122" spans="30:67">
      <c r="AD122" s="32">
        <v>118</v>
      </c>
      <c r="AE122" s="25" t="str">
        <f t="shared" si="13"/>
        <v>Right</v>
      </c>
      <c r="AF122" s="25" t="str">
        <f t="shared" si="14"/>
        <v>Channel</v>
      </c>
      <c r="AG122" s="32" t="str">
        <f>IF(XS_AnalyzerSummary!$AB$24&gt;=XS_AnalyzerSummary!AD122,"Y","N")</f>
        <v>Y</v>
      </c>
      <c r="AH122" s="38">
        <v>1</v>
      </c>
      <c r="AI122" s="38">
        <f>IF(AG122="Y",$O$19/XS_AnalyzerSummary!$AB$24,0)</f>
        <v>4.4999999999999998E-2</v>
      </c>
      <c r="AJ122" s="38">
        <f t="shared" si="15"/>
        <v>4.4999999999999998E-2</v>
      </c>
      <c r="AK122" s="93">
        <f t="shared" si="37"/>
        <v>6.3549999999999915</v>
      </c>
      <c r="AL122" s="93">
        <f>IF(AG122="Y",LININTERP(AK122,XS_Analyzer_Calculations!$AY$4:$AY$104,XS_Analyzer_Calculations!$AZ$4:$AZ$104),AL121)</f>
        <v>0.81299999999999495</v>
      </c>
      <c r="AM122" s="38">
        <f t="shared" si="16"/>
        <v>4.1870000000000047</v>
      </c>
      <c r="AN122" s="18">
        <f t="shared" si="17"/>
        <v>0.18780750000000021</v>
      </c>
      <c r="AO122" s="100">
        <f t="shared" si="18"/>
        <v>5.2478567053607254E-2</v>
      </c>
      <c r="AP122" s="100">
        <f t="shared" si="19"/>
        <v>3.5787467254613379</v>
      </c>
      <c r="AQ122" s="18">
        <f t="shared" si="20"/>
        <v>1.6595180023127058E-3</v>
      </c>
      <c r="AR122" s="32">
        <f>IFERROR(IF(AG122="Y",VLOOKUP(AK122,XS_Analyzer_Calculations!$R$5:$T$104,3,TRUE),0),0)</f>
        <v>0.1</v>
      </c>
      <c r="AS122" s="198">
        <f t="shared" si="21"/>
        <v>0.01</v>
      </c>
      <c r="AT122" s="18">
        <f t="shared" si="22"/>
        <v>6.5295870605667909</v>
      </c>
      <c r="AU122" s="38">
        <f>AT122*XS_Analyzer_Calculations!$I$7^0.5</f>
        <v>0.65295870605667916</v>
      </c>
      <c r="AV122" s="18">
        <f t="shared" si="57"/>
        <v>3.4767445712055078</v>
      </c>
      <c r="AW122" s="18">
        <f t="shared" si="23"/>
        <v>2.2331379566878748</v>
      </c>
      <c r="AX122" s="18">
        <f t="shared" si="24"/>
        <v>5</v>
      </c>
      <c r="AY122" s="32">
        <f t="shared" si="25"/>
        <v>4.1735000000000051</v>
      </c>
      <c r="AZ122" s="18">
        <f>((AS122*AP122)/(1.65*XS_Analyzer!$Q$72))*12</f>
        <v>10.283748944378505</v>
      </c>
      <c r="BA122" s="18">
        <f>(AW122/((1.65*62.4)*XS_Analyzer!$Q$73))*12</f>
        <v>5.7838330916546887</v>
      </c>
      <c r="BB122" s="18">
        <f t="shared" si="26"/>
        <v>8.349817804733151</v>
      </c>
      <c r="BC122" s="38">
        <f t="shared" si="27"/>
        <v>12.129283291223132</v>
      </c>
      <c r="BD122" s="18">
        <f>IF(ISNUMBER(LININTERP(AW122,Permissible_Shear!$T$178:$T$188,Permissible_Shear!$V$178:$V$188)),LININTERP(AW122,Permissible_Shear!$T$178:$T$188,Permissible_Shear!$V$178:$V$188),0)</f>
        <v>7.2252633514035285</v>
      </c>
      <c r="BE122" s="18">
        <f>LININTERP(AW122,Permissible_Shear!$S$205:$S$222,Permissible_Shear!$V$205:$V$222)</f>
        <v>7.2910561146496091</v>
      </c>
      <c r="BF122" s="18">
        <f>INDEX($AZ$3:$BE$204,ROW(BF122)-2,MATCH(XS_Analyzer!$S$5,XS_AnalyzerSummary!$AZ$2:$BE$2,0))</f>
        <v>8.349817804733151</v>
      </c>
      <c r="BG122" s="26">
        <f t="shared" si="28"/>
        <v>0</v>
      </c>
      <c r="BH122" s="26">
        <f t="shared" si="29"/>
        <v>0</v>
      </c>
      <c r="BI122" s="26">
        <f t="shared" si="30"/>
        <v>3.4767445712055078</v>
      </c>
      <c r="BJ122" s="26">
        <f t="shared" si="31"/>
        <v>0</v>
      </c>
      <c r="BK122" s="26">
        <f t="shared" si="32"/>
        <v>0</v>
      </c>
      <c r="BL122" s="26">
        <f t="shared" si="33"/>
        <v>2.2331379566878748</v>
      </c>
      <c r="BM122" s="18">
        <f t="shared" si="34"/>
        <v>0</v>
      </c>
      <c r="BN122" s="18">
        <f t="shared" si="35"/>
        <v>0</v>
      </c>
      <c r="BO122" s="18">
        <f t="shared" si="36"/>
        <v>3.5787467254613379</v>
      </c>
    </row>
    <row r="123" spans="30:67">
      <c r="AD123" s="32">
        <v>119</v>
      </c>
      <c r="AE123" s="25" t="str">
        <f t="shared" si="13"/>
        <v>Right</v>
      </c>
      <c r="AF123" s="25" t="str">
        <f t="shared" si="14"/>
        <v>Channel</v>
      </c>
      <c r="AG123" s="32" t="str">
        <f>IF(XS_AnalyzerSummary!$AB$24&gt;=XS_AnalyzerSummary!AD123,"Y","N")</f>
        <v>Y</v>
      </c>
      <c r="AH123" s="38">
        <v>1</v>
      </c>
      <c r="AI123" s="38">
        <f>IF(AG123="Y",$O$19/XS_AnalyzerSummary!$AB$24,0)</f>
        <v>4.4999999999999998E-2</v>
      </c>
      <c r="AJ123" s="38">
        <f t="shared" si="15"/>
        <v>4.4999999999999998E-2</v>
      </c>
      <c r="AK123" s="93">
        <f t="shared" si="37"/>
        <v>6.3999999999999915</v>
      </c>
      <c r="AL123" s="93">
        <f>IF(AG123="Y",LININTERP(AK123,XS_Analyzer_Calculations!$AY$4:$AY$104,XS_Analyzer_Calculations!$AZ$4:$AZ$104),AL122)</f>
        <v>0.83999999999999486</v>
      </c>
      <c r="AM123" s="38">
        <f t="shared" si="16"/>
        <v>4.1600000000000055</v>
      </c>
      <c r="AN123" s="18">
        <f t="shared" si="17"/>
        <v>0.18659250000000022</v>
      </c>
      <c r="AO123" s="100">
        <f t="shared" si="18"/>
        <v>5.2478567053607719E-2</v>
      </c>
      <c r="AP123" s="100">
        <f t="shared" si="19"/>
        <v>3.5555944164670676</v>
      </c>
      <c r="AQ123" s="18">
        <f t="shared" si="20"/>
        <v>1.6595180023127203E-3</v>
      </c>
      <c r="AR123" s="32">
        <f>IFERROR(IF(AG123="Y",VLOOKUP(AK123,XS_Analyzer_Calculations!$R$5:$T$104,3,TRUE),0),0)</f>
        <v>0.1</v>
      </c>
      <c r="AS123" s="198">
        <f t="shared" si="21"/>
        <v>0.01</v>
      </c>
      <c r="AT123" s="18">
        <f t="shared" si="22"/>
        <v>6.4593349161865525</v>
      </c>
      <c r="AU123" s="38">
        <f>AT123*XS_Analyzer_Calculations!$I$7^0.5</f>
        <v>0.64593349161865532</v>
      </c>
      <c r="AV123" s="18">
        <f t="shared" si="57"/>
        <v>3.4617334116786824</v>
      </c>
      <c r="AW123" s="18">
        <f t="shared" si="23"/>
        <v>2.2186909158754502</v>
      </c>
      <c r="AX123" s="18">
        <f t="shared" si="24"/>
        <v>5</v>
      </c>
      <c r="AY123" s="32">
        <f t="shared" si="25"/>
        <v>4.146500000000005</v>
      </c>
      <c r="AZ123" s="18">
        <f>((AS123*AP123)/(1.65*XS_Analyzer!$Q$72))*12</f>
        <v>10.217219359737653</v>
      </c>
      <c r="BA123" s="18">
        <f>(AW123/((1.65*62.4)*XS_Analyzer!$Q$73))*12</f>
        <v>5.7464152185326354</v>
      </c>
      <c r="BB123" s="18">
        <f t="shared" si="26"/>
        <v>8.2937199072938839</v>
      </c>
      <c r="BC123" s="38">
        <f t="shared" si="27"/>
        <v>12.071706183408827</v>
      </c>
      <c r="BD123" s="18">
        <f>IF(ISNUMBER(LININTERP(AW123,Permissible_Shear!$T$178:$T$188,Permissible_Shear!$V$178:$V$188)),LININTERP(AW123,Permissible_Shear!$T$178:$T$188,Permissible_Shear!$V$178:$V$188),0)</f>
        <v>7.1801369142982772</v>
      </c>
      <c r="BE123" s="18">
        <f>LININTERP(AW123,Permissible_Shear!$S$205:$S$222,Permissible_Shear!$V$205:$V$222)</f>
        <v>7.2459091121107821</v>
      </c>
      <c r="BF123" s="18">
        <f>INDEX($AZ$3:$BE$204,ROW(BF123)-2,MATCH(XS_Analyzer!$S$5,XS_AnalyzerSummary!$AZ$2:$BE$2,0))</f>
        <v>8.2937199072938839</v>
      </c>
      <c r="BG123" s="26">
        <f t="shared" si="28"/>
        <v>0</v>
      </c>
      <c r="BH123" s="26">
        <f t="shared" si="29"/>
        <v>0</v>
      </c>
      <c r="BI123" s="26">
        <f t="shared" si="30"/>
        <v>3.4617334116786824</v>
      </c>
      <c r="BJ123" s="26">
        <f t="shared" si="31"/>
        <v>0</v>
      </c>
      <c r="BK123" s="26">
        <f t="shared" si="32"/>
        <v>0</v>
      </c>
      <c r="BL123" s="26">
        <f t="shared" si="33"/>
        <v>2.2186909158754502</v>
      </c>
      <c r="BM123" s="18">
        <f t="shared" si="34"/>
        <v>0</v>
      </c>
      <c r="BN123" s="18">
        <f t="shared" si="35"/>
        <v>0</v>
      </c>
      <c r="BO123" s="18">
        <f t="shared" si="36"/>
        <v>3.5555944164670676</v>
      </c>
    </row>
    <row r="124" spans="30:67">
      <c r="AD124" s="32">
        <v>120</v>
      </c>
      <c r="AE124" s="25" t="str">
        <f t="shared" si="13"/>
        <v>Right</v>
      </c>
      <c r="AF124" s="25" t="str">
        <f t="shared" si="14"/>
        <v>Channel</v>
      </c>
      <c r="AG124" s="32" t="str">
        <f>IF(XS_AnalyzerSummary!$AB$24&gt;=XS_AnalyzerSummary!AD124,"Y","N")</f>
        <v>Y</v>
      </c>
      <c r="AH124" s="38">
        <v>1</v>
      </c>
      <c r="AI124" s="38">
        <f>IF(AG124="Y",$O$19/XS_AnalyzerSummary!$AB$24,0)</f>
        <v>4.4999999999999998E-2</v>
      </c>
      <c r="AJ124" s="38">
        <f t="shared" si="15"/>
        <v>4.4999999999999998E-2</v>
      </c>
      <c r="AK124" s="93">
        <f t="shared" si="37"/>
        <v>6.4449999999999914</v>
      </c>
      <c r="AL124" s="93">
        <f>IF(AG124="Y",LININTERP(AK124,XS_Analyzer_Calculations!$AY$4:$AY$104,XS_Analyzer_Calculations!$AZ$4:$AZ$104),AL123)</f>
        <v>0.86699999999999489</v>
      </c>
      <c r="AM124" s="38">
        <f t="shared" si="16"/>
        <v>4.1330000000000053</v>
      </c>
      <c r="AN124" s="18">
        <f t="shared" si="17"/>
        <v>0.18537750000000025</v>
      </c>
      <c r="AO124" s="100">
        <f t="shared" si="18"/>
        <v>5.2478567053607719E-2</v>
      </c>
      <c r="AP124" s="100">
        <f t="shared" si="19"/>
        <v>3.5324421074728294</v>
      </c>
      <c r="AQ124" s="18">
        <f t="shared" si="20"/>
        <v>1.6595180023127203E-3</v>
      </c>
      <c r="AR124" s="32">
        <f>IFERROR(IF(AG124="Y",VLOOKUP(AK124,XS_Analyzer_Calculations!$R$5:$T$104,3,TRUE),0),0)</f>
        <v>0.1</v>
      </c>
      <c r="AS124" s="198">
        <f t="shared" si="21"/>
        <v>0.01</v>
      </c>
      <c r="AT124" s="18">
        <f t="shared" si="22"/>
        <v>6.3893870775606194</v>
      </c>
      <c r="AU124" s="38">
        <f>AT124*XS_Analyzer_Calculations!$I$7^0.5</f>
        <v>0.63893870775606199</v>
      </c>
      <c r="AV124" s="18">
        <f t="shared" si="57"/>
        <v>3.4466896346970972</v>
      </c>
      <c r="AW124" s="18">
        <f t="shared" si="23"/>
        <v>2.2042438750630455</v>
      </c>
      <c r="AX124" s="18">
        <f t="shared" si="24"/>
        <v>5</v>
      </c>
      <c r="AY124" s="32">
        <f t="shared" si="25"/>
        <v>4.1195000000000057</v>
      </c>
      <c r="AZ124" s="18">
        <f>((AS124*AP124)/(1.65*XS_Analyzer!$Q$72))*12</f>
        <v>10.150689775096893</v>
      </c>
      <c r="BA124" s="18">
        <f>(AW124/((1.65*62.4)*XS_Analyzer!$Q$73))*12</f>
        <v>5.7089973454106335</v>
      </c>
      <c r="BB124" s="18">
        <f t="shared" si="26"/>
        <v>8.2376372999466856</v>
      </c>
      <c r="BC124" s="38">
        <f t="shared" si="27"/>
        <v>12.014030146908089</v>
      </c>
      <c r="BD124" s="18">
        <f>IF(ISNUMBER(LININTERP(AW124,Permissible_Shear!$T$178:$T$188,Permissible_Shear!$V$178:$V$188)),LININTERP(AW124,Permissible_Shear!$T$178:$T$188,Permissible_Shear!$V$178:$V$188),0)</f>
        <v>7.1350104771930889</v>
      </c>
      <c r="BE124" s="18">
        <f>LININTERP(AW124,Permissible_Shear!$S$205:$S$222,Permissible_Shear!$V$205:$V$222)</f>
        <v>7.2007621095720182</v>
      </c>
      <c r="BF124" s="18">
        <f>INDEX($AZ$3:$BE$204,ROW(BF124)-2,MATCH(XS_Analyzer!$S$5,XS_AnalyzerSummary!$AZ$2:$BE$2,0))</f>
        <v>8.2376372999466856</v>
      </c>
      <c r="BG124" s="26">
        <f t="shared" si="28"/>
        <v>0</v>
      </c>
      <c r="BH124" s="26">
        <f t="shared" si="29"/>
        <v>0</v>
      </c>
      <c r="BI124" s="26">
        <f t="shared" si="30"/>
        <v>3.4466896346970972</v>
      </c>
      <c r="BJ124" s="26">
        <f t="shared" si="31"/>
        <v>0</v>
      </c>
      <c r="BK124" s="26">
        <f t="shared" si="32"/>
        <v>0</v>
      </c>
      <c r="BL124" s="26">
        <f t="shared" si="33"/>
        <v>2.2042438750630455</v>
      </c>
      <c r="BM124" s="18">
        <f t="shared" si="34"/>
        <v>0</v>
      </c>
      <c r="BN124" s="18">
        <f t="shared" si="35"/>
        <v>0</v>
      </c>
      <c r="BO124" s="18">
        <f t="shared" si="36"/>
        <v>3.5324421074728294</v>
      </c>
    </row>
    <row r="125" spans="30:67">
      <c r="AD125" s="32">
        <v>121</v>
      </c>
      <c r="AE125" s="25" t="str">
        <f t="shared" si="13"/>
        <v>Right</v>
      </c>
      <c r="AF125" s="25" t="str">
        <f t="shared" si="14"/>
        <v>Channel</v>
      </c>
      <c r="AG125" s="32" t="str">
        <f>IF(XS_AnalyzerSummary!$AB$24&gt;=XS_AnalyzerSummary!AD125,"Y","N")</f>
        <v>Y</v>
      </c>
      <c r="AH125" s="38">
        <v>1</v>
      </c>
      <c r="AI125" s="38">
        <f>IF(AG125="Y",$O$19/XS_AnalyzerSummary!$AB$24,0)</f>
        <v>4.4999999999999998E-2</v>
      </c>
      <c r="AJ125" s="38">
        <f t="shared" si="15"/>
        <v>4.4999999999999998E-2</v>
      </c>
      <c r="AK125" s="93">
        <f t="shared" si="37"/>
        <v>6.4899999999999913</v>
      </c>
      <c r="AL125" s="93">
        <f>IF(AG125="Y",LININTERP(AK125,XS_Analyzer_Calculations!$AY$4:$AY$104,XS_Analyzer_Calculations!$AZ$4:$AZ$104),AL124)</f>
        <v>0.8939999999999948</v>
      </c>
      <c r="AM125" s="38">
        <f t="shared" si="16"/>
        <v>4.1060000000000052</v>
      </c>
      <c r="AN125" s="18">
        <f t="shared" si="17"/>
        <v>0.1841625000000002</v>
      </c>
      <c r="AO125" s="100">
        <f t="shared" si="18"/>
        <v>5.2478567053607719E-2</v>
      </c>
      <c r="AP125" s="100">
        <f t="shared" si="19"/>
        <v>3.5092897984785898</v>
      </c>
      <c r="AQ125" s="18">
        <f t="shared" si="20"/>
        <v>1.6595180023127203E-3</v>
      </c>
      <c r="AR125" s="32">
        <f>IFERROR(IF(AG125="Y",VLOOKUP(AK125,XS_Analyzer_Calculations!$R$5:$T$104,3,TRUE),0),0)</f>
        <v>0.1</v>
      </c>
      <c r="AS125" s="198">
        <f t="shared" si="21"/>
        <v>0.01</v>
      </c>
      <c r="AT125" s="18">
        <f t="shared" si="22"/>
        <v>6.3197442080743098</v>
      </c>
      <c r="AU125" s="38">
        <f>AT125*XS_Analyzer_Calculations!$I$7^0.5</f>
        <v>0.63197442080743105</v>
      </c>
      <c r="AV125" s="18">
        <f t="shared" si="57"/>
        <v>3.4316129549035788</v>
      </c>
      <c r="AW125" s="18">
        <f t="shared" si="23"/>
        <v>2.18979683425064</v>
      </c>
      <c r="AX125" s="18">
        <f t="shared" si="24"/>
        <v>5</v>
      </c>
      <c r="AY125" s="32">
        <f t="shared" si="25"/>
        <v>4.0925000000000047</v>
      </c>
      <c r="AZ125" s="18">
        <f>((AS125*AP125)/(1.65*XS_Analyzer!$Q$72))*12</f>
        <v>10.084160190456128</v>
      </c>
      <c r="BA125" s="18">
        <f>(AW125/((1.65*62.4)*XS_Analyzer!$Q$73))*12</f>
        <v>5.6715794722886299</v>
      </c>
      <c r="BB125" s="18">
        <f t="shared" si="26"/>
        <v>8.1815700783714238</v>
      </c>
      <c r="BC125" s="38">
        <f t="shared" si="27"/>
        <v>11.956254363782024</v>
      </c>
      <c r="BD125" s="18">
        <f>IF(ISNUMBER(LININTERP(AW125,Permissible_Shear!$T$178:$T$188,Permissible_Shear!$V$178:$V$188)),LININTERP(AW125,Permissible_Shear!$T$178:$T$188,Permissible_Shear!$V$178:$V$188),0)</f>
        <v>7.0898840400878989</v>
      </c>
      <c r="BE125" s="18">
        <f>LININTERP(AW125,Permissible_Shear!$S$205:$S$222,Permissible_Shear!$V$205:$V$222)</f>
        <v>7.1556151070332499</v>
      </c>
      <c r="BF125" s="18">
        <f>INDEX($AZ$3:$BE$204,ROW(BF125)-2,MATCH(XS_Analyzer!$S$5,XS_AnalyzerSummary!$AZ$2:$BE$2,0))</f>
        <v>8.1815700783714238</v>
      </c>
      <c r="BG125" s="26">
        <f t="shared" si="28"/>
        <v>0</v>
      </c>
      <c r="BH125" s="26">
        <f t="shared" si="29"/>
        <v>0</v>
      </c>
      <c r="BI125" s="26">
        <f t="shared" si="30"/>
        <v>3.4316129549035788</v>
      </c>
      <c r="BJ125" s="26">
        <f t="shared" si="31"/>
        <v>0</v>
      </c>
      <c r="BK125" s="26">
        <f t="shared" si="32"/>
        <v>0</v>
      </c>
      <c r="BL125" s="26">
        <f t="shared" si="33"/>
        <v>2.18979683425064</v>
      </c>
      <c r="BM125" s="18">
        <f t="shared" si="34"/>
        <v>0</v>
      </c>
      <c r="BN125" s="18">
        <f t="shared" si="35"/>
        <v>0</v>
      </c>
      <c r="BO125" s="18">
        <f t="shared" si="36"/>
        <v>3.5092897984785898</v>
      </c>
    </row>
    <row r="126" spans="30:67">
      <c r="AD126" s="32">
        <v>122</v>
      </c>
      <c r="AE126" s="25" t="str">
        <f t="shared" si="13"/>
        <v>Right</v>
      </c>
      <c r="AF126" s="25" t="str">
        <f t="shared" si="14"/>
        <v>Channel</v>
      </c>
      <c r="AG126" s="32" t="str">
        <f>IF(XS_AnalyzerSummary!$AB$24&gt;=XS_AnalyzerSummary!AD126,"Y","N")</f>
        <v>Y</v>
      </c>
      <c r="AH126" s="38">
        <v>1</v>
      </c>
      <c r="AI126" s="38">
        <f>IF(AG126="Y",$O$19/XS_AnalyzerSummary!$AB$24,0)</f>
        <v>4.4999999999999998E-2</v>
      </c>
      <c r="AJ126" s="38">
        <f t="shared" si="15"/>
        <v>4.4999999999999998E-2</v>
      </c>
      <c r="AK126" s="93">
        <f t="shared" si="37"/>
        <v>6.5349999999999913</v>
      </c>
      <c r="AL126" s="93">
        <f>IF(AG126="Y",LININTERP(AK126,XS_Analyzer_Calculations!$AY$4:$AY$104,XS_Analyzer_Calculations!$AZ$4:$AZ$104),AL125)</f>
        <v>0.92099999999999471</v>
      </c>
      <c r="AM126" s="38">
        <f t="shared" si="16"/>
        <v>4.0790000000000051</v>
      </c>
      <c r="AN126" s="18">
        <f t="shared" si="17"/>
        <v>0.18294750000000023</v>
      </c>
      <c r="AO126" s="100">
        <f t="shared" si="18"/>
        <v>5.2478567053607719E-2</v>
      </c>
      <c r="AP126" s="100">
        <f t="shared" si="19"/>
        <v>3.486137489484352</v>
      </c>
      <c r="AQ126" s="18">
        <f t="shared" si="20"/>
        <v>1.6595180023127203E-3</v>
      </c>
      <c r="AR126" s="32">
        <f>IFERROR(IF(AG126="Y",VLOOKUP(AK126,XS_Analyzer_Calculations!$R$5:$T$104,3,TRUE),0),0)</f>
        <v>0.1</v>
      </c>
      <c r="AS126" s="198">
        <f t="shared" si="21"/>
        <v>0.01</v>
      </c>
      <c r="AT126" s="18">
        <f t="shared" si="22"/>
        <v>6.2504069769358388</v>
      </c>
      <c r="AU126" s="38">
        <f>AT126*XS_Analyzer_Calculations!$I$7^0.5</f>
        <v>0.62504069769358395</v>
      </c>
      <c r="AV126" s="18">
        <f t="shared" si="57"/>
        <v>3.4165030825432603</v>
      </c>
      <c r="AW126" s="18">
        <f t="shared" si="23"/>
        <v>2.1753497934382358</v>
      </c>
      <c r="AX126" s="18">
        <f t="shared" si="24"/>
        <v>5</v>
      </c>
      <c r="AY126" s="32">
        <f t="shared" si="25"/>
        <v>4.0655000000000054</v>
      </c>
      <c r="AZ126" s="18">
        <f>((AS126*AP126)/(1.65*XS_Analyzer!$Q$72))*12</f>
        <v>10.01763060581537</v>
      </c>
      <c r="BA126" s="18">
        <f>(AW126/((1.65*62.4)*XS_Analyzer!$Q$73))*12</f>
        <v>5.6341615991666307</v>
      </c>
      <c r="BB126" s="18">
        <f t="shared" si="26"/>
        <v>8.1255183394797257</v>
      </c>
      <c r="BC126" s="38">
        <f t="shared" si="27"/>
        <v>11.898378003901131</v>
      </c>
      <c r="BD126" s="18">
        <f>IF(ISNUMBER(LININTERP(AW126,Permissible_Shear!$T$178:$T$188,Permissible_Shear!$V$178:$V$188)),LININTERP(AW126,Permissible_Shear!$T$178:$T$188,Permissible_Shear!$V$178:$V$188),0)</f>
        <v>7.0447576029827115</v>
      </c>
      <c r="BE126" s="18">
        <f>LININTERP(AW126,Permissible_Shear!$S$205:$S$222,Permissible_Shear!$V$205:$V$222)</f>
        <v>7.1104681044944869</v>
      </c>
      <c r="BF126" s="18">
        <f>INDEX($AZ$3:$BE$204,ROW(BF126)-2,MATCH(XS_Analyzer!$S$5,XS_AnalyzerSummary!$AZ$2:$BE$2,0))</f>
        <v>8.1255183394797257</v>
      </c>
      <c r="BG126" s="26">
        <f t="shared" si="28"/>
        <v>0</v>
      </c>
      <c r="BH126" s="26">
        <f t="shared" si="29"/>
        <v>0</v>
      </c>
      <c r="BI126" s="26">
        <f t="shared" si="30"/>
        <v>3.4165030825432603</v>
      </c>
      <c r="BJ126" s="26">
        <f t="shared" si="31"/>
        <v>0</v>
      </c>
      <c r="BK126" s="26">
        <f t="shared" si="32"/>
        <v>0</v>
      </c>
      <c r="BL126" s="26">
        <f t="shared" si="33"/>
        <v>2.1753497934382358</v>
      </c>
      <c r="BM126" s="18">
        <f t="shared" si="34"/>
        <v>0</v>
      </c>
      <c r="BN126" s="18">
        <f t="shared" si="35"/>
        <v>0</v>
      </c>
      <c r="BO126" s="18">
        <f t="shared" si="36"/>
        <v>3.486137489484352</v>
      </c>
    </row>
    <row r="127" spans="30:67">
      <c r="AD127" s="32">
        <v>123</v>
      </c>
      <c r="AE127" s="25" t="str">
        <f t="shared" si="13"/>
        <v>Right</v>
      </c>
      <c r="AF127" s="25" t="str">
        <f t="shared" si="14"/>
        <v>Channel</v>
      </c>
      <c r="AG127" s="32" t="str">
        <f>IF(XS_AnalyzerSummary!$AB$24&gt;=XS_AnalyzerSummary!AD127,"Y","N")</f>
        <v>Y</v>
      </c>
      <c r="AH127" s="38">
        <v>1</v>
      </c>
      <c r="AI127" s="38">
        <f>IF(AG127="Y",$O$19/XS_AnalyzerSummary!$AB$24,0)</f>
        <v>4.4999999999999998E-2</v>
      </c>
      <c r="AJ127" s="38">
        <f t="shared" si="15"/>
        <v>4.4999999999999998E-2</v>
      </c>
      <c r="AK127" s="93">
        <f t="shared" si="37"/>
        <v>6.5799999999999912</v>
      </c>
      <c r="AL127" s="93">
        <f>IF(AG127="Y",LININTERP(AK127,XS_Analyzer_Calculations!$AY$4:$AY$104,XS_Analyzer_Calculations!$AZ$4:$AZ$104),AL126)</f>
        <v>0.94799999999999474</v>
      </c>
      <c r="AM127" s="38">
        <f t="shared" si="16"/>
        <v>4.0520000000000049</v>
      </c>
      <c r="AN127" s="18">
        <f t="shared" si="17"/>
        <v>0.18173250000000024</v>
      </c>
      <c r="AO127" s="100">
        <f t="shared" si="18"/>
        <v>5.2478567053607254E-2</v>
      </c>
      <c r="AP127" s="100">
        <f t="shared" si="19"/>
        <v>3.4629851804901439</v>
      </c>
      <c r="AQ127" s="18">
        <f t="shared" si="20"/>
        <v>1.6595180023127058E-3</v>
      </c>
      <c r="AR127" s="32">
        <f>IFERROR(IF(AG127="Y",VLOOKUP(AK127,XS_Analyzer_Calculations!$R$5:$T$104,3,TRUE),0),0)</f>
        <v>0.1</v>
      </c>
      <c r="AS127" s="198">
        <f t="shared" si="21"/>
        <v>0.01</v>
      </c>
      <c r="AT127" s="18">
        <f t="shared" si="22"/>
        <v>6.1813760592663254</v>
      </c>
      <c r="AU127" s="38">
        <f>AT127*XS_Analyzer_Calculations!$I$7^0.5</f>
        <v>0.61813760592663258</v>
      </c>
      <c r="AV127" s="18">
        <f t="shared" si="57"/>
        <v>3.4013597233661108</v>
      </c>
      <c r="AW127" s="18">
        <f t="shared" si="23"/>
        <v>2.1609027526258497</v>
      </c>
      <c r="AX127" s="18">
        <f t="shared" si="24"/>
        <v>5</v>
      </c>
      <c r="AY127" s="32">
        <f t="shared" si="25"/>
        <v>4.0385000000000053</v>
      </c>
      <c r="AZ127" s="18">
        <f>((AS127*AP127)/(1.65*XS_Analyzer!$Q$72))*12</f>
        <v>9.9511010211746971</v>
      </c>
      <c r="BA127" s="18">
        <f>(AW127/((1.65*62.4)*XS_Analyzer!$Q$73))*12</f>
        <v>5.5967437260446777</v>
      </c>
      <c r="BB127" s="18">
        <f t="shared" si="26"/>
        <v>8.0694821814390956</v>
      </c>
      <c r="BC127" s="38">
        <f t="shared" si="27"/>
        <v>11.840400224681668</v>
      </c>
      <c r="BD127" s="18">
        <f>IF(ISNUMBER(LININTERP(AW127,Permissible_Shear!$T$178:$T$188,Permissible_Shear!$V$178:$V$188)),LININTERP(AW127,Permissible_Shear!$T$178:$T$188,Permissible_Shear!$V$178:$V$188),0)</f>
        <v>6.9996311658775818</v>
      </c>
      <c r="BE127" s="18">
        <f>LININTERP(AW127,Permissible_Shear!$S$205:$S$222,Permissible_Shear!$V$205:$V$222)</f>
        <v>7.0653211019557807</v>
      </c>
      <c r="BF127" s="18">
        <f>INDEX($AZ$3:$BE$204,ROW(BF127)-2,MATCH(XS_Analyzer!$S$5,XS_AnalyzerSummary!$AZ$2:$BE$2,0))</f>
        <v>8.0694821814390956</v>
      </c>
      <c r="BG127" s="26">
        <f t="shared" si="28"/>
        <v>0</v>
      </c>
      <c r="BH127" s="26">
        <f t="shared" si="29"/>
        <v>0</v>
      </c>
      <c r="BI127" s="26">
        <f t="shared" si="30"/>
        <v>3.4013597233661108</v>
      </c>
      <c r="BJ127" s="26">
        <f t="shared" si="31"/>
        <v>0</v>
      </c>
      <c r="BK127" s="26">
        <f t="shared" si="32"/>
        <v>0</v>
      </c>
      <c r="BL127" s="26">
        <f t="shared" si="33"/>
        <v>2.1609027526258497</v>
      </c>
      <c r="BM127" s="18">
        <f t="shared" si="34"/>
        <v>0</v>
      </c>
      <c r="BN127" s="18">
        <f t="shared" si="35"/>
        <v>0</v>
      </c>
      <c r="BO127" s="18">
        <f t="shared" si="36"/>
        <v>3.4629851804901439</v>
      </c>
    </row>
    <row r="128" spans="30:67">
      <c r="AD128" s="32">
        <v>124</v>
      </c>
      <c r="AE128" s="25" t="str">
        <f t="shared" si="13"/>
        <v>Right</v>
      </c>
      <c r="AF128" s="25" t="str">
        <f t="shared" si="14"/>
        <v>Channel</v>
      </c>
      <c r="AG128" s="32" t="str">
        <f>IF(XS_AnalyzerSummary!$AB$24&gt;=XS_AnalyzerSummary!AD128,"Y","N")</f>
        <v>Y</v>
      </c>
      <c r="AH128" s="38">
        <v>1</v>
      </c>
      <c r="AI128" s="38">
        <f>IF(AG128="Y",$O$19/XS_AnalyzerSummary!$AB$24,0)</f>
        <v>4.4999999999999998E-2</v>
      </c>
      <c r="AJ128" s="38">
        <f t="shared" si="15"/>
        <v>4.4999999999999998E-2</v>
      </c>
      <c r="AK128" s="93">
        <f t="shared" si="37"/>
        <v>6.6249999999999911</v>
      </c>
      <c r="AL128" s="93">
        <f>IF(AG128="Y",LININTERP(AK128,XS_Analyzer_Calculations!$AY$4:$AY$104,XS_Analyzer_Calculations!$AZ$4:$AZ$104),AL127)</f>
        <v>0.97499999999999465</v>
      </c>
      <c r="AM128" s="38">
        <f t="shared" si="16"/>
        <v>4.0250000000000057</v>
      </c>
      <c r="AN128" s="18">
        <f t="shared" si="17"/>
        <v>0.18051750000000022</v>
      </c>
      <c r="AO128" s="100">
        <f t="shared" si="18"/>
        <v>5.2478567053607719E-2</v>
      </c>
      <c r="AP128" s="100">
        <f t="shared" si="19"/>
        <v>3.4398328714958741</v>
      </c>
      <c r="AQ128" s="18">
        <f t="shared" si="20"/>
        <v>1.6595180023127203E-3</v>
      </c>
      <c r="AR128" s="32">
        <f>IFERROR(IF(AG128="Y",VLOOKUP(AK128,XS_Analyzer_Calculations!$R$5:$T$104,3,TRUE),0),0)</f>
        <v>0.1</v>
      </c>
      <c r="AS128" s="198">
        <f t="shared" si="21"/>
        <v>0.01</v>
      </c>
      <c r="AT128" s="18">
        <f t="shared" si="22"/>
        <v>6.1126521361916746</v>
      </c>
      <c r="AU128" s="38">
        <f>AT128*XS_Analyzer_Calculations!$I$7^0.5</f>
        <v>0.61126521361916752</v>
      </c>
      <c r="AV128" s="18">
        <f t="shared" si="57"/>
        <v>3.3861825785265518</v>
      </c>
      <c r="AW128" s="18">
        <f t="shared" si="23"/>
        <v>2.1464557118134255</v>
      </c>
      <c r="AX128" s="18">
        <f t="shared" si="24"/>
        <v>5</v>
      </c>
      <c r="AY128" s="32">
        <f t="shared" si="25"/>
        <v>4.0115000000000052</v>
      </c>
      <c r="AZ128" s="18">
        <f>((AS128*AP128)/(1.65*XS_Analyzer!$Q$72))*12</f>
        <v>9.8845714365338466</v>
      </c>
      <c r="BA128" s="18">
        <f>(AW128/((1.65*62.4)*XS_Analyzer!$Q$73))*12</f>
        <v>5.5593258529226262</v>
      </c>
      <c r="BB128" s="18">
        <f t="shared" si="26"/>
        <v>8.0134617036976756</v>
      </c>
      <c r="BC128" s="38">
        <f t="shared" si="27"/>
        <v>11.782320170814488</v>
      </c>
      <c r="BD128" s="18">
        <f>IF(ISNUMBER(LININTERP(AW128,Permissible_Shear!$T$178:$T$188,Permissible_Shear!$V$178:$V$188)),LININTERP(AW128,Permissible_Shear!$T$178:$T$188,Permissible_Shear!$V$178:$V$188),0)</f>
        <v>6.9545047287723332</v>
      </c>
      <c r="BE128" s="18">
        <f>LININTERP(AW128,Permissible_Shear!$S$205:$S$222,Permissible_Shear!$V$205:$V$222)</f>
        <v>7.0201740994169555</v>
      </c>
      <c r="BF128" s="18">
        <f>INDEX($AZ$3:$BE$204,ROW(BF128)-2,MATCH(XS_Analyzer!$S$5,XS_AnalyzerSummary!$AZ$2:$BE$2,0))</f>
        <v>8.0134617036976756</v>
      </c>
      <c r="BG128" s="26">
        <f t="shared" si="28"/>
        <v>0</v>
      </c>
      <c r="BH128" s="26">
        <f t="shared" si="29"/>
        <v>0</v>
      </c>
      <c r="BI128" s="26">
        <f t="shared" si="30"/>
        <v>3.3861825785265518</v>
      </c>
      <c r="BJ128" s="26">
        <f t="shared" si="31"/>
        <v>0</v>
      </c>
      <c r="BK128" s="26">
        <f t="shared" si="32"/>
        <v>0</v>
      </c>
      <c r="BL128" s="26">
        <f t="shared" si="33"/>
        <v>2.1464557118134255</v>
      </c>
      <c r="BM128" s="18">
        <f t="shared" si="34"/>
        <v>0</v>
      </c>
      <c r="BN128" s="18">
        <f t="shared" si="35"/>
        <v>0</v>
      </c>
      <c r="BO128" s="18">
        <f t="shared" si="36"/>
        <v>3.4398328714958741</v>
      </c>
    </row>
    <row r="129" spans="30:67">
      <c r="AD129" s="32">
        <v>125</v>
      </c>
      <c r="AE129" s="25" t="str">
        <f t="shared" si="13"/>
        <v>Right</v>
      </c>
      <c r="AF129" s="25" t="str">
        <f t="shared" si="14"/>
        <v>Channel</v>
      </c>
      <c r="AG129" s="32" t="str">
        <f>IF(XS_AnalyzerSummary!$AB$24&gt;=XS_AnalyzerSummary!AD129,"Y","N")</f>
        <v>Y</v>
      </c>
      <c r="AH129" s="38">
        <v>1</v>
      </c>
      <c r="AI129" s="38">
        <f>IF(AG129="Y",$O$19/XS_AnalyzerSummary!$AB$24,0)</f>
        <v>4.4999999999999998E-2</v>
      </c>
      <c r="AJ129" s="38">
        <f t="shared" si="15"/>
        <v>4.4999999999999998E-2</v>
      </c>
      <c r="AK129" s="93">
        <f t="shared" si="37"/>
        <v>6.669999999999991</v>
      </c>
      <c r="AL129" s="93">
        <f>IF(AG129="Y",LININTERP(AK129,XS_Analyzer_Calculations!$AY$4:$AY$104,XS_Analyzer_Calculations!$AZ$4:$AZ$104),AL128)</f>
        <v>1.0019999999999947</v>
      </c>
      <c r="AM129" s="38">
        <f t="shared" si="16"/>
        <v>3.9980000000000055</v>
      </c>
      <c r="AN129" s="18">
        <f t="shared" si="17"/>
        <v>0.17930250000000025</v>
      </c>
      <c r="AO129" s="100">
        <f t="shared" si="18"/>
        <v>5.2478567053607719E-2</v>
      </c>
      <c r="AP129" s="100">
        <f t="shared" si="19"/>
        <v>3.4166805625016363</v>
      </c>
      <c r="AQ129" s="18">
        <f t="shared" si="20"/>
        <v>1.6595180023127203E-3</v>
      </c>
      <c r="AR129" s="32">
        <f>IFERROR(IF(AG129="Y",VLOOKUP(AK129,XS_Analyzer_Calculations!$R$5:$T$104,3,TRUE),0),0)</f>
        <v>0.1</v>
      </c>
      <c r="AS129" s="198">
        <f t="shared" si="21"/>
        <v>0.01</v>
      </c>
      <c r="AT129" s="18">
        <f t="shared" si="22"/>
        <v>6.044235894937029</v>
      </c>
      <c r="AU129" s="38">
        <f>AT129*XS_Analyzer_Calculations!$I$7^0.5</f>
        <v>0.6044235894937029</v>
      </c>
      <c r="AV129" s="18">
        <f t="shared" si="57"/>
        <v>3.3709713444804286</v>
      </c>
      <c r="AW129" s="18">
        <f t="shared" si="23"/>
        <v>2.1320086710010209</v>
      </c>
      <c r="AX129" s="18">
        <f t="shared" si="24"/>
        <v>5</v>
      </c>
      <c r="AY129" s="32">
        <f t="shared" si="25"/>
        <v>3.9845000000000059</v>
      </c>
      <c r="AZ129" s="18">
        <f>((AS129*AP129)/(1.65*XS_Analyzer!$Q$72))*12</f>
        <v>9.8180418518930885</v>
      </c>
      <c r="BA129" s="18">
        <f>(AW129/((1.65*62.4)*XS_Analyzer!$Q$73))*12</f>
        <v>5.5219079798006243</v>
      </c>
      <c r="BB129" s="18">
        <f t="shared" si="26"/>
        <v>7.9574570070096318</v>
      </c>
      <c r="BC129" s="38">
        <f t="shared" si="27"/>
        <v>11.724136973986111</v>
      </c>
      <c r="BD129" s="18">
        <f>IF(ISNUMBER(LININTERP(AW129,Permissible_Shear!$T$178:$T$188,Permissible_Shear!$V$178:$V$188)),LININTERP(AW129,Permissible_Shear!$T$178:$T$188,Permissible_Shear!$V$178:$V$188),0)</f>
        <v>6.9093782916671458</v>
      </c>
      <c r="BE129" s="18">
        <f>LININTERP(AW129,Permissible_Shear!$S$205:$S$222,Permissible_Shear!$V$205:$V$222)</f>
        <v>6.9750270968781907</v>
      </c>
      <c r="BF129" s="18">
        <f>INDEX($AZ$3:$BE$204,ROW(BF129)-2,MATCH(XS_Analyzer!$S$5,XS_AnalyzerSummary!$AZ$2:$BE$2,0))</f>
        <v>7.9574570070096318</v>
      </c>
      <c r="BG129" s="26">
        <f t="shared" si="28"/>
        <v>0</v>
      </c>
      <c r="BH129" s="26">
        <f t="shared" si="29"/>
        <v>0</v>
      </c>
      <c r="BI129" s="26">
        <f t="shared" si="30"/>
        <v>3.3709713444804286</v>
      </c>
      <c r="BJ129" s="26">
        <f t="shared" si="31"/>
        <v>0</v>
      </c>
      <c r="BK129" s="26">
        <f t="shared" si="32"/>
        <v>0</v>
      </c>
      <c r="BL129" s="26">
        <f t="shared" si="33"/>
        <v>2.1320086710010209</v>
      </c>
      <c r="BM129" s="18">
        <f t="shared" si="34"/>
        <v>0</v>
      </c>
      <c r="BN129" s="18">
        <f t="shared" si="35"/>
        <v>0</v>
      </c>
      <c r="BO129" s="18">
        <f t="shared" si="36"/>
        <v>3.4166805625016363</v>
      </c>
    </row>
    <row r="130" spans="30:67">
      <c r="AD130" s="32">
        <v>126</v>
      </c>
      <c r="AE130" s="25" t="str">
        <f t="shared" si="13"/>
        <v>Right</v>
      </c>
      <c r="AF130" s="25" t="str">
        <f t="shared" si="14"/>
        <v>Channel</v>
      </c>
      <c r="AG130" s="32" t="str">
        <f>IF(XS_AnalyzerSummary!$AB$24&gt;=XS_AnalyzerSummary!AD130,"Y","N")</f>
        <v>Y</v>
      </c>
      <c r="AH130" s="38">
        <v>1</v>
      </c>
      <c r="AI130" s="38">
        <f>IF(AG130="Y",$O$19/XS_AnalyzerSummary!$AB$24,0)</f>
        <v>4.4999999999999998E-2</v>
      </c>
      <c r="AJ130" s="38">
        <f t="shared" si="15"/>
        <v>4.4999999999999998E-2</v>
      </c>
      <c r="AK130" s="93">
        <f t="shared" si="37"/>
        <v>6.714999999999991</v>
      </c>
      <c r="AL130" s="93">
        <f>IF(AG130="Y",LININTERP(AK130,XS_Analyzer_Calculations!$AY$4:$AY$104,XS_Analyzer_Calculations!$AZ$4:$AZ$104),AL129)</f>
        <v>1.0289999999999946</v>
      </c>
      <c r="AM130" s="38">
        <f t="shared" si="16"/>
        <v>3.9710000000000054</v>
      </c>
      <c r="AN130" s="18">
        <f t="shared" si="17"/>
        <v>0.17808750000000023</v>
      </c>
      <c r="AO130" s="100">
        <f t="shared" si="18"/>
        <v>5.2478567053607719E-2</v>
      </c>
      <c r="AP130" s="100">
        <f t="shared" si="19"/>
        <v>3.3935282535073972</v>
      </c>
      <c r="AQ130" s="18">
        <f t="shared" si="20"/>
        <v>1.6595180023127203E-3</v>
      </c>
      <c r="AR130" s="32">
        <f>IFERROR(IF(AG130="Y",VLOOKUP(AK130,XS_Analyzer_Calculations!$R$5:$T$104,3,TRUE),0),0)</f>
        <v>0.1</v>
      </c>
      <c r="AS130" s="198">
        <f t="shared" si="21"/>
        <v>0.01</v>
      </c>
      <c r="AT130" s="18">
        <f t="shared" si="22"/>
        <v>5.9761280289226146</v>
      </c>
      <c r="AU130" s="38">
        <f>AT130*XS_Analyzer_Calculations!$I$7^0.5</f>
        <v>0.59761280289226149</v>
      </c>
      <c r="AV130" s="18">
        <f t="shared" si="57"/>
        <v>3.3557257128785607</v>
      </c>
      <c r="AW130" s="18">
        <f t="shared" si="23"/>
        <v>2.1175616301886158</v>
      </c>
      <c r="AX130" s="18">
        <f t="shared" si="24"/>
        <v>5</v>
      </c>
      <c r="AY130" s="32">
        <f t="shared" si="25"/>
        <v>3.9575000000000053</v>
      </c>
      <c r="AZ130" s="18">
        <f>((AS130*AP130)/(1.65*XS_Analyzer!$Q$72))*12</f>
        <v>9.7515122672523269</v>
      </c>
      <c r="BA130" s="18">
        <f>(AW130/((1.65*62.4)*XS_Analyzer!$Q$73))*12</f>
        <v>5.4844901066786225</v>
      </c>
      <c r="BB130" s="18">
        <f t="shared" si="26"/>
        <v>7.9014681934612669</v>
      </c>
      <c r="BC130" s="38">
        <f t="shared" si="27"/>
        <v>11.665849752591763</v>
      </c>
      <c r="BD130" s="18">
        <f>IF(ISNUMBER(LININTERP(AW130,Permissible_Shear!$T$178:$T$188,Permissible_Shear!$V$178:$V$188)),LININTERP(AW130,Permissible_Shear!$T$178:$T$188,Permissible_Shear!$V$178:$V$188),0)</f>
        <v>6.8642518545619557</v>
      </c>
      <c r="BE130" s="18">
        <f>LININTERP(AW130,Permissible_Shear!$S$205:$S$222,Permissible_Shear!$V$205:$V$222)</f>
        <v>6.9298800943394241</v>
      </c>
      <c r="BF130" s="18">
        <f>INDEX($AZ$3:$BE$204,ROW(BF130)-2,MATCH(XS_Analyzer!$S$5,XS_AnalyzerSummary!$AZ$2:$BE$2,0))</f>
        <v>7.9014681934612669</v>
      </c>
      <c r="BG130" s="26">
        <f t="shared" si="28"/>
        <v>0</v>
      </c>
      <c r="BH130" s="26">
        <f t="shared" si="29"/>
        <v>0</v>
      </c>
      <c r="BI130" s="26">
        <f t="shared" si="30"/>
        <v>3.3557257128785607</v>
      </c>
      <c r="BJ130" s="26">
        <f t="shared" si="31"/>
        <v>0</v>
      </c>
      <c r="BK130" s="26">
        <f t="shared" si="32"/>
        <v>0</v>
      </c>
      <c r="BL130" s="26">
        <f t="shared" si="33"/>
        <v>2.1175616301886158</v>
      </c>
      <c r="BM130" s="18">
        <f t="shared" si="34"/>
        <v>0</v>
      </c>
      <c r="BN130" s="18">
        <f t="shared" si="35"/>
        <v>0</v>
      </c>
      <c r="BO130" s="18">
        <f t="shared" si="36"/>
        <v>3.3935282535073972</v>
      </c>
    </row>
    <row r="131" spans="30:67">
      <c r="AD131" s="32">
        <v>127</v>
      </c>
      <c r="AE131" s="25" t="str">
        <f t="shared" si="13"/>
        <v>Right</v>
      </c>
      <c r="AF131" s="25" t="str">
        <f t="shared" si="14"/>
        <v>Channel</v>
      </c>
      <c r="AG131" s="32" t="str">
        <f>IF(XS_AnalyzerSummary!$AB$24&gt;=XS_AnalyzerSummary!AD131,"Y","N")</f>
        <v>Y</v>
      </c>
      <c r="AH131" s="38">
        <v>1</v>
      </c>
      <c r="AI131" s="38">
        <f>IF(AG131="Y",$O$19/XS_AnalyzerSummary!$AB$24,0)</f>
        <v>4.4999999999999998E-2</v>
      </c>
      <c r="AJ131" s="38">
        <f t="shared" si="15"/>
        <v>4.4999999999999998E-2</v>
      </c>
      <c r="AK131" s="93">
        <f t="shared" si="37"/>
        <v>6.7599999999999909</v>
      </c>
      <c r="AL131" s="93">
        <f>IF(AG131="Y",LININTERP(AK131,XS_Analyzer_Calculations!$AY$4:$AY$104,XS_Analyzer_Calculations!$AZ$4:$AZ$104),AL130)</f>
        <v>1.0559999999999945</v>
      </c>
      <c r="AM131" s="38">
        <f t="shared" si="16"/>
        <v>3.9440000000000053</v>
      </c>
      <c r="AN131" s="18">
        <f t="shared" si="17"/>
        <v>0.17687250000000024</v>
      </c>
      <c r="AO131" s="100">
        <f t="shared" si="18"/>
        <v>5.2478567053607483E-2</v>
      </c>
      <c r="AP131" s="100">
        <f t="shared" si="19"/>
        <v>3.3703759445131736</v>
      </c>
      <c r="AQ131" s="18">
        <f t="shared" si="20"/>
        <v>1.659518002312713E-3</v>
      </c>
      <c r="AR131" s="32">
        <f>IFERROR(IF(AG131="Y",VLOOKUP(AK131,XS_Analyzer_Calculations!$R$5:$T$104,3,TRUE),0),0)</f>
        <v>0.1</v>
      </c>
      <c r="AS131" s="198">
        <f t="shared" si="21"/>
        <v>0.01</v>
      </c>
      <c r="AT131" s="18">
        <f t="shared" si="22"/>
        <v>5.9083292378623629</v>
      </c>
      <c r="AU131" s="38">
        <f>AT131*XS_Analyzer_Calculations!$I$7^0.5</f>
        <v>0.59083292378623631</v>
      </c>
      <c r="AV131" s="18">
        <f t="shared" si="57"/>
        <v>3.3404453704574513</v>
      </c>
      <c r="AW131" s="18">
        <f t="shared" si="23"/>
        <v>2.1031145893762204</v>
      </c>
      <c r="AX131" s="18">
        <f t="shared" si="24"/>
        <v>5</v>
      </c>
      <c r="AY131" s="32">
        <f t="shared" si="25"/>
        <v>3.9305000000000052</v>
      </c>
      <c r="AZ131" s="18">
        <f>((AS131*AP131)/(1.65*XS_Analyzer!$Q$72))*12</f>
        <v>9.6849826826116079</v>
      </c>
      <c r="BA131" s="18">
        <f>(AW131/((1.65*62.4)*XS_Analyzer!$Q$73))*12</f>
        <v>5.4470722335566446</v>
      </c>
      <c r="BB131" s="18">
        <f t="shared" si="26"/>
        <v>7.8454953664977962</v>
      </c>
      <c r="BC131" s="38">
        <f t="shared" si="27"/>
        <v>11.607457611440097</v>
      </c>
      <c r="BD131" s="18">
        <f>IF(ISNUMBER(LININTERP(AW131,Permissible_Shear!$T$178:$T$188,Permissible_Shear!$V$178:$V$188)),LININTERP(AW131,Permissible_Shear!$T$178:$T$188,Permissible_Shear!$V$178:$V$188),0)</f>
        <v>6.8191254174567968</v>
      </c>
      <c r="BE131" s="18">
        <f>LININTERP(AW131,Permissible_Shear!$S$205:$S$222,Permissible_Shear!$V$205:$V$222)</f>
        <v>6.8847330918006886</v>
      </c>
      <c r="BF131" s="18">
        <f>INDEX($AZ$3:$BE$204,ROW(BF131)-2,MATCH(XS_Analyzer!$S$5,XS_AnalyzerSummary!$AZ$2:$BE$2,0))</f>
        <v>7.8454953664977962</v>
      </c>
      <c r="BG131" s="26">
        <f t="shared" si="28"/>
        <v>0</v>
      </c>
      <c r="BH131" s="26">
        <f t="shared" si="29"/>
        <v>0</v>
      </c>
      <c r="BI131" s="26">
        <f t="shared" si="30"/>
        <v>3.3404453704574513</v>
      </c>
      <c r="BJ131" s="26">
        <f t="shared" si="31"/>
        <v>0</v>
      </c>
      <c r="BK131" s="26">
        <f t="shared" si="32"/>
        <v>0</v>
      </c>
      <c r="BL131" s="26">
        <f t="shared" si="33"/>
        <v>2.1031145893762204</v>
      </c>
      <c r="BM131" s="18">
        <f t="shared" si="34"/>
        <v>0</v>
      </c>
      <c r="BN131" s="18">
        <f t="shared" si="35"/>
        <v>0</v>
      </c>
      <c r="BO131" s="18">
        <f t="shared" si="36"/>
        <v>3.3703759445131736</v>
      </c>
    </row>
    <row r="132" spans="30:67">
      <c r="AD132" s="32">
        <v>128</v>
      </c>
      <c r="AE132" s="25" t="str">
        <f t="shared" si="13"/>
        <v>Right</v>
      </c>
      <c r="AF132" s="25" t="str">
        <f t="shared" si="14"/>
        <v>Channel</v>
      </c>
      <c r="AG132" s="32" t="str">
        <f>IF(XS_AnalyzerSummary!$AB$24&gt;=XS_AnalyzerSummary!AD132,"Y","N")</f>
        <v>Y</v>
      </c>
      <c r="AH132" s="38">
        <v>1</v>
      </c>
      <c r="AI132" s="38">
        <f>IF(AG132="Y",$O$19/XS_AnalyzerSummary!$AB$24,0)</f>
        <v>4.4999999999999998E-2</v>
      </c>
      <c r="AJ132" s="38">
        <f t="shared" si="15"/>
        <v>4.4999999999999998E-2</v>
      </c>
      <c r="AK132" s="93">
        <f t="shared" si="37"/>
        <v>6.8049999999999908</v>
      </c>
      <c r="AL132" s="93">
        <f>IF(AG132="Y",LININTERP(AK132,XS_Analyzer_Calculations!$AY$4:$AY$104,XS_Analyzer_Calculations!$AZ$4:$AZ$104),AL131)</f>
        <v>1.0829999999999944</v>
      </c>
      <c r="AM132" s="38">
        <f t="shared" si="16"/>
        <v>3.9170000000000056</v>
      </c>
      <c r="AN132" s="18">
        <f t="shared" si="17"/>
        <v>0.17565750000000024</v>
      </c>
      <c r="AO132" s="100">
        <f t="shared" si="18"/>
        <v>5.2478567053607719E-2</v>
      </c>
      <c r="AP132" s="100">
        <f t="shared" si="19"/>
        <v>3.3472236355189198</v>
      </c>
      <c r="AQ132" s="18">
        <f t="shared" si="20"/>
        <v>1.6595180023127203E-3</v>
      </c>
      <c r="AR132" s="32">
        <f>IFERROR(IF(AG132="Y",VLOOKUP(AK132,XS_Analyzer_Calculations!$R$5:$T$104,3,TRUE),0),0)</f>
        <v>0.1</v>
      </c>
      <c r="AS132" s="198">
        <f t="shared" si="21"/>
        <v>0.01</v>
      </c>
      <c r="AT132" s="18">
        <f t="shared" si="22"/>
        <v>5.8408402278644216</v>
      </c>
      <c r="AU132" s="38">
        <f>AT132*XS_Analyzer_Calculations!$I$7^0.5</f>
        <v>0.58408402278644223</v>
      </c>
      <c r="AV132" s="18">
        <f t="shared" ref="AV132:AV195" si="58">IF(ROUND(AN132,5)=0,0,IF(ISNUMBER(AU132/AN132),AU132/AN132,0))</f>
        <v>3.3251299989265553</v>
      </c>
      <c r="AW132" s="18">
        <f t="shared" si="23"/>
        <v>2.088667548563806</v>
      </c>
      <c r="AX132" s="18">
        <f t="shared" si="24"/>
        <v>5</v>
      </c>
      <c r="AY132" s="32">
        <f t="shared" si="25"/>
        <v>3.9035000000000055</v>
      </c>
      <c r="AZ132" s="18">
        <f>((AS132*AP132)/(1.65*XS_Analyzer!$Q$72))*12</f>
        <v>9.6184530979708036</v>
      </c>
      <c r="BA132" s="18">
        <f>(AW132/((1.65*62.4)*XS_Analyzer!$Q$73))*12</f>
        <v>5.4096543604346188</v>
      </c>
      <c r="BB132" s="18">
        <f t="shared" si="26"/>
        <v>7.7895386309508616</v>
      </c>
      <c r="BC132" s="38">
        <f t="shared" si="27"/>
        <v>11.548959641449253</v>
      </c>
      <c r="BD132" s="18">
        <f>IF(ISNUMBER(LININTERP(AW132,Permissible_Shear!$T$178:$T$188,Permissible_Shear!$V$178:$V$188)),LININTERP(AW132,Permissible_Shear!$T$178:$T$188,Permissible_Shear!$V$178:$V$188),0)</f>
        <v>6.7739989803515783</v>
      </c>
      <c r="BE132" s="18">
        <f>LININTERP(AW132,Permissible_Shear!$S$205:$S$222,Permissible_Shear!$V$205:$V$222)</f>
        <v>6.8395860892618945</v>
      </c>
      <c r="BF132" s="18">
        <f>INDEX($AZ$3:$BE$204,ROW(BF132)-2,MATCH(XS_Analyzer!$S$5,XS_AnalyzerSummary!$AZ$2:$BE$2,0))</f>
        <v>7.7895386309508616</v>
      </c>
      <c r="BG132" s="26">
        <f t="shared" si="28"/>
        <v>0</v>
      </c>
      <c r="BH132" s="26">
        <f t="shared" si="29"/>
        <v>0</v>
      </c>
      <c r="BI132" s="26">
        <f t="shared" si="30"/>
        <v>3.3251299989265553</v>
      </c>
      <c r="BJ132" s="26">
        <f t="shared" si="31"/>
        <v>0</v>
      </c>
      <c r="BK132" s="26">
        <f t="shared" si="32"/>
        <v>0</v>
      </c>
      <c r="BL132" s="26">
        <f t="shared" si="33"/>
        <v>2.088667548563806</v>
      </c>
      <c r="BM132" s="18">
        <f t="shared" si="34"/>
        <v>0</v>
      </c>
      <c r="BN132" s="18">
        <f t="shared" si="35"/>
        <v>0</v>
      </c>
      <c r="BO132" s="18">
        <f t="shared" si="36"/>
        <v>3.3472236355189198</v>
      </c>
    </row>
    <row r="133" spans="30:67">
      <c r="AD133" s="32">
        <v>129</v>
      </c>
      <c r="AE133" s="25" t="str">
        <f t="shared" si="13"/>
        <v>Right</v>
      </c>
      <c r="AF133" s="25" t="str">
        <f t="shared" si="14"/>
        <v>Channel</v>
      </c>
      <c r="AG133" s="32" t="str">
        <f>IF(XS_AnalyzerSummary!$AB$24&gt;=XS_AnalyzerSummary!AD133,"Y","N")</f>
        <v>Y</v>
      </c>
      <c r="AH133" s="38">
        <v>1</v>
      </c>
      <c r="AI133" s="38">
        <f>IF(AG133="Y",$O$19/XS_AnalyzerSummary!$AB$24,0)</f>
        <v>4.4999999999999998E-2</v>
      </c>
      <c r="AJ133" s="38">
        <f t="shared" si="15"/>
        <v>4.4999999999999998E-2</v>
      </c>
      <c r="AK133" s="93">
        <f t="shared" si="37"/>
        <v>6.8499999999999908</v>
      </c>
      <c r="AL133" s="93">
        <f>IF(AG133="Y",LININTERP(AK133,XS_Analyzer_Calculations!$AY$4:$AY$104,XS_Analyzer_Calculations!$AZ$4:$AZ$104),AL132)</f>
        <v>1.1099999999999945</v>
      </c>
      <c r="AM133" s="38">
        <f t="shared" si="16"/>
        <v>3.8900000000000055</v>
      </c>
      <c r="AN133" s="18">
        <f t="shared" si="17"/>
        <v>0.17444250000000022</v>
      </c>
      <c r="AO133" s="100">
        <f t="shared" si="18"/>
        <v>5.2478567053607483E-2</v>
      </c>
      <c r="AP133" s="100">
        <f t="shared" si="19"/>
        <v>3.3240713265246957</v>
      </c>
      <c r="AQ133" s="18">
        <f t="shared" si="20"/>
        <v>1.659518002312713E-3</v>
      </c>
      <c r="AR133" s="32">
        <f>IFERROR(IF(AG133="Y",VLOOKUP(AK133,XS_Analyzer_Calculations!$R$5:$T$104,3,TRUE),0),0)</f>
        <v>0.1</v>
      </c>
      <c r="AS133" s="198">
        <f t="shared" si="21"/>
        <v>0.01</v>
      </c>
      <c r="AT133" s="18">
        <f t="shared" si="22"/>
        <v>5.7736617115343192</v>
      </c>
      <c r="AU133" s="38">
        <f>AT133*XS_Analyzer_Calculations!$I$7^0.5</f>
        <v>0.57736617115343192</v>
      </c>
      <c r="AV133" s="18">
        <f t="shared" si="58"/>
        <v>3.3097792748523505</v>
      </c>
      <c r="AW133" s="18">
        <f t="shared" si="23"/>
        <v>2.0742205077514102</v>
      </c>
      <c r="AX133" s="18">
        <f t="shared" si="24"/>
        <v>5</v>
      </c>
      <c r="AY133" s="32">
        <f t="shared" si="25"/>
        <v>3.8765000000000049</v>
      </c>
      <c r="AZ133" s="18">
        <f>((AS133*AP133)/(1.65*XS_Analyzer!$Q$72))*12</f>
        <v>9.5519235133300828</v>
      </c>
      <c r="BA133" s="18">
        <f>(AW133/((1.65*62.4)*XS_Analyzer!$Q$73))*12</f>
        <v>5.3722364873126409</v>
      </c>
      <c r="BB133" s="18">
        <f t="shared" si="26"/>
        <v>7.733598093066802</v>
      </c>
      <c r="BC133" s="38">
        <f t="shared" si="27"/>
        <v>11.490354919334006</v>
      </c>
      <c r="BD133" s="18">
        <f>IF(ISNUMBER(LININTERP(AW133,Permissible_Shear!$T$178:$T$188,Permissible_Shear!$V$178:$V$188)),LININTERP(AW133,Permissible_Shear!$T$178:$T$188,Permissible_Shear!$V$178:$V$188),0)</f>
        <v>6.7288725432464176</v>
      </c>
      <c r="BE133" s="18">
        <f>LININTERP(AW133,Permissible_Shear!$S$205:$S$222,Permissible_Shear!$V$205:$V$222)</f>
        <v>6.7944390867231572</v>
      </c>
      <c r="BF133" s="18">
        <f>INDEX($AZ$3:$BE$204,ROW(BF133)-2,MATCH(XS_Analyzer!$S$5,XS_AnalyzerSummary!$AZ$2:$BE$2,0))</f>
        <v>7.733598093066802</v>
      </c>
      <c r="BG133" s="26">
        <f t="shared" si="28"/>
        <v>0</v>
      </c>
      <c r="BH133" s="26">
        <f t="shared" si="29"/>
        <v>0</v>
      </c>
      <c r="BI133" s="26">
        <f t="shared" si="30"/>
        <v>3.3097792748523505</v>
      </c>
      <c r="BJ133" s="26">
        <f t="shared" si="31"/>
        <v>0</v>
      </c>
      <c r="BK133" s="26">
        <f t="shared" si="32"/>
        <v>0</v>
      </c>
      <c r="BL133" s="26">
        <f t="shared" si="33"/>
        <v>2.0742205077514102</v>
      </c>
      <c r="BM133" s="18">
        <f t="shared" si="34"/>
        <v>0</v>
      </c>
      <c r="BN133" s="18">
        <f t="shared" si="35"/>
        <v>0</v>
      </c>
      <c r="BO133" s="18">
        <f t="shared" si="36"/>
        <v>3.3240713265246957</v>
      </c>
    </row>
    <row r="134" spans="30:67">
      <c r="AD134" s="32">
        <v>130</v>
      </c>
      <c r="AE134" s="25" t="str">
        <f t="shared" si="13"/>
        <v>Right</v>
      </c>
      <c r="AF134" s="25" t="str">
        <f t="shared" si="14"/>
        <v>Channel</v>
      </c>
      <c r="AG134" s="32" t="str">
        <f>IF(XS_AnalyzerSummary!$AB$24&gt;=XS_AnalyzerSummary!AD134,"Y","N")</f>
        <v>Y</v>
      </c>
      <c r="AH134" s="38">
        <v>1</v>
      </c>
      <c r="AI134" s="38">
        <f>IF(AG134="Y",$O$19/XS_AnalyzerSummary!$AB$24,0)</f>
        <v>4.4999999999999998E-2</v>
      </c>
      <c r="AJ134" s="38">
        <f t="shared" si="15"/>
        <v>4.4999999999999998E-2</v>
      </c>
      <c r="AK134" s="93">
        <f t="shared" si="37"/>
        <v>6.8949999999999907</v>
      </c>
      <c r="AL134" s="93">
        <f>IF(AG134="Y",LININTERP(AK134,XS_Analyzer_Calculations!$AY$4:$AY$104,XS_Analyzer_Calculations!$AZ$4:$AZ$104),AL133)</f>
        <v>1.1369999999999945</v>
      </c>
      <c r="AM134" s="38">
        <f t="shared" si="16"/>
        <v>3.8630000000000058</v>
      </c>
      <c r="AN134" s="18">
        <f t="shared" si="17"/>
        <v>0.17322750000000026</v>
      </c>
      <c r="AO134" s="100">
        <f t="shared" si="18"/>
        <v>5.2478567053607719E-2</v>
      </c>
      <c r="AP134" s="100">
        <f t="shared" si="19"/>
        <v>3.3009190175304428</v>
      </c>
      <c r="AQ134" s="18">
        <f t="shared" si="20"/>
        <v>1.6595180023127203E-3</v>
      </c>
      <c r="AR134" s="32">
        <f>IFERROR(IF(AG134="Y",VLOOKUP(AK134,XS_Analyzer_Calculations!$R$5:$T$104,3,TRUE),0),0)</f>
        <v>0.1</v>
      </c>
      <c r="AS134" s="198">
        <f t="shared" si="21"/>
        <v>0.01</v>
      </c>
      <c r="AT134" s="18">
        <f t="shared" si="22"/>
        <v>5.7067944080800572</v>
      </c>
      <c r="AU134" s="38">
        <f>AT134*XS_Analyzer_Calculations!$I$7^0.5</f>
        <v>0.5706794408080057</v>
      </c>
      <c r="AV134" s="18">
        <f t="shared" si="58"/>
        <v>3.2943928695386404</v>
      </c>
      <c r="AW134" s="18">
        <f t="shared" si="23"/>
        <v>2.0597734669389962</v>
      </c>
      <c r="AX134" s="18">
        <f t="shared" si="24"/>
        <v>5</v>
      </c>
      <c r="AY134" s="32">
        <f t="shared" si="25"/>
        <v>3.8495000000000057</v>
      </c>
      <c r="AZ134" s="18">
        <f>((AS134*AP134)/(1.65*XS_Analyzer!$Q$72))*12</f>
        <v>9.4853939286892839</v>
      </c>
      <c r="BA134" s="18">
        <f>(AW134/((1.65*62.4)*XS_Analyzer!$Q$73))*12</f>
        <v>5.3348186141906151</v>
      </c>
      <c r="BB134" s="18">
        <f t="shared" si="26"/>
        <v>7.6776738605356902</v>
      </c>
      <c r="BC134" s="38">
        <f t="shared" si="27"/>
        <v>11.431642507283643</v>
      </c>
      <c r="BD134" s="18">
        <f>IF(ISNUMBER(LININTERP(AW134,Permissible_Shear!$T$178:$T$188,Permissible_Shear!$V$178:$V$188)),LININTERP(AW134,Permissible_Shear!$T$178:$T$188,Permissible_Shear!$V$178:$V$188),0)</f>
        <v>6.6837461061412009</v>
      </c>
      <c r="BE134" s="18">
        <f>LININTERP(AW134,Permissible_Shear!$S$205:$S$222,Permissible_Shear!$V$205:$V$222)</f>
        <v>6.7492920841843631</v>
      </c>
      <c r="BF134" s="18">
        <f>INDEX($AZ$3:$BE$204,ROW(BF134)-2,MATCH(XS_Analyzer!$S$5,XS_AnalyzerSummary!$AZ$2:$BE$2,0))</f>
        <v>7.6776738605356902</v>
      </c>
      <c r="BG134" s="26">
        <f t="shared" si="28"/>
        <v>0</v>
      </c>
      <c r="BH134" s="26">
        <f t="shared" si="29"/>
        <v>0</v>
      </c>
      <c r="BI134" s="26">
        <f t="shared" si="30"/>
        <v>3.2943928695386404</v>
      </c>
      <c r="BJ134" s="26">
        <f t="shared" si="31"/>
        <v>0</v>
      </c>
      <c r="BK134" s="26">
        <f t="shared" si="32"/>
        <v>0</v>
      </c>
      <c r="BL134" s="26">
        <f t="shared" si="33"/>
        <v>2.0597734669389962</v>
      </c>
      <c r="BM134" s="18">
        <f t="shared" si="34"/>
        <v>0</v>
      </c>
      <c r="BN134" s="18">
        <f t="shared" si="35"/>
        <v>0</v>
      </c>
      <c r="BO134" s="18">
        <f t="shared" si="36"/>
        <v>3.3009190175304428</v>
      </c>
    </row>
    <row r="135" spans="30:67">
      <c r="AD135" s="32">
        <v>131</v>
      </c>
      <c r="AE135" s="25" t="str">
        <f t="shared" si="13"/>
        <v>Right</v>
      </c>
      <c r="AF135" s="25" t="str">
        <f t="shared" si="14"/>
        <v>Channel</v>
      </c>
      <c r="AG135" s="32" t="str">
        <f>IF(XS_AnalyzerSummary!$AB$24&gt;=XS_AnalyzerSummary!AD135,"Y","N")</f>
        <v>Y</v>
      </c>
      <c r="AH135" s="38">
        <v>1</v>
      </c>
      <c r="AI135" s="38">
        <f>IF(AG135="Y",$O$19/XS_AnalyzerSummary!$AB$24,0)</f>
        <v>4.4999999999999998E-2</v>
      </c>
      <c r="AJ135" s="38">
        <f t="shared" si="15"/>
        <v>4.4999999999999998E-2</v>
      </c>
      <c r="AK135" s="93">
        <f t="shared" si="37"/>
        <v>6.9399999999999906</v>
      </c>
      <c r="AL135" s="93">
        <f>IF(AG135="Y",LININTERP(AK135,XS_Analyzer_Calculations!$AY$4:$AY$104,XS_Analyzer_Calculations!$AZ$4:$AZ$104),AL134)</f>
        <v>1.1639999999999944</v>
      </c>
      <c r="AM135" s="38">
        <f t="shared" si="16"/>
        <v>3.8360000000000056</v>
      </c>
      <c r="AN135" s="18">
        <f t="shared" si="17"/>
        <v>0.17201250000000023</v>
      </c>
      <c r="AO135" s="100">
        <f t="shared" si="18"/>
        <v>5.2478567053607719E-2</v>
      </c>
      <c r="AP135" s="100">
        <f t="shared" si="19"/>
        <v>3.2777667085362037</v>
      </c>
      <c r="AQ135" s="18">
        <f t="shared" si="20"/>
        <v>1.6595180023127203E-3</v>
      </c>
      <c r="AR135" s="32">
        <f>IFERROR(IF(AG135="Y",VLOOKUP(AK135,XS_Analyzer_Calculations!$R$5:$T$104,3,TRUE),0),0)</f>
        <v>0.1</v>
      </c>
      <c r="AS135" s="198">
        <f t="shared" si="21"/>
        <v>0.01</v>
      </c>
      <c r="AT135" s="18">
        <f t="shared" si="22"/>
        <v>5.6402390434201672</v>
      </c>
      <c r="AU135" s="38">
        <f>AT135*XS_Analyzer_Calculations!$I$7^0.5</f>
        <v>0.56402390434201677</v>
      </c>
      <c r="AV135" s="18">
        <f t="shared" si="58"/>
        <v>3.2789704489035159</v>
      </c>
      <c r="AW135" s="18">
        <f t="shared" si="23"/>
        <v>2.0453264261265911</v>
      </c>
      <c r="AX135" s="18">
        <f t="shared" si="24"/>
        <v>5</v>
      </c>
      <c r="AY135" s="32">
        <f t="shared" si="25"/>
        <v>3.8225000000000056</v>
      </c>
      <c r="AZ135" s="18">
        <f>((AS135*AP135)/(1.65*XS_Analyzer!$Q$72))*12</f>
        <v>9.4188643440485205</v>
      </c>
      <c r="BA135" s="18">
        <f>(AW135/((1.65*62.4)*XS_Analyzer!$Q$73))*12</f>
        <v>5.2974007410686124</v>
      </c>
      <c r="BB135" s="18">
        <f t="shared" si="26"/>
        <v>7.6217660425211804</v>
      </c>
      <c r="BC135" s="38">
        <f t="shared" si="27"/>
        <v>11.372821452630191</v>
      </c>
      <c r="BD135" s="18">
        <f>IF(ISNUMBER(LININTERP(AW135,Permissible_Shear!$T$178:$T$188,Permissible_Shear!$V$178:$V$188)),LININTERP(AW135,Permissible_Shear!$T$178:$T$188,Permissible_Shear!$V$178:$V$188),0)</f>
        <v>6.6386196690360109</v>
      </c>
      <c r="BE135" s="18">
        <f>LININTERP(AW135,Permissible_Shear!$S$205:$S$222,Permissible_Shear!$V$205:$V$222)</f>
        <v>6.7041450816455974</v>
      </c>
      <c r="BF135" s="18">
        <f>INDEX($AZ$3:$BE$204,ROW(BF135)-2,MATCH(XS_Analyzer!$S$5,XS_AnalyzerSummary!$AZ$2:$BE$2,0))</f>
        <v>7.6217660425211804</v>
      </c>
      <c r="BG135" s="26">
        <f t="shared" si="28"/>
        <v>0</v>
      </c>
      <c r="BH135" s="26">
        <f t="shared" si="29"/>
        <v>0</v>
      </c>
      <c r="BI135" s="26">
        <f t="shared" si="30"/>
        <v>3.2789704489035159</v>
      </c>
      <c r="BJ135" s="26">
        <f t="shared" si="31"/>
        <v>0</v>
      </c>
      <c r="BK135" s="26">
        <f t="shared" si="32"/>
        <v>0</v>
      </c>
      <c r="BL135" s="26">
        <f t="shared" si="33"/>
        <v>2.0453264261265911</v>
      </c>
      <c r="BM135" s="18">
        <f t="shared" si="34"/>
        <v>0</v>
      </c>
      <c r="BN135" s="18">
        <f t="shared" si="35"/>
        <v>0</v>
      </c>
      <c r="BO135" s="18">
        <f t="shared" si="36"/>
        <v>3.2777667085362037</v>
      </c>
    </row>
    <row r="136" spans="30:67">
      <c r="AD136" s="32">
        <v>132</v>
      </c>
      <c r="AE136" s="25" t="str">
        <f t="shared" si="13"/>
        <v>Right</v>
      </c>
      <c r="AF136" s="25" t="str">
        <f t="shared" si="14"/>
        <v>Channel</v>
      </c>
      <c r="AG136" s="32" t="str">
        <f>IF(XS_AnalyzerSummary!$AB$24&gt;=XS_AnalyzerSummary!AD136,"Y","N")</f>
        <v>Y</v>
      </c>
      <c r="AH136" s="38">
        <v>1</v>
      </c>
      <c r="AI136" s="38">
        <f>IF(AG136="Y",$O$19/XS_AnalyzerSummary!$AB$24,0)</f>
        <v>4.4999999999999998E-2</v>
      </c>
      <c r="AJ136" s="38">
        <f t="shared" si="15"/>
        <v>4.4999999999999998E-2</v>
      </c>
      <c r="AK136" s="93">
        <f t="shared" si="37"/>
        <v>6.9849999999999905</v>
      </c>
      <c r="AL136" s="93">
        <f>IF(AG136="Y",LININTERP(AK136,XS_Analyzer_Calculations!$AY$4:$AY$104,XS_Analyzer_Calculations!$AZ$4:$AZ$104),AL135)</f>
        <v>1.1909999999999943</v>
      </c>
      <c r="AM136" s="38">
        <f t="shared" si="16"/>
        <v>3.8090000000000055</v>
      </c>
      <c r="AN136" s="18">
        <f t="shared" si="17"/>
        <v>0.17079750000000027</v>
      </c>
      <c r="AO136" s="100">
        <f t="shared" si="18"/>
        <v>5.2478567053607483E-2</v>
      </c>
      <c r="AP136" s="100">
        <f t="shared" si="19"/>
        <v>3.2546143995419801</v>
      </c>
      <c r="AQ136" s="18">
        <f t="shared" si="20"/>
        <v>1.659518002312713E-3</v>
      </c>
      <c r="AR136" s="32">
        <f>IFERROR(IF(AG136="Y",VLOOKUP(AK136,XS_Analyzer_Calculations!$R$5:$T$104,3,TRUE),0),0)</f>
        <v>0.1</v>
      </c>
      <c r="AS136" s="198">
        <f t="shared" si="21"/>
        <v>0.01</v>
      </c>
      <c r="AT136" s="18">
        <f t="shared" si="22"/>
        <v>5.5739963502938963</v>
      </c>
      <c r="AU136" s="38">
        <f>AT136*XS_Analyzer_Calculations!$I$7^0.5</f>
        <v>0.55739963502938961</v>
      </c>
      <c r="AV136" s="18">
        <f t="shared" si="58"/>
        <v>3.2635116733522955</v>
      </c>
      <c r="AW136" s="18">
        <f t="shared" si="23"/>
        <v>2.0308793853141958</v>
      </c>
      <c r="AX136" s="18">
        <f t="shared" si="24"/>
        <v>5</v>
      </c>
      <c r="AY136" s="32">
        <f t="shared" si="25"/>
        <v>3.7955000000000063</v>
      </c>
      <c r="AZ136" s="18">
        <f>((AS136*AP136)/(1.65*XS_Analyzer!$Q$72))*12</f>
        <v>9.3523347594078015</v>
      </c>
      <c r="BA136" s="18">
        <f>(AW136/((1.65*62.4)*XS_Analyzer!$Q$73))*12</f>
        <v>5.2599828679466354</v>
      </c>
      <c r="BB136" s="18">
        <f t="shared" si="26"/>
        <v>7.5658747496911909</v>
      </c>
      <c r="BC136" s="38">
        <f t="shared" si="27"/>
        <v>11.313890787506747</v>
      </c>
      <c r="BD136" s="18">
        <f>IF(ISNUMBER(LININTERP(AW136,Permissible_Shear!$T$178:$T$188,Permissible_Shear!$V$178:$V$188)),LININTERP(AW136,Permissible_Shear!$T$178:$T$188,Permissible_Shear!$V$178:$V$188),0)</f>
        <v>6.5934932319308528</v>
      </c>
      <c r="BE136" s="18">
        <f>LININTERP(AW136,Permissible_Shear!$S$205:$S$222,Permissible_Shear!$V$205:$V$222)</f>
        <v>6.6589980791068619</v>
      </c>
      <c r="BF136" s="18">
        <f>INDEX($AZ$3:$BE$204,ROW(BF136)-2,MATCH(XS_Analyzer!$S$5,XS_AnalyzerSummary!$AZ$2:$BE$2,0))</f>
        <v>7.5658747496911909</v>
      </c>
      <c r="BG136" s="26">
        <f t="shared" si="28"/>
        <v>0</v>
      </c>
      <c r="BH136" s="26">
        <f t="shared" si="29"/>
        <v>0</v>
      </c>
      <c r="BI136" s="26">
        <f t="shared" si="30"/>
        <v>3.2635116733522955</v>
      </c>
      <c r="BJ136" s="26">
        <f t="shared" si="31"/>
        <v>0</v>
      </c>
      <c r="BK136" s="26">
        <f t="shared" si="32"/>
        <v>0</v>
      </c>
      <c r="BL136" s="26">
        <f t="shared" si="33"/>
        <v>2.0308793853141958</v>
      </c>
      <c r="BM136" s="18">
        <f t="shared" si="34"/>
        <v>0</v>
      </c>
      <c r="BN136" s="18">
        <f t="shared" si="35"/>
        <v>0</v>
      </c>
      <c r="BO136" s="18">
        <f t="shared" si="36"/>
        <v>3.2546143995419801</v>
      </c>
    </row>
    <row r="137" spans="30:67">
      <c r="AD137" s="32">
        <v>133</v>
      </c>
      <c r="AE137" s="25" t="str">
        <f t="shared" si="13"/>
        <v>Right</v>
      </c>
      <c r="AF137" s="25" t="str">
        <f t="shared" si="14"/>
        <v>Channel</v>
      </c>
      <c r="AG137" s="32" t="str">
        <f>IF(XS_AnalyzerSummary!$AB$24&gt;=XS_AnalyzerSummary!AD137,"Y","N")</f>
        <v>Y</v>
      </c>
      <c r="AH137" s="38">
        <v>1</v>
      </c>
      <c r="AI137" s="38">
        <f>IF(AG137="Y",$O$19/XS_AnalyzerSummary!$AB$24,0)</f>
        <v>4.4999999999999998E-2</v>
      </c>
      <c r="AJ137" s="38">
        <f t="shared" si="15"/>
        <v>4.4999999999999998E-2</v>
      </c>
      <c r="AK137" s="93">
        <f t="shared" si="37"/>
        <v>7.0299999999999905</v>
      </c>
      <c r="AL137" s="93">
        <f>IF(AG137="Y",LININTERP(AK137,XS_Analyzer_Calculations!$AY$4:$AY$104,XS_Analyzer_Calculations!$AZ$4:$AZ$104),AL136)</f>
        <v>1.2179999999999942</v>
      </c>
      <c r="AM137" s="38">
        <f t="shared" si="16"/>
        <v>3.7820000000000058</v>
      </c>
      <c r="AN137" s="18">
        <f t="shared" si="17"/>
        <v>0.16958250000000025</v>
      </c>
      <c r="AO137" s="100">
        <f t="shared" si="18"/>
        <v>5.2478567053607719E-2</v>
      </c>
      <c r="AP137" s="100">
        <f t="shared" si="19"/>
        <v>3.2314620905477267</v>
      </c>
      <c r="AQ137" s="18">
        <f t="shared" si="20"/>
        <v>1.6595180023127203E-3</v>
      </c>
      <c r="AR137" s="32">
        <f>IFERROR(IF(AG137="Y",VLOOKUP(AK137,XS_Analyzer_Calculations!$R$5:$T$104,3,TRUE),0),0)</f>
        <v>0.1</v>
      </c>
      <c r="AS137" s="198">
        <f t="shared" si="21"/>
        <v>0.01</v>
      </c>
      <c r="AT137" s="18">
        <f t="shared" si="22"/>
        <v>5.5080670683741433</v>
      </c>
      <c r="AU137" s="38">
        <f>AT137*XS_Analyzer_Calculations!$I$7^0.5</f>
        <v>0.55080670683741439</v>
      </c>
      <c r="AV137" s="18">
        <f t="shared" si="58"/>
        <v>3.2480161976466535</v>
      </c>
      <c r="AW137" s="18">
        <f t="shared" si="23"/>
        <v>2.0164323445017813</v>
      </c>
      <c r="AX137" s="18">
        <f t="shared" si="24"/>
        <v>5</v>
      </c>
      <c r="AY137" s="32">
        <f t="shared" si="25"/>
        <v>3.7685000000000057</v>
      </c>
      <c r="AZ137" s="18">
        <f>((AS137*AP137)/(1.65*XS_Analyzer!$Q$72))*12</f>
        <v>9.2858051747669972</v>
      </c>
      <c r="BA137" s="18">
        <f>(AW137/((1.65*62.4)*XS_Analyzer!$Q$73))*12</f>
        <v>5.2225649948246087</v>
      </c>
      <c r="BB137" s="18">
        <f t="shared" si="26"/>
        <v>7.5100000942494285</v>
      </c>
      <c r="BC137" s="38">
        <f t="shared" si="27"/>
        <v>11.254849528495395</v>
      </c>
      <c r="BD137" s="18">
        <f>IF(ISNUMBER(LININTERP(AW137,Permissible_Shear!$T$178:$T$188,Permissible_Shear!$V$178:$V$188)),LININTERP(AW137,Permissible_Shear!$T$178:$T$188,Permissible_Shear!$V$178:$V$188),0)</f>
        <v>6.5483667948256343</v>
      </c>
      <c r="BE137" s="18">
        <f>LININTERP(AW137,Permissible_Shear!$S$205:$S$222,Permissible_Shear!$V$205:$V$222)</f>
        <v>6.6138510765680669</v>
      </c>
      <c r="BF137" s="18">
        <f>INDEX($AZ$3:$BE$204,ROW(BF137)-2,MATCH(XS_Analyzer!$S$5,XS_AnalyzerSummary!$AZ$2:$BE$2,0))</f>
        <v>7.5100000942494285</v>
      </c>
      <c r="BG137" s="26">
        <f t="shared" si="28"/>
        <v>0</v>
      </c>
      <c r="BH137" s="26">
        <f t="shared" si="29"/>
        <v>0</v>
      </c>
      <c r="BI137" s="26">
        <f t="shared" si="30"/>
        <v>3.2480161976466535</v>
      </c>
      <c r="BJ137" s="26">
        <f t="shared" si="31"/>
        <v>0</v>
      </c>
      <c r="BK137" s="26">
        <f t="shared" si="32"/>
        <v>0</v>
      </c>
      <c r="BL137" s="26">
        <f t="shared" si="33"/>
        <v>2.0164323445017813</v>
      </c>
      <c r="BM137" s="18">
        <f t="shared" si="34"/>
        <v>0</v>
      </c>
      <c r="BN137" s="18">
        <f t="shared" si="35"/>
        <v>0</v>
      </c>
      <c r="BO137" s="18">
        <f t="shared" si="36"/>
        <v>3.2314620905477267</v>
      </c>
    </row>
    <row r="138" spans="30:67">
      <c r="AD138" s="32">
        <v>134</v>
      </c>
      <c r="AE138" s="25" t="str">
        <f t="shared" si="13"/>
        <v>Right</v>
      </c>
      <c r="AF138" s="25" t="str">
        <f t="shared" si="14"/>
        <v>Channel</v>
      </c>
      <c r="AG138" s="32" t="str">
        <f>IF(XS_AnalyzerSummary!$AB$24&gt;=XS_AnalyzerSummary!AD138,"Y","N")</f>
        <v>Y</v>
      </c>
      <c r="AH138" s="38">
        <v>1</v>
      </c>
      <c r="AI138" s="38">
        <f>IF(AG138="Y",$O$19/XS_AnalyzerSummary!$AB$24,0)</f>
        <v>4.4999999999999998E-2</v>
      </c>
      <c r="AJ138" s="38">
        <f t="shared" si="15"/>
        <v>4.4999999999999998E-2</v>
      </c>
      <c r="AK138" s="93">
        <f t="shared" si="37"/>
        <v>7.0749999999999904</v>
      </c>
      <c r="AL138" s="93">
        <f>IF(AG138="Y",LININTERP(AK138,XS_Analyzer_Calculations!$AY$4:$AY$104,XS_Analyzer_Calculations!$AZ$4:$AZ$104),AL137)</f>
        <v>1.2449999999999943</v>
      </c>
      <c r="AM138" s="38">
        <f t="shared" si="16"/>
        <v>3.7550000000000057</v>
      </c>
      <c r="AN138" s="18">
        <f t="shared" si="17"/>
        <v>0.16836750000000025</v>
      </c>
      <c r="AO138" s="100">
        <f t="shared" si="18"/>
        <v>5.2478567053607483E-2</v>
      </c>
      <c r="AP138" s="100">
        <f t="shared" si="19"/>
        <v>3.2083097815535022</v>
      </c>
      <c r="AQ138" s="18">
        <f t="shared" si="20"/>
        <v>1.659518002312713E-3</v>
      </c>
      <c r="AR138" s="32">
        <f>IFERROR(IF(AG138="Y",VLOOKUP(AK138,XS_Analyzer_Calculations!$R$5:$T$104,3,TRUE),0),0)</f>
        <v>0.1</v>
      </c>
      <c r="AS138" s="198">
        <f t="shared" si="21"/>
        <v>0.01</v>
      </c>
      <c r="AT138" s="18">
        <f t="shared" si="22"/>
        <v>5.4424519443832802</v>
      </c>
      <c r="AU138" s="38">
        <f>AT138*XS_Analyzer_Calculations!$I$7^0.5</f>
        <v>0.54424519443832808</v>
      </c>
      <c r="AV138" s="18">
        <f t="shared" si="58"/>
        <v>3.2324836707697582</v>
      </c>
      <c r="AW138" s="18">
        <f t="shared" si="23"/>
        <v>2.0019853036893851</v>
      </c>
      <c r="AX138" s="18">
        <f t="shared" si="24"/>
        <v>5</v>
      </c>
      <c r="AY138" s="32">
        <f t="shared" si="25"/>
        <v>3.7415000000000056</v>
      </c>
      <c r="AZ138" s="18">
        <f>((AS138*AP138)/(1.65*XS_Analyzer!$Q$72))*12</f>
        <v>9.2192755901262764</v>
      </c>
      <c r="BA138" s="18">
        <f>(AW138/((1.65*62.4)*XS_Analyzer!$Q$73))*12</f>
        <v>5.1851471217026299</v>
      </c>
      <c r="BB138" s="18">
        <f t="shared" si="26"/>
        <v>7.4541421899678308</v>
      </c>
      <c r="BC138" s="38">
        <f t="shared" si="27"/>
        <v>11.195696676264451</v>
      </c>
      <c r="BD138" s="18">
        <f>IF(ISNUMBER(LININTERP(AW138,Permissible_Shear!$T$178:$T$188,Permissible_Shear!$V$178:$V$188)),LININTERP(AW138,Permissible_Shear!$T$178:$T$188,Permissible_Shear!$V$178:$V$188),0)</f>
        <v>6.5032403577204727</v>
      </c>
      <c r="BE138" s="18">
        <f>LININTERP(AW138,Permissible_Shear!$S$205:$S$222,Permissible_Shear!$V$205:$V$222)</f>
        <v>6.5687040740293288</v>
      </c>
      <c r="BF138" s="18">
        <f>INDEX($AZ$3:$BE$204,ROW(BF138)-2,MATCH(XS_Analyzer!$S$5,XS_AnalyzerSummary!$AZ$2:$BE$2,0))</f>
        <v>7.4541421899678308</v>
      </c>
      <c r="BG138" s="26">
        <f t="shared" si="28"/>
        <v>0</v>
      </c>
      <c r="BH138" s="26">
        <f t="shared" si="29"/>
        <v>0</v>
      </c>
      <c r="BI138" s="26">
        <f t="shared" si="30"/>
        <v>3.2324836707697582</v>
      </c>
      <c r="BJ138" s="26">
        <f t="shared" si="31"/>
        <v>0</v>
      </c>
      <c r="BK138" s="26">
        <f t="shared" si="32"/>
        <v>0</v>
      </c>
      <c r="BL138" s="26">
        <f t="shared" si="33"/>
        <v>2.0019853036893851</v>
      </c>
      <c r="BM138" s="18">
        <f t="shared" si="34"/>
        <v>0</v>
      </c>
      <c r="BN138" s="18">
        <f t="shared" si="35"/>
        <v>0</v>
      </c>
      <c r="BO138" s="18">
        <f t="shared" si="36"/>
        <v>3.2083097815535022</v>
      </c>
    </row>
    <row r="139" spans="30:67">
      <c r="AD139" s="32">
        <v>135</v>
      </c>
      <c r="AE139" s="25" t="str">
        <f t="shared" si="13"/>
        <v>Right</v>
      </c>
      <c r="AF139" s="25" t="str">
        <f t="shared" si="14"/>
        <v>Channel</v>
      </c>
      <c r="AG139" s="32" t="str">
        <f>IF(XS_AnalyzerSummary!$AB$24&gt;=XS_AnalyzerSummary!AD139,"Y","N")</f>
        <v>Y</v>
      </c>
      <c r="AH139" s="38">
        <v>1</v>
      </c>
      <c r="AI139" s="38">
        <f>IF(AG139="Y",$O$19/XS_AnalyzerSummary!$AB$24,0)</f>
        <v>4.4999999999999998E-2</v>
      </c>
      <c r="AJ139" s="38">
        <f t="shared" si="15"/>
        <v>4.4999999999999998E-2</v>
      </c>
      <c r="AK139" s="93">
        <f t="shared" si="37"/>
        <v>7.1199999999999903</v>
      </c>
      <c r="AL139" s="93">
        <f>IF(AG139="Y",LININTERP(AK139,XS_Analyzer_Calculations!$AY$4:$AY$104,XS_Analyzer_Calculations!$AZ$4:$AZ$104),AL138)</f>
        <v>1.2719999999999942</v>
      </c>
      <c r="AM139" s="38">
        <f t="shared" si="16"/>
        <v>3.728000000000006</v>
      </c>
      <c r="AN139" s="18">
        <f t="shared" si="17"/>
        <v>0.16715250000000026</v>
      </c>
      <c r="AO139" s="100">
        <f t="shared" si="18"/>
        <v>5.2478567053607719E-2</v>
      </c>
      <c r="AP139" s="100">
        <f t="shared" si="19"/>
        <v>3.1851574725592493</v>
      </c>
      <c r="AQ139" s="18">
        <f t="shared" si="20"/>
        <v>1.6595180023127203E-3</v>
      </c>
      <c r="AR139" s="32">
        <f>IFERROR(IF(AG139="Y",VLOOKUP(AK139,XS_Analyzer_Calculations!$R$5:$T$104,3,TRUE),0),0)</f>
        <v>0.1</v>
      </c>
      <c r="AS139" s="198">
        <f t="shared" si="21"/>
        <v>0.01</v>
      </c>
      <c r="AT139" s="18">
        <f t="shared" si="22"/>
        <v>5.3771517322113178</v>
      </c>
      <c r="AU139" s="38">
        <f>AT139*XS_Analyzer_Calculations!$I$7^0.5</f>
        <v>0.53771517322113183</v>
      </c>
      <c r="AV139" s="18">
        <f t="shared" si="58"/>
        <v>3.2169137357869668</v>
      </c>
      <c r="AW139" s="18">
        <f t="shared" si="23"/>
        <v>1.9875382628769718</v>
      </c>
      <c r="AX139" s="18">
        <f t="shared" si="24"/>
        <v>5</v>
      </c>
      <c r="AY139" s="32">
        <f t="shared" si="25"/>
        <v>3.7145000000000059</v>
      </c>
      <c r="AZ139" s="18">
        <f>((AS139*AP139)/(1.65*XS_Analyzer!$Q$72))*12</f>
        <v>9.1527460054854775</v>
      </c>
      <c r="BA139" s="18">
        <f>(AW139/((1.65*62.4)*XS_Analyzer!$Q$73))*12</f>
        <v>5.1477292485806059</v>
      </c>
      <c r="BB139" s="18">
        <f t="shared" si="26"/>
        <v>7.3983011522199078</v>
      </c>
      <c r="BC139" s="38">
        <f t="shared" si="27"/>
        <v>11.136431215194527</v>
      </c>
      <c r="BD139" s="18">
        <f>IF(ISNUMBER(LININTERP(AW139,Permissible_Shear!$T$178:$T$188,Permissible_Shear!$V$178:$V$188)),LININTERP(AW139,Permissible_Shear!$T$178:$T$188,Permissible_Shear!$V$178:$V$188),0)</f>
        <v>6.4581139206152578</v>
      </c>
      <c r="BE139" s="18">
        <f>LININTERP(AW139,Permissible_Shear!$S$205:$S$222,Permissible_Shear!$V$205:$V$222)</f>
        <v>6.5235570714905373</v>
      </c>
      <c r="BF139" s="18">
        <f>INDEX($AZ$3:$BE$204,ROW(BF139)-2,MATCH(XS_Analyzer!$S$5,XS_AnalyzerSummary!$AZ$2:$BE$2,0))</f>
        <v>7.3983011522199078</v>
      </c>
      <c r="BG139" s="26">
        <f t="shared" si="28"/>
        <v>0</v>
      </c>
      <c r="BH139" s="26">
        <f t="shared" si="29"/>
        <v>0</v>
      </c>
      <c r="BI139" s="26">
        <f t="shared" si="30"/>
        <v>3.2169137357869668</v>
      </c>
      <c r="BJ139" s="26">
        <f t="shared" si="31"/>
        <v>0</v>
      </c>
      <c r="BK139" s="26">
        <f t="shared" si="32"/>
        <v>0</v>
      </c>
      <c r="BL139" s="26">
        <f t="shared" si="33"/>
        <v>1.9875382628769718</v>
      </c>
      <c r="BM139" s="18">
        <f t="shared" si="34"/>
        <v>0</v>
      </c>
      <c r="BN139" s="18">
        <f t="shared" si="35"/>
        <v>0</v>
      </c>
      <c r="BO139" s="18">
        <f t="shared" si="36"/>
        <v>3.1851574725592493</v>
      </c>
    </row>
    <row r="140" spans="30:67">
      <c r="AD140" s="32">
        <v>136</v>
      </c>
      <c r="AE140" s="25" t="str">
        <f t="shared" si="13"/>
        <v>Right</v>
      </c>
      <c r="AF140" s="25" t="str">
        <f t="shared" si="14"/>
        <v>Channel</v>
      </c>
      <c r="AG140" s="32" t="str">
        <f>IF(XS_AnalyzerSummary!$AB$24&gt;=XS_AnalyzerSummary!AD140,"Y","N")</f>
        <v>Y</v>
      </c>
      <c r="AH140" s="38">
        <v>1</v>
      </c>
      <c r="AI140" s="38">
        <f>IF(AG140="Y",$O$19/XS_AnalyzerSummary!$AB$24,0)</f>
        <v>4.4999999999999998E-2</v>
      </c>
      <c r="AJ140" s="38">
        <f t="shared" si="15"/>
        <v>4.4999999999999998E-2</v>
      </c>
      <c r="AK140" s="93">
        <f t="shared" si="37"/>
        <v>7.1649999999999903</v>
      </c>
      <c r="AL140" s="93">
        <f>IF(AG140="Y",LININTERP(AK140,XS_Analyzer_Calculations!$AY$4:$AY$104,XS_Analyzer_Calculations!$AZ$4:$AZ$104),AL139)</f>
        <v>1.2989999999999942</v>
      </c>
      <c r="AM140" s="38">
        <f t="shared" si="16"/>
        <v>3.7010000000000058</v>
      </c>
      <c r="AN140" s="18">
        <f t="shared" si="17"/>
        <v>0.16593750000000027</v>
      </c>
      <c r="AO140" s="100">
        <f t="shared" si="18"/>
        <v>5.2478567053607719E-2</v>
      </c>
      <c r="AP140" s="100">
        <f t="shared" si="19"/>
        <v>3.162005163565011</v>
      </c>
      <c r="AQ140" s="18">
        <f t="shared" si="20"/>
        <v>1.6595180023127203E-3</v>
      </c>
      <c r="AR140" s="32">
        <f>IFERROR(IF(AG140="Y",VLOOKUP(AK140,XS_Analyzer_Calculations!$R$5:$T$104,3,TRUE),0),0)</f>
        <v>0.1</v>
      </c>
      <c r="AS140" s="198">
        <f t="shared" si="21"/>
        <v>0.01</v>
      </c>
      <c r="AT140" s="18">
        <f t="shared" si="22"/>
        <v>5.3121671930374328</v>
      </c>
      <c r="AU140" s="38">
        <f>AT140*XS_Analyzer_Calculations!$I$7^0.5</f>
        <v>0.53121671930374326</v>
      </c>
      <c r="AV140" s="18">
        <f t="shared" si="58"/>
        <v>3.2013060297024025</v>
      </c>
      <c r="AW140" s="18">
        <f t="shared" si="23"/>
        <v>1.9730912220645669</v>
      </c>
      <c r="AX140" s="18">
        <f t="shared" si="24"/>
        <v>5</v>
      </c>
      <c r="AY140" s="32">
        <f t="shared" si="25"/>
        <v>3.6875000000000062</v>
      </c>
      <c r="AZ140" s="18">
        <f>((AS140*AP140)/(1.65*XS_Analyzer!$Q$72))*12</f>
        <v>9.0862164208447158</v>
      </c>
      <c r="BA140" s="18">
        <f>(AW140/((1.65*62.4)*XS_Analyzer!$Q$73))*12</f>
        <v>5.110311375458604</v>
      </c>
      <c r="BB140" s="18">
        <f t="shared" si="26"/>
        <v>7.3424770980150482</v>
      </c>
      <c r="BC140" s="38">
        <f t="shared" si="27"/>
        <v>11.077052112993082</v>
      </c>
      <c r="BD140" s="18">
        <f>IF(ISNUMBER(LININTERP(AW140,Permissible_Shear!$T$178:$T$188,Permissible_Shear!$V$178:$V$188)),LININTERP(AW140,Permissible_Shear!$T$178:$T$188,Permissible_Shear!$V$178:$V$188),0)</f>
        <v>6.4129874835100686</v>
      </c>
      <c r="BE140" s="18">
        <f>LININTERP(AW140,Permissible_Shear!$S$205:$S$222,Permissible_Shear!$V$205:$V$222)</f>
        <v>6.4784100689517725</v>
      </c>
      <c r="BF140" s="18">
        <f>INDEX($AZ$3:$BE$204,ROW(BF140)-2,MATCH(XS_Analyzer!$S$5,XS_AnalyzerSummary!$AZ$2:$BE$2,0))</f>
        <v>7.3424770980150482</v>
      </c>
      <c r="BG140" s="26">
        <f t="shared" si="28"/>
        <v>0</v>
      </c>
      <c r="BH140" s="26">
        <f t="shared" si="29"/>
        <v>0</v>
      </c>
      <c r="BI140" s="26">
        <f t="shared" si="30"/>
        <v>3.2013060297024025</v>
      </c>
      <c r="BJ140" s="26">
        <f t="shared" si="31"/>
        <v>0</v>
      </c>
      <c r="BK140" s="26">
        <f t="shared" si="32"/>
        <v>0</v>
      </c>
      <c r="BL140" s="26">
        <f t="shared" si="33"/>
        <v>1.9730912220645669</v>
      </c>
      <c r="BM140" s="18">
        <f t="shared" si="34"/>
        <v>0</v>
      </c>
      <c r="BN140" s="18">
        <f t="shared" si="35"/>
        <v>0</v>
      </c>
      <c r="BO140" s="18">
        <f t="shared" si="36"/>
        <v>3.162005163565011</v>
      </c>
    </row>
    <row r="141" spans="30:67">
      <c r="AD141" s="32">
        <v>137</v>
      </c>
      <c r="AE141" s="25" t="str">
        <f t="shared" si="13"/>
        <v>Right</v>
      </c>
      <c r="AF141" s="25" t="str">
        <f t="shared" si="14"/>
        <v>Channel</v>
      </c>
      <c r="AG141" s="32" t="str">
        <f>IF(XS_AnalyzerSummary!$AB$24&gt;=XS_AnalyzerSummary!AD141,"Y","N")</f>
        <v>Y</v>
      </c>
      <c r="AH141" s="38">
        <v>1</v>
      </c>
      <c r="AI141" s="38">
        <f>IF(AG141="Y",$O$19/XS_AnalyzerSummary!$AB$24,0)</f>
        <v>4.4999999999999998E-2</v>
      </c>
      <c r="AJ141" s="38">
        <f t="shared" si="15"/>
        <v>4.4999999999999998E-2</v>
      </c>
      <c r="AK141" s="93">
        <f t="shared" si="37"/>
        <v>7.2099999999999902</v>
      </c>
      <c r="AL141" s="93">
        <f>IF(AG141="Y",LININTERP(AK141,XS_Analyzer_Calculations!$AY$4:$AY$104,XS_Analyzer_Calculations!$AZ$4:$AZ$104),AL140)</f>
        <v>1.3259999999999941</v>
      </c>
      <c r="AM141" s="38">
        <f t="shared" si="16"/>
        <v>3.6740000000000057</v>
      </c>
      <c r="AN141" s="18">
        <f t="shared" si="17"/>
        <v>0.16472250000000027</v>
      </c>
      <c r="AO141" s="100">
        <f t="shared" si="18"/>
        <v>5.2478567053607483E-2</v>
      </c>
      <c r="AP141" s="100">
        <f t="shared" si="19"/>
        <v>3.1388528545707866</v>
      </c>
      <c r="AQ141" s="18">
        <f t="shared" si="20"/>
        <v>1.659518002312713E-3</v>
      </c>
      <c r="AR141" s="32">
        <f>IFERROR(IF(AG141="Y",VLOOKUP(AK141,XS_Analyzer_Calculations!$R$5:$T$104,3,TRUE),0),0)</f>
        <v>0.1</v>
      </c>
      <c r="AS141" s="198">
        <f t="shared" si="21"/>
        <v>0.01</v>
      </c>
      <c r="AT141" s="18">
        <f t="shared" si="22"/>
        <v>5.2474990954540299</v>
      </c>
      <c r="AU141" s="38">
        <f>AT141*XS_Analyzer_Calculations!$I$7^0.5</f>
        <v>0.52474990954540301</v>
      </c>
      <c r="AV141" s="18">
        <f t="shared" si="58"/>
        <v>3.1856601833107328</v>
      </c>
      <c r="AW141" s="18">
        <f t="shared" si="23"/>
        <v>1.9586441812521707</v>
      </c>
      <c r="AX141" s="18">
        <f t="shared" si="24"/>
        <v>5</v>
      </c>
      <c r="AY141" s="32">
        <f t="shared" si="25"/>
        <v>3.6605000000000061</v>
      </c>
      <c r="AZ141" s="18">
        <f>((AS141*AP141)/(1.65*XS_Analyzer!$Q$72))*12</f>
        <v>9.019686836203995</v>
      </c>
      <c r="BA141" s="18">
        <f>(AW141/((1.65*62.4)*XS_Analyzer!$Q$73))*12</f>
        <v>5.0728935023366244</v>
      </c>
      <c r="BB141" s="18">
        <f t="shared" si="26"/>
        <v>7.2866701460338241</v>
      </c>
      <c r="BC141" s="38">
        <f t="shared" si="27"/>
        <v>11.017558320296928</v>
      </c>
      <c r="BD141" s="18">
        <f>IF(ISNUMBER(LININTERP(AW141,Permissible_Shear!$T$178:$T$188,Permissible_Shear!$V$178:$V$188)),LININTERP(AW141,Permissible_Shear!$T$178:$T$188,Permissible_Shear!$V$178:$V$188),0)</f>
        <v>6.367861046404907</v>
      </c>
      <c r="BE141" s="18">
        <f>LININTERP(AW141,Permissible_Shear!$S$205:$S$222,Permissible_Shear!$V$205:$V$222)</f>
        <v>6.4332630664130335</v>
      </c>
      <c r="BF141" s="18">
        <f>INDEX($AZ$3:$BE$204,ROW(BF141)-2,MATCH(XS_Analyzer!$S$5,XS_AnalyzerSummary!$AZ$2:$BE$2,0))</f>
        <v>7.2866701460338241</v>
      </c>
      <c r="BG141" s="26">
        <f t="shared" si="28"/>
        <v>0</v>
      </c>
      <c r="BH141" s="26">
        <f t="shared" si="29"/>
        <v>0</v>
      </c>
      <c r="BI141" s="26">
        <f t="shared" si="30"/>
        <v>3.1856601833107328</v>
      </c>
      <c r="BJ141" s="26">
        <f t="shared" si="31"/>
        <v>0</v>
      </c>
      <c r="BK141" s="26">
        <f t="shared" si="32"/>
        <v>0</v>
      </c>
      <c r="BL141" s="26">
        <f t="shared" si="33"/>
        <v>1.9586441812521707</v>
      </c>
      <c r="BM141" s="18">
        <f t="shared" si="34"/>
        <v>0</v>
      </c>
      <c r="BN141" s="18">
        <f t="shared" si="35"/>
        <v>0</v>
      </c>
      <c r="BO141" s="18">
        <f t="shared" si="36"/>
        <v>3.1388528545707866</v>
      </c>
    </row>
    <row r="142" spans="30:67">
      <c r="AD142" s="32">
        <v>138</v>
      </c>
      <c r="AE142" s="25" t="str">
        <f t="shared" si="13"/>
        <v>Right</v>
      </c>
      <c r="AF142" s="25" t="str">
        <f t="shared" si="14"/>
        <v>Channel</v>
      </c>
      <c r="AG142" s="32" t="str">
        <f>IF(XS_AnalyzerSummary!$AB$24&gt;=XS_AnalyzerSummary!AD142,"Y","N")</f>
        <v>Y</v>
      </c>
      <c r="AH142" s="38">
        <v>1</v>
      </c>
      <c r="AI142" s="38">
        <f>IF(AG142="Y",$O$19/XS_AnalyzerSummary!$AB$24,0)</f>
        <v>4.4999999999999998E-2</v>
      </c>
      <c r="AJ142" s="38">
        <f t="shared" si="15"/>
        <v>4.4999999999999998E-2</v>
      </c>
      <c r="AK142" s="93">
        <f t="shared" si="37"/>
        <v>7.2549999999999901</v>
      </c>
      <c r="AL142" s="93">
        <f>IF(AG142="Y",LININTERP(AK142,XS_Analyzer_Calculations!$AY$4:$AY$104,XS_Analyzer_Calculations!$AZ$4:$AZ$104),AL141)</f>
        <v>1.352999999999994</v>
      </c>
      <c r="AM142" s="38">
        <f t="shared" si="16"/>
        <v>3.647000000000006</v>
      </c>
      <c r="AN142" s="18">
        <f t="shared" si="17"/>
        <v>0.16350750000000025</v>
      </c>
      <c r="AO142" s="100">
        <f t="shared" si="18"/>
        <v>5.2478567053607719E-2</v>
      </c>
      <c r="AP142" s="100">
        <f t="shared" si="19"/>
        <v>3.1157005455765332</v>
      </c>
      <c r="AQ142" s="18">
        <f t="shared" si="20"/>
        <v>1.6595180023127203E-3</v>
      </c>
      <c r="AR142" s="32">
        <f>IFERROR(IF(AG142="Y",VLOOKUP(AK142,XS_Analyzer_Calculations!$R$5:$T$104,3,TRUE),0),0)</f>
        <v>0.1</v>
      </c>
      <c r="AS142" s="198">
        <f t="shared" si="21"/>
        <v>0.01</v>
      </c>
      <c r="AT142" s="18">
        <f t="shared" si="22"/>
        <v>5.183148215594036</v>
      </c>
      <c r="AU142" s="38">
        <f>AT142*XS_Analyzer_Calculations!$I$7^0.5</f>
        <v>0.51831482155940367</v>
      </c>
      <c r="AV142" s="18">
        <f t="shared" si="58"/>
        <v>3.1699758210443121</v>
      </c>
      <c r="AW142" s="18">
        <f t="shared" si="23"/>
        <v>1.9441971404397567</v>
      </c>
      <c r="AX142" s="18">
        <f t="shared" si="24"/>
        <v>5</v>
      </c>
      <c r="AY142" s="32">
        <f t="shared" si="25"/>
        <v>3.6335000000000055</v>
      </c>
      <c r="AZ142" s="18">
        <f>((AS142*AP142)/(1.65*XS_Analyzer!$Q$72))*12</f>
        <v>8.9531572515631925</v>
      </c>
      <c r="BA142" s="18">
        <f>(AW142/((1.65*62.4)*XS_Analyzer!$Q$73))*12</f>
        <v>5.0354756292145995</v>
      </c>
      <c r="BB142" s="18">
        <f t="shared" si="26"/>
        <v>7.2308804166643146</v>
      </c>
      <c r="BC142" s="38">
        <f t="shared" si="27"/>
        <v>10.957948770262288</v>
      </c>
      <c r="BD142" s="18">
        <f>IF(ISNUMBER(LININTERP(AW142,Permissible_Shear!$T$178:$T$188,Permissible_Shear!$V$178:$V$188)),LININTERP(AW142,Permissible_Shear!$T$178:$T$188,Permissible_Shear!$V$178:$V$188),0)</f>
        <v>6.3227346092996903</v>
      </c>
      <c r="BE142" s="18">
        <f>LININTERP(AW142,Permissible_Shear!$S$205:$S$222,Permissible_Shear!$V$205:$V$222)</f>
        <v>6.3881160638742394</v>
      </c>
      <c r="BF142" s="18">
        <f>INDEX($AZ$3:$BE$204,ROW(BF142)-2,MATCH(XS_Analyzer!$S$5,XS_AnalyzerSummary!$AZ$2:$BE$2,0))</f>
        <v>7.2308804166643146</v>
      </c>
      <c r="BG142" s="26">
        <f t="shared" si="28"/>
        <v>0</v>
      </c>
      <c r="BH142" s="26">
        <f t="shared" si="29"/>
        <v>0</v>
      </c>
      <c r="BI142" s="26">
        <f t="shared" si="30"/>
        <v>3.1699758210443121</v>
      </c>
      <c r="BJ142" s="26">
        <f t="shared" si="31"/>
        <v>0</v>
      </c>
      <c r="BK142" s="26">
        <f t="shared" si="32"/>
        <v>0</v>
      </c>
      <c r="BL142" s="26">
        <f t="shared" si="33"/>
        <v>1.9441971404397567</v>
      </c>
      <c r="BM142" s="18">
        <f t="shared" si="34"/>
        <v>0</v>
      </c>
      <c r="BN142" s="18">
        <f t="shared" si="35"/>
        <v>0</v>
      </c>
      <c r="BO142" s="18">
        <f t="shared" si="36"/>
        <v>3.1157005455765332</v>
      </c>
    </row>
    <row r="143" spans="30:67">
      <c r="AD143" s="32">
        <v>139</v>
      </c>
      <c r="AE143" s="25" t="str">
        <f t="shared" si="13"/>
        <v>Right</v>
      </c>
      <c r="AF143" s="25" t="str">
        <f t="shared" si="14"/>
        <v>Channel</v>
      </c>
      <c r="AG143" s="32" t="str">
        <f>IF(XS_AnalyzerSummary!$AB$24&gt;=XS_AnalyzerSummary!AD143,"Y","N")</f>
        <v>Y</v>
      </c>
      <c r="AH143" s="38">
        <v>1</v>
      </c>
      <c r="AI143" s="38">
        <f>IF(AG143="Y",$O$19/XS_AnalyzerSummary!$AB$24,0)</f>
        <v>4.4999999999999998E-2</v>
      </c>
      <c r="AJ143" s="38">
        <f t="shared" si="15"/>
        <v>4.4999999999999998E-2</v>
      </c>
      <c r="AK143" s="93">
        <f t="shared" si="37"/>
        <v>7.2999999999999901</v>
      </c>
      <c r="AL143" s="93">
        <f>IF(AG143="Y",LININTERP(AK143,XS_Analyzer_Calculations!$AY$4:$AY$104,XS_Analyzer_Calculations!$AZ$4:$AZ$104),AL142)</f>
        <v>1.3799999999999941</v>
      </c>
      <c r="AM143" s="38">
        <f t="shared" si="16"/>
        <v>3.6200000000000059</v>
      </c>
      <c r="AN143" s="18">
        <f t="shared" si="17"/>
        <v>0.16229250000000026</v>
      </c>
      <c r="AO143" s="100">
        <f t="shared" si="18"/>
        <v>5.2478567053607483E-2</v>
      </c>
      <c r="AP143" s="100">
        <f t="shared" si="19"/>
        <v>3.0925482365823087</v>
      </c>
      <c r="AQ143" s="18">
        <f t="shared" si="20"/>
        <v>1.659518002312713E-3</v>
      </c>
      <c r="AR143" s="32">
        <f>IFERROR(IF(AG143="Y",VLOOKUP(AK143,XS_Analyzer_Calculations!$R$5:$T$104,3,TRUE),0),0)</f>
        <v>0.1</v>
      </c>
      <c r="AS143" s="198">
        <f t="shared" si="21"/>
        <v>0.01</v>
      </c>
      <c r="AT143" s="18">
        <f t="shared" si="22"/>
        <v>5.1191153372614773</v>
      </c>
      <c r="AU143" s="38">
        <f>AT143*XS_Analyzer_Calculations!$I$7^0.5</f>
        <v>0.51191153372614773</v>
      </c>
      <c r="AV143" s="18">
        <f t="shared" si="58"/>
        <v>3.1542525608154839</v>
      </c>
      <c r="AW143" s="18">
        <f t="shared" si="23"/>
        <v>1.9297500996273607</v>
      </c>
      <c r="AX143" s="18">
        <f t="shared" si="24"/>
        <v>5</v>
      </c>
      <c r="AY143" s="32">
        <f t="shared" si="25"/>
        <v>3.6065000000000058</v>
      </c>
      <c r="AZ143" s="18">
        <f>((AS143*AP143)/(1.65*XS_Analyzer!$Q$72))*12</f>
        <v>8.8866276669224717</v>
      </c>
      <c r="BA143" s="18">
        <f>(AW143/((1.65*62.4)*XS_Analyzer!$Q$73))*12</f>
        <v>4.9980577560926207</v>
      </c>
      <c r="BB143" s="18">
        <f t="shared" si="26"/>
        <v>7.1751080320394767</v>
      </c>
      <c r="BC143" s="38">
        <f t="shared" si="27"/>
        <v>10.898222378141892</v>
      </c>
      <c r="BD143" s="18">
        <f>IF(ISNUMBER(LININTERP(AW143,Permissible_Shear!$T$178:$T$188,Permissible_Shear!$V$178:$V$188)),LININTERP(AW143,Permissible_Shear!$T$178:$T$188,Permissible_Shear!$V$178:$V$188),0)</f>
        <v>6.2776081721945296</v>
      </c>
      <c r="BE143" s="18">
        <f>LININTERP(AW143,Permissible_Shear!$S$205:$S$222,Permissible_Shear!$V$205:$V$222)</f>
        <v>6.3429690613355021</v>
      </c>
      <c r="BF143" s="18">
        <f>INDEX($AZ$3:$BE$204,ROW(BF143)-2,MATCH(XS_Analyzer!$S$5,XS_AnalyzerSummary!$AZ$2:$BE$2,0))</f>
        <v>7.1751080320394767</v>
      </c>
      <c r="BG143" s="26">
        <f t="shared" si="28"/>
        <v>0</v>
      </c>
      <c r="BH143" s="26">
        <f t="shared" si="29"/>
        <v>0</v>
      </c>
      <c r="BI143" s="26">
        <f t="shared" si="30"/>
        <v>3.1542525608154839</v>
      </c>
      <c r="BJ143" s="26">
        <f t="shared" si="31"/>
        <v>0</v>
      </c>
      <c r="BK143" s="26">
        <f t="shared" si="32"/>
        <v>0</v>
      </c>
      <c r="BL143" s="26">
        <f t="shared" si="33"/>
        <v>1.9297500996273607</v>
      </c>
      <c r="BM143" s="18">
        <f t="shared" si="34"/>
        <v>0</v>
      </c>
      <c r="BN143" s="18">
        <f t="shared" si="35"/>
        <v>0</v>
      </c>
      <c r="BO143" s="18">
        <f t="shared" si="36"/>
        <v>3.0925482365823087</v>
      </c>
    </row>
    <row r="144" spans="30:67">
      <c r="AD144" s="32">
        <v>140</v>
      </c>
      <c r="AE144" s="25" t="str">
        <f t="shared" si="13"/>
        <v>Right</v>
      </c>
      <c r="AF144" s="25" t="str">
        <f t="shared" si="14"/>
        <v>Channel</v>
      </c>
      <c r="AG144" s="32" t="str">
        <f>IF(XS_AnalyzerSummary!$AB$24&gt;=XS_AnalyzerSummary!AD144,"Y","N")</f>
        <v>Y</v>
      </c>
      <c r="AH144" s="38">
        <v>1</v>
      </c>
      <c r="AI144" s="38">
        <f>IF(AG144="Y",$O$19/XS_AnalyzerSummary!$AB$24,0)</f>
        <v>4.4999999999999998E-2</v>
      </c>
      <c r="AJ144" s="38">
        <f t="shared" si="15"/>
        <v>4.4999999999999998E-2</v>
      </c>
      <c r="AK144" s="93">
        <f t="shared" si="37"/>
        <v>7.34499999999999</v>
      </c>
      <c r="AL144" s="93">
        <f>IF(AG144="Y",LININTERP(AK144,XS_Analyzer_Calculations!$AY$4:$AY$104,XS_Analyzer_Calculations!$AZ$4:$AZ$104),AL143)</f>
        <v>1.406999999999994</v>
      </c>
      <c r="AM144" s="38">
        <f t="shared" si="16"/>
        <v>3.5930000000000062</v>
      </c>
      <c r="AN144" s="18">
        <f t="shared" si="17"/>
        <v>0.16107750000000026</v>
      </c>
      <c r="AO144" s="100">
        <f t="shared" si="18"/>
        <v>5.2478567053607719E-2</v>
      </c>
      <c r="AP144" s="100">
        <f t="shared" si="19"/>
        <v>3.0693959275880562</v>
      </c>
      <c r="AQ144" s="18">
        <f t="shared" si="20"/>
        <v>1.6595180023127203E-3</v>
      </c>
      <c r="AR144" s="32">
        <f>IFERROR(IF(AG144="Y",VLOOKUP(AK144,XS_Analyzer_Calculations!$R$5:$T$104,3,TRUE),0),0)</f>
        <v>0.1</v>
      </c>
      <c r="AS144" s="198">
        <f t="shared" si="21"/>
        <v>0.01</v>
      </c>
      <c r="AT144" s="18">
        <f t="shared" si="22"/>
        <v>5.0554012520649181</v>
      </c>
      <c r="AU144" s="38">
        <f>AT144*XS_Analyzer_Calculations!$I$7^0.5</f>
        <v>0.50554012520649183</v>
      </c>
      <c r="AV144" s="18">
        <f t="shared" si="58"/>
        <v>3.1384900138535241</v>
      </c>
      <c r="AW144" s="18">
        <f t="shared" si="23"/>
        <v>1.9153030588149471</v>
      </c>
      <c r="AX144" s="18">
        <f t="shared" si="24"/>
        <v>5</v>
      </c>
      <c r="AY144" s="32">
        <f t="shared" si="25"/>
        <v>3.5795000000000061</v>
      </c>
      <c r="AZ144" s="18">
        <f>((AS144*AP144)/(1.65*XS_Analyzer!$Q$72))*12</f>
        <v>8.820098082281671</v>
      </c>
      <c r="BA144" s="18">
        <f>(AW144/((1.65*62.4)*XS_Analyzer!$Q$73))*12</f>
        <v>4.9606398829705967</v>
      </c>
      <c r="BB144" s="18">
        <f t="shared" si="26"/>
        <v>7.1193531160756711</v>
      </c>
      <c r="BC144" s="38">
        <f t="shared" si="27"/>
        <v>10.838378040848619</v>
      </c>
      <c r="BD144" s="18">
        <f>IF(ISNUMBER(LININTERP(AW144,Permissible_Shear!$T$178:$T$188,Permissible_Shear!$V$178:$V$188)),LININTERP(AW144,Permissible_Shear!$T$178:$T$188,Permissible_Shear!$V$178:$V$188),0)</f>
        <v>6.2324817350893138</v>
      </c>
      <c r="BE144" s="18">
        <f>LININTERP(AW144,Permissible_Shear!$S$205:$S$222,Permissible_Shear!$V$205:$V$222)</f>
        <v>6.2978220587967098</v>
      </c>
      <c r="BF144" s="18">
        <f>INDEX($AZ$3:$BE$204,ROW(BF144)-2,MATCH(XS_Analyzer!$S$5,XS_AnalyzerSummary!$AZ$2:$BE$2,0))</f>
        <v>7.1193531160756711</v>
      </c>
      <c r="BG144" s="26">
        <f t="shared" si="28"/>
        <v>0</v>
      </c>
      <c r="BH144" s="26">
        <f t="shared" si="29"/>
        <v>0</v>
      </c>
      <c r="BI144" s="26">
        <f t="shared" si="30"/>
        <v>3.1384900138535241</v>
      </c>
      <c r="BJ144" s="26">
        <f t="shared" si="31"/>
        <v>0</v>
      </c>
      <c r="BK144" s="26">
        <f t="shared" si="32"/>
        <v>0</v>
      </c>
      <c r="BL144" s="26">
        <f t="shared" si="33"/>
        <v>1.9153030588149471</v>
      </c>
      <c r="BM144" s="18">
        <f t="shared" si="34"/>
        <v>0</v>
      </c>
      <c r="BN144" s="18">
        <f t="shared" si="35"/>
        <v>0</v>
      </c>
      <c r="BO144" s="18">
        <f t="shared" si="36"/>
        <v>3.0693959275880562</v>
      </c>
    </row>
    <row r="145" spans="30:67">
      <c r="AD145" s="32">
        <v>141</v>
      </c>
      <c r="AE145" s="25" t="str">
        <f t="shared" si="13"/>
        <v>Right</v>
      </c>
      <c r="AF145" s="25" t="str">
        <f t="shared" si="14"/>
        <v>Channel</v>
      </c>
      <c r="AG145" s="32" t="str">
        <f>IF(XS_AnalyzerSummary!$AB$24&gt;=XS_AnalyzerSummary!AD145,"Y","N")</f>
        <v>Y</v>
      </c>
      <c r="AH145" s="38">
        <v>1</v>
      </c>
      <c r="AI145" s="38">
        <f>IF(AG145="Y",$O$19/XS_AnalyzerSummary!$AB$24,0)</f>
        <v>4.4999999999999998E-2</v>
      </c>
      <c r="AJ145" s="38">
        <f t="shared" si="15"/>
        <v>4.4999999999999998E-2</v>
      </c>
      <c r="AK145" s="93">
        <f t="shared" si="37"/>
        <v>7.3899999999999899</v>
      </c>
      <c r="AL145" s="93">
        <f>IF(AG145="Y",LININTERP(AK145,XS_Analyzer_Calculations!$AY$4:$AY$104,XS_Analyzer_Calculations!$AZ$4:$AZ$104),AL144)</f>
        <v>1.4339999999999939</v>
      </c>
      <c r="AM145" s="38">
        <f t="shared" si="16"/>
        <v>3.5660000000000061</v>
      </c>
      <c r="AN145" s="18">
        <f t="shared" si="17"/>
        <v>0.15986250000000027</v>
      </c>
      <c r="AO145" s="100">
        <f t="shared" si="18"/>
        <v>5.2478567053607719E-2</v>
      </c>
      <c r="AP145" s="100">
        <f t="shared" si="19"/>
        <v>3.0462436185938175</v>
      </c>
      <c r="AQ145" s="18">
        <f t="shared" si="20"/>
        <v>1.6595180023127203E-3</v>
      </c>
      <c r="AR145" s="32">
        <f>IFERROR(IF(AG145="Y",VLOOKUP(AK145,XS_Analyzer_Calculations!$R$5:$T$104,3,TRUE),0),0)</f>
        <v>0.1</v>
      </c>
      <c r="AS145" s="198">
        <f t="shared" si="21"/>
        <v>0.01</v>
      </c>
      <c r="AT145" s="18">
        <f t="shared" si="22"/>
        <v>4.9920067595547106</v>
      </c>
      <c r="AU145" s="38">
        <f>AT145*XS_Analyzer_Calculations!$I$7^0.5</f>
        <v>0.49920067595547107</v>
      </c>
      <c r="AV145" s="18">
        <f t="shared" si="58"/>
        <v>3.1226877845365251</v>
      </c>
      <c r="AW145" s="18">
        <f t="shared" si="23"/>
        <v>1.9008560180025422</v>
      </c>
      <c r="AX145" s="18">
        <f t="shared" si="24"/>
        <v>5</v>
      </c>
      <c r="AY145" s="32">
        <f t="shared" si="25"/>
        <v>3.552500000000006</v>
      </c>
      <c r="AZ145" s="18">
        <f>((AS145*AP145)/(1.65*XS_Analyzer!$Q$72))*12</f>
        <v>8.7535684976409094</v>
      </c>
      <c r="BA145" s="18">
        <f>(AW145/((1.65*62.4)*XS_Analyzer!$Q$73))*12</f>
        <v>4.9232220098485939</v>
      </c>
      <c r="BB145" s="18">
        <f t="shared" si="26"/>
        <v>7.0636157945122626</v>
      </c>
      <c r="BC145" s="38">
        <f t="shared" si="27"/>
        <v>10.778414636505108</v>
      </c>
      <c r="BD145" s="18">
        <f>IF(ISNUMBER(LININTERP(AW145,Permissible_Shear!$T$178:$T$188,Permissible_Shear!$V$178:$V$188)),LININTERP(AW145,Permissible_Shear!$T$178:$T$188,Permissible_Shear!$V$178:$V$188),0)</f>
        <v>6.1873552979841246</v>
      </c>
      <c r="BE145" s="18">
        <f>LININTERP(AW145,Permissible_Shear!$S$205:$S$222,Permissible_Shear!$V$205:$V$222)</f>
        <v>6.252675056257945</v>
      </c>
      <c r="BF145" s="18">
        <f>INDEX($AZ$3:$BE$204,ROW(BF145)-2,MATCH(XS_Analyzer!$S$5,XS_AnalyzerSummary!$AZ$2:$BE$2,0))</f>
        <v>7.0636157945122626</v>
      </c>
      <c r="BG145" s="26">
        <f t="shared" si="28"/>
        <v>0</v>
      </c>
      <c r="BH145" s="26">
        <f t="shared" si="29"/>
        <v>0</v>
      </c>
      <c r="BI145" s="26">
        <f t="shared" si="30"/>
        <v>3.1226877845365251</v>
      </c>
      <c r="BJ145" s="26">
        <f t="shared" si="31"/>
        <v>0</v>
      </c>
      <c r="BK145" s="26">
        <f t="shared" si="32"/>
        <v>0</v>
      </c>
      <c r="BL145" s="26">
        <f t="shared" si="33"/>
        <v>1.9008560180025422</v>
      </c>
      <c r="BM145" s="18">
        <f t="shared" si="34"/>
        <v>0</v>
      </c>
      <c r="BN145" s="18">
        <f t="shared" si="35"/>
        <v>0</v>
      </c>
      <c r="BO145" s="18">
        <f t="shared" si="36"/>
        <v>3.0462436185938175</v>
      </c>
    </row>
    <row r="146" spans="30:67">
      <c r="AD146" s="32">
        <v>142</v>
      </c>
      <c r="AE146" s="25" t="str">
        <f t="shared" si="13"/>
        <v>Right</v>
      </c>
      <c r="AF146" s="25" t="str">
        <f t="shared" si="14"/>
        <v>Channel</v>
      </c>
      <c r="AG146" s="32" t="str">
        <f>IF(XS_AnalyzerSummary!$AB$24&gt;=XS_AnalyzerSummary!AD146,"Y","N")</f>
        <v>Y</v>
      </c>
      <c r="AH146" s="38">
        <v>1</v>
      </c>
      <c r="AI146" s="38">
        <f>IF(AG146="Y",$O$19/XS_AnalyzerSummary!$AB$24,0)</f>
        <v>4.4999999999999998E-2</v>
      </c>
      <c r="AJ146" s="38">
        <f t="shared" si="15"/>
        <v>4.4999999999999998E-2</v>
      </c>
      <c r="AK146" s="93">
        <f t="shared" si="37"/>
        <v>7.4349999999999898</v>
      </c>
      <c r="AL146" s="93">
        <f>IF(AG146="Y",LININTERP(AK146,XS_Analyzer_Calculations!$AY$4:$AY$104,XS_Analyzer_Calculations!$AZ$4:$AZ$104),AL145)</f>
        <v>1.4609999999999939</v>
      </c>
      <c r="AM146" s="38">
        <f t="shared" si="16"/>
        <v>3.5390000000000059</v>
      </c>
      <c r="AN146" s="18">
        <f t="shared" si="17"/>
        <v>0.15864750000000027</v>
      </c>
      <c r="AO146" s="100">
        <f t="shared" si="18"/>
        <v>5.2478567053607483E-2</v>
      </c>
      <c r="AP146" s="100">
        <f t="shared" si="19"/>
        <v>3.0230913095995926</v>
      </c>
      <c r="AQ146" s="18">
        <f t="shared" si="20"/>
        <v>1.659518002312713E-3</v>
      </c>
      <c r="AR146" s="32">
        <f>IFERROR(IF(AG146="Y",VLOOKUP(AK146,XS_Analyzer_Calculations!$R$5:$T$104,3,TRUE),0),0)</f>
        <v>0.1</v>
      </c>
      <c r="AS146" s="198">
        <f t="shared" si="21"/>
        <v>0.01</v>
      </c>
      <c r="AT146" s="18">
        <f t="shared" si="22"/>
        <v>4.9289326673633456</v>
      </c>
      <c r="AU146" s="38">
        <f>AT146*XS_Analyzer_Calculations!$I$7^0.5</f>
        <v>0.4928932667363346</v>
      </c>
      <c r="AV146" s="18">
        <f t="shared" si="58"/>
        <v>3.1068454702175186</v>
      </c>
      <c r="AW146" s="18">
        <f t="shared" si="23"/>
        <v>1.8864089771901456</v>
      </c>
      <c r="AX146" s="18">
        <f t="shared" si="24"/>
        <v>5</v>
      </c>
      <c r="AY146" s="32">
        <f t="shared" si="25"/>
        <v>3.5255000000000063</v>
      </c>
      <c r="AZ146" s="18">
        <f>((AS146*AP146)/(1.65*XS_Analyzer!$Q$72))*12</f>
        <v>8.6870389130001886</v>
      </c>
      <c r="BA146" s="18">
        <f>(AW146/((1.65*62.4)*XS_Analyzer!$Q$73))*12</f>
        <v>4.8858041367266143</v>
      </c>
      <c r="BB146" s="18">
        <f t="shared" si="26"/>
        <v>7.0078961949524698</v>
      </c>
      <c r="BC146" s="38">
        <f t="shared" si="27"/>
        <v>10.718331023978855</v>
      </c>
      <c r="BD146" s="18">
        <f>IF(ISNUMBER(LININTERP(AW146,Permissible_Shear!$T$178:$T$188,Permissible_Shear!$V$178:$V$188)),LININTERP(AW146,Permissible_Shear!$T$178:$T$188,Permissible_Shear!$V$178:$V$188),0)</f>
        <v>6.1422288608789612</v>
      </c>
      <c r="BE146" s="18">
        <f>LININTERP(AW146,Permissible_Shear!$S$205:$S$222,Permissible_Shear!$V$205:$V$222)</f>
        <v>6.207528053719205</v>
      </c>
      <c r="BF146" s="18">
        <f>INDEX($AZ$3:$BE$204,ROW(BF146)-2,MATCH(XS_Analyzer!$S$5,XS_AnalyzerSummary!$AZ$2:$BE$2,0))</f>
        <v>7.0078961949524698</v>
      </c>
      <c r="BG146" s="26">
        <f t="shared" si="28"/>
        <v>0</v>
      </c>
      <c r="BH146" s="26">
        <f t="shared" si="29"/>
        <v>0</v>
      </c>
      <c r="BI146" s="26">
        <f t="shared" si="30"/>
        <v>3.1068454702175186</v>
      </c>
      <c r="BJ146" s="26">
        <f t="shared" si="31"/>
        <v>0</v>
      </c>
      <c r="BK146" s="26">
        <f t="shared" si="32"/>
        <v>0</v>
      </c>
      <c r="BL146" s="26">
        <f t="shared" si="33"/>
        <v>1.8864089771901456</v>
      </c>
      <c r="BM146" s="18">
        <f t="shared" si="34"/>
        <v>0</v>
      </c>
      <c r="BN146" s="18">
        <f t="shared" si="35"/>
        <v>0</v>
      </c>
      <c r="BO146" s="18">
        <f t="shared" si="36"/>
        <v>3.0230913095995926</v>
      </c>
    </row>
    <row r="147" spans="30:67">
      <c r="AD147" s="32">
        <v>143</v>
      </c>
      <c r="AE147" s="25" t="str">
        <f t="shared" si="13"/>
        <v>Right</v>
      </c>
      <c r="AF147" s="25" t="str">
        <f t="shared" si="14"/>
        <v>Channel</v>
      </c>
      <c r="AG147" s="32" t="str">
        <f>IF(XS_AnalyzerSummary!$AB$24&gt;=XS_AnalyzerSummary!AD147,"Y","N")</f>
        <v>Y</v>
      </c>
      <c r="AH147" s="38">
        <v>1</v>
      </c>
      <c r="AI147" s="38">
        <f>IF(AG147="Y",$O$19/XS_AnalyzerSummary!$AB$24,0)</f>
        <v>4.4999999999999998E-2</v>
      </c>
      <c r="AJ147" s="38">
        <f t="shared" si="15"/>
        <v>4.4999999999999998E-2</v>
      </c>
      <c r="AK147" s="93">
        <f t="shared" si="37"/>
        <v>7.4799999999999898</v>
      </c>
      <c r="AL147" s="93">
        <f>IF(AG147="Y",LININTERP(AK147,XS_Analyzer_Calculations!$AY$4:$AY$104,XS_Analyzer_Calculations!$AZ$4:$AZ$104),AL146)</f>
        <v>1.4879999999999938</v>
      </c>
      <c r="AM147" s="38">
        <f t="shared" si="16"/>
        <v>3.5120000000000062</v>
      </c>
      <c r="AN147" s="18">
        <f t="shared" si="17"/>
        <v>0.15743250000000028</v>
      </c>
      <c r="AO147" s="100">
        <f t="shared" si="18"/>
        <v>5.2478567053607719E-2</v>
      </c>
      <c r="AP147" s="100">
        <f t="shared" si="19"/>
        <v>2.9999390006053401</v>
      </c>
      <c r="AQ147" s="18">
        <f t="shared" si="20"/>
        <v>1.6595180023127203E-3</v>
      </c>
      <c r="AR147" s="32">
        <f>IFERROR(IF(AG147="Y",VLOOKUP(AK147,XS_Analyzer_Calculations!$R$5:$T$104,3,TRUE),0),0)</f>
        <v>0.1</v>
      </c>
      <c r="AS147" s="198">
        <f t="shared" si="21"/>
        <v>0.01</v>
      </c>
      <c r="AT147" s="18">
        <f t="shared" si="22"/>
        <v>4.8661797913495022</v>
      </c>
      <c r="AU147" s="38">
        <f>AT147*XS_Analyzer_Calculations!$I$7^0.5</f>
        <v>0.48661797913495025</v>
      </c>
      <c r="AV147" s="18">
        <f t="shared" si="58"/>
        <v>3.0909626610448884</v>
      </c>
      <c r="AW147" s="18">
        <f t="shared" si="23"/>
        <v>1.871961936377732</v>
      </c>
      <c r="AX147" s="18">
        <f t="shared" si="24"/>
        <v>5</v>
      </c>
      <c r="AY147" s="32">
        <f t="shared" si="25"/>
        <v>3.4985000000000062</v>
      </c>
      <c r="AZ147" s="18">
        <f>((AS147*AP147)/(1.65*XS_Analyzer!$Q$72))*12</f>
        <v>8.6205093283593879</v>
      </c>
      <c r="BA147" s="18">
        <f>(AW147/((1.65*62.4)*XS_Analyzer!$Q$73))*12</f>
        <v>4.8483862636045902</v>
      </c>
      <c r="BB147" s="18">
        <f t="shared" si="26"/>
        <v>6.9521944469054118</v>
      </c>
      <c r="BC147" s="38">
        <f t="shared" si="27"/>
        <v>10.658126042402147</v>
      </c>
      <c r="BD147" s="18">
        <f>IF(ISNUMBER(LININTERP(AW147,Permissible_Shear!$T$178:$T$188,Permissible_Shear!$V$178:$V$188)),LININTERP(AW147,Permissible_Shear!$T$178:$T$188,Permissible_Shear!$V$178:$V$188),0)</f>
        <v>6.0971024237737463</v>
      </c>
      <c r="BE147" s="18">
        <f>LININTERP(AW147,Permissible_Shear!$S$205:$S$222,Permissible_Shear!$V$205:$V$222)</f>
        <v>6.1623810511804127</v>
      </c>
      <c r="BF147" s="18">
        <f>INDEX($AZ$3:$BE$204,ROW(BF147)-2,MATCH(XS_Analyzer!$S$5,XS_AnalyzerSummary!$AZ$2:$BE$2,0))</f>
        <v>6.9521944469054118</v>
      </c>
      <c r="BG147" s="26">
        <f t="shared" si="28"/>
        <v>0</v>
      </c>
      <c r="BH147" s="26">
        <f t="shared" si="29"/>
        <v>0</v>
      </c>
      <c r="BI147" s="26">
        <f t="shared" si="30"/>
        <v>3.0909626610448884</v>
      </c>
      <c r="BJ147" s="26">
        <f t="shared" si="31"/>
        <v>0</v>
      </c>
      <c r="BK147" s="26">
        <f t="shared" si="32"/>
        <v>0</v>
      </c>
      <c r="BL147" s="26">
        <f t="shared" si="33"/>
        <v>1.871961936377732</v>
      </c>
      <c r="BM147" s="18">
        <f t="shared" si="34"/>
        <v>0</v>
      </c>
      <c r="BN147" s="18">
        <f t="shared" si="35"/>
        <v>0</v>
      </c>
      <c r="BO147" s="18">
        <f t="shared" si="36"/>
        <v>2.9999390006053401</v>
      </c>
    </row>
    <row r="148" spans="30:67">
      <c r="AD148" s="32">
        <v>144</v>
      </c>
      <c r="AE148" s="25" t="str">
        <f t="shared" si="13"/>
        <v>Right</v>
      </c>
      <c r="AF148" s="25" t="str">
        <f t="shared" si="14"/>
        <v>Channel</v>
      </c>
      <c r="AG148" s="32" t="str">
        <f>IF(XS_AnalyzerSummary!$AB$24&gt;=XS_AnalyzerSummary!AD148,"Y","N")</f>
        <v>Y</v>
      </c>
      <c r="AH148" s="38">
        <v>1</v>
      </c>
      <c r="AI148" s="38">
        <f>IF(AG148="Y",$O$19/XS_AnalyzerSummary!$AB$24,0)</f>
        <v>4.4999999999999998E-2</v>
      </c>
      <c r="AJ148" s="38">
        <f t="shared" si="15"/>
        <v>4.4999999999999998E-2</v>
      </c>
      <c r="AK148" s="93">
        <f t="shared" si="37"/>
        <v>7.5249999999999897</v>
      </c>
      <c r="AL148" s="93">
        <f>IF(AG148="Y",LININTERP(AK148,XS_Analyzer_Calculations!$AY$4:$AY$104,XS_Analyzer_Calculations!$AZ$4:$AZ$104),AL147)</f>
        <v>1.5149999999999939</v>
      </c>
      <c r="AM148" s="38">
        <f t="shared" si="16"/>
        <v>3.4850000000000061</v>
      </c>
      <c r="AN148" s="18">
        <f t="shared" si="17"/>
        <v>0.15621750000000026</v>
      </c>
      <c r="AO148" s="100">
        <f t="shared" si="18"/>
        <v>5.2478567053607483E-2</v>
      </c>
      <c r="AP148" s="100">
        <f t="shared" si="19"/>
        <v>2.9767866916111148</v>
      </c>
      <c r="AQ148" s="18">
        <f t="shared" si="20"/>
        <v>1.659518002312713E-3</v>
      </c>
      <c r="AR148" s="32">
        <f>IFERROR(IF(AG148="Y",VLOOKUP(AK148,XS_Analyzer_Calculations!$R$5:$T$104,3,TRUE),0),0)</f>
        <v>0.1</v>
      </c>
      <c r="AS148" s="198">
        <f t="shared" si="21"/>
        <v>0.01</v>
      </c>
      <c r="AT148" s="18">
        <f t="shared" si="22"/>
        <v>4.8037489557459638</v>
      </c>
      <c r="AU148" s="38">
        <f>AT148*XS_Analyzer_Calculations!$I$7^0.5</f>
        <v>0.48037489557459639</v>
      </c>
      <c r="AV148" s="18">
        <f t="shared" si="58"/>
        <v>3.0750389397768854</v>
      </c>
      <c r="AW148" s="18">
        <f t="shared" si="23"/>
        <v>1.8575148955653356</v>
      </c>
      <c r="AX148" s="18">
        <f t="shared" si="24"/>
        <v>5</v>
      </c>
      <c r="AY148" s="32">
        <f t="shared" si="25"/>
        <v>3.471500000000006</v>
      </c>
      <c r="AZ148" s="18">
        <f>((AS148*AP148)/(1.65*XS_Analyzer!$Q$72))*12</f>
        <v>8.5539797437186653</v>
      </c>
      <c r="BA148" s="18">
        <f>(AW148/((1.65*62.4)*XS_Analyzer!$Q$73))*12</f>
        <v>4.8109683904826106</v>
      </c>
      <c r="BB148" s="18">
        <f t="shared" si="26"/>
        <v>6.8965106818294419</v>
      </c>
      <c r="BC148" s="38">
        <f t="shared" si="27"/>
        <v>10.59779851067622</v>
      </c>
      <c r="BD148" s="18">
        <f>IF(ISNUMBER(LININTERP(AW148,Permissible_Shear!$T$178:$T$188,Permissible_Shear!$V$178:$V$188)),LININTERP(AW148,Permissible_Shear!$T$178:$T$188,Permissible_Shear!$V$178:$V$188),0)</f>
        <v>6.0519759866685838</v>
      </c>
      <c r="BE148" s="18">
        <f>LININTERP(AW148,Permissible_Shear!$S$205:$S$222,Permissible_Shear!$V$205:$V$222)</f>
        <v>6.1172340486416736</v>
      </c>
      <c r="BF148" s="18">
        <f>INDEX($AZ$3:$BE$204,ROW(BF148)-2,MATCH(XS_Analyzer!$S$5,XS_AnalyzerSummary!$AZ$2:$BE$2,0))</f>
        <v>6.8965106818294419</v>
      </c>
      <c r="BG148" s="26">
        <f t="shared" si="28"/>
        <v>0</v>
      </c>
      <c r="BH148" s="26">
        <f t="shared" si="29"/>
        <v>0</v>
      </c>
      <c r="BI148" s="26">
        <f t="shared" si="30"/>
        <v>3.0750389397768854</v>
      </c>
      <c r="BJ148" s="26">
        <f t="shared" si="31"/>
        <v>0</v>
      </c>
      <c r="BK148" s="26">
        <f t="shared" si="32"/>
        <v>0</v>
      </c>
      <c r="BL148" s="26">
        <f t="shared" si="33"/>
        <v>1.8575148955653356</v>
      </c>
      <c r="BM148" s="18">
        <f t="shared" si="34"/>
        <v>0</v>
      </c>
      <c r="BN148" s="18">
        <f t="shared" si="35"/>
        <v>0</v>
      </c>
      <c r="BO148" s="18">
        <f t="shared" si="36"/>
        <v>2.9767866916111148</v>
      </c>
    </row>
    <row r="149" spans="30:67">
      <c r="AD149" s="32">
        <v>145</v>
      </c>
      <c r="AE149" s="25" t="str">
        <f t="shared" si="13"/>
        <v>Right</v>
      </c>
      <c r="AF149" s="25" t="str">
        <f t="shared" si="14"/>
        <v>Channel</v>
      </c>
      <c r="AG149" s="32" t="str">
        <f>IF(XS_AnalyzerSummary!$AB$24&gt;=XS_AnalyzerSummary!AD149,"Y","N")</f>
        <v>Y</v>
      </c>
      <c r="AH149" s="38">
        <v>1</v>
      </c>
      <c r="AI149" s="38">
        <f>IF(AG149="Y",$O$19/XS_AnalyzerSummary!$AB$24,0)</f>
        <v>4.4999999999999998E-2</v>
      </c>
      <c r="AJ149" s="38">
        <f t="shared" si="15"/>
        <v>4.4999999999999998E-2</v>
      </c>
      <c r="AK149" s="93">
        <f t="shared" si="37"/>
        <v>7.5699999999999896</v>
      </c>
      <c r="AL149" s="93">
        <f>IF(AG149="Y",LININTERP(AK149,XS_Analyzer_Calculations!$AY$4:$AY$104,XS_Analyzer_Calculations!$AZ$4:$AZ$104),AL148)</f>
        <v>1.5419999999999938</v>
      </c>
      <c r="AM149" s="38">
        <f t="shared" si="16"/>
        <v>3.4580000000000064</v>
      </c>
      <c r="AN149" s="18">
        <f t="shared" si="17"/>
        <v>0.15500250000000029</v>
      </c>
      <c r="AO149" s="100">
        <f t="shared" si="18"/>
        <v>5.2478567053607719E-2</v>
      </c>
      <c r="AP149" s="100">
        <f t="shared" si="19"/>
        <v>2.9536343826168632</v>
      </c>
      <c r="AQ149" s="18">
        <f t="shared" si="20"/>
        <v>1.6595180023127203E-3</v>
      </c>
      <c r="AR149" s="32">
        <f>IFERROR(IF(AG149="Y",VLOOKUP(AK149,XS_Analyzer_Calculations!$R$5:$T$104,3,TRUE),0),0)</f>
        <v>0.1</v>
      </c>
      <c r="AS149" s="198">
        <f t="shared" si="21"/>
        <v>0.01</v>
      </c>
      <c r="AT149" s="18">
        <f t="shared" si="22"/>
        <v>4.7416409933109929</v>
      </c>
      <c r="AU149" s="38">
        <f>AT149*XS_Analyzer_Calculations!$I$7^0.5</f>
        <v>0.47416409933109932</v>
      </c>
      <c r="AV149" s="18">
        <f t="shared" si="58"/>
        <v>3.0590738815896414</v>
      </c>
      <c r="AW149" s="18">
        <f t="shared" si="23"/>
        <v>1.8430678547529227</v>
      </c>
      <c r="AX149" s="18">
        <f t="shared" si="24"/>
        <v>5</v>
      </c>
      <c r="AY149" s="32">
        <f t="shared" si="25"/>
        <v>3.4445000000000068</v>
      </c>
      <c r="AZ149" s="18">
        <f>((AS149*AP149)/(1.65*XS_Analyzer!$Q$72))*12</f>
        <v>8.4874501590778664</v>
      </c>
      <c r="BA149" s="18">
        <f>(AW149/((1.65*62.4)*XS_Analyzer!$Q$73))*12</f>
        <v>4.7735505173605883</v>
      </c>
      <c r="BB149" s="18">
        <f t="shared" si="26"/>
        <v>6.8408450331768256</v>
      </c>
      <c r="BC149" s="38">
        <f t="shared" si="27"/>
        <v>10.537347226959067</v>
      </c>
      <c r="BD149" s="18">
        <f>IF(ISNUMBER(LININTERP(AW149,Permissible_Shear!$T$178:$T$188,Permissible_Shear!$V$178:$V$188)),LININTERP(AW149,Permissible_Shear!$T$178:$T$188,Permissible_Shear!$V$178:$V$188),0)</f>
        <v>6.0068495495633698</v>
      </c>
      <c r="BE149" s="18">
        <f>LININTERP(AW149,Permissible_Shear!$S$205:$S$222,Permissible_Shear!$V$205:$V$222)</f>
        <v>6.0720870461028831</v>
      </c>
      <c r="BF149" s="18">
        <f>INDEX($AZ$3:$BE$204,ROW(BF149)-2,MATCH(XS_Analyzer!$S$5,XS_AnalyzerSummary!$AZ$2:$BE$2,0))</f>
        <v>6.8408450331768256</v>
      </c>
      <c r="BG149" s="26">
        <f t="shared" si="28"/>
        <v>0</v>
      </c>
      <c r="BH149" s="26">
        <f t="shared" si="29"/>
        <v>0</v>
      </c>
      <c r="BI149" s="26">
        <f t="shared" si="30"/>
        <v>3.0590738815896414</v>
      </c>
      <c r="BJ149" s="26">
        <f t="shared" si="31"/>
        <v>0</v>
      </c>
      <c r="BK149" s="26">
        <f t="shared" si="32"/>
        <v>0</v>
      </c>
      <c r="BL149" s="26">
        <f t="shared" si="33"/>
        <v>1.8430678547529227</v>
      </c>
      <c r="BM149" s="18">
        <f t="shared" si="34"/>
        <v>0</v>
      </c>
      <c r="BN149" s="18">
        <f t="shared" si="35"/>
        <v>0</v>
      </c>
      <c r="BO149" s="18">
        <f t="shared" si="36"/>
        <v>2.9536343826168632</v>
      </c>
    </row>
    <row r="150" spans="30:67">
      <c r="AD150" s="32">
        <v>146</v>
      </c>
      <c r="AE150" s="25" t="str">
        <f t="shared" si="13"/>
        <v>Right</v>
      </c>
      <c r="AF150" s="25" t="str">
        <f t="shared" si="14"/>
        <v>Channel</v>
      </c>
      <c r="AG150" s="32" t="str">
        <f>IF(XS_AnalyzerSummary!$AB$24&gt;=XS_AnalyzerSummary!AD150,"Y","N")</f>
        <v>Y</v>
      </c>
      <c r="AH150" s="38">
        <v>1</v>
      </c>
      <c r="AI150" s="38">
        <f>IF(AG150="Y",$O$19/XS_AnalyzerSummary!$AB$24,0)</f>
        <v>4.4999999999999998E-2</v>
      </c>
      <c r="AJ150" s="38">
        <f t="shared" si="15"/>
        <v>4.4999999999999998E-2</v>
      </c>
      <c r="AK150" s="93">
        <f t="shared" si="37"/>
        <v>7.6149999999999896</v>
      </c>
      <c r="AL150" s="93">
        <f>IF(AG150="Y",LININTERP(AK150,XS_Analyzer_Calculations!$AY$4:$AY$104,XS_Analyzer_Calculations!$AZ$4:$AZ$104),AL149)</f>
        <v>1.5689999999999937</v>
      </c>
      <c r="AM150" s="38">
        <f t="shared" si="16"/>
        <v>3.4310000000000063</v>
      </c>
      <c r="AN150" s="18">
        <f t="shared" si="17"/>
        <v>0.15378750000000027</v>
      </c>
      <c r="AO150" s="100">
        <f t="shared" si="18"/>
        <v>5.2478567053607719E-2</v>
      </c>
      <c r="AP150" s="100">
        <f t="shared" si="19"/>
        <v>2.930482073622624</v>
      </c>
      <c r="AQ150" s="18">
        <f t="shared" si="20"/>
        <v>1.6595180023127203E-3</v>
      </c>
      <c r="AR150" s="32">
        <f>IFERROR(IF(AG150="Y",VLOOKUP(AK150,XS_Analyzer_Calculations!$R$5:$T$104,3,TRUE),0),0)</f>
        <v>0.1</v>
      </c>
      <c r="AS150" s="198">
        <f t="shared" si="21"/>
        <v>0.01</v>
      </c>
      <c r="AT150" s="18">
        <f t="shared" si="22"/>
        <v>4.6798567454840567</v>
      </c>
      <c r="AU150" s="38">
        <f>AT150*XS_Analyzer_Calculations!$I$7^0.5</f>
        <v>0.46798567454840567</v>
      </c>
      <c r="AV150" s="18">
        <f t="shared" si="58"/>
        <v>3.0430670538789228</v>
      </c>
      <c r="AW150" s="18">
        <f t="shared" si="23"/>
        <v>1.8286208139405173</v>
      </c>
      <c r="AX150" s="18">
        <f t="shared" si="24"/>
        <v>5</v>
      </c>
      <c r="AY150" s="32">
        <f t="shared" si="25"/>
        <v>3.4175000000000062</v>
      </c>
      <c r="AZ150" s="18">
        <f>((AS150*AP150)/(1.65*XS_Analyzer!$Q$72))*12</f>
        <v>8.4209205744371047</v>
      </c>
      <c r="BA150" s="18">
        <f>(AW150/((1.65*62.4)*XS_Analyzer!$Q$73))*12</f>
        <v>4.7361326442385847</v>
      </c>
      <c r="BB150" s="18">
        <f t="shared" si="26"/>
        <v>6.7851976364397668</v>
      </c>
      <c r="BC150" s="38">
        <f t="shared" si="27"/>
        <v>10.476770968136114</v>
      </c>
      <c r="BD150" s="18">
        <f>IF(ISNUMBER(LININTERP(AW150,Permissible_Shear!$T$178:$T$188,Permissible_Shear!$V$178:$V$188)),LININTERP(AW150,Permissible_Shear!$T$178:$T$188,Permissible_Shear!$V$178:$V$188),0)</f>
        <v>5.9617231124581798</v>
      </c>
      <c r="BE150" s="18">
        <f>LININTERP(AW150,Permissible_Shear!$S$205:$S$222,Permissible_Shear!$V$205:$V$222)</f>
        <v>6.0269400435641174</v>
      </c>
      <c r="BF150" s="18">
        <f>INDEX($AZ$3:$BE$204,ROW(BF150)-2,MATCH(XS_Analyzer!$S$5,XS_AnalyzerSummary!$AZ$2:$BE$2,0))</f>
        <v>6.7851976364397668</v>
      </c>
      <c r="BG150" s="26">
        <f t="shared" si="28"/>
        <v>0</v>
      </c>
      <c r="BH150" s="26">
        <f t="shared" si="29"/>
        <v>0</v>
      </c>
      <c r="BI150" s="26">
        <f t="shared" si="30"/>
        <v>3.0430670538789228</v>
      </c>
      <c r="BJ150" s="26">
        <f t="shared" si="31"/>
        <v>0</v>
      </c>
      <c r="BK150" s="26">
        <f t="shared" si="32"/>
        <v>0</v>
      </c>
      <c r="BL150" s="26">
        <f t="shared" si="33"/>
        <v>1.8286208139405173</v>
      </c>
      <c r="BM150" s="18">
        <f t="shared" si="34"/>
        <v>0</v>
      </c>
      <c r="BN150" s="18">
        <f t="shared" si="35"/>
        <v>0</v>
      </c>
      <c r="BO150" s="18">
        <f t="shared" si="36"/>
        <v>2.930482073622624</v>
      </c>
    </row>
    <row r="151" spans="30:67">
      <c r="AD151" s="32">
        <v>147</v>
      </c>
      <c r="AE151" s="25" t="str">
        <f t="shared" si="13"/>
        <v>Right</v>
      </c>
      <c r="AF151" s="25" t="str">
        <f t="shared" si="14"/>
        <v>Channel</v>
      </c>
      <c r="AG151" s="32" t="str">
        <f>IF(XS_AnalyzerSummary!$AB$24&gt;=XS_AnalyzerSummary!AD151,"Y","N")</f>
        <v>Y</v>
      </c>
      <c r="AH151" s="38">
        <v>1</v>
      </c>
      <c r="AI151" s="38">
        <f>IF(AG151="Y",$O$19/XS_AnalyzerSummary!$AB$24,0)</f>
        <v>4.4999999999999998E-2</v>
      </c>
      <c r="AJ151" s="38">
        <f t="shared" si="15"/>
        <v>4.4999999999999998E-2</v>
      </c>
      <c r="AK151" s="93">
        <f t="shared" si="37"/>
        <v>7.6599999999999895</v>
      </c>
      <c r="AL151" s="93">
        <f>IF(AG151="Y",LININTERP(AK151,XS_Analyzer_Calculations!$AY$4:$AY$104,XS_Analyzer_Calculations!$AZ$4:$AZ$104),AL150)</f>
        <v>1.5959999999999936</v>
      </c>
      <c r="AM151" s="38">
        <f t="shared" si="16"/>
        <v>3.4040000000000061</v>
      </c>
      <c r="AN151" s="18">
        <f t="shared" si="17"/>
        <v>0.15257250000000028</v>
      </c>
      <c r="AO151" s="100">
        <f t="shared" si="18"/>
        <v>5.2478567053607483E-2</v>
      </c>
      <c r="AP151" s="100">
        <f t="shared" si="19"/>
        <v>2.9073297646283986</v>
      </c>
      <c r="AQ151" s="18">
        <f t="shared" si="20"/>
        <v>1.659518002312713E-3</v>
      </c>
      <c r="AR151" s="32">
        <f>IFERROR(IF(AG151="Y",VLOOKUP(AK151,XS_Analyzer_Calculations!$R$5:$T$104,3,TRUE),0),0)</f>
        <v>0.1</v>
      </c>
      <c r="AS151" s="198">
        <f t="shared" si="21"/>
        <v>0.01</v>
      </c>
      <c r="AT151" s="18">
        <f t="shared" si="22"/>
        <v>4.6183970625453314</v>
      </c>
      <c r="AU151" s="38">
        <f>AT151*XS_Analyzer_Calculations!$I$7^0.5</f>
        <v>0.46183970625453319</v>
      </c>
      <c r="AV151" s="18">
        <f t="shared" si="58"/>
        <v>3.0270180160548747</v>
      </c>
      <c r="AW151" s="18">
        <f t="shared" si="23"/>
        <v>1.8141737731281209</v>
      </c>
      <c r="AX151" s="18">
        <f t="shared" si="24"/>
        <v>5</v>
      </c>
      <c r="AY151" s="32">
        <f t="shared" si="25"/>
        <v>3.3905000000000065</v>
      </c>
      <c r="AZ151" s="18">
        <f>((AS151*AP151)/(1.65*XS_Analyzer!$Q$72))*12</f>
        <v>8.3543909897963804</v>
      </c>
      <c r="BA151" s="18">
        <f>(AW151/((1.65*62.4)*XS_Analyzer!$Q$73))*12</f>
        <v>4.6987147711166042</v>
      </c>
      <c r="BB151" s="18">
        <f t="shared" si="26"/>
        <v>6.7295686291979102</v>
      </c>
      <c r="BC151" s="38">
        <f t="shared" si="27"/>
        <v>10.416068489273179</v>
      </c>
      <c r="BD151" s="18">
        <f>IF(ISNUMBER(LININTERP(AW151,Permissible_Shear!$T$178:$T$188,Permissible_Shear!$V$178:$V$188)),LININTERP(AW151,Permissible_Shear!$T$178:$T$188,Permissible_Shear!$V$178:$V$188),0)</f>
        <v>5.9165966753530173</v>
      </c>
      <c r="BE151" s="18">
        <f>LININTERP(AW151,Permissible_Shear!$S$205:$S$222,Permissible_Shear!$V$205:$V$222)</f>
        <v>5.9817930410253783</v>
      </c>
      <c r="BF151" s="18">
        <f>INDEX($AZ$3:$BE$204,ROW(BF151)-2,MATCH(XS_Analyzer!$S$5,XS_AnalyzerSummary!$AZ$2:$BE$2,0))</f>
        <v>6.7295686291979102</v>
      </c>
      <c r="BG151" s="26">
        <f t="shared" si="28"/>
        <v>0</v>
      </c>
      <c r="BH151" s="26">
        <f t="shared" si="29"/>
        <v>0</v>
      </c>
      <c r="BI151" s="26">
        <f t="shared" si="30"/>
        <v>3.0270180160548747</v>
      </c>
      <c r="BJ151" s="26">
        <f t="shared" si="31"/>
        <v>0</v>
      </c>
      <c r="BK151" s="26">
        <f t="shared" si="32"/>
        <v>0</v>
      </c>
      <c r="BL151" s="26">
        <f t="shared" si="33"/>
        <v>1.8141737731281209</v>
      </c>
      <c r="BM151" s="18">
        <f t="shared" si="34"/>
        <v>0</v>
      </c>
      <c r="BN151" s="18">
        <f t="shared" si="35"/>
        <v>0</v>
      </c>
      <c r="BO151" s="18">
        <f t="shared" si="36"/>
        <v>2.9073297646283986</v>
      </c>
    </row>
    <row r="152" spans="30:67">
      <c r="AD152" s="32">
        <v>148</v>
      </c>
      <c r="AE152" s="25" t="str">
        <f t="shared" si="13"/>
        <v>Right</v>
      </c>
      <c r="AF152" s="25" t="str">
        <f t="shared" si="14"/>
        <v>Channel</v>
      </c>
      <c r="AG152" s="32" t="str">
        <f>IF(XS_AnalyzerSummary!$AB$24&gt;=XS_AnalyzerSummary!AD152,"Y","N")</f>
        <v>Y</v>
      </c>
      <c r="AH152" s="38">
        <v>1</v>
      </c>
      <c r="AI152" s="38">
        <f>IF(AG152="Y",$O$19/XS_AnalyzerSummary!$AB$24,0)</f>
        <v>4.4999999999999998E-2</v>
      </c>
      <c r="AJ152" s="38">
        <f t="shared" si="15"/>
        <v>4.4999999999999998E-2</v>
      </c>
      <c r="AK152" s="93">
        <f t="shared" si="37"/>
        <v>7.7049999999999894</v>
      </c>
      <c r="AL152" s="93">
        <f>IF(AG152="Y",LININTERP(AK152,XS_Analyzer_Calculations!$AY$4:$AY$104,XS_Analyzer_Calculations!$AZ$4:$AZ$104),AL151)</f>
        <v>1.6229999999999936</v>
      </c>
      <c r="AM152" s="38">
        <f t="shared" si="16"/>
        <v>3.3770000000000064</v>
      </c>
      <c r="AN152" s="18">
        <f t="shared" si="17"/>
        <v>0.15135750000000028</v>
      </c>
      <c r="AO152" s="100">
        <f t="shared" si="18"/>
        <v>5.2478567053607719E-2</v>
      </c>
      <c r="AP152" s="100">
        <f t="shared" si="19"/>
        <v>2.8841774556341471</v>
      </c>
      <c r="AQ152" s="18">
        <f t="shared" si="20"/>
        <v>1.6595180023127203E-3</v>
      </c>
      <c r="AR152" s="32">
        <f>IFERROR(IF(AG152="Y",VLOOKUP(AK152,XS_Analyzer_Calculations!$R$5:$T$104,3,TRUE),0),0)</f>
        <v>0.1</v>
      </c>
      <c r="AS152" s="198">
        <f t="shared" si="21"/>
        <v>0.01</v>
      </c>
      <c r="AT152" s="18">
        <f t="shared" si="22"/>
        <v>4.5572628037795244</v>
      </c>
      <c r="AU152" s="38">
        <f>AT152*XS_Analyzer_Calculations!$I$7^0.5</f>
        <v>0.45572628037795249</v>
      </c>
      <c r="AV152" s="18">
        <f t="shared" si="58"/>
        <v>3.0109263193297435</v>
      </c>
      <c r="AW152" s="18">
        <f t="shared" si="23"/>
        <v>1.7997267323157078</v>
      </c>
      <c r="AX152" s="18">
        <f t="shared" si="24"/>
        <v>5</v>
      </c>
      <c r="AY152" s="32">
        <f t="shared" si="25"/>
        <v>3.3635000000000064</v>
      </c>
      <c r="AZ152" s="18">
        <f>((AS152*AP152)/(1.65*XS_Analyzer!$Q$72))*12</f>
        <v>8.2878614051555815</v>
      </c>
      <c r="BA152" s="18">
        <f>(AW152/((1.65*62.4)*XS_Analyzer!$Q$73))*12</f>
        <v>4.6612968979945819</v>
      </c>
      <c r="BB152" s="18">
        <f t="shared" si="26"/>
        <v>6.6739581511672919</v>
      </c>
      <c r="BC152" s="38">
        <f t="shared" si="27"/>
        <v>10.355238523050831</v>
      </c>
      <c r="BD152" s="18">
        <f>IF(ISNUMBER(LININTERP(AW152,Permissible_Shear!$T$178:$T$188,Permissible_Shear!$V$178:$V$188)),LININTERP(AW152,Permissible_Shear!$T$178:$T$188,Permissible_Shear!$V$178:$V$188),0)</f>
        <v>5.8714702382478032</v>
      </c>
      <c r="BE152" s="18">
        <f>LININTERP(AW152,Permissible_Shear!$S$205:$S$222,Permissible_Shear!$V$205:$V$222)</f>
        <v>5.9366460384865878</v>
      </c>
      <c r="BF152" s="18">
        <f>INDEX($AZ$3:$BE$204,ROW(BF152)-2,MATCH(XS_Analyzer!$S$5,XS_AnalyzerSummary!$AZ$2:$BE$2,0))</f>
        <v>6.6739581511672919</v>
      </c>
      <c r="BG152" s="26">
        <f t="shared" si="28"/>
        <v>0</v>
      </c>
      <c r="BH152" s="26">
        <f t="shared" si="29"/>
        <v>0</v>
      </c>
      <c r="BI152" s="26">
        <f t="shared" si="30"/>
        <v>3.0109263193297435</v>
      </c>
      <c r="BJ152" s="26">
        <f t="shared" si="31"/>
        <v>0</v>
      </c>
      <c r="BK152" s="26">
        <f t="shared" si="32"/>
        <v>0</v>
      </c>
      <c r="BL152" s="26">
        <f t="shared" si="33"/>
        <v>1.7997267323157078</v>
      </c>
      <c r="BM152" s="18">
        <f t="shared" si="34"/>
        <v>0</v>
      </c>
      <c r="BN152" s="18">
        <f t="shared" si="35"/>
        <v>0</v>
      </c>
      <c r="BO152" s="18">
        <f t="shared" si="36"/>
        <v>2.8841774556341471</v>
      </c>
    </row>
    <row r="153" spans="30:67">
      <c r="AD153" s="32">
        <v>149</v>
      </c>
      <c r="AE153" s="25" t="str">
        <f t="shared" si="13"/>
        <v>Right</v>
      </c>
      <c r="AF153" s="25" t="str">
        <f t="shared" si="14"/>
        <v>Channel</v>
      </c>
      <c r="AG153" s="32" t="str">
        <f>IF(XS_AnalyzerSummary!$AB$24&gt;=XS_AnalyzerSummary!AD153,"Y","N")</f>
        <v>Y</v>
      </c>
      <c r="AH153" s="38">
        <v>1</v>
      </c>
      <c r="AI153" s="38">
        <f>IF(AG153="Y",$O$19/XS_AnalyzerSummary!$AB$24,0)</f>
        <v>4.4999999999999998E-2</v>
      </c>
      <c r="AJ153" s="38">
        <f t="shared" si="15"/>
        <v>4.4999999999999998E-2</v>
      </c>
      <c r="AK153" s="93">
        <f t="shared" si="37"/>
        <v>7.7499999999999893</v>
      </c>
      <c r="AL153" s="93">
        <f>IF(AG153="Y",LININTERP(AK153,XS_Analyzer_Calculations!$AY$4:$AY$104,XS_Analyzer_Calculations!$AZ$4:$AZ$104),AL152)</f>
        <v>1.6499999999999937</v>
      </c>
      <c r="AM153" s="38">
        <f t="shared" si="16"/>
        <v>3.3500000000000063</v>
      </c>
      <c r="AN153" s="18">
        <f t="shared" si="17"/>
        <v>0.15014250000000026</v>
      </c>
      <c r="AO153" s="100">
        <f t="shared" si="18"/>
        <v>5.2478567053607483E-2</v>
      </c>
      <c r="AP153" s="100">
        <f t="shared" si="19"/>
        <v>2.8610251466399208</v>
      </c>
      <c r="AQ153" s="18">
        <f t="shared" si="20"/>
        <v>1.659518002312713E-3</v>
      </c>
      <c r="AR153" s="32">
        <f>IFERROR(IF(AG153="Y",VLOOKUP(AK153,XS_Analyzer_Calculations!$R$5:$T$104,3,TRUE),0),0)</f>
        <v>0.1</v>
      </c>
      <c r="AS153" s="198">
        <f t="shared" si="21"/>
        <v>0.01</v>
      </c>
      <c r="AT153" s="18">
        <f t="shared" si="22"/>
        <v>4.4964548376442472</v>
      </c>
      <c r="AU153" s="38">
        <f>AT153*XS_Analyzer_Calculations!$I$7^0.5</f>
        <v>0.44964548376442476</v>
      </c>
      <c r="AV153" s="18">
        <f t="shared" si="58"/>
        <v>2.9947915064983199</v>
      </c>
      <c r="AW153" s="18">
        <f t="shared" si="23"/>
        <v>1.7852796915033105</v>
      </c>
      <c r="AX153" s="18">
        <f t="shared" si="24"/>
        <v>5</v>
      </c>
      <c r="AY153" s="32">
        <f t="shared" si="25"/>
        <v>3.3365000000000058</v>
      </c>
      <c r="AZ153" s="18">
        <f>((AS153*AP153)/(1.65*XS_Analyzer!$Q$72))*12</f>
        <v>8.2213318205148553</v>
      </c>
      <c r="BA153" s="18">
        <f>(AW153/((1.65*62.4)*XS_Analyzer!$Q$73))*12</f>
        <v>4.6238790248725996</v>
      </c>
      <c r="BB153" s="18">
        <f t="shared" si="26"/>
        <v>6.6183663442508669</v>
      </c>
      <c r="BC153" s="38">
        <f t="shared" si="27"/>
        <v>10.29427977917951</v>
      </c>
      <c r="BD153" s="18">
        <f>IF(ISNUMBER(LININTERP(AW153,Permissible_Shear!$T$178:$T$188,Permissible_Shear!$V$178:$V$188)),LININTERP(AW153,Permissible_Shear!$T$178:$T$188,Permissible_Shear!$V$178:$V$188),0)</f>
        <v>5.8263438011426381</v>
      </c>
      <c r="BE153" s="18">
        <f>LININTERP(AW153,Permissible_Shear!$S$205:$S$222,Permissible_Shear!$V$205:$V$222)</f>
        <v>5.8914990359478452</v>
      </c>
      <c r="BF153" s="18">
        <f>INDEX($AZ$3:$BE$204,ROW(BF153)-2,MATCH(XS_Analyzer!$S$5,XS_AnalyzerSummary!$AZ$2:$BE$2,0))</f>
        <v>6.6183663442508669</v>
      </c>
      <c r="BG153" s="26">
        <f t="shared" si="28"/>
        <v>0</v>
      </c>
      <c r="BH153" s="26">
        <f t="shared" si="29"/>
        <v>0</v>
      </c>
      <c r="BI153" s="26">
        <f t="shared" si="30"/>
        <v>2.9947915064983199</v>
      </c>
      <c r="BJ153" s="26">
        <f t="shared" si="31"/>
        <v>0</v>
      </c>
      <c r="BK153" s="26">
        <f t="shared" si="32"/>
        <v>0</v>
      </c>
      <c r="BL153" s="26">
        <f t="shared" si="33"/>
        <v>1.7852796915033105</v>
      </c>
      <c r="BM153" s="18">
        <f t="shared" si="34"/>
        <v>0</v>
      </c>
      <c r="BN153" s="18">
        <f t="shared" si="35"/>
        <v>0</v>
      </c>
      <c r="BO153" s="18">
        <f t="shared" si="36"/>
        <v>2.8610251466399208</v>
      </c>
    </row>
    <row r="154" spans="30:67">
      <c r="AD154" s="32">
        <v>150</v>
      </c>
      <c r="AE154" s="25" t="str">
        <f t="shared" si="13"/>
        <v>Right</v>
      </c>
      <c r="AF154" s="25" t="str">
        <f t="shared" si="14"/>
        <v>Channel</v>
      </c>
      <c r="AG154" s="32" t="str">
        <f>IF(XS_AnalyzerSummary!$AB$24&gt;=XS_AnalyzerSummary!AD154,"Y","N")</f>
        <v>Y</v>
      </c>
      <c r="AH154" s="38">
        <v>1</v>
      </c>
      <c r="AI154" s="38">
        <f>IF(AG154="Y",$O$19/XS_AnalyzerSummary!$AB$24,0)</f>
        <v>4.4999999999999998E-2</v>
      </c>
      <c r="AJ154" s="38">
        <f t="shared" si="15"/>
        <v>4.4999999999999998E-2</v>
      </c>
      <c r="AK154" s="93">
        <f t="shared" si="37"/>
        <v>7.7949999999999893</v>
      </c>
      <c r="AL154" s="93">
        <f>IF(AG154="Y",LININTERP(AK154,XS_Analyzer_Calculations!$AY$4:$AY$104,XS_Analyzer_Calculations!$AZ$4:$AZ$104),AL153)</f>
        <v>1.6769999999999936</v>
      </c>
      <c r="AM154" s="38">
        <f t="shared" si="16"/>
        <v>3.3230000000000066</v>
      </c>
      <c r="AN154" s="18">
        <f t="shared" si="17"/>
        <v>0.1489275000000003</v>
      </c>
      <c r="AO154" s="100">
        <f t="shared" si="18"/>
        <v>5.2478567053607719E-2</v>
      </c>
      <c r="AP154" s="100">
        <f t="shared" si="19"/>
        <v>2.8378728376456697</v>
      </c>
      <c r="AQ154" s="18">
        <f t="shared" si="20"/>
        <v>1.6595180023127203E-3</v>
      </c>
      <c r="AR154" s="32">
        <f>IFERROR(IF(AG154="Y",VLOOKUP(AK154,XS_Analyzer_Calculations!$R$5:$T$104,3,TRUE),0),0)</f>
        <v>0.1</v>
      </c>
      <c r="AS154" s="198">
        <f t="shared" si="21"/>
        <v>0.01</v>
      </c>
      <c r="AT154" s="18">
        <f t="shared" si="22"/>
        <v>4.4359740419425506</v>
      </c>
      <c r="AU154" s="38">
        <f>AT154*XS_Analyzer_Calculations!$I$7^0.5</f>
        <v>0.44359740419425508</v>
      </c>
      <c r="AV154" s="18">
        <f t="shared" si="58"/>
        <v>2.9786131117104242</v>
      </c>
      <c r="AW154" s="18">
        <f t="shared" si="23"/>
        <v>1.7708326506908978</v>
      </c>
      <c r="AX154" s="18">
        <f t="shared" si="24"/>
        <v>5</v>
      </c>
      <c r="AY154" s="32">
        <f t="shared" si="25"/>
        <v>3.3095000000000065</v>
      </c>
      <c r="AZ154" s="18">
        <f>((AS154*AP154)/(1.65*XS_Analyzer!$Q$72))*12</f>
        <v>8.1548022358740599</v>
      </c>
      <c r="BA154" s="18">
        <f>(AW154/((1.65*62.4)*XS_Analyzer!$Q$73))*12</f>
        <v>4.5864611517505782</v>
      </c>
      <c r="BB154" s="18">
        <f t="shared" si="26"/>
        <v>6.5627933525906457</v>
      </c>
      <c r="BC154" s="38">
        <f t="shared" si="27"/>
        <v>10.23319094379449</v>
      </c>
      <c r="BD154" s="18">
        <f>IF(ISNUMBER(LININTERP(AW154,Permissible_Shear!$T$178:$T$188,Permissible_Shear!$V$178:$V$188)),LININTERP(AW154,Permissible_Shear!$T$178:$T$188,Permissible_Shear!$V$178:$V$188),0)</f>
        <v>5.7812173640374249</v>
      </c>
      <c r="BE154" s="18">
        <f>LININTERP(AW154,Permissible_Shear!$S$205:$S$222,Permissible_Shear!$V$205:$V$222)</f>
        <v>5.8463520334090564</v>
      </c>
      <c r="BF154" s="18">
        <f>INDEX($AZ$3:$BE$204,ROW(BF154)-2,MATCH(XS_Analyzer!$S$5,XS_AnalyzerSummary!$AZ$2:$BE$2,0))</f>
        <v>6.5627933525906457</v>
      </c>
      <c r="BG154" s="26">
        <f t="shared" si="28"/>
        <v>0</v>
      </c>
      <c r="BH154" s="26">
        <f t="shared" si="29"/>
        <v>0</v>
      </c>
      <c r="BI154" s="26">
        <f t="shared" si="30"/>
        <v>2.9786131117104242</v>
      </c>
      <c r="BJ154" s="26">
        <f t="shared" si="31"/>
        <v>0</v>
      </c>
      <c r="BK154" s="26">
        <f t="shared" si="32"/>
        <v>0</v>
      </c>
      <c r="BL154" s="26">
        <f t="shared" si="33"/>
        <v>1.7708326506908978</v>
      </c>
      <c r="BM154" s="18">
        <f t="shared" si="34"/>
        <v>0</v>
      </c>
      <c r="BN154" s="18">
        <f t="shared" si="35"/>
        <v>0</v>
      </c>
      <c r="BO154" s="18">
        <f t="shared" si="36"/>
        <v>2.8378728376456697</v>
      </c>
    </row>
    <row r="155" spans="30:67">
      <c r="AD155" s="32">
        <v>151</v>
      </c>
      <c r="AE155" s="25" t="str">
        <f t="shared" si="13"/>
        <v>Right</v>
      </c>
      <c r="AF155" s="25" t="str">
        <f t="shared" si="14"/>
        <v>Channel</v>
      </c>
      <c r="AG155" s="32" t="str">
        <f>IF(XS_AnalyzerSummary!$AB$24&gt;=XS_AnalyzerSummary!AD155,"Y","N")</f>
        <v>Y</v>
      </c>
      <c r="AH155" s="38">
        <v>1</v>
      </c>
      <c r="AI155" s="38">
        <f>IF(AG155="Y",$O$19/XS_AnalyzerSummary!$AB$24,0)</f>
        <v>4.4999999999999998E-2</v>
      </c>
      <c r="AJ155" s="38">
        <f t="shared" si="15"/>
        <v>4.4999999999999998E-2</v>
      </c>
      <c r="AK155" s="93">
        <f t="shared" si="37"/>
        <v>7.8399999999999892</v>
      </c>
      <c r="AL155" s="93">
        <f>IF(AG155="Y",LININTERP(AK155,XS_Analyzer_Calculations!$AY$4:$AY$104,XS_Analyzer_Calculations!$AZ$4:$AZ$104),AL154)</f>
        <v>1.7039999999999935</v>
      </c>
      <c r="AM155" s="38">
        <f t="shared" si="16"/>
        <v>3.2960000000000065</v>
      </c>
      <c r="AN155" s="18">
        <f t="shared" si="17"/>
        <v>0.14771250000000027</v>
      </c>
      <c r="AO155" s="100">
        <f t="shared" si="18"/>
        <v>5.2478567053607719E-2</v>
      </c>
      <c r="AP155" s="100">
        <f t="shared" si="19"/>
        <v>2.8147205286514305</v>
      </c>
      <c r="AQ155" s="18">
        <f t="shared" si="20"/>
        <v>1.6595180023127203E-3</v>
      </c>
      <c r="AR155" s="32">
        <f>IFERROR(IF(AG155="Y",VLOOKUP(AK155,XS_Analyzer_Calculations!$R$5:$T$104,3,TRUE),0),0)</f>
        <v>0.1</v>
      </c>
      <c r="AS155" s="198">
        <f t="shared" si="21"/>
        <v>0.01</v>
      </c>
      <c r="AT155" s="18">
        <f t="shared" si="22"/>
        <v>4.3758213040005449</v>
      </c>
      <c r="AU155" s="38">
        <f>AT155*XS_Analyzer_Calculations!$I$7^0.5</f>
        <v>0.4375821304000545</v>
      </c>
      <c r="AV155" s="18">
        <f t="shared" si="58"/>
        <v>2.9623906602356178</v>
      </c>
      <c r="AW155" s="18">
        <f t="shared" si="23"/>
        <v>1.7563856098784927</v>
      </c>
      <c r="AX155" s="18">
        <f t="shared" si="24"/>
        <v>5</v>
      </c>
      <c r="AY155" s="32">
        <f t="shared" si="25"/>
        <v>3.2825000000000064</v>
      </c>
      <c r="AZ155" s="18">
        <f>((AS155*AP155)/(1.65*XS_Analyzer!$Q$72))*12</f>
        <v>8.0882726512332983</v>
      </c>
      <c r="BA155" s="18">
        <f>(AW155/((1.65*62.4)*XS_Analyzer!$Q$73))*12</f>
        <v>4.5490432786285746</v>
      </c>
      <c r="BB155" s="18">
        <f t="shared" si="26"/>
        <v>6.5072393226214871</v>
      </c>
      <c r="BC155" s="38">
        <f t="shared" si="27"/>
        <v>10.17197067882984</v>
      </c>
      <c r="BD155" s="18">
        <f>IF(ISNUMBER(LININTERP(AW155,Permissible_Shear!$T$178:$T$188,Permissible_Shear!$V$178:$V$188)),LININTERP(AW155,Permissible_Shear!$T$178:$T$188,Permissible_Shear!$V$178:$V$188),0)</f>
        <v>5.7360909269322358</v>
      </c>
      <c r="BE155" s="18">
        <f>LININTERP(AW155,Permissible_Shear!$S$205:$S$222,Permissible_Shear!$V$205:$V$222)</f>
        <v>5.8012050308702898</v>
      </c>
      <c r="BF155" s="18">
        <f>INDEX($AZ$3:$BE$204,ROW(BF155)-2,MATCH(XS_Analyzer!$S$5,XS_AnalyzerSummary!$AZ$2:$BE$2,0))</f>
        <v>6.5072393226214871</v>
      </c>
      <c r="BG155" s="26">
        <f t="shared" si="28"/>
        <v>0</v>
      </c>
      <c r="BH155" s="26">
        <f t="shared" si="29"/>
        <v>0</v>
      </c>
      <c r="BI155" s="26">
        <f t="shared" si="30"/>
        <v>2.9623906602356178</v>
      </c>
      <c r="BJ155" s="26">
        <f t="shared" si="31"/>
        <v>0</v>
      </c>
      <c r="BK155" s="26">
        <f t="shared" si="32"/>
        <v>0</v>
      </c>
      <c r="BL155" s="26">
        <f t="shared" si="33"/>
        <v>1.7563856098784927</v>
      </c>
      <c r="BM155" s="18">
        <f t="shared" si="34"/>
        <v>0</v>
      </c>
      <c r="BN155" s="18">
        <f t="shared" si="35"/>
        <v>0</v>
      </c>
      <c r="BO155" s="18">
        <f t="shared" si="36"/>
        <v>2.8147205286514305</v>
      </c>
    </row>
    <row r="156" spans="30:67">
      <c r="AD156" s="32">
        <v>152</v>
      </c>
      <c r="AE156" s="25" t="str">
        <f t="shared" si="13"/>
        <v>Right</v>
      </c>
      <c r="AF156" s="25" t="str">
        <f t="shared" si="14"/>
        <v>Channel</v>
      </c>
      <c r="AG156" s="32" t="str">
        <f>IF(XS_AnalyzerSummary!$AB$24&gt;=XS_AnalyzerSummary!AD156,"Y","N")</f>
        <v>Y</v>
      </c>
      <c r="AH156" s="38">
        <v>1</v>
      </c>
      <c r="AI156" s="38">
        <f>IF(AG156="Y",$O$19/XS_AnalyzerSummary!$AB$24,0)</f>
        <v>4.4999999999999998E-2</v>
      </c>
      <c r="AJ156" s="38">
        <f t="shared" si="15"/>
        <v>4.4999999999999998E-2</v>
      </c>
      <c r="AK156" s="93">
        <f t="shared" si="37"/>
        <v>7.8849999999999891</v>
      </c>
      <c r="AL156" s="93">
        <f>IF(AG156="Y",LININTERP(AK156,XS_Analyzer_Calculations!$AY$4:$AY$104,XS_Analyzer_Calculations!$AZ$4:$AZ$104),AL155)</f>
        <v>1.7309999999999934</v>
      </c>
      <c r="AM156" s="38">
        <f t="shared" si="16"/>
        <v>3.2690000000000063</v>
      </c>
      <c r="AN156" s="18">
        <f t="shared" si="17"/>
        <v>0.14649750000000031</v>
      </c>
      <c r="AO156" s="100">
        <f t="shared" si="18"/>
        <v>5.2478567053607483E-2</v>
      </c>
      <c r="AP156" s="100">
        <f t="shared" si="19"/>
        <v>2.7915682196572051</v>
      </c>
      <c r="AQ156" s="18">
        <f t="shared" si="20"/>
        <v>1.659518002312713E-3</v>
      </c>
      <c r="AR156" s="32">
        <f>IFERROR(IF(AG156="Y",VLOOKUP(AK156,XS_Analyzer_Calculations!$R$5:$T$104,3,TRUE),0),0)</f>
        <v>0.1</v>
      </c>
      <c r="AS156" s="198">
        <f t="shared" si="21"/>
        <v>0.01</v>
      </c>
      <c r="AT156" s="18">
        <f t="shared" si="22"/>
        <v>4.3159975208495682</v>
      </c>
      <c r="AU156" s="38">
        <f>AT156*XS_Analyzer_Calculations!$I$7^0.5</f>
        <v>0.43159975208495682</v>
      </c>
      <c r="AV156" s="18">
        <f t="shared" si="58"/>
        <v>2.9461236682192933</v>
      </c>
      <c r="AW156" s="18">
        <f t="shared" si="23"/>
        <v>1.741938569066096</v>
      </c>
      <c r="AX156" s="18">
        <f t="shared" si="24"/>
        <v>5</v>
      </c>
      <c r="AY156" s="32">
        <f t="shared" si="25"/>
        <v>3.2555000000000072</v>
      </c>
      <c r="AZ156" s="18">
        <f>((AS156*AP156)/(1.65*XS_Analyzer!$Q$72))*12</f>
        <v>8.021743066592574</v>
      </c>
      <c r="BA156" s="18">
        <f>(AW156/((1.65*62.4)*XS_Analyzer!$Q$73))*12</f>
        <v>4.5116254055065941</v>
      </c>
      <c r="BB156" s="18">
        <f t="shared" si="26"/>
        <v>6.4517044031266639</v>
      </c>
      <c r="BC156" s="38">
        <f t="shared" si="27"/>
        <v>10.110617621370533</v>
      </c>
      <c r="BD156" s="18">
        <f>IF(ISNUMBER(LININTERP(AW156,Permissible_Shear!$T$178:$T$188,Permissible_Shear!$V$178:$V$188)),LININTERP(AW156,Permissible_Shear!$T$178:$T$188,Permissible_Shear!$V$178:$V$188),0)</f>
        <v>5.6909644898270724</v>
      </c>
      <c r="BE156" s="18">
        <f>LININTERP(AW156,Permissible_Shear!$S$205:$S$222,Permissible_Shear!$V$205:$V$222)</f>
        <v>5.7560580283315499</v>
      </c>
      <c r="BF156" s="18">
        <f>INDEX($AZ$3:$BE$204,ROW(BF156)-2,MATCH(XS_Analyzer!$S$5,XS_AnalyzerSummary!$AZ$2:$BE$2,0))</f>
        <v>6.4517044031266639</v>
      </c>
      <c r="BG156" s="26">
        <f t="shared" si="28"/>
        <v>0</v>
      </c>
      <c r="BH156" s="26">
        <f t="shared" si="29"/>
        <v>0</v>
      </c>
      <c r="BI156" s="26">
        <f t="shared" si="30"/>
        <v>2.9461236682192933</v>
      </c>
      <c r="BJ156" s="26">
        <f t="shared" si="31"/>
        <v>0</v>
      </c>
      <c r="BK156" s="26">
        <f t="shared" si="32"/>
        <v>0</v>
      </c>
      <c r="BL156" s="26">
        <f t="shared" si="33"/>
        <v>1.741938569066096</v>
      </c>
      <c r="BM156" s="18">
        <f t="shared" si="34"/>
        <v>0</v>
      </c>
      <c r="BN156" s="18">
        <f t="shared" si="35"/>
        <v>0</v>
      </c>
      <c r="BO156" s="18">
        <f t="shared" si="36"/>
        <v>2.7915682196572051</v>
      </c>
    </row>
    <row r="157" spans="30:67">
      <c r="AD157" s="32">
        <v>153</v>
      </c>
      <c r="AE157" s="25" t="str">
        <f t="shared" si="13"/>
        <v>Right</v>
      </c>
      <c r="AF157" s="25" t="str">
        <f t="shared" si="14"/>
        <v>Channel</v>
      </c>
      <c r="AG157" s="32" t="str">
        <f>IF(XS_AnalyzerSummary!$AB$24&gt;=XS_AnalyzerSummary!AD157,"Y","N")</f>
        <v>Y</v>
      </c>
      <c r="AH157" s="38">
        <v>1</v>
      </c>
      <c r="AI157" s="38">
        <f>IF(AG157="Y",$O$19/XS_AnalyzerSummary!$AB$24,0)</f>
        <v>4.4999999999999998E-2</v>
      </c>
      <c r="AJ157" s="38">
        <f t="shared" si="15"/>
        <v>4.4999999999999998E-2</v>
      </c>
      <c r="AK157" s="93">
        <f t="shared" si="37"/>
        <v>7.9299999999999891</v>
      </c>
      <c r="AL157" s="93">
        <f>IF(AG157="Y",LININTERP(AK157,XS_Analyzer_Calculations!$AY$4:$AY$104,XS_Analyzer_Calculations!$AZ$4:$AZ$104),AL156)</f>
        <v>1.7579999999999933</v>
      </c>
      <c r="AM157" s="38">
        <f t="shared" si="16"/>
        <v>3.2420000000000067</v>
      </c>
      <c r="AN157" s="18">
        <f t="shared" si="17"/>
        <v>0.14528250000000029</v>
      </c>
      <c r="AO157" s="100">
        <f t="shared" si="18"/>
        <v>5.2478567053607719E-2</v>
      </c>
      <c r="AP157" s="100">
        <f t="shared" si="19"/>
        <v>2.7684159106629536</v>
      </c>
      <c r="AQ157" s="18">
        <f t="shared" si="20"/>
        <v>1.6595180023127203E-3</v>
      </c>
      <c r="AR157" s="32">
        <f>IFERROR(IF(AG157="Y",VLOOKUP(AK157,XS_Analyzer_Calculations!$R$5:$T$104,3,TRUE),0),0)</f>
        <v>0.1</v>
      </c>
      <c r="AS157" s="198">
        <f t="shared" si="21"/>
        <v>0.01</v>
      </c>
      <c r="AT157" s="18">
        <f t="shared" si="22"/>
        <v>4.256503599413465</v>
      </c>
      <c r="AU157" s="38">
        <f>AT157*XS_Analyzer_Calculations!$I$7^0.5</f>
        <v>0.42565035994134653</v>
      </c>
      <c r="AV157" s="18">
        <f t="shared" si="58"/>
        <v>2.9298116424300633</v>
      </c>
      <c r="AW157" s="18">
        <f t="shared" si="23"/>
        <v>1.7274915282536831</v>
      </c>
      <c r="AX157" s="18">
        <f t="shared" si="24"/>
        <v>5</v>
      </c>
      <c r="AY157" s="32">
        <f t="shared" si="25"/>
        <v>3.2285000000000066</v>
      </c>
      <c r="AZ157" s="18">
        <f>((AS157*AP157)/(1.65*XS_Analyzer!$Q$72))*12</f>
        <v>7.955213481951775</v>
      </c>
      <c r="BA157" s="18">
        <f>(AW157/((1.65*62.4)*XS_Analyzer!$Q$73))*12</f>
        <v>4.4742075323845718</v>
      </c>
      <c r="BB157" s="18">
        <f t="shared" si="26"/>
        <v>6.3961887452952233</v>
      </c>
      <c r="BC157" s="38">
        <f t="shared" si="27"/>
        <v>10.049130382981664</v>
      </c>
      <c r="BD157" s="18">
        <f>IF(ISNUMBER(LININTERP(AW157,Permissible_Shear!$T$178:$T$188,Permissible_Shear!$V$178:$V$188)),LININTERP(AW157,Permissible_Shear!$T$178:$T$188,Permissible_Shear!$V$178:$V$188),0)</f>
        <v>5.6458380527218592</v>
      </c>
      <c r="BE157" s="18">
        <f>LININTERP(AW157,Permissible_Shear!$S$205:$S$222,Permissible_Shear!$V$205:$V$222)</f>
        <v>5.7109110257927593</v>
      </c>
      <c r="BF157" s="18">
        <f>INDEX($AZ$3:$BE$204,ROW(BF157)-2,MATCH(XS_Analyzer!$S$5,XS_AnalyzerSummary!$AZ$2:$BE$2,0))</f>
        <v>6.3961887452952233</v>
      </c>
      <c r="BG157" s="26">
        <f t="shared" si="28"/>
        <v>0</v>
      </c>
      <c r="BH157" s="26">
        <f t="shared" si="29"/>
        <v>0</v>
      </c>
      <c r="BI157" s="26">
        <f t="shared" si="30"/>
        <v>2.9298116424300633</v>
      </c>
      <c r="BJ157" s="26">
        <f t="shared" si="31"/>
        <v>0</v>
      </c>
      <c r="BK157" s="26">
        <f t="shared" si="32"/>
        <v>0</v>
      </c>
      <c r="BL157" s="26">
        <f t="shared" si="33"/>
        <v>1.7274915282536831</v>
      </c>
      <c r="BM157" s="18">
        <f t="shared" si="34"/>
        <v>0</v>
      </c>
      <c r="BN157" s="18">
        <f t="shared" si="35"/>
        <v>0</v>
      </c>
      <c r="BO157" s="18">
        <f t="shared" si="36"/>
        <v>2.7684159106629536</v>
      </c>
    </row>
    <row r="158" spans="30:67">
      <c r="AD158" s="32">
        <v>154</v>
      </c>
      <c r="AE158" s="25" t="str">
        <f t="shared" si="13"/>
        <v>Right</v>
      </c>
      <c r="AF158" s="25" t="str">
        <f t="shared" si="14"/>
        <v>Channel</v>
      </c>
      <c r="AG158" s="32" t="str">
        <f>IF(XS_AnalyzerSummary!$AB$24&gt;=XS_AnalyzerSummary!AD158,"Y","N")</f>
        <v>Y</v>
      </c>
      <c r="AH158" s="38">
        <v>1</v>
      </c>
      <c r="AI158" s="38">
        <f>IF(AG158="Y",$O$19/XS_AnalyzerSummary!$AB$24,0)</f>
        <v>4.4999999999999998E-2</v>
      </c>
      <c r="AJ158" s="38">
        <f t="shared" si="15"/>
        <v>4.4999999999999998E-2</v>
      </c>
      <c r="AK158" s="93">
        <f t="shared" si="37"/>
        <v>7.974999999999989</v>
      </c>
      <c r="AL158" s="93">
        <f>IF(AG158="Y",LININTERP(AK158,XS_Analyzer_Calculations!$AY$4:$AY$104,XS_Analyzer_Calculations!$AZ$4:$AZ$104),AL157)</f>
        <v>1.7849999999999935</v>
      </c>
      <c r="AM158" s="38">
        <f t="shared" si="16"/>
        <v>3.2150000000000065</v>
      </c>
      <c r="AN158" s="18">
        <f t="shared" si="17"/>
        <v>0.14406750000000029</v>
      </c>
      <c r="AO158" s="100">
        <f t="shared" si="18"/>
        <v>5.2478567053607483E-2</v>
      </c>
      <c r="AP158" s="100">
        <f t="shared" si="19"/>
        <v>2.7452636016687273</v>
      </c>
      <c r="AQ158" s="18">
        <f t="shared" si="20"/>
        <v>1.659518002312713E-3</v>
      </c>
      <c r="AR158" s="32">
        <f>IFERROR(IF(AG158="Y",VLOOKUP(AK158,XS_Analyzer_Calculations!$R$5:$T$104,3,TRUE),0),0)</f>
        <v>0.1</v>
      </c>
      <c r="AS158" s="198">
        <f t="shared" si="21"/>
        <v>0.01</v>
      </c>
      <c r="AT158" s="18">
        <f t="shared" si="22"/>
        <v>4.1973404567012587</v>
      </c>
      <c r="AU158" s="38">
        <f>AT158*XS_Analyzer_Calculations!$I$7^0.5</f>
        <v>0.4197340456701259</v>
      </c>
      <c r="AV158" s="18">
        <f t="shared" si="58"/>
        <v>2.9134540799980915</v>
      </c>
      <c r="AW158" s="18">
        <f t="shared" si="23"/>
        <v>1.713044487441286</v>
      </c>
      <c r="AX158" s="18">
        <f t="shared" si="24"/>
        <v>5</v>
      </c>
      <c r="AY158" s="32">
        <f t="shared" si="25"/>
        <v>3.2015000000000065</v>
      </c>
      <c r="AZ158" s="18">
        <f>((AS158*AP158)/(1.65*XS_Analyzer!$Q$72))*12</f>
        <v>7.8886838973110507</v>
      </c>
      <c r="BA158" s="18">
        <f>(AW158/((1.65*62.4)*XS_Analyzer!$Q$73))*12</f>
        <v>4.4367896592625904</v>
      </c>
      <c r="BB158" s="18">
        <f t="shared" si="26"/>
        <v>6.3406925027812422</v>
      </c>
      <c r="BC158" s="38">
        <f t="shared" si="27"/>
        <v>9.9875075490138432</v>
      </c>
      <c r="BD158" s="18">
        <f>IF(ISNUMBER(LININTERP(AW158,Permissible_Shear!$T$178:$T$188,Permissible_Shear!$V$178:$V$188)),LININTERP(AW158,Permissible_Shear!$T$178:$T$188,Permissible_Shear!$V$178:$V$188),0)</f>
        <v>5.6007116156166941</v>
      </c>
      <c r="BE158" s="18">
        <f>LININTERP(AW158,Permissible_Shear!$S$205:$S$222,Permissible_Shear!$V$205:$V$222)</f>
        <v>5.6657640232540185</v>
      </c>
      <c r="BF158" s="18">
        <f>INDEX($AZ$3:$BE$204,ROW(BF158)-2,MATCH(XS_Analyzer!$S$5,XS_AnalyzerSummary!$AZ$2:$BE$2,0))</f>
        <v>6.3406925027812422</v>
      </c>
      <c r="BG158" s="26">
        <f t="shared" si="28"/>
        <v>0</v>
      </c>
      <c r="BH158" s="26">
        <f t="shared" si="29"/>
        <v>0</v>
      </c>
      <c r="BI158" s="26">
        <f t="shared" si="30"/>
        <v>2.9134540799980915</v>
      </c>
      <c r="BJ158" s="26">
        <f t="shared" si="31"/>
        <v>0</v>
      </c>
      <c r="BK158" s="26">
        <f t="shared" si="32"/>
        <v>0</v>
      </c>
      <c r="BL158" s="26">
        <f t="shared" si="33"/>
        <v>1.713044487441286</v>
      </c>
      <c r="BM158" s="18">
        <f t="shared" si="34"/>
        <v>0</v>
      </c>
      <c r="BN158" s="18">
        <f t="shared" si="35"/>
        <v>0</v>
      </c>
      <c r="BO158" s="18">
        <f t="shared" si="36"/>
        <v>2.7452636016687273</v>
      </c>
    </row>
    <row r="159" spans="30:67">
      <c r="AD159" s="32">
        <v>155</v>
      </c>
      <c r="AE159" s="25" t="str">
        <f t="shared" si="13"/>
        <v>Right</v>
      </c>
      <c r="AF159" s="25" t="str">
        <f t="shared" si="14"/>
        <v>Channel</v>
      </c>
      <c r="AG159" s="32" t="str">
        <f>IF(XS_AnalyzerSummary!$AB$24&gt;=XS_AnalyzerSummary!AD159,"Y","N")</f>
        <v>Y</v>
      </c>
      <c r="AH159" s="38">
        <v>1</v>
      </c>
      <c r="AI159" s="38">
        <f>IF(AG159="Y",$O$19/XS_AnalyzerSummary!$AB$24,0)</f>
        <v>4.4999999999999998E-2</v>
      </c>
      <c r="AJ159" s="38">
        <f t="shared" si="15"/>
        <v>4.4999999999999998E-2</v>
      </c>
      <c r="AK159" s="93">
        <f t="shared" si="37"/>
        <v>8.0199999999999889</v>
      </c>
      <c r="AL159" s="93">
        <f>IF(AG159="Y",LININTERP(AK159,XS_Analyzer_Calculations!$AY$4:$AY$104,XS_Analyzer_Calculations!$AZ$4:$AZ$104),AL158)</f>
        <v>1.8119999999999934</v>
      </c>
      <c r="AM159" s="38">
        <f t="shared" si="16"/>
        <v>3.1880000000000068</v>
      </c>
      <c r="AN159" s="18">
        <f t="shared" si="17"/>
        <v>0.1428525000000003</v>
      </c>
      <c r="AO159" s="100">
        <f t="shared" si="18"/>
        <v>5.2478567053607719E-2</v>
      </c>
      <c r="AP159" s="100">
        <f t="shared" si="19"/>
        <v>2.7221112926744766</v>
      </c>
      <c r="AQ159" s="18">
        <f t="shared" si="20"/>
        <v>1.6595180023127203E-3</v>
      </c>
      <c r="AR159" s="32">
        <f>IFERROR(IF(AG159="Y",VLOOKUP(AK159,XS_Analyzer_Calculations!$R$5:$T$104,3,TRUE),0),0)</f>
        <v>0.1</v>
      </c>
      <c r="AS159" s="198">
        <f t="shared" si="21"/>
        <v>0.01</v>
      </c>
      <c r="AT159" s="18">
        <f t="shared" si="22"/>
        <v>4.138509020004852</v>
      </c>
      <c r="AU159" s="38">
        <f>AT159*XS_Analyzer_Calculations!$I$7^0.5</f>
        <v>0.41385090200048524</v>
      </c>
      <c r="AV159" s="18">
        <f t="shared" si="58"/>
        <v>2.8970504681436053</v>
      </c>
      <c r="AW159" s="18">
        <f t="shared" si="23"/>
        <v>1.6985974466288734</v>
      </c>
      <c r="AX159" s="18">
        <f t="shared" si="24"/>
        <v>5</v>
      </c>
      <c r="AY159" s="32">
        <f t="shared" si="25"/>
        <v>3.1745000000000068</v>
      </c>
      <c r="AZ159" s="18">
        <f>((AS159*AP159)/(1.65*XS_Analyzer!$Q$72))*12</f>
        <v>7.8221543126702544</v>
      </c>
      <c r="BA159" s="18">
        <f>(AW159/((1.65*62.4)*XS_Analyzer!$Q$73))*12</f>
        <v>4.3993717861405681</v>
      </c>
      <c r="BB159" s="18">
        <f t="shared" si="26"/>
        <v>6.2852158317650675</v>
      </c>
      <c r="BC159" s="38">
        <f t="shared" si="27"/>
        <v>9.9257476778836811</v>
      </c>
      <c r="BD159" s="18">
        <f>IF(ISNUMBER(LININTERP(AW159,Permissible_Shear!$T$178:$T$188,Permissible_Shear!$V$178:$V$188)),LININTERP(AW159,Permissible_Shear!$T$178:$T$188,Permissible_Shear!$V$178:$V$188),0)</f>
        <v>5.5555851785114818</v>
      </c>
      <c r="BE159" s="18">
        <f>LININTERP(AW159,Permissible_Shear!$S$205:$S$222,Permissible_Shear!$V$205:$V$222)</f>
        <v>5.6206170207152297</v>
      </c>
      <c r="BF159" s="18">
        <f>INDEX($AZ$3:$BE$204,ROW(BF159)-2,MATCH(XS_Analyzer!$S$5,XS_AnalyzerSummary!$AZ$2:$BE$2,0))</f>
        <v>6.2852158317650675</v>
      </c>
      <c r="BG159" s="26">
        <f t="shared" si="28"/>
        <v>0</v>
      </c>
      <c r="BH159" s="26">
        <f t="shared" si="29"/>
        <v>0</v>
      </c>
      <c r="BI159" s="26">
        <f t="shared" si="30"/>
        <v>2.8970504681436053</v>
      </c>
      <c r="BJ159" s="26">
        <f t="shared" si="31"/>
        <v>0</v>
      </c>
      <c r="BK159" s="26">
        <f t="shared" si="32"/>
        <v>0</v>
      </c>
      <c r="BL159" s="26">
        <f t="shared" si="33"/>
        <v>1.6985974466288734</v>
      </c>
      <c r="BM159" s="18">
        <f t="shared" si="34"/>
        <v>0</v>
      </c>
      <c r="BN159" s="18">
        <f t="shared" si="35"/>
        <v>0</v>
      </c>
      <c r="BO159" s="18">
        <f t="shared" si="36"/>
        <v>2.7221112926744766</v>
      </c>
    </row>
    <row r="160" spans="30:67">
      <c r="AD160" s="32">
        <v>156</v>
      </c>
      <c r="AE160" s="25" t="str">
        <f t="shared" si="13"/>
        <v>Right</v>
      </c>
      <c r="AF160" s="25" t="str">
        <f t="shared" si="14"/>
        <v>Channel</v>
      </c>
      <c r="AG160" s="32" t="str">
        <f>IF(XS_AnalyzerSummary!$AB$24&gt;=XS_AnalyzerSummary!AD160,"Y","N")</f>
        <v>Y</v>
      </c>
      <c r="AH160" s="38">
        <v>1</v>
      </c>
      <c r="AI160" s="38">
        <f>IF(AG160="Y",$O$19/XS_AnalyzerSummary!$AB$24,0)</f>
        <v>4.4999999999999998E-2</v>
      </c>
      <c r="AJ160" s="38">
        <f t="shared" si="15"/>
        <v>4.4999999999999998E-2</v>
      </c>
      <c r="AK160" s="93">
        <f t="shared" si="37"/>
        <v>8.0649999999999888</v>
      </c>
      <c r="AL160" s="93">
        <f>IF(AG160="Y",LININTERP(AK160,XS_Analyzer_Calculations!$AY$4:$AY$104,XS_Analyzer_Calculations!$AZ$4:$AZ$104),AL159)</f>
        <v>1.8389999999999933</v>
      </c>
      <c r="AM160" s="38">
        <f t="shared" si="16"/>
        <v>3.1610000000000067</v>
      </c>
      <c r="AN160" s="18">
        <f t="shared" si="17"/>
        <v>0.1416375000000003</v>
      </c>
      <c r="AO160" s="100">
        <f t="shared" si="18"/>
        <v>5.2478567053607719E-2</v>
      </c>
      <c r="AP160" s="100">
        <f t="shared" si="19"/>
        <v>2.6989589836802379</v>
      </c>
      <c r="AQ160" s="18">
        <f t="shared" si="20"/>
        <v>1.6595180023127203E-3</v>
      </c>
      <c r="AR160" s="32">
        <f>IFERROR(IF(AG160="Y",VLOOKUP(AK160,XS_Analyzer_Calculations!$R$5:$T$104,3,TRUE),0),0)</f>
        <v>0.1</v>
      </c>
      <c r="AS160" s="198">
        <f t="shared" si="21"/>
        <v>0.01</v>
      </c>
      <c r="AT160" s="18">
        <f t="shared" si="22"/>
        <v>4.0800102271027283</v>
      </c>
      <c r="AU160" s="38">
        <f>AT160*XS_Analyzer_Calculations!$I$7^0.5</f>
        <v>0.40800102271027283</v>
      </c>
      <c r="AV160" s="18">
        <f t="shared" si="58"/>
        <v>2.8806002838956628</v>
      </c>
      <c r="AW160" s="18">
        <f t="shared" si="23"/>
        <v>1.6841504058164685</v>
      </c>
      <c r="AX160" s="18">
        <f t="shared" si="24"/>
        <v>5</v>
      </c>
      <c r="AY160" s="32">
        <f t="shared" si="25"/>
        <v>3.1475000000000071</v>
      </c>
      <c r="AZ160" s="18">
        <f>((AS160*AP160)/(1.65*XS_Analyzer!$Q$72))*12</f>
        <v>7.7556247280294937</v>
      </c>
      <c r="BA160" s="18">
        <f>(AW160/((1.65*62.4)*XS_Analyzer!$Q$73))*12</f>
        <v>4.3619539130185672</v>
      </c>
      <c r="BB160" s="18">
        <f t="shared" si="26"/>
        <v>6.2297588910165755</v>
      </c>
      <c r="BC160" s="38">
        <f t="shared" si="27"/>
        <v>9.8638493003282459</v>
      </c>
      <c r="BD160" s="18">
        <f>IF(ISNUMBER(LININTERP(AW160,Permissible_Shear!$T$178:$T$188,Permissible_Shear!$V$178:$V$188)),LININTERP(AW160,Permissible_Shear!$T$178:$T$188,Permissible_Shear!$V$178:$V$188),0)</f>
        <v>5.5104587414062927</v>
      </c>
      <c r="BE160" s="18">
        <f>LININTERP(AW160,Permissible_Shear!$S$205:$S$222,Permissible_Shear!$V$205:$V$222)</f>
        <v>5.575470018176464</v>
      </c>
      <c r="BF160" s="18">
        <f>INDEX($AZ$3:$BE$204,ROW(BF160)-2,MATCH(XS_Analyzer!$S$5,XS_AnalyzerSummary!$AZ$2:$BE$2,0))</f>
        <v>6.2297588910165755</v>
      </c>
      <c r="BG160" s="26">
        <f t="shared" si="28"/>
        <v>0</v>
      </c>
      <c r="BH160" s="26">
        <f t="shared" si="29"/>
        <v>0</v>
      </c>
      <c r="BI160" s="26">
        <f t="shared" si="30"/>
        <v>2.8806002838956628</v>
      </c>
      <c r="BJ160" s="26">
        <f t="shared" si="31"/>
        <v>0</v>
      </c>
      <c r="BK160" s="26">
        <f t="shared" si="32"/>
        <v>0</v>
      </c>
      <c r="BL160" s="26">
        <f t="shared" si="33"/>
        <v>1.6841504058164685</v>
      </c>
      <c r="BM160" s="18">
        <f t="shared" si="34"/>
        <v>0</v>
      </c>
      <c r="BN160" s="18">
        <f t="shared" si="35"/>
        <v>0</v>
      </c>
      <c r="BO160" s="18">
        <f t="shared" si="36"/>
        <v>2.6989589836802379</v>
      </c>
    </row>
    <row r="161" spans="30:67">
      <c r="AD161" s="32">
        <v>157</v>
      </c>
      <c r="AE161" s="25" t="str">
        <f t="shared" si="13"/>
        <v>Right</v>
      </c>
      <c r="AF161" s="25" t="str">
        <f t="shared" si="14"/>
        <v>Channel</v>
      </c>
      <c r="AG161" s="32" t="str">
        <f>IF(XS_AnalyzerSummary!$AB$24&gt;=XS_AnalyzerSummary!AD161,"Y","N")</f>
        <v>Y</v>
      </c>
      <c r="AH161" s="38">
        <v>1</v>
      </c>
      <c r="AI161" s="38">
        <f>IF(AG161="Y",$O$19/XS_AnalyzerSummary!$AB$24,0)</f>
        <v>4.4999999999999998E-2</v>
      </c>
      <c r="AJ161" s="38">
        <f t="shared" si="15"/>
        <v>4.4999999999999998E-2</v>
      </c>
      <c r="AK161" s="93">
        <f t="shared" si="37"/>
        <v>8.1099999999999888</v>
      </c>
      <c r="AL161" s="93">
        <f>IF(AG161="Y",LININTERP(AK161,XS_Analyzer_Calculations!$AY$4:$AY$104,XS_Analyzer_Calculations!$AZ$4:$AZ$104),AL160)</f>
        <v>1.8659999999999932</v>
      </c>
      <c r="AM161" s="38">
        <f t="shared" si="16"/>
        <v>3.1340000000000066</v>
      </c>
      <c r="AN161" s="18">
        <f t="shared" si="17"/>
        <v>0.14042250000000031</v>
      </c>
      <c r="AO161" s="100">
        <f t="shared" si="18"/>
        <v>5.2478567053607483E-2</v>
      </c>
      <c r="AP161" s="100">
        <f t="shared" si="19"/>
        <v>2.6758066746860112</v>
      </c>
      <c r="AQ161" s="18">
        <f t="shared" si="20"/>
        <v>1.659518002312713E-3</v>
      </c>
      <c r="AR161" s="32">
        <f>IFERROR(IF(AG161="Y",VLOOKUP(AK161,XS_Analyzer_Calculations!$R$5:$T$104,3,TRUE),0),0)</f>
        <v>0.1</v>
      </c>
      <c r="AS161" s="198">
        <f t="shared" si="21"/>
        <v>0.01</v>
      </c>
      <c r="AT161" s="18">
        <f t="shared" si="22"/>
        <v>4.0218450264691343</v>
      </c>
      <c r="AU161" s="38">
        <f>AT161*XS_Analyzer_Calculations!$I$7^0.5</f>
        <v>0.40218450264691347</v>
      </c>
      <c r="AV161" s="18">
        <f t="shared" si="58"/>
        <v>2.8641029938002283</v>
      </c>
      <c r="AW161" s="18">
        <f t="shared" si="23"/>
        <v>1.6697033650040709</v>
      </c>
      <c r="AX161" s="18">
        <f t="shared" si="24"/>
        <v>5</v>
      </c>
      <c r="AY161" s="32">
        <f t="shared" si="25"/>
        <v>3.1205000000000069</v>
      </c>
      <c r="AZ161" s="18">
        <f>((AS161*AP161)/(1.65*XS_Analyzer!$Q$72))*12</f>
        <v>7.6890951433887667</v>
      </c>
      <c r="BA161" s="18">
        <f>(AW161/((1.65*62.4)*XS_Analyzer!$Q$73))*12</f>
        <v>4.324536039896584</v>
      </c>
      <c r="BB161" s="18">
        <f t="shared" si="26"/>
        <v>6.1743218419606114</v>
      </c>
      <c r="BC161" s="38">
        <f t="shared" si="27"/>
        <v>9.8018109186323414</v>
      </c>
      <c r="BD161" s="18">
        <f>IF(ISNUMBER(LININTERP(AW161,Permissible_Shear!$T$178:$T$188,Permissible_Shear!$V$178:$V$188)),LININTERP(AW161,Permissible_Shear!$T$178:$T$188,Permissible_Shear!$V$178:$V$188),0)</f>
        <v>5.4653323043011266</v>
      </c>
      <c r="BE161" s="18">
        <f>LININTERP(AW161,Permissible_Shear!$S$205:$S$222,Permissible_Shear!$V$205:$V$222)</f>
        <v>5.5303230156377214</v>
      </c>
      <c r="BF161" s="18">
        <f>INDEX($AZ$3:$BE$204,ROW(BF161)-2,MATCH(XS_Analyzer!$S$5,XS_AnalyzerSummary!$AZ$2:$BE$2,0))</f>
        <v>6.1743218419606114</v>
      </c>
      <c r="BG161" s="26">
        <f t="shared" si="28"/>
        <v>0</v>
      </c>
      <c r="BH161" s="26">
        <f t="shared" si="29"/>
        <v>0</v>
      </c>
      <c r="BI161" s="26">
        <f t="shared" si="30"/>
        <v>2.8641029938002283</v>
      </c>
      <c r="BJ161" s="26">
        <f t="shared" si="31"/>
        <v>0</v>
      </c>
      <c r="BK161" s="26">
        <f t="shared" si="32"/>
        <v>0</v>
      </c>
      <c r="BL161" s="26">
        <f t="shared" si="33"/>
        <v>1.6697033650040709</v>
      </c>
      <c r="BM161" s="18">
        <f t="shared" si="34"/>
        <v>0</v>
      </c>
      <c r="BN161" s="18">
        <f t="shared" si="35"/>
        <v>0</v>
      </c>
      <c r="BO161" s="18">
        <f t="shared" si="36"/>
        <v>2.6758066746860112</v>
      </c>
    </row>
    <row r="162" spans="30:67">
      <c r="AD162" s="32">
        <v>158</v>
      </c>
      <c r="AE162" s="25" t="str">
        <f t="shared" si="13"/>
        <v>Right</v>
      </c>
      <c r="AF162" s="25" t="str">
        <f t="shared" si="14"/>
        <v>Channel</v>
      </c>
      <c r="AG162" s="32" t="str">
        <f>IF(XS_AnalyzerSummary!$AB$24&gt;=XS_AnalyzerSummary!AD162,"Y","N")</f>
        <v>Y</v>
      </c>
      <c r="AH162" s="38">
        <v>1</v>
      </c>
      <c r="AI162" s="38">
        <f>IF(AG162="Y",$O$19/XS_AnalyzerSummary!$AB$24,0)</f>
        <v>4.4999999999999998E-2</v>
      </c>
      <c r="AJ162" s="38">
        <f t="shared" si="15"/>
        <v>4.4999999999999998E-2</v>
      </c>
      <c r="AK162" s="93">
        <f t="shared" si="37"/>
        <v>8.1549999999999887</v>
      </c>
      <c r="AL162" s="93">
        <f>IF(AG162="Y",LININTERP(AK162,XS_Analyzer_Calculations!$AY$4:$AY$104,XS_Analyzer_Calculations!$AZ$4:$AZ$104),AL161)</f>
        <v>1.8929999999999931</v>
      </c>
      <c r="AM162" s="38">
        <f t="shared" si="16"/>
        <v>3.1070000000000069</v>
      </c>
      <c r="AN162" s="18">
        <f t="shared" si="17"/>
        <v>0.13920750000000029</v>
      </c>
      <c r="AO162" s="100">
        <f t="shared" si="18"/>
        <v>5.2478567053607719E-2</v>
      </c>
      <c r="AP162" s="100">
        <f t="shared" si="19"/>
        <v>2.6526543656917601</v>
      </c>
      <c r="AQ162" s="18">
        <f t="shared" si="20"/>
        <v>1.6595180023127203E-3</v>
      </c>
      <c r="AR162" s="32">
        <f>IFERROR(IF(AG162="Y",VLOOKUP(AK162,XS_Analyzer_Calculations!$R$5:$T$104,3,TRUE),0),0)</f>
        <v>0.1</v>
      </c>
      <c r="AS162" s="198">
        <f t="shared" si="21"/>
        <v>0.01</v>
      </c>
      <c r="AT162" s="18">
        <f t="shared" si="22"/>
        <v>3.9640143774894105</v>
      </c>
      <c r="AU162" s="38">
        <f>AT162*XS_Analyzer_Calculations!$I$7^0.5</f>
        <v>0.3964014377489411</v>
      </c>
      <c r="AV162" s="18">
        <f t="shared" si="58"/>
        <v>2.8475580536173717</v>
      </c>
      <c r="AW162" s="18">
        <f t="shared" si="23"/>
        <v>1.6552563241916582</v>
      </c>
      <c r="AX162" s="18">
        <f t="shared" si="24"/>
        <v>5</v>
      </c>
      <c r="AY162" s="32">
        <f t="shared" si="25"/>
        <v>3.0935000000000064</v>
      </c>
      <c r="AZ162" s="18">
        <f>((AS162*AP162)/(1.65*XS_Analyzer!$Q$72))*12</f>
        <v>7.6225655587479695</v>
      </c>
      <c r="BA162" s="18">
        <f>(AW162/((1.65*62.4)*XS_Analyzer!$Q$73))*12</f>
        <v>4.2871181667745617</v>
      </c>
      <c r="BB162" s="18">
        <f t="shared" si="26"/>
        <v>6.1189048487446298</v>
      </c>
      <c r="BC162" s="38">
        <f t="shared" si="27"/>
        <v>9.7396310058273627</v>
      </c>
      <c r="BD162" s="18">
        <f>IF(ISNUMBER(LININTERP(AW162,Permissible_Shear!$T$178:$T$188,Permissible_Shear!$V$178:$V$188)),LININTERP(AW162,Permissible_Shear!$T$178:$T$188,Permissible_Shear!$V$178:$V$188),0)</f>
        <v>5.4202058671959144</v>
      </c>
      <c r="BE162" s="18">
        <f>LININTERP(AW162,Permissible_Shear!$S$205:$S$222,Permissible_Shear!$V$205:$V$222)</f>
        <v>5.4851760130989318</v>
      </c>
      <c r="BF162" s="18">
        <f>INDEX($AZ$3:$BE$204,ROW(BF162)-2,MATCH(XS_Analyzer!$S$5,XS_AnalyzerSummary!$AZ$2:$BE$2,0))</f>
        <v>6.1189048487446298</v>
      </c>
      <c r="BG162" s="26">
        <f t="shared" si="28"/>
        <v>0</v>
      </c>
      <c r="BH162" s="26">
        <f t="shared" si="29"/>
        <v>0</v>
      </c>
      <c r="BI162" s="26">
        <f t="shared" si="30"/>
        <v>2.8475580536173717</v>
      </c>
      <c r="BJ162" s="26">
        <f t="shared" si="31"/>
        <v>0</v>
      </c>
      <c r="BK162" s="26">
        <f t="shared" si="32"/>
        <v>0</v>
      </c>
      <c r="BL162" s="26">
        <f t="shared" si="33"/>
        <v>1.6552563241916582</v>
      </c>
      <c r="BM162" s="18">
        <f t="shared" si="34"/>
        <v>0</v>
      </c>
      <c r="BN162" s="18">
        <f t="shared" si="35"/>
        <v>0</v>
      </c>
      <c r="BO162" s="18">
        <f t="shared" si="36"/>
        <v>2.6526543656917601</v>
      </c>
    </row>
    <row r="163" spans="30:67">
      <c r="AD163" s="32">
        <v>159</v>
      </c>
      <c r="AE163" s="25" t="str">
        <f t="shared" si="13"/>
        <v>Right</v>
      </c>
      <c r="AF163" s="25" t="str">
        <f t="shared" si="14"/>
        <v>Channel</v>
      </c>
      <c r="AG163" s="32" t="str">
        <f>IF(XS_AnalyzerSummary!$AB$24&gt;=XS_AnalyzerSummary!AD163,"Y","N")</f>
        <v>Y</v>
      </c>
      <c r="AH163" s="38">
        <v>1</v>
      </c>
      <c r="AI163" s="38">
        <f>IF(AG163="Y",$O$19/XS_AnalyzerSummary!$AB$24,0)</f>
        <v>4.4999999999999998E-2</v>
      </c>
      <c r="AJ163" s="38">
        <f t="shared" si="15"/>
        <v>4.4999999999999998E-2</v>
      </c>
      <c r="AK163" s="93">
        <f t="shared" si="37"/>
        <v>8.1999999999999886</v>
      </c>
      <c r="AL163" s="93">
        <f>IF(AG163="Y",LININTERP(AK163,XS_Analyzer_Calculations!$AY$4:$AY$104,XS_Analyzer_Calculations!$AZ$4:$AZ$104),AL162)</f>
        <v>1.9199999999999933</v>
      </c>
      <c r="AM163" s="38">
        <f t="shared" si="16"/>
        <v>3.0800000000000067</v>
      </c>
      <c r="AN163" s="18">
        <f t="shared" si="17"/>
        <v>0.1379925000000003</v>
      </c>
      <c r="AO163" s="100">
        <f t="shared" si="18"/>
        <v>5.2478567053607483E-2</v>
      </c>
      <c r="AP163" s="100">
        <f t="shared" si="19"/>
        <v>2.6295020566975333</v>
      </c>
      <c r="AQ163" s="18">
        <f t="shared" si="20"/>
        <v>1.659518002312713E-3</v>
      </c>
      <c r="AR163" s="32">
        <f>IFERROR(IF(AG163="Y",VLOOKUP(AK163,XS_Analyzer_Calculations!$R$5:$T$104,3,TRUE),0),0)</f>
        <v>0.1</v>
      </c>
      <c r="AS163" s="198">
        <f t="shared" si="21"/>
        <v>0.01</v>
      </c>
      <c r="AT163" s="18">
        <f t="shared" si="22"/>
        <v>3.9065192506816939</v>
      </c>
      <c r="AU163" s="38">
        <f>AT163*XS_Analyzer_Calculations!$I$7^0.5</f>
        <v>0.39065192506816943</v>
      </c>
      <c r="AV163" s="18">
        <f t="shared" si="58"/>
        <v>2.8309649080070916</v>
      </c>
      <c r="AW163" s="18">
        <f t="shared" si="23"/>
        <v>1.6408092833792609</v>
      </c>
      <c r="AX163" s="18">
        <f t="shared" si="24"/>
        <v>5</v>
      </c>
      <c r="AY163" s="32">
        <f t="shared" si="25"/>
        <v>3.0665000000000067</v>
      </c>
      <c r="AZ163" s="18">
        <f>((AS163*AP163)/(1.65*XS_Analyzer!$Q$72))*12</f>
        <v>7.5560359741072425</v>
      </c>
      <c r="BA163" s="18">
        <f>(AW163/((1.65*62.4)*XS_Analyzer!$Q$73))*12</f>
        <v>4.2497002936525803</v>
      </c>
      <c r="BB163" s="18">
        <f t="shared" si="26"/>
        <v>6.0635080783086668</v>
      </c>
      <c r="BC163" s="38">
        <f t="shared" si="27"/>
        <v>9.6773080048604125</v>
      </c>
      <c r="BD163" s="18">
        <f>IF(ISNUMBER(LININTERP(AW163,Permissible_Shear!$T$178:$T$188,Permissible_Shear!$V$178:$V$188)),LININTERP(AW163,Permissible_Shear!$T$178:$T$188,Permissible_Shear!$V$178:$V$188),0)</f>
        <v>5.3750794300907492</v>
      </c>
      <c r="BE163" s="18">
        <f>LININTERP(AW163,Permissible_Shear!$S$205:$S$222,Permissible_Shear!$V$205:$V$222)</f>
        <v>5.4400290105601901</v>
      </c>
      <c r="BF163" s="18">
        <f>INDEX($AZ$3:$BE$204,ROW(BF163)-2,MATCH(XS_Analyzer!$S$5,XS_AnalyzerSummary!$AZ$2:$BE$2,0))</f>
        <v>6.0635080783086668</v>
      </c>
      <c r="BG163" s="26">
        <f t="shared" si="28"/>
        <v>0</v>
      </c>
      <c r="BH163" s="26">
        <f t="shared" si="29"/>
        <v>0</v>
      </c>
      <c r="BI163" s="26">
        <f t="shared" si="30"/>
        <v>2.8309649080070916</v>
      </c>
      <c r="BJ163" s="26">
        <f t="shared" si="31"/>
        <v>0</v>
      </c>
      <c r="BK163" s="26">
        <f t="shared" si="32"/>
        <v>0</v>
      </c>
      <c r="BL163" s="26">
        <f t="shared" si="33"/>
        <v>1.6408092833792609</v>
      </c>
      <c r="BM163" s="18">
        <f t="shared" si="34"/>
        <v>0</v>
      </c>
      <c r="BN163" s="18">
        <f t="shared" si="35"/>
        <v>0</v>
      </c>
      <c r="BO163" s="18">
        <f t="shared" si="36"/>
        <v>2.6295020566975333</v>
      </c>
    </row>
    <row r="164" spans="30:67">
      <c r="AD164" s="32">
        <v>160</v>
      </c>
      <c r="AE164" s="25" t="str">
        <f t="shared" si="13"/>
        <v>Right</v>
      </c>
      <c r="AF164" s="25" t="str">
        <f t="shared" si="14"/>
        <v>Channel</v>
      </c>
      <c r="AG164" s="32" t="str">
        <f>IF(XS_AnalyzerSummary!$AB$24&gt;=XS_AnalyzerSummary!AD164,"Y","N")</f>
        <v>Y</v>
      </c>
      <c r="AH164" s="38">
        <v>1</v>
      </c>
      <c r="AI164" s="38">
        <f>IF(AG164="Y",$O$19/XS_AnalyzerSummary!$AB$24,0)</f>
        <v>4.4999999999999998E-2</v>
      </c>
      <c r="AJ164" s="38">
        <f t="shared" si="15"/>
        <v>4.4999999999999998E-2</v>
      </c>
      <c r="AK164" s="93">
        <f t="shared" si="37"/>
        <v>8.2449999999999886</v>
      </c>
      <c r="AL164" s="93">
        <f>IF(AG164="Y",LININTERP(AK164,XS_Analyzer_Calculations!$AY$4:$AY$104,XS_Analyzer_Calculations!$AZ$4:$AZ$104),AL163)</f>
        <v>1.9469999999999932</v>
      </c>
      <c r="AM164" s="38">
        <f t="shared" si="16"/>
        <v>3.053000000000007</v>
      </c>
      <c r="AN164" s="18">
        <f t="shared" si="17"/>
        <v>0.1367775000000003</v>
      </c>
      <c r="AO164" s="100">
        <f t="shared" si="18"/>
        <v>5.2478567053607719E-2</v>
      </c>
      <c r="AP164" s="100">
        <f t="shared" si="19"/>
        <v>2.6063497477032831</v>
      </c>
      <c r="AQ164" s="18">
        <f t="shared" si="20"/>
        <v>1.6595180023127203E-3</v>
      </c>
      <c r="AR164" s="32">
        <f>IFERROR(IF(AG164="Y",VLOOKUP(AK164,XS_Analyzer_Calculations!$R$5:$T$104,3,TRUE),0),0)</f>
        <v>0.1</v>
      </c>
      <c r="AS164" s="198">
        <f t="shared" si="21"/>
        <v>0.01</v>
      </c>
      <c r="AT164" s="18">
        <f t="shared" si="22"/>
        <v>3.8493606279247867</v>
      </c>
      <c r="AU164" s="38">
        <f>AT164*XS_Analyzer_Calculations!$I$7^0.5</f>
        <v>0.38493606279247872</v>
      </c>
      <c r="AV164" s="18">
        <f t="shared" si="58"/>
        <v>2.8143229902029052</v>
      </c>
      <c r="AW164" s="18">
        <f t="shared" si="23"/>
        <v>1.6263622425668487</v>
      </c>
      <c r="AX164" s="18">
        <f t="shared" si="24"/>
        <v>5</v>
      </c>
      <c r="AY164" s="32">
        <f t="shared" si="25"/>
        <v>3.039500000000007</v>
      </c>
      <c r="AZ164" s="18">
        <f>((AS164*AP164)/(1.65*XS_Analyzer!$Q$72))*12</f>
        <v>7.4895063894664489</v>
      </c>
      <c r="BA164" s="18">
        <f>(AW164/((1.65*62.4)*XS_Analyzer!$Q$73))*12</f>
        <v>4.2122824205305589</v>
      </c>
      <c r="BB164" s="18">
        <f t="shared" si="26"/>
        <v>6.0081317004577475</v>
      </c>
      <c r="BC164" s="38">
        <f t="shared" si="27"/>
        <v>9.6148403277323418</v>
      </c>
      <c r="BD164" s="18">
        <f>IF(ISNUMBER(LININTERP(AW164,Permissible_Shear!$T$178:$T$188,Permissible_Shear!$V$178:$V$188)),LININTERP(AW164,Permissible_Shear!$T$178:$T$188,Permissible_Shear!$V$178:$V$188),0)</f>
        <v>5.3299529929855378</v>
      </c>
      <c r="BE164" s="18">
        <f>LININTERP(AW164,Permissible_Shear!$S$205:$S$222,Permissible_Shear!$V$205:$V$222)</f>
        <v>5.3948820080214022</v>
      </c>
      <c r="BF164" s="18">
        <f>INDEX($AZ$3:$BE$204,ROW(BF164)-2,MATCH(XS_Analyzer!$S$5,XS_AnalyzerSummary!$AZ$2:$BE$2,0))</f>
        <v>6.0081317004577475</v>
      </c>
      <c r="BG164" s="26">
        <f t="shared" si="28"/>
        <v>0</v>
      </c>
      <c r="BH164" s="26">
        <f t="shared" si="29"/>
        <v>0</v>
      </c>
      <c r="BI164" s="26">
        <f t="shared" si="30"/>
        <v>2.8143229902029052</v>
      </c>
      <c r="BJ164" s="26">
        <f t="shared" si="31"/>
        <v>0</v>
      </c>
      <c r="BK164" s="26">
        <f t="shared" si="32"/>
        <v>0</v>
      </c>
      <c r="BL164" s="26">
        <f t="shared" si="33"/>
        <v>1.6263622425668487</v>
      </c>
      <c r="BM164" s="18">
        <f t="shared" si="34"/>
        <v>0</v>
      </c>
      <c r="BN164" s="18">
        <f t="shared" si="35"/>
        <v>0</v>
      </c>
      <c r="BO164" s="18">
        <f t="shared" si="36"/>
        <v>2.6063497477032831</v>
      </c>
    </row>
    <row r="165" spans="30:67">
      <c r="AD165" s="32">
        <v>161</v>
      </c>
      <c r="AE165" s="25" t="str">
        <f t="shared" si="13"/>
        <v>Right</v>
      </c>
      <c r="AF165" s="25" t="str">
        <f t="shared" si="14"/>
        <v>Channel</v>
      </c>
      <c r="AG165" s="32" t="str">
        <f>IF(XS_AnalyzerSummary!$AB$24&gt;=XS_AnalyzerSummary!AD165,"Y","N")</f>
        <v>Y</v>
      </c>
      <c r="AH165" s="38">
        <v>1</v>
      </c>
      <c r="AI165" s="38">
        <f>IF(AG165="Y",$O$19/XS_AnalyzerSummary!$AB$24,0)</f>
        <v>4.4999999999999998E-2</v>
      </c>
      <c r="AJ165" s="38">
        <f t="shared" si="15"/>
        <v>4.4999999999999998E-2</v>
      </c>
      <c r="AK165" s="93">
        <f t="shared" si="37"/>
        <v>8.2899999999999885</v>
      </c>
      <c r="AL165" s="93">
        <f>IF(AG165="Y",LININTERP(AK165,XS_Analyzer_Calculations!$AY$4:$AY$104,XS_Analyzer_Calculations!$AZ$4:$AZ$104),AL164)</f>
        <v>1.9739999999999931</v>
      </c>
      <c r="AM165" s="38">
        <f t="shared" si="16"/>
        <v>3.0260000000000069</v>
      </c>
      <c r="AN165" s="18">
        <f t="shared" si="17"/>
        <v>0.13556250000000031</v>
      </c>
      <c r="AO165" s="100">
        <f t="shared" si="18"/>
        <v>5.2478567053607719E-2</v>
      </c>
      <c r="AP165" s="100">
        <f t="shared" si="19"/>
        <v>2.5831974387090444</v>
      </c>
      <c r="AQ165" s="18">
        <f t="shared" si="20"/>
        <v>1.6595180023127203E-3</v>
      </c>
      <c r="AR165" s="32">
        <f>IFERROR(IF(AG165="Y",VLOOKUP(AK165,XS_Analyzer_Calculations!$R$5:$T$104,3,TRUE),0),0)</f>
        <v>0.1</v>
      </c>
      <c r="AS165" s="198">
        <f t="shared" si="21"/>
        <v>0.01</v>
      </c>
      <c r="AT165" s="18">
        <f t="shared" si="22"/>
        <v>3.792539502693137</v>
      </c>
      <c r="AU165" s="38">
        <f>AT165*XS_Analyzer_Calculations!$I$7^0.5</f>
        <v>0.37925395026931374</v>
      </c>
      <c r="AV165" s="18">
        <f t="shared" si="58"/>
        <v>2.7976317216731239</v>
      </c>
      <c r="AW165" s="18">
        <f t="shared" si="23"/>
        <v>1.6119152017544438</v>
      </c>
      <c r="AX165" s="18">
        <f t="shared" si="24"/>
        <v>5</v>
      </c>
      <c r="AY165" s="32">
        <f t="shared" si="25"/>
        <v>3.0125000000000068</v>
      </c>
      <c r="AZ165" s="18">
        <f>((AS165*AP165)/(1.65*XS_Analyzer!$Q$72))*12</f>
        <v>7.4229768048256872</v>
      </c>
      <c r="BA165" s="18">
        <f>(AW165/((1.65*62.4)*XS_Analyzer!$Q$73))*12</f>
        <v>4.1748645474085571</v>
      </c>
      <c r="BB165" s="18">
        <f t="shared" si="26"/>
        <v>5.9527758879368244</v>
      </c>
      <c r="BC165" s="38">
        <f t="shared" si="27"/>
        <v>9.55222635460321</v>
      </c>
      <c r="BD165" s="18">
        <f>IF(ISNUMBER(LININTERP(AW165,Permissible_Shear!$T$178:$T$188,Permissible_Shear!$V$178:$V$188)),LININTERP(AW165,Permissible_Shear!$T$178:$T$188,Permissible_Shear!$V$178:$V$188),0)</f>
        <v>5.2848265558803487</v>
      </c>
      <c r="BE165" s="18">
        <f>LININTERP(AW165,Permissible_Shear!$S$205:$S$222,Permissible_Shear!$V$205:$V$222)</f>
        <v>5.3497350054826374</v>
      </c>
      <c r="BF165" s="18">
        <f>INDEX($AZ$3:$BE$204,ROW(BF165)-2,MATCH(XS_Analyzer!$S$5,XS_AnalyzerSummary!$AZ$2:$BE$2,0))</f>
        <v>5.9527758879368244</v>
      </c>
      <c r="BG165" s="26">
        <f t="shared" si="28"/>
        <v>0</v>
      </c>
      <c r="BH165" s="26">
        <f t="shared" si="29"/>
        <v>0</v>
      </c>
      <c r="BI165" s="26">
        <f t="shared" si="30"/>
        <v>2.7976317216731239</v>
      </c>
      <c r="BJ165" s="26">
        <f t="shared" si="31"/>
        <v>0</v>
      </c>
      <c r="BK165" s="26">
        <f t="shared" si="32"/>
        <v>0</v>
      </c>
      <c r="BL165" s="26">
        <f t="shared" si="33"/>
        <v>1.6119152017544438</v>
      </c>
      <c r="BM165" s="18">
        <f t="shared" si="34"/>
        <v>0</v>
      </c>
      <c r="BN165" s="18">
        <f t="shared" si="35"/>
        <v>0</v>
      </c>
      <c r="BO165" s="18">
        <f t="shared" si="36"/>
        <v>2.5831974387090444</v>
      </c>
    </row>
    <row r="166" spans="30:67">
      <c r="AD166" s="32">
        <v>162</v>
      </c>
      <c r="AE166" s="25" t="str">
        <f t="shared" si="13"/>
        <v>Right</v>
      </c>
      <c r="AF166" s="25" t="str">
        <f t="shared" si="14"/>
        <v>Channel</v>
      </c>
      <c r="AG166" s="32" t="str">
        <f>IF(XS_AnalyzerSummary!$AB$24&gt;=XS_AnalyzerSummary!AD166,"Y","N")</f>
        <v>Y</v>
      </c>
      <c r="AH166" s="38">
        <v>1</v>
      </c>
      <c r="AI166" s="38">
        <f>IF(AG166="Y",$O$19/XS_AnalyzerSummary!$AB$24,0)</f>
        <v>4.4999999999999998E-2</v>
      </c>
      <c r="AJ166" s="38">
        <f t="shared" si="15"/>
        <v>4.4999999999999998E-2</v>
      </c>
      <c r="AK166" s="93">
        <f t="shared" si="37"/>
        <v>8.3349999999999884</v>
      </c>
      <c r="AL166" s="93">
        <f>IF(AG166="Y",LININTERP(AK166,XS_Analyzer_Calculations!$AY$4:$AY$104,XS_Analyzer_Calculations!$AZ$4:$AZ$104),AL165)</f>
        <v>2.0009999999999932</v>
      </c>
      <c r="AM166" s="38">
        <f t="shared" si="16"/>
        <v>2.9990000000000068</v>
      </c>
      <c r="AN166" s="18">
        <f t="shared" si="17"/>
        <v>0.13434750000000031</v>
      </c>
      <c r="AO166" s="100">
        <f t="shared" si="18"/>
        <v>5.2478567053607483E-2</v>
      </c>
      <c r="AP166" s="100">
        <f t="shared" si="19"/>
        <v>2.5600451297148172</v>
      </c>
      <c r="AQ166" s="18">
        <f t="shared" si="20"/>
        <v>1.659518002312713E-3</v>
      </c>
      <c r="AR166" s="32">
        <f>IFERROR(IF(AG166="Y",VLOOKUP(AK166,XS_Analyzer_Calculations!$R$5:$T$104,3,TRUE),0),0)</f>
        <v>0.1</v>
      </c>
      <c r="AS166" s="198">
        <f t="shared" si="21"/>
        <v>0.01</v>
      </c>
      <c r="AT166" s="18">
        <f t="shared" si="22"/>
        <v>3.736056880298507</v>
      </c>
      <c r="AU166" s="38">
        <f>AT166*XS_Analyzer_Calculations!$I$7^0.5</f>
        <v>0.37360568802985072</v>
      </c>
      <c r="AV166" s="18">
        <f t="shared" si="58"/>
        <v>2.780890511768733</v>
      </c>
      <c r="AW166" s="18">
        <f t="shared" si="23"/>
        <v>1.597468160942046</v>
      </c>
      <c r="AX166" s="18">
        <f t="shared" si="24"/>
        <v>5</v>
      </c>
      <c r="AY166" s="32">
        <f t="shared" si="25"/>
        <v>2.9855000000000071</v>
      </c>
      <c r="AZ166" s="18">
        <f>((AS166*AP166)/(1.65*XS_Analyzer!$Q$72))*12</f>
        <v>7.3564472201849593</v>
      </c>
      <c r="BA166" s="18">
        <f>(AW166/((1.65*62.4)*XS_Analyzer!$Q$73))*12</f>
        <v>4.1374466742865739</v>
      </c>
      <c r="BB166" s="18">
        <f t="shared" si="26"/>
        <v>5.8974408165083627</v>
      </c>
      <c r="BC166" s="38">
        <f t="shared" si="27"/>
        <v>9.4894644328637039</v>
      </c>
      <c r="BD166" s="18">
        <f>IF(ISNUMBER(LININTERP(AW166,Permissible_Shear!$T$178:$T$188,Permissible_Shear!$V$178:$V$188)),LININTERP(AW166,Permissible_Shear!$T$178:$T$188,Permissible_Shear!$V$178:$V$188),0)</f>
        <v>5.2397001187751826</v>
      </c>
      <c r="BE166" s="18">
        <f>LININTERP(AW166,Permissible_Shear!$S$205:$S$222,Permissible_Shear!$V$205:$V$222)</f>
        <v>5.3045880029438939</v>
      </c>
      <c r="BF166" s="18">
        <f>INDEX($AZ$3:$BE$204,ROW(BF166)-2,MATCH(XS_Analyzer!$S$5,XS_AnalyzerSummary!$AZ$2:$BE$2,0))</f>
        <v>5.8974408165083627</v>
      </c>
      <c r="BG166" s="26">
        <f t="shared" si="28"/>
        <v>0</v>
      </c>
      <c r="BH166" s="26">
        <f t="shared" si="29"/>
        <v>0</v>
      </c>
      <c r="BI166" s="26">
        <f t="shared" si="30"/>
        <v>2.780890511768733</v>
      </c>
      <c r="BJ166" s="26">
        <f t="shared" si="31"/>
        <v>0</v>
      </c>
      <c r="BK166" s="26">
        <f t="shared" si="32"/>
        <v>0</v>
      </c>
      <c r="BL166" s="26">
        <f t="shared" si="33"/>
        <v>1.597468160942046</v>
      </c>
      <c r="BM166" s="18">
        <f t="shared" si="34"/>
        <v>0</v>
      </c>
      <c r="BN166" s="18">
        <f t="shared" si="35"/>
        <v>0</v>
      </c>
      <c r="BO166" s="18">
        <f t="shared" si="36"/>
        <v>2.5600451297148172</v>
      </c>
    </row>
    <row r="167" spans="30:67">
      <c r="AD167" s="32">
        <v>163</v>
      </c>
      <c r="AE167" s="25" t="str">
        <f t="shared" si="13"/>
        <v>Right</v>
      </c>
      <c r="AF167" s="25" t="str">
        <f t="shared" si="14"/>
        <v>Channel</v>
      </c>
      <c r="AG167" s="32" t="str">
        <f>IF(XS_AnalyzerSummary!$AB$24&gt;=XS_AnalyzerSummary!AD167,"Y","N")</f>
        <v>Y</v>
      </c>
      <c r="AH167" s="38">
        <v>1</v>
      </c>
      <c r="AI167" s="38">
        <f>IF(AG167="Y",$O$19/XS_AnalyzerSummary!$AB$24,0)</f>
        <v>4.4999999999999998E-2</v>
      </c>
      <c r="AJ167" s="38">
        <f t="shared" si="15"/>
        <v>4.4999999999999998E-2</v>
      </c>
      <c r="AK167" s="93">
        <f t="shared" si="37"/>
        <v>8.3799999999999883</v>
      </c>
      <c r="AL167" s="93">
        <f>IF(AG167="Y",LININTERP(AK167,XS_Analyzer_Calculations!$AY$4:$AY$104,XS_Analyzer_Calculations!$AZ$4:$AZ$104),AL166)</f>
        <v>2.0279999999999929</v>
      </c>
      <c r="AM167" s="38">
        <f t="shared" si="16"/>
        <v>2.9720000000000071</v>
      </c>
      <c r="AN167" s="18">
        <f t="shared" si="17"/>
        <v>0.13313250000000032</v>
      </c>
      <c r="AO167" s="100">
        <f t="shared" si="18"/>
        <v>5.2478567053607719E-2</v>
      </c>
      <c r="AP167" s="100">
        <f t="shared" si="19"/>
        <v>2.5368928207205674</v>
      </c>
      <c r="AQ167" s="18">
        <f t="shared" si="20"/>
        <v>1.6595180023127203E-3</v>
      </c>
      <c r="AR167" s="32">
        <f>IFERROR(IF(AG167="Y",VLOOKUP(AK167,XS_Analyzer_Calculations!$R$5:$T$104,3,TRUE),0),0)</f>
        <v>0.1</v>
      </c>
      <c r="AS167" s="198">
        <f t="shared" si="21"/>
        <v>0.01</v>
      </c>
      <c r="AT167" s="18">
        <f t="shared" si="22"/>
        <v>3.6799137781390319</v>
      </c>
      <c r="AU167" s="38">
        <f>AT167*XS_Analyzer_Calculations!$I$7^0.5</f>
        <v>0.36799137781390323</v>
      </c>
      <c r="AV167" s="18">
        <f t="shared" si="58"/>
        <v>2.7640987573575373</v>
      </c>
      <c r="AW167" s="18">
        <f t="shared" si="23"/>
        <v>1.583021120129634</v>
      </c>
      <c r="AX167" s="18">
        <f t="shared" si="24"/>
        <v>5</v>
      </c>
      <c r="AY167" s="32">
        <f t="shared" si="25"/>
        <v>2.958500000000007</v>
      </c>
      <c r="AZ167" s="18">
        <f>((AS167*AP167)/(1.65*XS_Analyzer!$Q$72))*12</f>
        <v>7.2899176355441657</v>
      </c>
      <c r="BA167" s="18">
        <f>(AW167/((1.65*62.4)*XS_Analyzer!$Q$73))*12</f>
        <v>4.1000288011645543</v>
      </c>
      <c r="BB167" s="18">
        <f t="shared" si="26"/>
        <v>5.8421266650326871</v>
      </c>
      <c r="BC167" s="38">
        <f t="shared" si="27"/>
        <v>9.4265528761708275</v>
      </c>
      <c r="BD167" s="18">
        <f>IF(ISNUMBER(LININTERP(AW167,Permissible_Shear!$T$178:$T$188,Permissible_Shear!$V$178:$V$188)),LININTERP(AW167,Permissible_Shear!$T$178:$T$188,Permissible_Shear!$V$178:$V$188),0)</f>
        <v>5.1945736816699712</v>
      </c>
      <c r="BE167" s="18">
        <f>LININTERP(AW167,Permissible_Shear!$S$205:$S$222,Permissible_Shear!$V$205:$V$222)</f>
        <v>5.259441000405106</v>
      </c>
      <c r="BF167" s="18">
        <f>INDEX($AZ$3:$BE$204,ROW(BF167)-2,MATCH(XS_Analyzer!$S$5,XS_AnalyzerSummary!$AZ$2:$BE$2,0))</f>
        <v>5.8421266650326871</v>
      </c>
      <c r="BG167" s="26">
        <f t="shared" si="28"/>
        <v>0</v>
      </c>
      <c r="BH167" s="26">
        <f t="shared" si="29"/>
        <v>0</v>
      </c>
      <c r="BI167" s="26">
        <f t="shared" si="30"/>
        <v>2.7640987573575373</v>
      </c>
      <c r="BJ167" s="26">
        <f t="shared" si="31"/>
        <v>0</v>
      </c>
      <c r="BK167" s="26">
        <f t="shared" si="32"/>
        <v>0</v>
      </c>
      <c r="BL167" s="26">
        <f t="shared" si="33"/>
        <v>1.583021120129634</v>
      </c>
      <c r="BM167" s="18">
        <f t="shared" si="34"/>
        <v>0</v>
      </c>
      <c r="BN167" s="18">
        <f t="shared" si="35"/>
        <v>0</v>
      </c>
      <c r="BO167" s="18">
        <f t="shared" si="36"/>
        <v>2.5368928207205674</v>
      </c>
    </row>
    <row r="168" spans="30:67">
      <c r="AD168" s="32">
        <v>164</v>
      </c>
      <c r="AE168" s="25" t="str">
        <f t="shared" si="13"/>
        <v>Right</v>
      </c>
      <c r="AF168" s="25" t="str">
        <f t="shared" si="14"/>
        <v>Channel</v>
      </c>
      <c r="AG168" s="32" t="str">
        <f>IF(XS_AnalyzerSummary!$AB$24&gt;=XS_AnalyzerSummary!AD168,"Y","N")</f>
        <v>Y</v>
      </c>
      <c r="AH168" s="38">
        <v>1</v>
      </c>
      <c r="AI168" s="38">
        <f>IF(AG168="Y",$O$19/XS_AnalyzerSummary!$AB$24,0)</f>
        <v>4.4999999999999998E-2</v>
      </c>
      <c r="AJ168" s="38">
        <f t="shared" si="15"/>
        <v>4.4999999999999998E-2</v>
      </c>
      <c r="AK168" s="93">
        <f t="shared" si="37"/>
        <v>8.4249999999999883</v>
      </c>
      <c r="AL168" s="93">
        <f>IF(AG168="Y",LININTERP(AK168,XS_Analyzer_Calculations!$AY$4:$AY$104,XS_Analyzer_Calculations!$AZ$4:$AZ$104),AL167)</f>
        <v>2.0549999999999931</v>
      </c>
      <c r="AM168" s="38">
        <f t="shared" si="16"/>
        <v>2.9450000000000069</v>
      </c>
      <c r="AN168" s="18">
        <f t="shared" si="17"/>
        <v>0.1319175000000003</v>
      </c>
      <c r="AO168" s="100">
        <f t="shared" si="18"/>
        <v>5.2478567053607483E-2</v>
      </c>
      <c r="AP168" s="100">
        <f t="shared" si="19"/>
        <v>2.5137405117263394</v>
      </c>
      <c r="AQ168" s="18">
        <f t="shared" si="20"/>
        <v>1.659518002312713E-3</v>
      </c>
      <c r="AR168" s="32">
        <f>IFERROR(IF(AG168="Y",VLOOKUP(AK168,XS_Analyzer_Calculations!$R$5:$T$104,3,TRUE),0),0)</f>
        <v>0.1</v>
      </c>
      <c r="AS168" s="198">
        <f t="shared" si="21"/>
        <v>0.01</v>
      </c>
      <c r="AT168" s="18">
        <f t="shared" si="22"/>
        <v>3.6241112259559349</v>
      </c>
      <c r="AU168" s="38">
        <f>AT168*XS_Analyzer_Calculations!$I$7^0.5</f>
        <v>0.36241112259559349</v>
      </c>
      <c r="AV168" s="18">
        <f t="shared" si="58"/>
        <v>2.747255842443896</v>
      </c>
      <c r="AW168" s="18">
        <f t="shared" si="23"/>
        <v>1.5685740793172358</v>
      </c>
      <c r="AX168" s="18">
        <f t="shared" si="24"/>
        <v>5</v>
      </c>
      <c r="AY168" s="32">
        <f t="shared" si="25"/>
        <v>2.9315000000000069</v>
      </c>
      <c r="AZ168" s="18">
        <f>((AS168*AP168)/(1.65*XS_Analyzer!$Q$72))*12</f>
        <v>7.2233880509034361</v>
      </c>
      <c r="BA168" s="18">
        <f>(AW168/((1.65*62.4)*XS_Analyzer!$Q$73))*12</f>
        <v>4.0626109280425693</v>
      </c>
      <c r="BB168" s="18">
        <f t="shared" si="26"/>
        <v>5.7868336155512106</v>
      </c>
      <c r="BC168" s="38">
        <f t="shared" si="27"/>
        <v>9.3634899634462005</v>
      </c>
      <c r="BD168" s="18">
        <f>IF(ISNUMBER(LININTERP(AW168,Permissible_Shear!$T$178:$T$188,Permissible_Shear!$V$178:$V$188)),LININTERP(AW168,Permissible_Shear!$T$178:$T$188,Permissible_Shear!$V$178:$V$188),0)</f>
        <v>5.1494472445648034</v>
      </c>
      <c r="BE168" s="18">
        <f>LININTERP(AW168,Permissible_Shear!$S$205:$S$222,Permissible_Shear!$V$205:$V$222)</f>
        <v>5.2142939978663616</v>
      </c>
      <c r="BF168" s="18">
        <f>INDEX($AZ$3:$BE$204,ROW(BF168)-2,MATCH(XS_Analyzer!$S$5,XS_AnalyzerSummary!$AZ$2:$BE$2,0))</f>
        <v>5.7868336155512106</v>
      </c>
      <c r="BG168" s="26">
        <f t="shared" si="28"/>
        <v>0</v>
      </c>
      <c r="BH168" s="26">
        <f t="shared" si="29"/>
        <v>0</v>
      </c>
      <c r="BI168" s="26">
        <f t="shared" si="30"/>
        <v>2.747255842443896</v>
      </c>
      <c r="BJ168" s="26">
        <f t="shared" si="31"/>
        <v>0</v>
      </c>
      <c r="BK168" s="26">
        <f t="shared" si="32"/>
        <v>0</v>
      </c>
      <c r="BL168" s="26">
        <f t="shared" si="33"/>
        <v>1.5685740793172358</v>
      </c>
      <c r="BM168" s="18">
        <f t="shared" si="34"/>
        <v>0</v>
      </c>
      <c r="BN168" s="18">
        <f t="shared" si="35"/>
        <v>0</v>
      </c>
      <c r="BO168" s="18">
        <f t="shared" si="36"/>
        <v>2.5137405117263394</v>
      </c>
    </row>
    <row r="169" spans="30:67">
      <c r="AD169" s="32">
        <v>165</v>
      </c>
      <c r="AE169" s="25" t="str">
        <f t="shared" si="13"/>
        <v>Right</v>
      </c>
      <c r="AF169" s="25" t="str">
        <f t="shared" si="14"/>
        <v>Channel</v>
      </c>
      <c r="AG169" s="32" t="str">
        <f>IF(XS_AnalyzerSummary!$AB$24&gt;=XS_AnalyzerSummary!AD169,"Y","N")</f>
        <v>Y</v>
      </c>
      <c r="AH169" s="38">
        <v>1</v>
      </c>
      <c r="AI169" s="38">
        <f>IF(AG169="Y",$O$19/XS_AnalyzerSummary!$AB$24,0)</f>
        <v>4.4999999999999998E-2</v>
      </c>
      <c r="AJ169" s="38">
        <f t="shared" si="15"/>
        <v>4.4999999999999998E-2</v>
      </c>
      <c r="AK169" s="93">
        <f t="shared" si="37"/>
        <v>8.4699999999999882</v>
      </c>
      <c r="AL169" s="93">
        <f>IF(AG169="Y",LININTERP(AK169,XS_Analyzer_Calculations!$AY$4:$AY$104,XS_Analyzer_Calculations!$AZ$4:$AZ$104),AL168)</f>
        <v>2.0819999999999927</v>
      </c>
      <c r="AM169" s="38">
        <f t="shared" si="16"/>
        <v>2.9180000000000073</v>
      </c>
      <c r="AN169" s="18">
        <f t="shared" si="17"/>
        <v>0.13070250000000033</v>
      </c>
      <c r="AO169" s="100">
        <f t="shared" si="18"/>
        <v>5.2478567053607719E-2</v>
      </c>
      <c r="AP169" s="100">
        <f t="shared" si="19"/>
        <v>2.49058820273209</v>
      </c>
      <c r="AQ169" s="18">
        <f t="shared" si="20"/>
        <v>1.6595180023127203E-3</v>
      </c>
      <c r="AR169" s="32">
        <f>IFERROR(IF(AG169="Y",VLOOKUP(AK169,XS_Analyzer_Calculations!$R$5:$T$104,3,TRUE),0),0)</f>
        <v>0.1</v>
      </c>
      <c r="AS169" s="198">
        <f t="shared" si="21"/>
        <v>0.01</v>
      </c>
      <c r="AT169" s="18">
        <f t="shared" si="22"/>
        <v>3.5686502660978401</v>
      </c>
      <c r="AU169" s="38">
        <f>AT169*XS_Analyzer_Calculations!$I$7^0.5</f>
        <v>0.35686502660978403</v>
      </c>
      <c r="AV169" s="18">
        <f t="shared" si="58"/>
        <v>2.7303611377730581</v>
      </c>
      <c r="AW169" s="18">
        <f t="shared" si="23"/>
        <v>1.5541270385048243</v>
      </c>
      <c r="AX169" s="18">
        <f t="shared" si="24"/>
        <v>5</v>
      </c>
      <c r="AY169" s="32">
        <f t="shared" si="25"/>
        <v>2.9045000000000076</v>
      </c>
      <c r="AZ169" s="18">
        <f>((AS169*AP169)/(1.65*XS_Analyzer!$Q$72))*12</f>
        <v>7.1568584662626442</v>
      </c>
      <c r="BA169" s="18">
        <f>(AW169/((1.65*62.4)*XS_Analyzer!$Q$73))*12</f>
        <v>4.0251930549205497</v>
      </c>
      <c r="BB169" s="18">
        <f t="shared" si="26"/>
        <v>5.7315618533727033</v>
      </c>
      <c r="BC169" s="38">
        <f t="shared" si="27"/>
        <v>9.3002739378351453</v>
      </c>
      <c r="BD169" s="18">
        <f>IF(ISNUMBER(LININTERP(AW169,Permissible_Shear!$T$178:$T$188,Permissible_Shear!$V$178:$V$188)),LININTERP(AW169,Permissible_Shear!$T$178:$T$188,Permissible_Shear!$V$178:$V$188),0)</f>
        <v>5.1043208074595938</v>
      </c>
      <c r="BE169" s="18">
        <f>LININTERP(AW169,Permissible_Shear!$S$205:$S$222,Permissible_Shear!$V$205:$V$222)</f>
        <v>5.1691469953275764</v>
      </c>
      <c r="BF169" s="18">
        <f>INDEX($AZ$3:$BE$204,ROW(BF169)-2,MATCH(XS_Analyzer!$S$5,XS_AnalyzerSummary!$AZ$2:$BE$2,0))</f>
        <v>5.7315618533727033</v>
      </c>
      <c r="BG169" s="26">
        <f t="shared" si="28"/>
        <v>0</v>
      </c>
      <c r="BH169" s="26">
        <f t="shared" si="29"/>
        <v>0</v>
      </c>
      <c r="BI169" s="26">
        <f t="shared" si="30"/>
        <v>2.7303611377730581</v>
      </c>
      <c r="BJ169" s="26">
        <f t="shared" si="31"/>
        <v>0</v>
      </c>
      <c r="BK169" s="26">
        <f t="shared" si="32"/>
        <v>0</v>
      </c>
      <c r="BL169" s="26">
        <f t="shared" si="33"/>
        <v>1.5541270385048243</v>
      </c>
      <c r="BM169" s="18">
        <f t="shared" si="34"/>
        <v>0</v>
      </c>
      <c r="BN169" s="18">
        <f t="shared" si="35"/>
        <v>0</v>
      </c>
      <c r="BO169" s="18">
        <f t="shared" si="36"/>
        <v>2.49058820273209</v>
      </c>
    </row>
    <row r="170" spans="30:67">
      <c r="AD170" s="32">
        <v>166</v>
      </c>
      <c r="AE170" s="25" t="str">
        <f t="shared" si="13"/>
        <v>Right</v>
      </c>
      <c r="AF170" s="25" t="str">
        <f t="shared" si="14"/>
        <v>Channel</v>
      </c>
      <c r="AG170" s="32" t="str">
        <f>IF(XS_AnalyzerSummary!$AB$24&gt;=XS_AnalyzerSummary!AD170,"Y","N")</f>
        <v>Y</v>
      </c>
      <c r="AH170" s="38">
        <v>1</v>
      </c>
      <c r="AI170" s="38">
        <f>IF(AG170="Y",$O$19/XS_AnalyzerSummary!$AB$24,0)</f>
        <v>4.4999999999999998E-2</v>
      </c>
      <c r="AJ170" s="38">
        <f t="shared" si="15"/>
        <v>4.4999999999999998E-2</v>
      </c>
      <c r="AK170" s="93">
        <f t="shared" si="37"/>
        <v>8.5149999999999881</v>
      </c>
      <c r="AL170" s="93">
        <f>IF(AG170="Y",LININTERP(AK170,XS_Analyzer_Calculations!$AY$4:$AY$104,XS_Analyzer_Calculations!$AZ$4:$AZ$104),AL169)</f>
        <v>2.1089999999999929</v>
      </c>
      <c r="AM170" s="38">
        <f t="shared" si="16"/>
        <v>2.8910000000000071</v>
      </c>
      <c r="AN170" s="18">
        <f t="shared" si="17"/>
        <v>0.12948750000000031</v>
      </c>
      <c r="AO170" s="100">
        <f t="shared" si="18"/>
        <v>5.2478567053607719E-2</v>
      </c>
      <c r="AP170" s="100">
        <f t="shared" si="19"/>
        <v>2.4674358937378513</v>
      </c>
      <c r="AQ170" s="18">
        <f t="shared" si="20"/>
        <v>1.6595180023127203E-3</v>
      </c>
      <c r="AR170" s="32">
        <f>IFERROR(IF(AG170="Y",VLOOKUP(AK170,XS_Analyzer_Calculations!$R$5:$T$104,3,TRUE),0),0)</f>
        <v>0.1</v>
      </c>
      <c r="AS170" s="198">
        <f t="shared" si="21"/>
        <v>0.01</v>
      </c>
      <c r="AT170" s="18">
        <f t="shared" si="22"/>
        <v>3.5135319537935512</v>
      </c>
      <c r="AU170" s="38">
        <f>AT170*XS_Analyzer_Calculations!$I$7^0.5</f>
        <v>0.35135319537935517</v>
      </c>
      <c r="AV170" s="18">
        <f t="shared" si="58"/>
        <v>2.7134140004197649</v>
      </c>
      <c r="AW170" s="18">
        <f t="shared" si="23"/>
        <v>1.5396799976924191</v>
      </c>
      <c r="AX170" s="18">
        <f t="shared" si="24"/>
        <v>5</v>
      </c>
      <c r="AY170" s="32">
        <f t="shared" si="25"/>
        <v>2.8775000000000071</v>
      </c>
      <c r="AZ170" s="18">
        <f>((AS170*AP170)/(1.65*XS_Analyzer!$Q$72))*12</f>
        <v>7.0903288816218826</v>
      </c>
      <c r="BA170" s="18">
        <f>(AW170/((1.65*62.4)*XS_Analyzer!$Q$73))*12</f>
        <v>3.9877751817985478</v>
      </c>
      <c r="BB170" s="18">
        <f t="shared" si="26"/>
        <v>5.6763115671627036</v>
      </c>
      <c r="BC170" s="38">
        <f t="shared" si="27"/>
        <v>9.2369030056246348</v>
      </c>
      <c r="BD170" s="18">
        <f>IF(ISNUMBER(LININTERP(AW170,Permissible_Shear!$T$178:$T$188,Permissible_Shear!$V$178:$V$188)),LININTERP(AW170,Permissible_Shear!$T$178:$T$188,Permissible_Shear!$V$178:$V$188),0)</f>
        <v>5.0591943703544047</v>
      </c>
      <c r="BE170" s="18">
        <f>LININTERP(AW170,Permissible_Shear!$S$205:$S$222,Permissible_Shear!$V$205:$V$222)</f>
        <v>5.1239999927888098</v>
      </c>
      <c r="BF170" s="18">
        <f>INDEX($AZ$3:$BE$204,ROW(BF170)-2,MATCH(XS_Analyzer!$S$5,XS_AnalyzerSummary!$AZ$2:$BE$2,0))</f>
        <v>5.6763115671627036</v>
      </c>
      <c r="BG170" s="26">
        <f t="shared" si="28"/>
        <v>0</v>
      </c>
      <c r="BH170" s="26">
        <f t="shared" si="29"/>
        <v>0</v>
      </c>
      <c r="BI170" s="26">
        <f t="shared" si="30"/>
        <v>2.7134140004197649</v>
      </c>
      <c r="BJ170" s="26">
        <f t="shared" si="31"/>
        <v>0</v>
      </c>
      <c r="BK170" s="26">
        <f t="shared" si="32"/>
        <v>0</v>
      </c>
      <c r="BL170" s="26">
        <f t="shared" si="33"/>
        <v>1.5396799976924191</v>
      </c>
      <c r="BM170" s="18">
        <f t="shared" si="34"/>
        <v>0</v>
      </c>
      <c r="BN170" s="18">
        <f t="shared" si="35"/>
        <v>0</v>
      </c>
      <c r="BO170" s="18">
        <f t="shared" si="36"/>
        <v>2.4674358937378513</v>
      </c>
    </row>
    <row r="171" spans="30:67">
      <c r="AD171" s="32">
        <v>167</v>
      </c>
      <c r="AE171" s="25" t="str">
        <f t="shared" si="13"/>
        <v>Right</v>
      </c>
      <c r="AF171" s="25" t="str">
        <f t="shared" si="14"/>
        <v>Channel</v>
      </c>
      <c r="AG171" s="32" t="str">
        <f>IF(XS_AnalyzerSummary!$AB$24&gt;=XS_AnalyzerSummary!AD171,"Y","N")</f>
        <v>Y</v>
      </c>
      <c r="AH171" s="38">
        <v>1</v>
      </c>
      <c r="AI171" s="38">
        <f>IF(AG171="Y",$O$19/XS_AnalyzerSummary!$AB$24,0)</f>
        <v>4.4999999999999998E-2</v>
      </c>
      <c r="AJ171" s="38">
        <f t="shared" si="15"/>
        <v>4.4999999999999998E-2</v>
      </c>
      <c r="AK171" s="93">
        <f t="shared" si="37"/>
        <v>8.5599999999999881</v>
      </c>
      <c r="AL171" s="93">
        <f>IF(AG171="Y",LININTERP(AK171,XS_Analyzer_Calculations!$AY$4:$AY$104,XS_Analyzer_Calculations!$AZ$4:$AZ$104),AL170)</f>
        <v>2.135999999999993</v>
      </c>
      <c r="AM171" s="38">
        <f t="shared" si="16"/>
        <v>2.864000000000007</v>
      </c>
      <c r="AN171" s="18">
        <f t="shared" si="17"/>
        <v>0.12827250000000032</v>
      </c>
      <c r="AO171" s="100">
        <f t="shared" si="18"/>
        <v>5.2478567053607483E-2</v>
      </c>
      <c r="AP171" s="100">
        <f t="shared" si="19"/>
        <v>2.4442835847436237</v>
      </c>
      <c r="AQ171" s="18">
        <f t="shared" si="20"/>
        <v>1.659518002312713E-3</v>
      </c>
      <c r="AR171" s="32">
        <f>IFERROR(IF(AG171="Y",VLOOKUP(AK171,XS_Analyzer_Calculations!$R$5:$T$104,3,TRUE),0),0)</f>
        <v>0.1</v>
      </c>
      <c r="AS171" s="198">
        <f t="shared" si="21"/>
        <v>0.01</v>
      </c>
      <c r="AT171" s="18">
        <f t="shared" si="22"/>
        <v>3.4587573574330972</v>
      </c>
      <c r="AU171" s="38">
        <f>AT171*XS_Analyzer_Calculations!$I$7^0.5</f>
        <v>0.34587573574330976</v>
      </c>
      <c r="AV171" s="18">
        <f t="shared" si="58"/>
        <v>2.6964137733599087</v>
      </c>
      <c r="AW171" s="18">
        <f t="shared" si="23"/>
        <v>1.5252329568800214</v>
      </c>
      <c r="AX171" s="18">
        <f t="shared" si="24"/>
        <v>5</v>
      </c>
      <c r="AY171" s="32">
        <f t="shared" si="25"/>
        <v>2.8505000000000074</v>
      </c>
      <c r="AZ171" s="18">
        <f>((AS171*AP171)/(1.65*XS_Analyzer!$Q$72))*12</f>
        <v>7.0237992969811529</v>
      </c>
      <c r="BA171" s="18">
        <f>(AW171/((1.65*62.4)*XS_Analyzer!$Q$73))*12</f>
        <v>3.9503573086765642</v>
      </c>
      <c r="BB171" s="18">
        <f t="shared" si="26"/>
        <v>5.6210829490362375</v>
      </c>
      <c r="BC171" s="38">
        <f t="shared" si="27"/>
        <v>9.1733753351181075</v>
      </c>
      <c r="BD171" s="18">
        <f>IF(ISNUMBER(LININTERP(AW171,Permissible_Shear!$T$178:$T$188,Permissible_Shear!$V$178:$V$188)),LININTERP(AW171,Permissible_Shear!$T$178:$T$188,Permissible_Shear!$V$178:$V$188),0)</f>
        <v>5.0140679332492377</v>
      </c>
      <c r="BE171" s="18">
        <f>LININTERP(AW171,Permissible_Shear!$S$205:$S$222,Permissible_Shear!$V$205:$V$222)</f>
        <v>5.0788529902500663</v>
      </c>
      <c r="BF171" s="18">
        <f>INDEX($AZ$3:$BE$204,ROW(BF171)-2,MATCH(XS_Analyzer!$S$5,XS_AnalyzerSummary!$AZ$2:$BE$2,0))</f>
        <v>5.6210829490362375</v>
      </c>
      <c r="BG171" s="26">
        <f t="shared" si="28"/>
        <v>0</v>
      </c>
      <c r="BH171" s="26">
        <f t="shared" si="29"/>
        <v>0</v>
      </c>
      <c r="BI171" s="26">
        <f t="shared" si="30"/>
        <v>2.6964137733599087</v>
      </c>
      <c r="BJ171" s="26">
        <f t="shared" si="31"/>
        <v>0</v>
      </c>
      <c r="BK171" s="26">
        <f t="shared" si="32"/>
        <v>0</v>
      </c>
      <c r="BL171" s="26">
        <f t="shared" si="33"/>
        <v>1.5252329568800214</v>
      </c>
      <c r="BM171" s="18">
        <f t="shared" si="34"/>
        <v>0</v>
      </c>
      <c r="BN171" s="18">
        <f t="shared" si="35"/>
        <v>0</v>
      </c>
      <c r="BO171" s="18">
        <f t="shared" si="36"/>
        <v>2.4442835847436237</v>
      </c>
    </row>
    <row r="172" spans="30:67">
      <c r="AD172" s="32">
        <v>168</v>
      </c>
      <c r="AE172" s="25" t="str">
        <f t="shared" si="13"/>
        <v>Right</v>
      </c>
      <c r="AF172" s="25" t="str">
        <f t="shared" si="14"/>
        <v>Channel</v>
      </c>
      <c r="AG172" s="32" t="str">
        <f>IF(XS_AnalyzerSummary!$AB$24&gt;=XS_AnalyzerSummary!AD172,"Y","N")</f>
        <v>Y</v>
      </c>
      <c r="AH172" s="38">
        <v>1</v>
      </c>
      <c r="AI172" s="38">
        <f>IF(AG172="Y",$O$19/XS_AnalyzerSummary!$AB$24,0)</f>
        <v>4.4999999999999998E-2</v>
      </c>
      <c r="AJ172" s="38">
        <f t="shared" si="15"/>
        <v>4.4999999999999998E-2</v>
      </c>
      <c r="AK172" s="93">
        <f t="shared" si="37"/>
        <v>8.604999999999988</v>
      </c>
      <c r="AL172" s="93">
        <f>IF(AG172="Y",LININTERP(AK172,XS_Analyzer_Calculations!$AY$4:$AY$104,XS_Analyzer_Calculations!$AZ$4:$AZ$104),AL171)</f>
        <v>2.1629999999999927</v>
      </c>
      <c r="AM172" s="38">
        <f t="shared" si="16"/>
        <v>2.8370000000000073</v>
      </c>
      <c r="AN172" s="18">
        <f t="shared" si="17"/>
        <v>0.12705750000000032</v>
      </c>
      <c r="AO172" s="100">
        <f t="shared" si="18"/>
        <v>5.2478567053607719E-2</v>
      </c>
      <c r="AP172" s="100">
        <f t="shared" si="19"/>
        <v>2.4211312757493739</v>
      </c>
      <c r="AQ172" s="18">
        <f t="shared" si="20"/>
        <v>1.6595180023127203E-3</v>
      </c>
      <c r="AR172" s="32">
        <f>IFERROR(IF(AG172="Y",VLOOKUP(AK172,XS_Analyzer_Calculations!$R$5:$T$104,3,TRUE),0),0)</f>
        <v>0.1</v>
      </c>
      <c r="AS172" s="198">
        <f t="shared" si="21"/>
        <v>0.01</v>
      </c>
      <c r="AT172" s="18">
        <f t="shared" si="22"/>
        <v>3.4043275588577071</v>
      </c>
      <c r="AU172" s="38">
        <f>AT172*XS_Analyzer_Calculations!$I$7^0.5</f>
        <v>0.34043275588577071</v>
      </c>
      <c r="AV172" s="18">
        <f t="shared" si="58"/>
        <v>2.6793597850246531</v>
      </c>
      <c r="AW172" s="18">
        <f t="shared" si="23"/>
        <v>1.5107859160676094</v>
      </c>
      <c r="AX172" s="18">
        <f t="shared" si="24"/>
        <v>5</v>
      </c>
      <c r="AY172" s="32">
        <f t="shared" si="25"/>
        <v>2.8235000000000072</v>
      </c>
      <c r="AZ172" s="18">
        <f>((AS172*AP172)/(1.65*XS_Analyzer!$Q$72))*12</f>
        <v>6.9572697123403602</v>
      </c>
      <c r="BA172" s="18">
        <f>(AW172/((1.65*62.4)*XS_Analyzer!$Q$73))*12</f>
        <v>3.9129394355545442</v>
      </c>
      <c r="BB172" s="18">
        <f t="shared" si="26"/>
        <v>5.5658761946539972</v>
      </c>
      <c r="BC172" s="38">
        <f t="shared" si="27"/>
        <v>9.1096890554649672</v>
      </c>
      <c r="BD172" s="18">
        <f>IF(ISNUMBER(LININTERP(AW172,Permissible_Shear!$T$178:$T$188,Permissible_Shear!$V$178:$V$188)),LININTERP(AW172,Permissible_Shear!$T$178:$T$188,Permissible_Shear!$V$178:$V$188),0)</f>
        <v>4.9689414961440272</v>
      </c>
      <c r="BE172" s="18">
        <f>LININTERP(AW172,Permissible_Shear!$S$205:$S$222,Permissible_Shear!$V$205:$V$222)</f>
        <v>5.0337059877112793</v>
      </c>
      <c r="BF172" s="18">
        <f>INDEX($AZ$3:$BE$204,ROW(BF172)-2,MATCH(XS_Analyzer!$S$5,XS_AnalyzerSummary!$AZ$2:$BE$2,0))</f>
        <v>5.5658761946539972</v>
      </c>
      <c r="BG172" s="26">
        <f t="shared" si="28"/>
        <v>0</v>
      </c>
      <c r="BH172" s="26">
        <f t="shared" si="29"/>
        <v>0</v>
      </c>
      <c r="BI172" s="26">
        <f t="shared" si="30"/>
        <v>2.6793597850246531</v>
      </c>
      <c r="BJ172" s="26">
        <f t="shared" si="31"/>
        <v>0</v>
      </c>
      <c r="BK172" s="26">
        <f t="shared" si="32"/>
        <v>0</v>
      </c>
      <c r="BL172" s="26">
        <f t="shared" si="33"/>
        <v>1.5107859160676094</v>
      </c>
      <c r="BM172" s="18">
        <f t="shared" si="34"/>
        <v>0</v>
      </c>
      <c r="BN172" s="18">
        <f t="shared" si="35"/>
        <v>0</v>
      </c>
      <c r="BO172" s="18">
        <f t="shared" si="36"/>
        <v>2.4211312757493739</v>
      </c>
    </row>
    <row r="173" spans="30:67">
      <c r="AD173" s="32">
        <v>169</v>
      </c>
      <c r="AE173" s="25" t="str">
        <f t="shared" si="13"/>
        <v>Right</v>
      </c>
      <c r="AF173" s="25" t="str">
        <f t="shared" si="14"/>
        <v>Channel</v>
      </c>
      <c r="AG173" s="32" t="str">
        <f>IF(XS_AnalyzerSummary!$AB$24&gt;=XS_AnalyzerSummary!AD173,"Y","N")</f>
        <v>Y</v>
      </c>
      <c r="AH173" s="38">
        <v>1</v>
      </c>
      <c r="AI173" s="38">
        <f>IF(AG173="Y",$O$19/XS_AnalyzerSummary!$AB$24,0)</f>
        <v>4.4999999999999998E-2</v>
      </c>
      <c r="AJ173" s="38">
        <f t="shared" si="15"/>
        <v>4.4999999999999998E-2</v>
      </c>
      <c r="AK173" s="93">
        <f t="shared" si="37"/>
        <v>8.6499999999999879</v>
      </c>
      <c r="AL173" s="93">
        <f>IF(AG173="Y",LININTERP(AK173,XS_Analyzer_Calculations!$AY$4:$AY$104,XS_Analyzer_Calculations!$AZ$4:$AZ$104),AL172)</f>
        <v>2.1899999999999928</v>
      </c>
      <c r="AM173" s="38">
        <f t="shared" si="16"/>
        <v>2.8100000000000072</v>
      </c>
      <c r="AN173" s="18">
        <f t="shared" si="17"/>
        <v>0.1258425000000003</v>
      </c>
      <c r="AO173" s="100">
        <f t="shared" si="18"/>
        <v>5.2478567053607483E-2</v>
      </c>
      <c r="AP173" s="100">
        <f t="shared" si="19"/>
        <v>2.3979789667551454</v>
      </c>
      <c r="AQ173" s="18">
        <f t="shared" si="20"/>
        <v>1.659518002312713E-3</v>
      </c>
      <c r="AR173" s="32">
        <f>IFERROR(IF(AG173="Y",VLOOKUP(AK173,XS_Analyzer_Calculations!$R$5:$T$104,3,TRUE),0),0)</f>
        <v>0.1</v>
      </c>
      <c r="AS173" s="198">
        <f t="shared" si="21"/>
        <v>0.01</v>
      </c>
      <c r="AT173" s="18">
        <f t="shared" si="22"/>
        <v>3.3502436536591209</v>
      </c>
      <c r="AU173" s="38">
        <f>AT173*XS_Analyzer_Calculations!$I$7^0.5</f>
        <v>0.33502436536591212</v>
      </c>
      <c r="AV173" s="18">
        <f t="shared" si="58"/>
        <v>2.662251348836135</v>
      </c>
      <c r="AW173" s="18">
        <f t="shared" si="23"/>
        <v>1.4963388752552107</v>
      </c>
      <c r="AX173" s="18">
        <f t="shared" si="24"/>
        <v>5</v>
      </c>
      <c r="AY173" s="32">
        <f t="shared" si="25"/>
        <v>2.7965000000000066</v>
      </c>
      <c r="AZ173" s="18">
        <f>((AS173*AP173)/(1.65*XS_Analyzer!$Q$72))*12</f>
        <v>6.8907401276996278</v>
      </c>
      <c r="BA173" s="18">
        <f>(AW173/((1.65*62.4)*XS_Analyzer!$Q$73))*12</f>
        <v>3.8755215624325583</v>
      </c>
      <c r="BB173" s="18">
        <f t="shared" si="26"/>
        <v>5.5106915033221471</v>
      </c>
      <c r="BC173" s="38">
        <f t="shared" si="27"/>
        <v>9.0458422554425209</v>
      </c>
      <c r="BD173" s="18">
        <f>IF(ISNUMBER(LININTERP(AW173,Permissible_Shear!$T$178:$T$188,Permissible_Shear!$V$178:$V$188)),LININTERP(AW173,Permissible_Shear!$T$178:$T$188,Permissible_Shear!$V$178:$V$188),0)</f>
        <v>4.9238150590388576</v>
      </c>
      <c r="BE173" s="18">
        <f>LININTERP(AW173,Permissible_Shear!$S$205:$S$222,Permissible_Shear!$V$205:$V$222)</f>
        <v>4.9885589851725332</v>
      </c>
      <c r="BF173" s="18">
        <f>INDEX($AZ$3:$BE$204,ROW(BF173)-2,MATCH(XS_Analyzer!$S$5,XS_AnalyzerSummary!$AZ$2:$BE$2,0))</f>
        <v>5.5106915033221471</v>
      </c>
      <c r="BG173" s="26">
        <f t="shared" si="28"/>
        <v>0</v>
      </c>
      <c r="BH173" s="26">
        <f t="shared" si="29"/>
        <v>0</v>
      </c>
      <c r="BI173" s="26">
        <f t="shared" si="30"/>
        <v>2.662251348836135</v>
      </c>
      <c r="BJ173" s="26">
        <f t="shared" si="31"/>
        <v>0</v>
      </c>
      <c r="BK173" s="26">
        <f t="shared" si="32"/>
        <v>0</v>
      </c>
      <c r="BL173" s="26">
        <f t="shared" si="33"/>
        <v>1.4963388752552107</v>
      </c>
      <c r="BM173" s="18">
        <f t="shared" si="34"/>
        <v>0</v>
      </c>
      <c r="BN173" s="18">
        <f t="shared" si="35"/>
        <v>0</v>
      </c>
      <c r="BO173" s="18">
        <f t="shared" si="36"/>
        <v>2.3979789667551454</v>
      </c>
    </row>
    <row r="174" spans="30:67">
      <c r="AD174" s="32">
        <v>170</v>
      </c>
      <c r="AE174" s="25" t="str">
        <f t="shared" si="13"/>
        <v>Right</v>
      </c>
      <c r="AF174" s="25" t="str">
        <f t="shared" si="14"/>
        <v>Channel</v>
      </c>
      <c r="AG174" s="32" t="str">
        <f>IF(XS_AnalyzerSummary!$AB$24&gt;=XS_AnalyzerSummary!AD174,"Y","N")</f>
        <v>Y</v>
      </c>
      <c r="AH174" s="38">
        <v>1</v>
      </c>
      <c r="AI174" s="38">
        <f>IF(AG174="Y",$O$19/XS_AnalyzerSummary!$AB$24,0)</f>
        <v>4.4999999999999998E-2</v>
      </c>
      <c r="AJ174" s="38">
        <f t="shared" si="15"/>
        <v>4.4999999999999998E-2</v>
      </c>
      <c r="AK174" s="93">
        <f t="shared" si="37"/>
        <v>8.6949999999999878</v>
      </c>
      <c r="AL174" s="93">
        <f>IF(AG174="Y",LININTERP(AK174,XS_Analyzer_Calculations!$AY$4:$AY$104,XS_Analyzer_Calculations!$AZ$4:$AZ$104),AL173)</f>
        <v>2.2169999999999925</v>
      </c>
      <c r="AM174" s="38">
        <f t="shared" si="16"/>
        <v>2.7830000000000075</v>
      </c>
      <c r="AN174" s="18">
        <f t="shared" si="17"/>
        <v>0.12462750000000034</v>
      </c>
      <c r="AO174" s="100">
        <f t="shared" si="18"/>
        <v>5.2478567053607719E-2</v>
      </c>
      <c r="AP174" s="100">
        <f t="shared" si="19"/>
        <v>2.374826657760897</v>
      </c>
      <c r="AQ174" s="18">
        <f t="shared" si="20"/>
        <v>1.6595180023127203E-3</v>
      </c>
      <c r="AR174" s="32">
        <f>IFERROR(IF(AG174="Y",VLOOKUP(AK174,XS_Analyzer_Calculations!$R$5:$T$104,3,TRUE),0),0)</f>
        <v>0.1</v>
      </c>
      <c r="AS174" s="198">
        <f t="shared" si="21"/>
        <v>0.01</v>
      </c>
      <c r="AT174" s="18">
        <f t="shared" si="22"/>
        <v>3.2965067514882338</v>
      </c>
      <c r="AU174" s="38">
        <f>AT174*XS_Analyzer_Calculations!$I$7^0.5</f>
        <v>0.3296506751488234</v>
      </c>
      <c r="AV174" s="18">
        <f t="shared" si="58"/>
        <v>2.6450877627234961</v>
      </c>
      <c r="AW174" s="18">
        <f t="shared" si="23"/>
        <v>1.4818918344427996</v>
      </c>
      <c r="AX174" s="18">
        <f t="shared" si="24"/>
        <v>5</v>
      </c>
      <c r="AY174" s="32">
        <f t="shared" si="25"/>
        <v>2.7695000000000074</v>
      </c>
      <c r="AZ174" s="18">
        <f>((AS174*AP174)/(1.65*XS_Analyzer!$Q$72))*12</f>
        <v>6.8242105430588396</v>
      </c>
      <c r="BA174" s="18">
        <f>(AW174/((1.65*62.4)*XS_Analyzer!$Q$73))*12</f>
        <v>3.8381036893105405</v>
      </c>
      <c r="BB174" s="18">
        <f t="shared" si="26"/>
        <v>5.4555290780959176</v>
      </c>
      <c r="BC174" s="38">
        <f t="shared" si="27"/>
        <v>8.9818329821879583</v>
      </c>
      <c r="BD174" s="18">
        <f>IF(ISNUMBER(LININTERP(AW174,Permissible_Shear!$T$178:$T$188,Permissible_Shear!$V$178:$V$188)),LININTERP(AW174,Permissible_Shear!$T$178:$T$188,Permissible_Shear!$V$178:$V$188),0)</f>
        <v>4.8786886219336498</v>
      </c>
      <c r="BE174" s="18">
        <f>LININTERP(AW174,Permissible_Shear!$S$205:$S$222,Permissible_Shear!$V$205:$V$222)</f>
        <v>4.9434119826337488</v>
      </c>
      <c r="BF174" s="18">
        <f>INDEX($AZ$3:$BE$204,ROW(BF174)-2,MATCH(XS_Analyzer!$S$5,XS_AnalyzerSummary!$AZ$2:$BE$2,0))</f>
        <v>5.4555290780959176</v>
      </c>
      <c r="BG174" s="26">
        <f t="shared" si="28"/>
        <v>0</v>
      </c>
      <c r="BH174" s="26">
        <f t="shared" si="29"/>
        <v>0</v>
      </c>
      <c r="BI174" s="26">
        <f t="shared" si="30"/>
        <v>2.6450877627234961</v>
      </c>
      <c r="BJ174" s="26">
        <f t="shared" si="31"/>
        <v>0</v>
      </c>
      <c r="BK174" s="26">
        <f t="shared" si="32"/>
        <v>0</v>
      </c>
      <c r="BL174" s="26">
        <f t="shared" si="33"/>
        <v>1.4818918344427996</v>
      </c>
      <c r="BM174" s="18">
        <f t="shared" si="34"/>
        <v>0</v>
      </c>
      <c r="BN174" s="18">
        <f t="shared" si="35"/>
        <v>0</v>
      </c>
      <c r="BO174" s="18">
        <f t="shared" si="36"/>
        <v>2.374826657760897</v>
      </c>
    </row>
    <row r="175" spans="30:67">
      <c r="AD175" s="32">
        <v>171</v>
      </c>
      <c r="AE175" s="25" t="str">
        <f t="shared" si="13"/>
        <v>Right</v>
      </c>
      <c r="AF175" s="25" t="str">
        <f t="shared" si="14"/>
        <v>Channel</v>
      </c>
      <c r="AG175" s="32" t="str">
        <f>IF(XS_AnalyzerSummary!$AB$24&gt;=XS_AnalyzerSummary!AD175,"Y","N")</f>
        <v>Y</v>
      </c>
      <c r="AH175" s="38">
        <v>1</v>
      </c>
      <c r="AI175" s="38">
        <f>IF(AG175="Y",$O$19/XS_AnalyzerSummary!$AB$24,0)</f>
        <v>4.4999999999999998E-2</v>
      </c>
      <c r="AJ175" s="38">
        <f t="shared" si="15"/>
        <v>4.4999999999999998E-2</v>
      </c>
      <c r="AK175" s="93">
        <f t="shared" si="37"/>
        <v>8.7399999999999878</v>
      </c>
      <c r="AL175" s="93">
        <f>IF(AG175="Y",LININTERP(AK175,XS_Analyzer_Calculations!$AY$4:$AY$104,XS_Analyzer_Calculations!$AZ$4:$AZ$104),AL174)</f>
        <v>2.2439999999999927</v>
      </c>
      <c r="AM175" s="38">
        <f t="shared" si="16"/>
        <v>2.7560000000000073</v>
      </c>
      <c r="AN175" s="18">
        <f t="shared" si="17"/>
        <v>0.12341250000000033</v>
      </c>
      <c r="AO175" s="100">
        <f t="shared" si="18"/>
        <v>5.2478567053607719E-2</v>
      </c>
      <c r="AP175" s="100">
        <f t="shared" si="19"/>
        <v>2.3516743487666578</v>
      </c>
      <c r="AQ175" s="18">
        <f t="shared" si="20"/>
        <v>1.6595180023127203E-3</v>
      </c>
      <c r="AR175" s="32">
        <f>IFERROR(IF(AG175="Y",VLOOKUP(AK175,XS_Analyzer_Calculations!$R$5:$T$104,3,TRUE),0),0)</f>
        <v>0.1</v>
      </c>
      <c r="AS175" s="198">
        <f t="shared" si="21"/>
        <v>0.01</v>
      </c>
      <c r="AT175" s="18">
        <f t="shared" si="22"/>
        <v>3.243117976374041</v>
      </c>
      <c r="AU175" s="38">
        <f>AT175*XS_Analyzer_Calculations!$I$7^0.5</f>
        <v>0.32431179763740414</v>
      </c>
      <c r="AV175" s="18">
        <f t="shared" si="58"/>
        <v>2.6278683086186834</v>
      </c>
      <c r="AW175" s="18">
        <f t="shared" si="23"/>
        <v>1.4674447936303943</v>
      </c>
      <c r="AX175" s="18">
        <f t="shared" si="24"/>
        <v>5</v>
      </c>
      <c r="AY175" s="32">
        <f t="shared" si="25"/>
        <v>2.7425000000000073</v>
      </c>
      <c r="AZ175" s="18">
        <f>((AS175*AP175)/(1.65*XS_Analyzer!$Q$72))*12</f>
        <v>6.7576809584180761</v>
      </c>
      <c r="BA175" s="18">
        <f>(AW175/((1.65*62.4)*XS_Analyzer!$Q$73))*12</f>
        <v>3.8006858161885377</v>
      </c>
      <c r="BB175" s="18">
        <f t="shared" si="26"/>
        <v>5.4003891258871812</v>
      </c>
      <c r="BC175" s="38">
        <f t="shared" si="27"/>
        <v>8.9176592398777625</v>
      </c>
      <c r="BD175" s="18">
        <f>IF(ISNUMBER(LININTERP(AW175,Permissible_Shear!$T$178:$T$188,Permissible_Shear!$V$178:$V$188)),LININTERP(AW175,Permissible_Shear!$T$178:$T$188,Permissible_Shear!$V$178:$V$188),0)</f>
        <v>4.8335621848284598</v>
      </c>
      <c r="BE175" s="18">
        <f>LININTERP(AW175,Permissible_Shear!$S$205:$S$222,Permissible_Shear!$V$205:$V$222)</f>
        <v>4.8982649800949822</v>
      </c>
      <c r="BF175" s="18">
        <f>INDEX($AZ$3:$BE$204,ROW(BF175)-2,MATCH(XS_Analyzer!$S$5,XS_AnalyzerSummary!$AZ$2:$BE$2,0))</f>
        <v>5.4003891258871812</v>
      </c>
      <c r="BG175" s="26">
        <f t="shared" si="28"/>
        <v>0</v>
      </c>
      <c r="BH175" s="26">
        <f t="shared" si="29"/>
        <v>0</v>
      </c>
      <c r="BI175" s="26">
        <f t="shared" si="30"/>
        <v>2.6278683086186834</v>
      </c>
      <c r="BJ175" s="26">
        <f t="shared" si="31"/>
        <v>0</v>
      </c>
      <c r="BK175" s="26">
        <f t="shared" si="32"/>
        <v>0</v>
      </c>
      <c r="BL175" s="26">
        <f t="shared" si="33"/>
        <v>1.4674447936303943</v>
      </c>
      <c r="BM175" s="18">
        <f t="shared" si="34"/>
        <v>0</v>
      </c>
      <c r="BN175" s="18">
        <f t="shared" si="35"/>
        <v>0</v>
      </c>
      <c r="BO175" s="18">
        <f t="shared" si="36"/>
        <v>2.3516743487666578</v>
      </c>
    </row>
    <row r="176" spans="30:67">
      <c r="AD176" s="32">
        <v>172</v>
      </c>
      <c r="AE176" s="25" t="str">
        <f t="shared" si="13"/>
        <v>Right</v>
      </c>
      <c r="AF176" s="25" t="str">
        <f t="shared" si="14"/>
        <v>Channel</v>
      </c>
      <c r="AG176" s="32" t="str">
        <f>IF(XS_AnalyzerSummary!$AB$24&gt;=XS_AnalyzerSummary!AD176,"Y","N")</f>
        <v>Y</v>
      </c>
      <c r="AH176" s="38">
        <v>1</v>
      </c>
      <c r="AI176" s="38">
        <f>IF(AG176="Y",$O$19/XS_AnalyzerSummary!$AB$24,0)</f>
        <v>4.4999999999999998E-2</v>
      </c>
      <c r="AJ176" s="38">
        <f t="shared" si="15"/>
        <v>4.4999999999999998E-2</v>
      </c>
      <c r="AK176" s="93">
        <f t="shared" si="37"/>
        <v>8.7849999999999877</v>
      </c>
      <c r="AL176" s="93">
        <f>IF(AG176="Y",LININTERP(AK176,XS_Analyzer_Calculations!$AY$4:$AY$104,XS_Analyzer_Calculations!$AZ$4:$AZ$104),AL175)</f>
        <v>2.2709999999999928</v>
      </c>
      <c r="AM176" s="38">
        <f t="shared" si="16"/>
        <v>2.7290000000000072</v>
      </c>
      <c r="AN176" s="18">
        <f t="shared" si="17"/>
        <v>0.12219750000000033</v>
      </c>
      <c r="AO176" s="100">
        <f t="shared" si="18"/>
        <v>5.2478567053607483E-2</v>
      </c>
      <c r="AP176" s="100">
        <f t="shared" si="19"/>
        <v>2.3285220397724298</v>
      </c>
      <c r="AQ176" s="18">
        <f t="shared" si="20"/>
        <v>1.659518002312713E-3</v>
      </c>
      <c r="AR176" s="32">
        <f>IFERROR(IF(AG176="Y",VLOOKUP(AK176,XS_Analyzer_Calculations!$R$5:$T$104,3,TRUE),0),0)</f>
        <v>0.1</v>
      </c>
      <c r="AS176" s="198">
        <f t="shared" si="21"/>
        <v>0.01</v>
      </c>
      <c r="AT176" s="18">
        <f t="shared" si="22"/>
        <v>3.1900784670527838</v>
      </c>
      <c r="AU176" s="38">
        <f>AT176*XS_Analyzer_Calculations!$I$7^0.5</f>
        <v>0.31900784670527838</v>
      </c>
      <c r="AV176" s="18">
        <f t="shared" si="58"/>
        <v>2.6105922519305018</v>
      </c>
      <c r="AW176" s="18">
        <f t="shared" si="23"/>
        <v>1.452997752817996</v>
      </c>
      <c r="AX176" s="18">
        <f t="shared" si="24"/>
        <v>5</v>
      </c>
      <c r="AY176" s="32">
        <f t="shared" si="25"/>
        <v>2.7155000000000076</v>
      </c>
      <c r="AZ176" s="18">
        <f>((AS176*AP176)/(1.65*XS_Analyzer!$Q$72))*12</f>
        <v>6.6911513737773447</v>
      </c>
      <c r="BA176" s="18">
        <f>(AW176/((1.65*62.4)*XS_Analyzer!$Q$73))*12</f>
        <v>3.7632679430665537</v>
      </c>
      <c r="BB176" s="18">
        <f t="shared" si="26"/>
        <v>5.3452718575761962</v>
      </c>
      <c r="BC176" s="38">
        <f t="shared" si="27"/>
        <v>8.8533189883518997</v>
      </c>
      <c r="BD176" s="18">
        <f>IF(ISNUMBER(LININTERP(AW176,Permissible_Shear!$T$178:$T$188,Permissible_Shear!$V$178:$V$188)),LININTERP(AW176,Permissible_Shear!$T$178:$T$188,Permissible_Shear!$V$178:$V$188),0)</f>
        <v>4.7884357477232919</v>
      </c>
      <c r="BE176" s="18">
        <f>LININTERP(AW176,Permissible_Shear!$S$205:$S$222,Permissible_Shear!$V$205:$V$222)</f>
        <v>4.8531179775562379</v>
      </c>
      <c r="BF176" s="18">
        <f>INDEX($AZ$3:$BE$204,ROW(BF176)-2,MATCH(XS_Analyzer!$S$5,XS_AnalyzerSummary!$AZ$2:$BE$2,0))</f>
        <v>5.3452718575761962</v>
      </c>
      <c r="BG176" s="26">
        <f t="shared" si="28"/>
        <v>0</v>
      </c>
      <c r="BH176" s="26">
        <f t="shared" si="29"/>
        <v>0</v>
      </c>
      <c r="BI176" s="26">
        <f t="shared" si="30"/>
        <v>2.6105922519305018</v>
      </c>
      <c r="BJ176" s="26">
        <f t="shared" si="31"/>
        <v>0</v>
      </c>
      <c r="BK176" s="26">
        <f t="shared" si="32"/>
        <v>0</v>
      </c>
      <c r="BL176" s="26">
        <f t="shared" si="33"/>
        <v>1.452997752817996</v>
      </c>
      <c r="BM176" s="18">
        <f t="shared" si="34"/>
        <v>0</v>
      </c>
      <c r="BN176" s="18">
        <f t="shared" si="35"/>
        <v>0</v>
      </c>
      <c r="BO176" s="18">
        <f t="shared" si="36"/>
        <v>2.3285220397724298</v>
      </c>
    </row>
    <row r="177" spans="30:67">
      <c r="AD177" s="32">
        <v>173</v>
      </c>
      <c r="AE177" s="25" t="str">
        <f t="shared" si="13"/>
        <v>Right</v>
      </c>
      <c r="AF177" s="25" t="str">
        <f t="shared" si="14"/>
        <v>Channel</v>
      </c>
      <c r="AG177" s="32" t="str">
        <f>IF(XS_AnalyzerSummary!$AB$24&gt;=XS_AnalyzerSummary!AD177,"Y","N")</f>
        <v>Y</v>
      </c>
      <c r="AH177" s="38">
        <v>1</v>
      </c>
      <c r="AI177" s="38">
        <f>IF(AG177="Y",$O$19/XS_AnalyzerSummary!$AB$24,0)</f>
        <v>4.4999999999999998E-2</v>
      </c>
      <c r="AJ177" s="38">
        <f t="shared" si="15"/>
        <v>4.4999999999999998E-2</v>
      </c>
      <c r="AK177" s="93">
        <f t="shared" si="37"/>
        <v>8.8299999999999876</v>
      </c>
      <c r="AL177" s="93">
        <f>IF(AG177="Y",LININTERP(AK177,XS_Analyzer_Calculations!$AY$4:$AY$104,XS_Analyzer_Calculations!$AZ$4:$AZ$104),AL176)</f>
        <v>2.2979999999999925</v>
      </c>
      <c r="AM177" s="38">
        <f t="shared" si="16"/>
        <v>2.7020000000000075</v>
      </c>
      <c r="AN177" s="18">
        <f t="shared" si="17"/>
        <v>0.12098250000000033</v>
      </c>
      <c r="AO177" s="100">
        <f t="shared" si="18"/>
        <v>5.2478567053607719E-2</v>
      </c>
      <c r="AP177" s="100">
        <f t="shared" si="19"/>
        <v>2.3053697307781804</v>
      </c>
      <c r="AQ177" s="18">
        <f t="shared" si="20"/>
        <v>1.6595180023127203E-3</v>
      </c>
      <c r="AR177" s="32">
        <f>IFERROR(IF(AG177="Y",VLOOKUP(AK177,XS_Analyzer_Calculations!$R$5:$T$104,3,TRUE),0),0)</f>
        <v>0.1</v>
      </c>
      <c r="AS177" s="198">
        <f t="shared" si="21"/>
        <v>0.01</v>
      </c>
      <c r="AT177" s="18">
        <f t="shared" si="22"/>
        <v>3.137389377308049</v>
      </c>
      <c r="AU177" s="38">
        <f>AT177*XS_Analyzer_Calculations!$I$7^0.5</f>
        <v>0.31373893773080491</v>
      </c>
      <c r="AV177" s="18">
        <f t="shared" si="58"/>
        <v>2.5932588409960453</v>
      </c>
      <c r="AW177" s="18">
        <f t="shared" si="23"/>
        <v>1.4385507120055845</v>
      </c>
      <c r="AX177" s="18">
        <f t="shared" si="24"/>
        <v>5</v>
      </c>
      <c r="AY177" s="32">
        <f t="shared" si="25"/>
        <v>2.6885000000000074</v>
      </c>
      <c r="AZ177" s="18">
        <f>((AS177*AP177)/(1.65*XS_Analyzer!$Q$72))*12</f>
        <v>6.6246217891365546</v>
      </c>
      <c r="BA177" s="18">
        <f>(AW177/((1.65*62.4)*XS_Analyzer!$Q$73))*12</f>
        <v>3.725850069944534</v>
      </c>
      <c r="BB177" s="18">
        <f t="shared" si="26"/>
        <v>5.2901774881277355</v>
      </c>
      <c r="BC177" s="38">
        <f t="shared" si="27"/>
        <v>8.788810141679873</v>
      </c>
      <c r="BD177" s="18">
        <f>IF(ISNUMBER(LININTERP(AW177,Permissible_Shear!$T$178:$T$188,Permissible_Shear!$V$178:$V$188)),LININTERP(AW177,Permissible_Shear!$T$178:$T$188,Permissible_Shear!$V$178:$V$188),0)</f>
        <v>4.7433093106180824</v>
      </c>
      <c r="BE177" s="18">
        <f>LININTERP(AW177,Permissible_Shear!$S$205:$S$222,Permissible_Shear!$V$205:$V$222)</f>
        <v>4.8079709750174509</v>
      </c>
      <c r="BF177" s="18">
        <f>INDEX($AZ$3:$BE$204,ROW(BF177)-2,MATCH(XS_Analyzer!$S$5,XS_AnalyzerSummary!$AZ$2:$BE$2,0))</f>
        <v>5.2901774881277355</v>
      </c>
      <c r="BG177" s="26">
        <f t="shared" si="28"/>
        <v>0</v>
      </c>
      <c r="BH177" s="26">
        <f t="shared" si="29"/>
        <v>0</v>
      </c>
      <c r="BI177" s="26">
        <f t="shared" si="30"/>
        <v>2.5932588409960453</v>
      </c>
      <c r="BJ177" s="26">
        <f t="shared" si="31"/>
        <v>0</v>
      </c>
      <c r="BK177" s="26">
        <f t="shared" si="32"/>
        <v>0</v>
      </c>
      <c r="BL177" s="26">
        <f t="shared" si="33"/>
        <v>1.4385507120055845</v>
      </c>
      <c r="BM177" s="18">
        <f t="shared" si="34"/>
        <v>0</v>
      </c>
      <c r="BN177" s="18">
        <f t="shared" si="35"/>
        <v>0</v>
      </c>
      <c r="BO177" s="18">
        <f t="shared" si="36"/>
        <v>2.3053697307781804</v>
      </c>
    </row>
    <row r="178" spans="30:67">
      <c r="AD178" s="32">
        <v>174</v>
      </c>
      <c r="AE178" s="25" t="str">
        <f t="shared" si="13"/>
        <v>Right</v>
      </c>
      <c r="AF178" s="25" t="str">
        <f t="shared" si="14"/>
        <v>Channel</v>
      </c>
      <c r="AG178" s="32" t="str">
        <f>IF(XS_AnalyzerSummary!$AB$24&gt;=XS_AnalyzerSummary!AD178,"Y","N")</f>
        <v>Y</v>
      </c>
      <c r="AH178" s="38">
        <v>1</v>
      </c>
      <c r="AI178" s="38">
        <f>IF(AG178="Y",$O$19/XS_AnalyzerSummary!$AB$24,0)</f>
        <v>4.4999999999999998E-2</v>
      </c>
      <c r="AJ178" s="38">
        <f t="shared" si="15"/>
        <v>4.4999999999999998E-2</v>
      </c>
      <c r="AK178" s="93">
        <f t="shared" si="37"/>
        <v>8.8749999999999876</v>
      </c>
      <c r="AL178" s="93">
        <f>IF(AG178="Y",LININTERP(AK178,XS_Analyzer_Calculations!$AY$4:$AY$104,XS_Analyzer_Calculations!$AZ$4:$AZ$104),AL177)</f>
        <v>2.3249999999999926</v>
      </c>
      <c r="AM178" s="38">
        <f t="shared" si="16"/>
        <v>2.6750000000000074</v>
      </c>
      <c r="AN178" s="18">
        <f t="shared" si="17"/>
        <v>0.11976750000000032</v>
      </c>
      <c r="AO178" s="100">
        <f t="shared" si="18"/>
        <v>5.2478567053607483E-2</v>
      </c>
      <c r="AP178" s="100">
        <f t="shared" si="19"/>
        <v>2.2822174217839519</v>
      </c>
      <c r="AQ178" s="18">
        <f t="shared" si="20"/>
        <v>1.659518002312713E-3</v>
      </c>
      <c r="AR178" s="32">
        <f>IFERROR(IF(AG178="Y",VLOOKUP(AK178,XS_Analyzer_Calculations!$R$5:$T$104,3,TRUE),0),0)</f>
        <v>0.1</v>
      </c>
      <c r="AS178" s="198">
        <f t="shared" si="21"/>
        <v>0.01</v>
      </c>
      <c r="AT178" s="18">
        <f t="shared" si="22"/>
        <v>3.0850518763223245</v>
      </c>
      <c r="AU178" s="38">
        <f>AT178*XS_Analyzer_Calculations!$I$7^0.5</f>
        <v>0.30850518763223245</v>
      </c>
      <c r="AV178" s="18">
        <f t="shared" si="58"/>
        <v>2.57586730650829</v>
      </c>
      <c r="AW178" s="18">
        <f t="shared" si="23"/>
        <v>1.424103671193186</v>
      </c>
      <c r="AX178" s="18">
        <f t="shared" si="24"/>
        <v>5</v>
      </c>
      <c r="AY178" s="32">
        <f t="shared" si="25"/>
        <v>2.6615000000000073</v>
      </c>
      <c r="AZ178" s="18">
        <f>((AS178*AP178)/(1.65*XS_Analyzer!$Q$72))*12</f>
        <v>6.5580922044958223</v>
      </c>
      <c r="BA178" s="18">
        <f>(AW178/((1.65*62.4)*XS_Analyzer!$Q$73))*12</f>
        <v>3.6884321968225491</v>
      </c>
      <c r="BB178" s="18">
        <f t="shared" si="26"/>
        <v>5.2351062367117862</v>
      </c>
      <c r="BC178" s="38">
        <f t="shared" si="27"/>
        <v>8.7241305666655879</v>
      </c>
      <c r="BD178" s="18">
        <f>IF(ISNUMBER(LININTERP(AW178,Permissible_Shear!$T$178:$T$188,Permissible_Shear!$V$178:$V$188)),LININTERP(AW178,Permissible_Shear!$T$178:$T$188,Permissible_Shear!$V$178:$V$188),0)</f>
        <v>4.6981828735129136</v>
      </c>
      <c r="BE178" s="18">
        <f>LININTERP(AW178,Permissible_Shear!$S$205:$S$222,Permissible_Shear!$V$205:$V$222)</f>
        <v>4.7628239724787065</v>
      </c>
      <c r="BF178" s="18">
        <f>INDEX($AZ$3:$BE$204,ROW(BF178)-2,MATCH(XS_Analyzer!$S$5,XS_AnalyzerSummary!$AZ$2:$BE$2,0))</f>
        <v>5.2351062367117862</v>
      </c>
      <c r="BG178" s="26">
        <f t="shared" si="28"/>
        <v>0</v>
      </c>
      <c r="BH178" s="26">
        <f t="shared" si="29"/>
        <v>0</v>
      </c>
      <c r="BI178" s="26">
        <f t="shared" si="30"/>
        <v>2.57586730650829</v>
      </c>
      <c r="BJ178" s="26">
        <f t="shared" si="31"/>
        <v>0</v>
      </c>
      <c r="BK178" s="26">
        <f t="shared" si="32"/>
        <v>0</v>
      </c>
      <c r="BL178" s="26">
        <f t="shared" si="33"/>
        <v>1.424103671193186</v>
      </c>
      <c r="BM178" s="18">
        <f t="shared" si="34"/>
        <v>0</v>
      </c>
      <c r="BN178" s="18">
        <f t="shared" si="35"/>
        <v>0</v>
      </c>
      <c r="BO178" s="18">
        <f t="shared" si="36"/>
        <v>2.2822174217839519</v>
      </c>
    </row>
    <row r="179" spans="30:67">
      <c r="AD179" s="32">
        <v>175</v>
      </c>
      <c r="AE179" s="25" t="str">
        <f t="shared" si="13"/>
        <v>Right</v>
      </c>
      <c r="AF179" s="25" t="str">
        <f t="shared" si="14"/>
        <v>Channel</v>
      </c>
      <c r="AG179" s="32" t="str">
        <f>IF(XS_AnalyzerSummary!$AB$24&gt;=XS_AnalyzerSummary!AD179,"Y","N")</f>
        <v>Y</v>
      </c>
      <c r="AH179" s="38">
        <v>1</v>
      </c>
      <c r="AI179" s="38">
        <f>IF(AG179="Y",$O$19/XS_AnalyzerSummary!$AB$24,0)</f>
        <v>4.4999999999999998E-2</v>
      </c>
      <c r="AJ179" s="38">
        <f t="shared" si="15"/>
        <v>4.4999999999999998E-2</v>
      </c>
      <c r="AK179" s="93">
        <f t="shared" si="37"/>
        <v>8.9199999999999875</v>
      </c>
      <c r="AL179" s="93">
        <f>IF(AG179="Y",LININTERP(AK179,XS_Analyzer_Calculations!$AY$4:$AY$104,XS_Analyzer_Calculations!$AZ$4:$AZ$104),AL178)</f>
        <v>2.3519999999999923</v>
      </c>
      <c r="AM179" s="38">
        <f t="shared" si="16"/>
        <v>2.6480000000000077</v>
      </c>
      <c r="AN179" s="18">
        <f t="shared" si="17"/>
        <v>0.11855250000000034</v>
      </c>
      <c r="AO179" s="100">
        <f t="shared" si="18"/>
        <v>5.2478567053607719E-2</v>
      </c>
      <c r="AP179" s="100">
        <f t="shared" si="19"/>
        <v>2.2590651127897035</v>
      </c>
      <c r="AQ179" s="18">
        <f t="shared" si="20"/>
        <v>1.6595180023127203E-3</v>
      </c>
      <c r="AR179" s="32">
        <f>IFERROR(IF(AG179="Y",VLOOKUP(AK179,XS_Analyzer_Calculations!$R$5:$T$104,3,TRUE),0),0)</f>
        <v>0.1</v>
      </c>
      <c r="AS179" s="198">
        <f t="shared" si="21"/>
        <v>0.01</v>
      </c>
      <c r="AT179" s="18">
        <f t="shared" si="22"/>
        <v>3.0330671490401602</v>
      </c>
      <c r="AU179" s="38">
        <f>AT179*XS_Analyzer_Calculations!$I$7^0.5</f>
        <v>0.30330671490401606</v>
      </c>
      <c r="AV179" s="18">
        <f t="shared" si="58"/>
        <v>2.5584168609182867</v>
      </c>
      <c r="AW179" s="18">
        <f t="shared" si="23"/>
        <v>1.4096566303807749</v>
      </c>
      <c r="AX179" s="18">
        <f t="shared" si="24"/>
        <v>5</v>
      </c>
      <c r="AY179" s="32">
        <f t="shared" si="25"/>
        <v>2.6345000000000076</v>
      </c>
      <c r="AZ179" s="18">
        <f>((AS179*AP179)/(1.65*XS_Analyzer!$Q$72))*12</f>
        <v>6.4915626198550331</v>
      </c>
      <c r="BA179" s="18">
        <f>(AW179/((1.65*62.4)*XS_Analyzer!$Q$73))*12</f>
        <v>3.6510143237005312</v>
      </c>
      <c r="BB179" s="18">
        <f t="shared" si="26"/>
        <v>5.1800583268290943</v>
      </c>
      <c r="BC179" s="38">
        <f t="shared" si="27"/>
        <v>8.6592780812877574</v>
      </c>
      <c r="BD179" s="18">
        <f>IF(ISNUMBER(LININTERP(AW179,Permissible_Shear!$T$178:$T$188,Permissible_Shear!$V$178:$V$188)),LININTERP(AW179,Permissible_Shear!$T$178:$T$188,Permissible_Shear!$V$178:$V$188),0)</f>
        <v>4.6530564364077058</v>
      </c>
      <c r="BE179" s="18">
        <f>LININTERP(AW179,Permissible_Shear!$S$205:$S$222,Permissible_Shear!$V$205:$V$222)</f>
        <v>4.7176769699399212</v>
      </c>
      <c r="BF179" s="18">
        <f>INDEX($AZ$3:$BE$204,ROW(BF179)-2,MATCH(XS_Analyzer!$S$5,XS_AnalyzerSummary!$AZ$2:$BE$2,0))</f>
        <v>5.1800583268290943</v>
      </c>
      <c r="BG179" s="26">
        <f t="shared" si="28"/>
        <v>0</v>
      </c>
      <c r="BH179" s="26">
        <f t="shared" si="29"/>
        <v>0</v>
      </c>
      <c r="BI179" s="26">
        <f t="shared" si="30"/>
        <v>2.5584168609182867</v>
      </c>
      <c r="BJ179" s="26">
        <f t="shared" si="31"/>
        <v>0</v>
      </c>
      <c r="BK179" s="26">
        <f t="shared" si="32"/>
        <v>0</v>
      </c>
      <c r="BL179" s="26">
        <f t="shared" si="33"/>
        <v>1.4096566303807749</v>
      </c>
      <c r="BM179" s="18">
        <f t="shared" si="34"/>
        <v>0</v>
      </c>
      <c r="BN179" s="18">
        <f t="shared" si="35"/>
        <v>0</v>
      </c>
      <c r="BO179" s="18">
        <f t="shared" si="36"/>
        <v>2.2590651127897035</v>
      </c>
    </row>
    <row r="180" spans="30:67">
      <c r="AD180" s="32">
        <v>176</v>
      </c>
      <c r="AE180" s="25" t="str">
        <f t="shared" si="13"/>
        <v>Right</v>
      </c>
      <c r="AF180" s="25" t="str">
        <f t="shared" si="14"/>
        <v>Channel</v>
      </c>
      <c r="AG180" s="32" t="str">
        <f>IF(XS_AnalyzerSummary!$AB$24&gt;=XS_AnalyzerSummary!AD180,"Y","N")</f>
        <v>Y</v>
      </c>
      <c r="AH180" s="38">
        <v>1</v>
      </c>
      <c r="AI180" s="38">
        <f>IF(AG180="Y",$O$19/XS_AnalyzerSummary!$AB$24,0)</f>
        <v>4.4999999999999998E-2</v>
      </c>
      <c r="AJ180" s="38">
        <f t="shared" si="15"/>
        <v>4.4999999999999998E-2</v>
      </c>
      <c r="AK180" s="93">
        <f t="shared" si="37"/>
        <v>8.9649999999999874</v>
      </c>
      <c r="AL180" s="93">
        <f>IF(AG180="Y",LININTERP(AK180,XS_Analyzer_Calculations!$AY$4:$AY$104,XS_Analyzer_Calculations!$AZ$4:$AZ$104),AL179)</f>
        <v>2.3789999999999925</v>
      </c>
      <c r="AM180" s="38">
        <f t="shared" si="16"/>
        <v>2.6210000000000075</v>
      </c>
      <c r="AN180" s="18">
        <f t="shared" si="17"/>
        <v>0.11733750000000033</v>
      </c>
      <c r="AO180" s="100">
        <f t="shared" si="18"/>
        <v>5.2478567053607719E-2</v>
      </c>
      <c r="AP180" s="100">
        <f t="shared" si="19"/>
        <v>2.2359128037954648</v>
      </c>
      <c r="AQ180" s="18">
        <f t="shared" si="20"/>
        <v>1.6595180023127203E-3</v>
      </c>
      <c r="AR180" s="32">
        <f>IFERROR(IF(AG180="Y",VLOOKUP(AK180,XS_Analyzer_Calculations!$R$5:$T$104,3,TRUE),0),0)</f>
        <v>0.1</v>
      </c>
      <c r="AS180" s="198">
        <f t="shared" si="21"/>
        <v>0.01</v>
      </c>
      <c r="AT180" s="18">
        <f t="shared" si="22"/>
        <v>2.9814363965439759</v>
      </c>
      <c r="AU180" s="38">
        <f>AT180*XS_Analyzer_Calculations!$I$7^0.5</f>
        <v>0.29814363965439761</v>
      </c>
      <c r="AV180" s="18">
        <f t="shared" si="58"/>
        <v>2.5409066978109878</v>
      </c>
      <c r="AW180" s="18">
        <f t="shared" si="23"/>
        <v>1.39520958956837</v>
      </c>
      <c r="AX180" s="18">
        <f t="shared" si="24"/>
        <v>5</v>
      </c>
      <c r="AY180" s="32">
        <f t="shared" si="25"/>
        <v>2.6075000000000075</v>
      </c>
      <c r="AZ180" s="18">
        <f>((AS180*AP180)/(1.65*XS_Analyzer!$Q$72))*12</f>
        <v>6.4250330352142715</v>
      </c>
      <c r="BA180" s="18">
        <f>(AW180/((1.65*62.4)*XS_Analyzer!$Q$73))*12</f>
        <v>3.6135964505785294</v>
      </c>
      <c r="BB180" s="18">
        <f t="shared" si="26"/>
        <v>5.1250339864417649</v>
      </c>
      <c r="BC180" s="38">
        <f t="shared" si="27"/>
        <v>8.5942504530724193</v>
      </c>
      <c r="BD180" s="18">
        <f>IF(ISNUMBER(LININTERP(AW180,Permissible_Shear!$T$178:$T$188,Permissible_Shear!$V$178:$V$188)),LININTERP(AW180,Permissible_Shear!$T$178:$T$188,Permissible_Shear!$V$178:$V$188),0)</f>
        <v>4.6079299993025167</v>
      </c>
      <c r="BE180" s="18">
        <f>LININTERP(AW180,Permissible_Shear!$S$205:$S$222,Permissible_Shear!$V$205:$V$222)</f>
        <v>4.6725299674011564</v>
      </c>
      <c r="BF180" s="18">
        <f>INDEX($AZ$3:$BE$204,ROW(BF180)-2,MATCH(XS_Analyzer!$S$5,XS_AnalyzerSummary!$AZ$2:$BE$2,0))</f>
        <v>5.1250339864417649</v>
      </c>
      <c r="BG180" s="26">
        <f t="shared" si="28"/>
        <v>0</v>
      </c>
      <c r="BH180" s="26">
        <f t="shared" si="29"/>
        <v>0</v>
      </c>
      <c r="BI180" s="26">
        <f t="shared" si="30"/>
        <v>2.5409066978109878</v>
      </c>
      <c r="BJ180" s="26">
        <f t="shared" si="31"/>
        <v>0</v>
      </c>
      <c r="BK180" s="26">
        <f t="shared" si="32"/>
        <v>0</v>
      </c>
      <c r="BL180" s="26">
        <f t="shared" si="33"/>
        <v>1.39520958956837</v>
      </c>
      <c r="BM180" s="18">
        <f t="shared" si="34"/>
        <v>0</v>
      </c>
      <c r="BN180" s="18">
        <f t="shared" si="35"/>
        <v>0</v>
      </c>
      <c r="BO180" s="18">
        <f t="shared" si="36"/>
        <v>2.2359128037954648</v>
      </c>
    </row>
    <row r="181" spans="30:67">
      <c r="AD181" s="32">
        <v>177</v>
      </c>
      <c r="AE181" s="25" t="str">
        <f t="shared" si="13"/>
        <v>Right</v>
      </c>
      <c r="AF181" s="25" t="str">
        <f t="shared" si="14"/>
        <v>Channel</v>
      </c>
      <c r="AG181" s="32" t="str">
        <f>IF(XS_AnalyzerSummary!$AB$24&gt;=XS_AnalyzerSummary!AD181,"Y","N")</f>
        <v>Y</v>
      </c>
      <c r="AH181" s="38">
        <v>1</v>
      </c>
      <c r="AI181" s="38">
        <f>IF(AG181="Y",$O$19/XS_AnalyzerSummary!$AB$24,0)</f>
        <v>4.4999999999999998E-2</v>
      </c>
      <c r="AJ181" s="38">
        <f t="shared" si="15"/>
        <v>4.4999999999999998E-2</v>
      </c>
      <c r="AK181" s="93">
        <f t="shared" si="37"/>
        <v>9.0099999999999874</v>
      </c>
      <c r="AL181" s="93">
        <f>IF(AG181="Y",LININTERP(AK181,XS_Analyzer_Calculations!$AY$4:$AY$104,XS_Analyzer_Calculations!$AZ$4:$AZ$104),AL180)</f>
        <v>2.4059999999999926</v>
      </c>
      <c r="AM181" s="38">
        <f t="shared" si="16"/>
        <v>2.5940000000000074</v>
      </c>
      <c r="AN181" s="18">
        <f t="shared" si="17"/>
        <v>0.11612250000000035</v>
      </c>
      <c r="AO181" s="100">
        <f t="shared" si="18"/>
        <v>5.2478567053607483E-2</v>
      </c>
      <c r="AP181" s="100">
        <f t="shared" si="19"/>
        <v>2.2127604948012363</v>
      </c>
      <c r="AQ181" s="18">
        <f t="shared" si="20"/>
        <v>1.659518002312713E-3</v>
      </c>
      <c r="AR181" s="32">
        <f>IFERROR(IF(AG181="Y",VLOOKUP(AK181,XS_Analyzer_Calculations!$R$5:$T$104,3,TRUE),0),0)</f>
        <v>0.1</v>
      </c>
      <c r="AS181" s="198">
        <f t="shared" si="21"/>
        <v>0.01</v>
      </c>
      <c r="AT181" s="18">
        <f t="shared" si="22"/>
        <v>2.9301608364425733</v>
      </c>
      <c r="AU181" s="38">
        <f>AT181*XS_Analyzer_Calculations!$I$7^0.5</f>
        <v>0.29301608364425735</v>
      </c>
      <c r="AV181" s="18">
        <f t="shared" si="58"/>
        <v>2.5233359912528277</v>
      </c>
      <c r="AW181" s="18">
        <f t="shared" si="23"/>
        <v>1.3807625487559714</v>
      </c>
      <c r="AX181" s="18">
        <f t="shared" si="24"/>
        <v>5</v>
      </c>
      <c r="AY181" s="32">
        <f t="shared" si="25"/>
        <v>2.5805000000000078</v>
      </c>
      <c r="AZ181" s="18">
        <f>((AS181*AP181)/(1.65*XS_Analyzer!$Q$72))*12</f>
        <v>6.3585034505735383</v>
      </c>
      <c r="BA181" s="18">
        <f>(AW181/((1.65*62.4)*XS_Analyzer!$Q$73))*12</f>
        <v>3.576178577456544</v>
      </c>
      <c r="BB181" s="18">
        <f t="shared" si="26"/>
        <v>5.0700334481091831</v>
      </c>
      <c r="BC181" s="38">
        <f t="shared" si="27"/>
        <v>8.5290453973938245</v>
      </c>
      <c r="BD181" s="18">
        <f>IF(ISNUMBER(LININTERP(AW181,Permissible_Shear!$T$178:$T$188,Permissible_Shear!$V$178:$V$188)),LININTERP(AW181,Permissible_Shear!$T$178:$T$188,Permissible_Shear!$V$178:$V$188),0)</f>
        <v>4.5628035621973471</v>
      </c>
      <c r="BE181" s="18">
        <f>LININTERP(AW181,Permissible_Shear!$S$205:$S$222,Permissible_Shear!$V$205:$V$222)</f>
        <v>4.6273829648624103</v>
      </c>
      <c r="BF181" s="18">
        <f>INDEX($AZ$3:$BE$204,ROW(BF181)-2,MATCH(XS_Analyzer!$S$5,XS_AnalyzerSummary!$AZ$2:$BE$2,0))</f>
        <v>5.0700334481091831</v>
      </c>
      <c r="BG181" s="26">
        <f t="shared" si="28"/>
        <v>0</v>
      </c>
      <c r="BH181" s="26">
        <f t="shared" si="29"/>
        <v>0</v>
      </c>
      <c r="BI181" s="26">
        <f t="shared" si="30"/>
        <v>2.5233359912528277</v>
      </c>
      <c r="BJ181" s="26">
        <f t="shared" si="31"/>
        <v>0</v>
      </c>
      <c r="BK181" s="26">
        <f t="shared" si="32"/>
        <v>0</v>
      </c>
      <c r="BL181" s="26">
        <f t="shared" si="33"/>
        <v>1.3807625487559714</v>
      </c>
      <c r="BM181" s="18">
        <f t="shared" si="34"/>
        <v>0</v>
      </c>
      <c r="BN181" s="18">
        <f t="shared" si="35"/>
        <v>0</v>
      </c>
      <c r="BO181" s="18">
        <f t="shared" si="36"/>
        <v>2.2127604948012363</v>
      </c>
    </row>
    <row r="182" spans="30:67">
      <c r="AD182" s="32">
        <v>178</v>
      </c>
      <c r="AE182" s="25" t="str">
        <f t="shared" si="13"/>
        <v>Right</v>
      </c>
      <c r="AF182" s="25" t="str">
        <f t="shared" si="14"/>
        <v>Channel</v>
      </c>
      <c r="AG182" s="32" t="str">
        <f>IF(XS_AnalyzerSummary!$AB$24&gt;=XS_AnalyzerSummary!AD182,"Y","N")</f>
        <v>Y</v>
      </c>
      <c r="AH182" s="38">
        <v>1</v>
      </c>
      <c r="AI182" s="38">
        <f>IF(AG182="Y",$O$19/XS_AnalyzerSummary!$AB$24,0)</f>
        <v>4.4999999999999998E-2</v>
      </c>
      <c r="AJ182" s="38">
        <f t="shared" si="15"/>
        <v>4.4999999999999998E-2</v>
      </c>
      <c r="AK182" s="93">
        <f t="shared" si="37"/>
        <v>9.0549999999999873</v>
      </c>
      <c r="AL182" s="93">
        <f>IF(AG182="Y",LININTERP(AK182,XS_Analyzer_Calculations!$AY$4:$AY$104,XS_Analyzer_Calculations!$AZ$4:$AZ$104),AL181)</f>
        <v>2.4329999999999923</v>
      </c>
      <c r="AM182" s="38">
        <f t="shared" si="16"/>
        <v>2.5670000000000077</v>
      </c>
      <c r="AN182" s="18">
        <f t="shared" si="17"/>
        <v>0.11490750000000034</v>
      </c>
      <c r="AO182" s="100">
        <f t="shared" si="18"/>
        <v>5.2478567053607719E-2</v>
      </c>
      <c r="AP182" s="100">
        <f t="shared" si="19"/>
        <v>2.1896081858069874</v>
      </c>
      <c r="AQ182" s="18">
        <f t="shared" si="20"/>
        <v>1.6595180023127203E-3</v>
      </c>
      <c r="AR182" s="32">
        <f>IFERROR(IF(AG182="Y",VLOOKUP(AK182,XS_Analyzer_Calculations!$R$5:$T$104,3,TRUE),0),0)</f>
        <v>0.1</v>
      </c>
      <c r="AS182" s="198">
        <f t="shared" si="21"/>
        <v>0.01</v>
      </c>
      <c r="AT182" s="18">
        <f t="shared" si="22"/>
        <v>2.8792417032732307</v>
      </c>
      <c r="AU182" s="38">
        <f>AT182*XS_Analyzer_Calculations!$I$7^0.5</f>
        <v>0.28792417032732309</v>
      </c>
      <c r="AV182" s="18">
        <f t="shared" si="58"/>
        <v>2.5057038951097383</v>
      </c>
      <c r="AW182" s="18">
        <f t="shared" si="23"/>
        <v>1.36631550794356</v>
      </c>
      <c r="AX182" s="18">
        <f t="shared" si="24"/>
        <v>5</v>
      </c>
      <c r="AY182" s="32">
        <f t="shared" si="25"/>
        <v>2.5535000000000077</v>
      </c>
      <c r="AZ182" s="18">
        <f>((AS182*AP182)/(1.65*XS_Analyzer!$Q$72))*12</f>
        <v>6.2919738659327482</v>
      </c>
      <c r="BA182" s="18">
        <f>(AW182/((1.65*62.4)*XS_Analyzer!$Q$73))*12</f>
        <v>3.5387607043345248</v>
      </c>
      <c r="BB182" s="18">
        <f t="shared" si="26"/>
        <v>5.0150569491295398</v>
      </c>
      <c r="BC182" s="38">
        <f t="shared" si="27"/>
        <v>8.4636605756998406</v>
      </c>
      <c r="BD182" s="18">
        <f>IF(ISNUMBER(LININTERP(AW182,Permissible_Shear!$T$178:$T$188,Permissible_Shear!$V$178:$V$188)),LININTERP(AW182,Permissible_Shear!$T$178:$T$188,Permissible_Shear!$V$178:$V$188),0)</f>
        <v>4.5176771250921384</v>
      </c>
      <c r="BE182" s="18">
        <f>LININTERP(AW182,Permissible_Shear!$S$205:$S$222,Permissible_Shear!$V$205:$V$222)</f>
        <v>4.5822359623236251</v>
      </c>
      <c r="BF182" s="18">
        <f>INDEX($AZ$3:$BE$204,ROW(BF182)-2,MATCH(XS_Analyzer!$S$5,XS_AnalyzerSummary!$AZ$2:$BE$2,0))</f>
        <v>5.0150569491295398</v>
      </c>
      <c r="BG182" s="26">
        <f t="shared" si="28"/>
        <v>0</v>
      </c>
      <c r="BH182" s="26">
        <f t="shared" si="29"/>
        <v>0</v>
      </c>
      <c r="BI182" s="26">
        <f t="shared" si="30"/>
        <v>2.5057038951097383</v>
      </c>
      <c r="BJ182" s="26">
        <f t="shared" si="31"/>
        <v>0</v>
      </c>
      <c r="BK182" s="26">
        <f t="shared" si="32"/>
        <v>0</v>
      </c>
      <c r="BL182" s="26">
        <f t="shared" si="33"/>
        <v>1.36631550794356</v>
      </c>
      <c r="BM182" s="18">
        <f t="shared" si="34"/>
        <v>0</v>
      </c>
      <c r="BN182" s="18">
        <f t="shared" si="35"/>
        <v>0</v>
      </c>
      <c r="BO182" s="18">
        <f t="shared" si="36"/>
        <v>2.1896081858069874</v>
      </c>
    </row>
    <row r="183" spans="30:67">
      <c r="AD183" s="32">
        <v>179</v>
      </c>
      <c r="AE183" s="25" t="str">
        <f t="shared" si="13"/>
        <v>Right</v>
      </c>
      <c r="AF183" s="25" t="str">
        <f t="shared" si="14"/>
        <v>Channel</v>
      </c>
      <c r="AG183" s="32" t="str">
        <f>IF(XS_AnalyzerSummary!$AB$24&gt;=XS_AnalyzerSummary!AD183,"Y","N")</f>
        <v>Y</v>
      </c>
      <c r="AH183" s="38">
        <v>1</v>
      </c>
      <c r="AI183" s="38">
        <f>IF(AG183="Y",$O$19/XS_AnalyzerSummary!$AB$24,0)</f>
        <v>4.4999999999999998E-2</v>
      </c>
      <c r="AJ183" s="38">
        <f t="shared" si="15"/>
        <v>4.4999999999999998E-2</v>
      </c>
      <c r="AK183" s="93">
        <f t="shared" si="37"/>
        <v>9.0999999999999872</v>
      </c>
      <c r="AL183" s="93">
        <f>IF(AG183="Y",LININTERP(AK183,XS_Analyzer_Calculations!$AY$4:$AY$104,XS_Analyzer_Calculations!$AZ$4:$AZ$104),AL182)</f>
        <v>2.4599999999999924</v>
      </c>
      <c r="AM183" s="38">
        <f t="shared" si="16"/>
        <v>2.5400000000000076</v>
      </c>
      <c r="AN183" s="18">
        <f t="shared" si="17"/>
        <v>0.11369250000000033</v>
      </c>
      <c r="AO183" s="100">
        <f t="shared" si="18"/>
        <v>5.2478567053607483E-2</v>
      </c>
      <c r="AP183" s="100">
        <f t="shared" si="19"/>
        <v>2.1664558768127584</v>
      </c>
      <c r="AQ183" s="18">
        <f t="shared" si="20"/>
        <v>1.659518002312713E-3</v>
      </c>
      <c r="AR183" s="32">
        <f>IFERROR(IF(AG183="Y",VLOOKUP(AK183,XS_Analyzer_Calculations!$R$5:$T$104,3,TRUE),0),0)</f>
        <v>0.1</v>
      </c>
      <c r="AS183" s="198">
        <f t="shared" si="21"/>
        <v>0.01</v>
      </c>
      <c r="AT183" s="18">
        <f t="shared" si="22"/>
        <v>2.8286802489180265</v>
      </c>
      <c r="AU183" s="38">
        <f>AT183*XS_Analyzer_Calculations!$I$7^0.5</f>
        <v>0.28286802489180268</v>
      </c>
      <c r="AV183" s="18">
        <f t="shared" si="58"/>
        <v>2.4880095423339434</v>
      </c>
      <c r="AW183" s="18">
        <f t="shared" si="23"/>
        <v>1.3518684671311614</v>
      </c>
      <c r="AX183" s="18">
        <f t="shared" si="24"/>
        <v>5</v>
      </c>
      <c r="AY183" s="32">
        <f t="shared" si="25"/>
        <v>2.5265000000000075</v>
      </c>
      <c r="AZ183" s="18">
        <f>((AS183*AP183)/(1.65*XS_Analyzer!$Q$72))*12</f>
        <v>6.2254442812920168</v>
      </c>
      <c r="BA183" s="18">
        <f>(AW183/((1.65*62.4)*XS_Analyzer!$Q$73))*12</f>
        <v>3.5013428312125394</v>
      </c>
      <c r="BB183" s="18">
        <f t="shared" si="26"/>
        <v>4.9601047316872444</v>
      </c>
      <c r="BC183" s="38">
        <f t="shared" si="27"/>
        <v>8.3980935936575758</v>
      </c>
      <c r="BD183" s="18">
        <f>IF(ISNUMBER(LININTERP(AW183,Permissible_Shear!$T$178:$T$188,Permissible_Shear!$V$178:$V$188)),LININTERP(AW183,Permissible_Shear!$T$178:$T$188,Permissible_Shear!$V$178:$V$188),0)</f>
        <v>4.4725506879869696</v>
      </c>
      <c r="BE183" s="18">
        <f>LININTERP(AW183,Permissible_Shear!$S$205:$S$222,Permissible_Shear!$V$205:$V$222)</f>
        <v>4.5370889597848789</v>
      </c>
      <c r="BF183" s="18">
        <f>INDEX($AZ$3:$BE$204,ROW(BF183)-2,MATCH(XS_Analyzer!$S$5,XS_AnalyzerSummary!$AZ$2:$BE$2,0))</f>
        <v>4.9601047316872444</v>
      </c>
      <c r="BG183" s="26">
        <f t="shared" si="28"/>
        <v>0</v>
      </c>
      <c r="BH183" s="26">
        <f t="shared" si="29"/>
        <v>0</v>
      </c>
      <c r="BI183" s="26">
        <f t="shared" si="30"/>
        <v>2.4880095423339434</v>
      </c>
      <c r="BJ183" s="26">
        <f t="shared" si="31"/>
        <v>0</v>
      </c>
      <c r="BK183" s="26">
        <f t="shared" si="32"/>
        <v>0</v>
      </c>
      <c r="BL183" s="26">
        <f t="shared" si="33"/>
        <v>1.3518684671311614</v>
      </c>
      <c r="BM183" s="18">
        <f t="shared" si="34"/>
        <v>0</v>
      </c>
      <c r="BN183" s="18">
        <f t="shared" si="35"/>
        <v>0</v>
      </c>
      <c r="BO183" s="18">
        <f t="shared" si="36"/>
        <v>2.1664558768127584</v>
      </c>
    </row>
    <row r="184" spans="30:67">
      <c r="AD184" s="32">
        <v>180</v>
      </c>
      <c r="AE184" s="25" t="str">
        <f t="shared" si="13"/>
        <v>Right</v>
      </c>
      <c r="AF184" s="25" t="str">
        <f t="shared" si="14"/>
        <v>Channel</v>
      </c>
      <c r="AG184" s="32" t="str">
        <f>IF(XS_AnalyzerSummary!$AB$24&gt;=XS_AnalyzerSummary!AD184,"Y","N")</f>
        <v>Y</v>
      </c>
      <c r="AH184" s="38">
        <v>1</v>
      </c>
      <c r="AI184" s="38">
        <f>IF(AG184="Y",$O$19/XS_AnalyzerSummary!$AB$24,0)</f>
        <v>4.4999999999999998E-2</v>
      </c>
      <c r="AJ184" s="38">
        <f t="shared" si="15"/>
        <v>4.4999999999999998E-2</v>
      </c>
      <c r="AK184" s="93">
        <f t="shared" si="37"/>
        <v>9.1449999999999871</v>
      </c>
      <c r="AL184" s="93">
        <f>IF(AG184="Y",LININTERP(AK184,XS_Analyzer_Calculations!$AY$4:$AY$104,XS_Analyzer_Calculations!$AZ$4:$AZ$104),AL183)</f>
        <v>2.4869999999999921</v>
      </c>
      <c r="AM184" s="38">
        <f t="shared" si="16"/>
        <v>2.5130000000000079</v>
      </c>
      <c r="AN184" s="18">
        <f t="shared" si="17"/>
        <v>0.11247750000000034</v>
      </c>
      <c r="AO184" s="100">
        <f t="shared" si="18"/>
        <v>5.2478567053607719E-2</v>
      </c>
      <c r="AP184" s="100">
        <f t="shared" si="19"/>
        <v>2.1433035678185099</v>
      </c>
      <c r="AQ184" s="18">
        <f t="shared" si="20"/>
        <v>1.6595180023127203E-3</v>
      </c>
      <c r="AR184" s="32">
        <f>IFERROR(IF(AG184="Y",VLOOKUP(AK184,XS_Analyzer_Calculations!$R$5:$T$104,3,TRUE),0),0)</f>
        <v>0.1</v>
      </c>
      <c r="AS184" s="198">
        <f t="shared" si="21"/>
        <v>0.01</v>
      </c>
      <c r="AT184" s="18">
        <f t="shared" si="22"/>
        <v>2.7784777430347072</v>
      </c>
      <c r="AU184" s="38">
        <f>AT184*XS_Analyzer_Calculations!$I$7^0.5</f>
        <v>0.27784777430347074</v>
      </c>
      <c r="AV184" s="18">
        <f t="shared" si="58"/>
        <v>2.4702520442174647</v>
      </c>
      <c r="AW184" s="18">
        <f t="shared" si="23"/>
        <v>1.3374214263187503</v>
      </c>
      <c r="AX184" s="18">
        <f t="shared" si="24"/>
        <v>5</v>
      </c>
      <c r="AY184" s="32">
        <f t="shared" si="25"/>
        <v>2.4995000000000078</v>
      </c>
      <c r="AZ184" s="18">
        <f>((AS184*AP184)/(1.65*XS_Analyzer!$Q$72))*12</f>
        <v>6.1589146966512267</v>
      </c>
      <c r="BA184" s="18">
        <f>(AW184/((1.65*62.4)*XS_Analyzer!$Q$73))*12</f>
        <v>3.463924958090522</v>
      </c>
      <c r="BB184" s="18">
        <f t="shared" si="26"/>
        <v>4.9051770430065442</v>
      </c>
      <c r="BC184" s="38">
        <f t="shared" si="27"/>
        <v>8.3323419992148722</v>
      </c>
      <c r="BD184" s="18">
        <f>IF(ISNUMBER(LININTERP(AW184,Permissible_Shear!$T$178:$T$188,Permissible_Shear!$V$178:$V$188)),LININTERP(AW184,Permissible_Shear!$T$178:$T$188,Permissible_Shear!$V$178:$V$188),0)</f>
        <v>4.4274242508817609</v>
      </c>
      <c r="BE184" s="18">
        <f>LININTERP(AW184,Permissible_Shear!$S$205:$S$222,Permissible_Shear!$V$205:$V$222)</f>
        <v>4.4919419572460946</v>
      </c>
      <c r="BF184" s="18">
        <f>INDEX($AZ$3:$BE$204,ROW(BF184)-2,MATCH(XS_Analyzer!$S$5,XS_AnalyzerSummary!$AZ$2:$BE$2,0))</f>
        <v>4.9051770430065442</v>
      </c>
      <c r="BG184" s="26">
        <f t="shared" si="28"/>
        <v>0</v>
      </c>
      <c r="BH184" s="26">
        <f t="shared" si="29"/>
        <v>0</v>
      </c>
      <c r="BI184" s="26">
        <f t="shared" si="30"/>
        <v>2.4702520442174647</v>
      </c>
      <c r="BJ184" s="26">
        <f t="shared" si="31"/>
        <v>0</v>
      </c>
      <c r="BK184" s="26">
        <f t="shared" si="32"/>
        <v>0</v>
      </c>
      <c r="BL184" s="26">
        <f t="shared" si="33"/>
        <v>1.3374214263187503</v>
      </c>
      <c r="BM184" s="18">
        <f t="shared" si="34"/>
        <v>0</v>
      </c>
      <c r="BN184" s="18">
        <f t="shared" si="35"/>
        <v>0</v>
      </c>
      <c r="BO184" s="18">
        <f t="shared" si="36"/>
        <v>2.1433035678185099</v>
      </c>
    </row>
    <row r="185" spans="30:67">
      <c r="AD185" s="32">
        <v>181</v>
      </c>
      <c r="AE185" s="25" t="str">
        <f t="shared" si="13"/>
        <v>Right</v>
      </c>
      <c r="AF185" s="25" t="str">
        <f t="shared" si="14"/>
        <v>Channel</v>
      </c>
      <c r="AG185" s="32" t="str">
        <f>IF(XS_AnalyzerSummary!$AB$24&gt;=XS_AnalyzerSummary!AD185,"Y","N")</f>
        <v>Y</v>
      </c>
      <c r="AH185" s="38">
        <v>1</v>
      </c>
      <c r="AI185" s="38">
        <f>IF(AG185="Y",$O$19/XS_AnalyzerSummary!$AB$24,0)</f>
        <v>4.4999999999999998E-2</v>
      </c>
      <c r="AJ185" s="38">
        <f t="shared" si="15"/>
        <v>4.4999999999999998E-2</v>
      </c>
      <c r="AK185" s="93">
        <f t="shared" si="37"/>
        <v>9.1899999999999871</v>
      </c>
      <c r="AL185" s="93">
        <f>IF(AG185="Y",LININTERP(AK185,XS_Analyzer_Calculations!$AY$4:$AY$104,XS_Analyzer_Calculations!$AZ$4:$AZ$104),AL184)</f>
        <v>2.5139999999999922</v>
      </c>
      <c r="AM185" s="38">
        <f t="shared" si="16"/>
        <v>2.4860000000000078</v>
      </c>
      <c r="AN185" s="18">
        <f t="shared" si="17"/>
        <v>0.11126250000000035</v>
      </c>
      <c r="AO185" s="100">
        <f t="shared" si="18"/>
        <v>5.2478567053607719E-2</v>
      </c>
      <c r="AP185" s="100">
        <f t="shared" si="19"/>
        <v>2.1201512588242717</v>
      </c>
      <c r="AQ185" s="18">
        <f t="shared" si="20"/>
        <v>1.6595180023127203E-3</v>
      </c>
      <c r="AR185" s="32">
        <f>IFERROR(IF(AG185="Y",VLOOKUP(AK185,XS_Analyzer_Calculations!$R$5:$T$104,3,TRUE),0),0)</f>
        <v>0.1</v>
      </c>
      <c r="AS185" s="198">
        <f t="shared" si="21"/>
        <v>0.01</v>
      </c>
      <c r="AT185" s="18">
        <f t="shared" si="22"/>
        <v>2.7286354735032874</v>
      </c>
      <c r="AU185" s="38">
        <f>AT185*XS_Analyzer_Calculations!$I$7^0.5</f>
        <v>0.27286354735032875</v>
      </c>
      <c r="AV185" s="18">
        <f t="shared" si="58"/>
        <v>2.4524304896108564</v>
      </c>
      <c r="AW185" s="18">
        <f t="shared" si="23"/>
        <v>1.3229743855063456</v>
      </c>
      <c r="AX185" s="18">
        <f t="shared" si="24"/>
        <v>5</v>
      </c>
      <c r="AY185" s="32">
        <f t="shared" si="25"/>
        <v>2.4725000000000077</v>
      </c>
      <c r="AZ185" s="18">
        <f>((AS185*AP185)/(1.65*XS_Analyzer!$Q$72))*12</f>
        <v>6.092385112010466</v>
      </c>
      <c r="BA185" s="18">
        <f>(AW185/((1.65*62.4)*XS_Analyzer!$Q$73))*12</f>
        <v>3.4265070849685202</v>
      </c>
      <c r="BB185" s="18">
        <f t="shared" si="26"/>
        <v>4.8502741355116701</v>
      </c>
      <c r="BC185" s="38">
        <f t="shared" si="27"/>
        <v>8.2664032805728258</v>
      </c>
      <c r="BD185" s="18">
        <f>IF(ISNUMBER(LININTERP(AW185,Permissible_Shear!$T$178:$T$188,Permissible_Shear!$V$178:$V$188)),LININTERP(AW185,Permissible_Shear!$T$178:$T$188,Permissible_Shear!$V$178:$V$188),0)</f>
        <v>4.3822978137765736</v>
      </c>
      <c r="BE185" s="18">
        <f>LININTERP(AW185,Permissible_Shear!$S$205:$S$222,Permissible_Shear!$V$205:$V$222)</f>
        <v>4.4467949547073298</v>
      </c>
      <c r="BF185" s="18">
        <f>INDEX($AZ$3:$BE$204,ROW(BF185)-2,MATCH(XS_Analyzer!$S$5,XS_AnalyzerSummary!$AZ$2:$BE$2,0))</f>
        <v>4.8502741355116701</v>
      </c>
      <c r="BG185" s="26">
        <f t="shared" si="28"/>
        <v>0</v>
      </c>
      <c r="BH185" s="26">
        <f t="shared" si="29"/>
        <v>0</v>
      </c>
      <c r="BI185" s="26">
        <f t="shared" si="30"/>
        <v>2.4524304896108564</v>
      </c>
      <c r="BJ185" s="26">
        <f t="shared" si="31"/>
        <v>0</v>
      </c>
      <c r="BK185" s="26">
        <f t="shared" si="32"/>
        <v>0</v>
      </c>
      <c r="BL185" s="26">
        <f t="shared" si="33"/>
        <v>1.3229743855063456</v>
      </c>
      <c r="BM185" s="18">
        <f t="shared" si="34"/>
        <v>0</v>
      </c>
      <c r="BN185" s="18">
        <f t="shared" si="35"/>
        <v>0</v>
      </c>
      <c r="BO185" s="18">
        <f t="shared" si="36"/>
        <v>2.1201512588242717</v>
      </c>
    </row>
    <row r="186" spans="30:67">
      <c r="AD186" s="32">
        <v>182</v>
      </c>
      <c r="AE186" s="25" t="str">
        <f t="shared" si="13"/>
        <v>Right</v>
      </c>
      <c r="AF186" s="25" t="str">
        <f t="shared" si="14"/>
        <v>Channel</v>
      </c>
      <c r="AG186" s="32" t="str">
        <f>IF(XS_AnalyzerSummary!$AB$24&gt;=XS_AnalyzerSummary!AD186,"Y","N")</f>
        <v>Y</v>
      </c>
      <c r="AH186" s="38">
        <v>1</v>
      </c>
      <c r="AI186" s="38">
        <f>IF(AG186="Y",$O$19/XS_AnalyzerSummary!$AB$24,0)</f>
        <v>4.4999999999999998E-2</v>
      </c>
      <c r="AJ186" s="38">
        <f t="shared" si="15"/>
        <v>4.4999999999999998E-2</v>
      </c>
      <c r="AK186" s="93">
        <f t="shared" si="37"/>
        <v>9.234999999999987</v>
      </c>
      <c r="AL186" s="93">
        <f>IF(AG186="Y",LININTERP(AK186,XS_Analyzer_Calculations!$AY$4:$AY$104,XS_Analyzer_Calculations!$AZ$4:$AZ$104),AL185)</f>
        <v>2.5409999999999924</v>
      </c>
      <c r="AM186" s="38">
        <f t="shared" si="16"/>
        <v>2.4590000000000076</v>
      </c>
      <c r="AN186" s="18">
        <f t="shared" si="17"/>
        <v>0.11004750000000035</v>
      </c>
      <c r="AO186" s="100">
        <f t="shared" si="18"/>
        <v>5.2478567053607483E-2</v>
      </c>
      <c r="AP186" s="100">
        <f t="shared" si="19"/>
        <v>2.0969989498300423</v>
      </c>
      <c r="AQ186" s="18">
        <f t="shared" si="20"/>
        <v>1.659518002312713E-3</v>
      </c>
      <c r="AR186" s="32">
        <f>IFERROR(IF(AG186="Y",VLOOKUP(AK186,XS_Analyzer_Calculations!$R$5:$T$104,3,TRUE),0),0)</f>
        <v>0.1</v>
      </c>
      <c r="AS186" s="198">
        <f t="shared" si="21"/>
        <v>0.01</v>
      </c>
      <c r="AT186" s="18">
        <f t="shared" si="22"/>
        <v>2.679154746888623</v>
      </c>
      <c r="AU186" s="38">
        <f>AT186*XS_Analyzer_Calculations!$I$7^0.5</f>
        <v>0.26791547468886229</v>
      </c>
      <c r="AV186" s="18">
        <f t="shared" si="58"/>
        <v>2.434543944104695</v>
      </c>
      <c r="AW186" s="18">
        <f t="shared" si="23"/>
        <v>1.3085273446939465</v>
      </c>
      <c r="AX186" s="18">
        <f t="shared" si="24"/>
        <v>5</v>
      </c>
      <c r="AY186" s="32">
        <f t="shared" si="25"/>
        <v>2.445500000000008</v>
      </c>
      <c r="AZ186" s="18">
        <f>((AS186*AP186)/(1.65*XS_Analyzer!$Q$72))*12</f>
        <v>6.0258555273697318</v>
      </c>
      <c r="BA186" s="18">
        <f>(AW186/((1.65*62.4)*XS_Analyzer!$Q$73))*12</f>
        <v>3.3890892118465339</v>
      </c>
      <c r="BB186" s="18">
        <f t="shared" si="26"/>
        <v>4.7953962669938663</v>
      </c>
      <c r="BC186" s="38">
        <f t="shared" si="27"/>
        <v>8.2002748640642498</v>
      </c>
      <c r="BD186" s="18">
        <f>IF(ISNUMBER(LININTERP(AW186,Permissible_Shear!$T$178:$T$188,Permissible_Shear!$V$178:$V$188)),LININTERP(AW186,Permissible_Shear!$T$178:$T$188,Permissible_Shear!$V$178:$V$188),0)</f>
        <v>4.3371713766714031</v>
      </c>
      <c r="BE186" s="18">
        <f>LININTERP(AW186,Permissible_Shear!$S$205:$S$222,Permissible_Shear!$V$205:$V$222)</f>
        <v>4.4016479521685827</v>
      </c>
      <c r="BF186" s="18">
        <f>INDEX($AZ$3:$BE$204,ROW(BF186)-2,MATCH(XS_Analyzer!$S$5,XS_AnalyzerSummary!$AZ$2:$BE$2,0))</f>
        <v>4.7953962669938663</v>
      </c>
      <c r="BG186" s="26">
        <f t="shared" si="28"/>
        <v>0</v>
      </c>
      <c r="BH186" s="26">
        <f t="shared" si="29"/>
        <v>0</v>
      </c>
      <c r="BI186" s="26">
        <f t="shared" si="30"/>
        <v>2.434543944104695</v>
      </c>
      <c r="BJ186" s="26">
        <f t="shared" si="31"/>
        <v>0</v>
      </c>
      <c r="BK186" s="26">
        <f t="shared" si="32"/>
        <v>0</v>
      </c>
      <c r="BL186" s="26">
        <f t="shared" si="33"/>
        <v>1.3085273446939465</v>
      </c>
      <c r="BM186" s="18">
        <f t="shared" si="34"/>
        <v>0</v>
      </c>
      <c r="BN186" s="18">
        <f t="shared" si="35"/>
        <v>0</v>
      </c>
      <c r="BO186" s="18">
        <f t="shared" si="36"/>
        <v>2.0969989498300423</v>
      </c>
    </row>
    <row r="187" spans="30:67">
      <c r="AD187" s="32">
        <v>183</v>
      </c>
      <c r="AE187" s="25" t="str">
        <f t="shared" si="13"/>
        <v>Right</v>
      </c>
      <c r="AF187" s="25" t="str">
        <f t="shared" si="14"/>
        <v>Channel</v>
      </c>
      <c r="AG187" s="32" t="str">
        <f>IF(XS_AnalyzerSummary!$AB$24&gt;=XS_AnalyzerSummary!AD187,"Y","N")</f>
        <v>Y</v>
      </c>
      <c r="AH187" s="38">
        <v>1</v>
      </c>
      <c r="AI187" s="38">
        <f>IF(AG187="Y",$O$19/XS_AnalyzerSummary!$AB$24,0)</f>
        <v>4.4999999999999998E-2</v>
      </c>
      <c r="AJ187" s="38">
        <f t="shared" si="15"/>
        <v>4.4999999999999998E-2</v>
      </c>
      <c r="AK187" s="93">
        <f t="shared" si="37"/>
        <v>9.2799999999999869</v>
      </c>
      <c r="AL187" s="93">
        <f>IF(AG187="Y",LININTERP(AK187,XS_Analyzer_Calculations!$AY$4:$AY$104,XS_Analyzer_Calculations!$AZ$4:$AZ$104),AL186)</f>
        <v>2.5679999999999921</v>
      </c>
      <c r="AM187" s="38">
        <f t="shared" si="16"/>
        <v>2.4320000000000079</v>
      </c>
      <c r="AN187" s="18">
        <f t="shared" si="17"/>
        <v>0.10883250000000035</v>
      </c>
      <c r="AO187" s="100">
        <f t="shared" si="18"/>
        <v>5.2478567053607719E-2</v>
      </c>
      <c r="AP187" s="100">
        <f t="shared" si="19"/>
        <v>2.0738466408357943</v>
      </c>
      <c r="AQ187" s="18">
        <f t="shared" si="20"/>
        <v>1.6595180023127203E-3</v>
      </c>
      <c r="AR187" s="32">
        <f>IFERROR(IF(AG187="Y",VLOOKUP(AK187,XS_Analyzer_Calculations!$R$5:$T$104,3,TRUE),0),0)</f>
        <v>0.1</v>
      </c>
      <c r="AS187" s="198">
        <f t="shared" si="21"/>
        <v>0.01</v>
      </c>
      <c r="AT187" s="18">
        <f t="shared" si="22"/>
        <v>2.6300368889200492</v>
      </c>
      <c r="AU187" s="38">
        <f>AT187*XS_Analyzer_Calculations!$I$7^0.5</f>
        <v>0.26300368889200493</v>
      </c>
      <c r="AV187" s="18">
        <f t="shared" si="58"/>
        <v>2.4165914491719303</v>
      </c>
      <c r="AW187" s="18">
        <f t="shared" si="23"/>
        <v>1.2940803038815356</v>
      </c>
      <c r="AX187" s="18">
        <f t="shared" si="24"/>
        <v>5</v>
      </c>
      <c r="AY187" s="32">
        <f t="shared" si="25"/>
        <v>2.4185000000000079</v>
      </c>
      <c r="AZ187" s="18">
        <f>((AS187*AP187)/(1.65*XS_Analyzer!$Q$72))*12</f>
        <v>5.9593259427289436</v>
      </c>
      <c r="BA187" s="18">
        <f>(AW187/((1.65*62.4)*XS_Analyzer!$Q$73))*12</f>
        <v>3.3516713387245165</v>
      </c>
      <c r="BB187" s="18">
        <f t="shared" si="26"/>
        <v>4.740543700785687</v>
      </c>
      <c r="BC187" s="38">
        <f t="shared" si="27"/>
        <v>8.1339541119326597</v>
      </c>
      <c r="BD187" s="18">
        <f>IF(ISNUMBER(LININTERP(AW187,Permissible_Shear!$T$178:$T$188,Permissible_Shear!$V$178:$V$188)),LININTERP(AW187,Permissible_Shear!$T$178:$T$188,Permissible_Shear!$V$178:$V$188),0)</f>
        <v>4.2920449395661953</v>
      </c>
      <c r="BE187" s="18">
        <f>LININTERP(AW187,Permissible_Shear!$S$205:$S$222,Permissible_Shear!$V$205:$V$222)</f>
        <v>4.3565009496297984</v>
      </c>
      <c r="BF187" s="18">
        <f>INDEX($AZ$3:$BE$204,ROW(BF187)-2,MATCH(XS_Analyzer!$S$5,XS_AnalyzerSummary!$AZ$2:$BE$2,0))</f>
        <v>4.740543700785687</v>
      </c>
      <c r="BG187" s="26">
        <f t="shared" si="28"/>
        <v>0</v>
      </c>
      <c r="BH187" s="26">
        <f t="shared" si="29"/>
        <v>0</v>
      </c>
      <c r="BI187" s="26">
        <f t="shared" si="30"/>
        <v>2.4165914491719303</v>
      </c>
      <c r="BJ187" s="26">
        <f t="shared" si="31"/>
        <v>0</v>
      </c>
      <c r="BK187" s="26">
        <f t="shared" si="32"/>
        <v>0</v>
      </c>
      <c r="BL187" s="26">
        <f t="shared" si="33"/>
        <v>1.2940803038815356</v>
      </c>
      <c r="BM187" s="18">
        <f t="shared" si="34"/>
        <v>0</v>
      </c>
      <c r="BN187" s="18">
        <f t="shared" si="35"/>
        <v>0</v>
      </c>
      <c r="BO187" s="18">
        <f t="shared" si="36"/>
        <v>2.0738466408357943</v>
      </c>
    </row>
    <row r="188" spans="30:67">
      <c r="AD188" s="32">
        <v>184</v>
      </c>
      <c r="AE188" s="25" t="str">
        <f t="shared" si="13"/>
        <v>Right</v>
      </c>
      <c r="AF188" s="25" t="str">
        <f t="shared" si="14"/>
        <v>Channel</v>
      </c>
      <c r="AG188" s="32" t="str">
        <f>IF(XS_AnalyzerSummary!$AB$24&gt;=XS_AnalyzerSummary!AD188,"Y","N")</f>
        <v>Y</v>
      </c>
      <c r="AH188" s="38">
        <v>1</v>
      </c>
      <c r="AI188" s="38">
        <f>IF(AG188="Y",$O$19/XS_AnalyzerSummary!$AB$24,0)</f>
        <v>4.4999999999999998E-2</v>
      </c>
      <c r="AJ188" s="38">
        <f t="shared" si="15"/>
        <v>4.4999999999999998E-2</v>
      </c>
      <c r="AK188" s="93">
        <f t="shared" si="37"/>
        <v>9.3249999999999869</v>
      </c>
      <c r="AL188" s="93">
        <f>IF(AG188="Y",LININTERP(AK188,XS_Analyzer_Calculations!$AY$4:$AY$104,XS_Analyzer_Calculations!$AZ$4:$AZ$104),AL187)</f>
        <v>2.5949999999999922</v>
      </c>
      <c r="AM188" s="38">
        <f t="shared" si="16"/>
        <v>2.4050000000000078</v>
      </c>
      <c r="AN188" s="18">
        <f t="shared" si="17"/>
        <v>0.10761750000000034</v>
      </c>
      <c r="AO188" s="100">
        <f t="shared" si="18"/>
        <v>5.2478567053607483E-2</v>
      </c>
      <c r="AP188" s="100">
        <f t="shared" si="19"/>
        <v>2.0506943318415645</v>
      </c>
      <c r="AQ188" s="18">
        <f t="shared" si="20"/>
        <v>1.659518002312713E-3</v>
      </c>
      <c r="AR188" s="32">
        <f>IFERROR(IF(AG188="Y",VLOOKUP(AK188,XS_Analyzer_Calculations!$R$5:$T$104,3,TRUE),0),0)</f>
        <v>0.1</v>
      </c>
      <c r="AS188" s="198">
        <f t="shared" si="21"/>
        <v>0.01</v>
      </c>
      <c r="AT188" s="18">
        <f t="shared" si="22"/>
        <v>2.5812832449888696</v>
      </c>
      <c r="AU188" s="38">
        <f>AT188*XS_Analyzer_Calculations!$I$7^0.5</f>
        <v>0.25812832449888695</v>
      </c>
      <c r="AV188" s="18">
        <f t="shared" si="58"/>
        <v>2.3985720212687167</v>
      </c>
      <c r="AW188" s="18">
        <f t="shared" si="23"/>
        <v>1.2796332630691363</v>
      </c>
      <c r="AX188" s="18">
        <f t="shared" si="24"/>
        <v>5</v>
      </c>
      <c r="AY188" s="32">
        <f t="shared" si="25"/>
        <v>2.3915000000000077</v>
      </c>
      <c r="AZ188" s="18">
        <f>((AS188*AP188)/(1.65*XS_Analyzer!$Q$72))*12</f>
        <v>5.8927963580882077</v>
      </c>
      <c r="BA188" s="18">
        <f>(AW188/((1.65*62.4)*XS_Analyzer!$Q$73))*12</f>
        <v>3.3142534656025289</v>
      </c>
      <c r="BB188" s="18">
        <f t="shared" si="26"/>
        <v>4.6857167059429328</v>
      </c>
      <c r="BC188" s="38">
        <f t="shared" si="27"/>
        <v>8.0674383200059232</v>
      </c>
      <c r="BD188" s="18">
        <f>IF(ISNUMBER(LININTERP(AW188,Permissible_Shear!$T$178:$T$188,Permissible_Shear!$V$178:$V$188)),LININTERP(AW188,Permissible_Shear!$T$178:$T$188,Permissible_Shear!$V$178:$V$188),0)</f>
        <v>4.2469185024610239</v>
      </c>
      <c r="BE188" s="18">
        <f>LININTERP(AW188,Permissible_Shear!$S$205:$S$222,Permissible_Shear!$V$205:$V$222)</f>
        <v>4.3113539470910505</v>
      </c>
      <c r="BF188" s="18">
        <f>INDEX($AZ$3:$BE$204,ROW(BF188)-2,MATCH(XS_Analyzer!$S$5,XS_AnalyzerSummary!$AZ$2:$BE$2,0))</f>
        <v>4.6857167059429328</v>
      </c>
      <c r="BG188" s="26">
        <f t="shared" si="28"/>
        <v>0</v>
      </c>
      <c r="BH188" s="26">
        <f t="shared" si="29"/>
        <v>0</v>
      </c>
      <c r="BI188" s="26">
        <f t="shared" si="30"/>
        <v>2.3985720212687167</v>
      </c>
      <c r="BJ188" s="26">
        <f t="shared" si="31"/>
        <v>0</v>
      </c>
      <c r="BK188" s="26">
        <f t="shared" si="32"/>
        <v>0</v>
      </c>
      <c r="BL188" s="26">
        <f t="shared" si="33"/>
        <v>1.2796332630691363</v>
      </c>
      <c r="BM188" s="18">
        <f t="shared" si="34"/>
        <v>0</v>
      </c>
      <c r="BN188" s="18">
        <f t="shared" si="35"/>
        <v>0</v>
      </c>
      <c r="BO188" s="18">
        <f t="shared" si="36"/>
        <v>2.0506943318415645</v>
      </c>
    </row>
    <row r="189" spans="30:67">
      <c r="AD189" s="32">
        <v>185</v>
      </c>
      <c r="AE189" s="25" t="str">
        <f t="shared" si="13"/>
        <v>Right</v>
      </c>
      <c r="AF189" s="25" t="str">
        <f t="shared" si="14"/>
        <v>Channel</v>
      </c>
      <c r="AG189" s="32" t="str">
        <f>IF(XS_AnalyzerSummary!$AB$24&gt;=XS_AnalyzerSummary!AD189,"Y","N")</f>
        <v>Y</v>
      </c>
      <c r="AH189" s="38">
        <v>1</v>
      </c>
      <c r="AI189" s="38">
        <f>IF(AG189="Y",$O$19/XS_AnalyzerSummary!$AB$24,0)</f>
        <v>4.4999999999999998E-2</v>
      </c>
      <c r="AJ189" s="38">
        <f t="shared" si="15"/>
        <v>4.4999999999999998E-2</v>
      </c>
      <c r="AK189" s="93">
        <f t="shared" si="37"/>
        <v>9.3699999999999868</v>
      </c>
      <c r="AL189" s="93">
        <f>IF(AG189="Y",LININTERP(AK189,XS_Analyzer_Calculations!$AY$4:$AY$104,XS_Analyzer_Calculations!$AZ$4:$AZ$104),AL188)</f>
        <v>2.6219999999999919</v>
      </c>
      <c r="AM189" s="38">
        <f t="shared" si="16"/>
        <v>2.3780000000000081</v>
      </c>
      <c r="AN189" s="18">
        <f t="shared" si="17"/>
        <v>0.10640250000000036</v>
      </c>
      <c r="AO189" s="100">
        <f t="shared" si="18"/>
        <v>5.2478567053607719E-2</v>
      </c>
      <c r="AP189" s="100">
        <f t="shared" si="19"/>
        <v>2.0275420228473169</v>
      </c>
      <c r="AQ189" s="18">
        <f t="shared" si="20"/>
        <v>1.6595180023127203E-3</v>
      </c>
      <c r="AR189" s="32">
        <f>IFERROR(IF(AG189="Y",VLOOKUP(AK189,XS_Analyzer_Calculations!$R$5:$T$104,3,TRUE),0),0)</f>
        <v>0.1</v>
      </c>
      <c r="AS189" s="198">
        <f t="shared" si="21"/>
        <v>0.01</v>
      </c>
      <c r="AT189" s="18">
        <f t="shared" si="22"/>
        <v>2.532895180664307</v>
      </c>
      <c r="AU189" s="38">
        <f>AT189*XS_Analyzer_Calculations!$I$7^0.5</f>
        <v>0.25328951806643069</v>
      </c>
      <c r="AV189" s="18">
        <f t="shared" si="58"/>
        <v>2.380484650891002</v>
      </c>
      <c r="AW189" s="18">
        <f t="shared" si="23"/>
        <v>1.2651862222567258</v>
      </c>
      <c r="AX189" s="18">
        <f t="shared" si="24"/>
        <v>5</v>
      </c>
      <c r="AY189" s="32">
        <f t="shared" si="25"/>
        <v>2.364500000000008</v>
      </c>
      <c r="AZ189" s="18">
        <f>((AS189*AP189)/(1.65*XS_Analyzer!$Q$72))*12</f>
        <v>5.8262667734474212</v>
      </c>
      <c r="BA189" s="18">
        <f>(AW189/((1.65*62.4)*XS_Analyzer!$Q$73))*12</f>
        <v>3.2768355924805128</v>
      </c>
      <c r="BB189" s="18">
        <f t="shared" si="26"/>
        <v>4.6309155574346867</v>
      </c>
      <c r="BC189" s="38">
        <f t="shared" si="27"/>
        <v>8.0007247152583769</v>
      </c>
      <c r="BD189" s="18">
        <f>IF(ISNUMBER(LININTERP(AW189,Permissible_Shear!$T$178:$T$188,Permissible_Shear!$V$178:$V$188)),LININTERP(AW189,Permissible_Shear!$T$178:$T$188,Permissible_Shear!$V$178:$V$188),0)</f>
        <v>4.2017920653558178</v>
      </c>
      <c r="BE189" s="18">
        <f>LININTERP(AW189,Permissible_Shear!$S$205:$S$222,Permissible_Shear!$V$205:$V$222)</f>
        <v>4.2662069445522679</v>
      </c>
      <c r="BF189" s="18">
        <f>INDEX($AZ$3:$BE$204,ROW(BF189)-2,MATCH(XS_Analyzer!$S$5,XS_AnalyzerSummary!$AZ$2:$BE$2,0))</f>
        <v>4.6309155574346867</v>
      </c>
      <c r="BG189" s="26">
        <f t="shared" si="28"/>
        <v>0</v>
      </c>
      <c r="BH189" s="26">
        <f t="shared" si="29"/>
        <v>0</v>
      </c>
      <c r="BI189" s="26">
        <f t="shared" si="30"/>
        <v>2.380484650891002</v>
      </c>
      <c r="BJ189" s="26">
        <f t="shared" si="31"/>
        <v>0</v>
      </c>
      <c r="BK189" s="26">
        <f t="shared" si="32"/>
        <v>0</v>
      </c>
      <c r="BL189" s="26">
        <f t="shared" si="33"/>
        <v>1.2651862222567258</v>
      </c>
      <c r="BM189" s="18">
        <f t="shared" si="34"/>
        <v>0</v>
      </c>
      <c r="BN189" s="18">
        <f t="shared" si="35"/>
        <v>0</v>
      </c>
      <c r="BO189" s="18">
        <f t="shared" si="36"/>
        <v>2.0275420228473169</v>
      </c>
    </row>
    <row r="190" spans="30:67">
      <c r="AD190" s="32">
        <v>186</v>
      </c>
      <c r="AE190" s="25" t="str">
        <f t="shared" si="13"/>
        <v>Right</v>
      </c>
      <c r="AF190" s="25" t="str">
        <f t="shared" si="14"/>
        <v>Channel</v>
      </c>
      <c r="AG190" s="32" t="str">
        <f>IF(XS_AnalyzerSummary!$AB$24&gt;=XS_AnalyzerSummary!AD190,"Y","N")</f>
        <v>Y</v>
      </c>
      <c r="AH190" s="38">
        <v>1</v>
      </c>
      <c r="AI190" s="38">
        <f>IF(AG190="Y",$O$19/XS_AnalyzerSummary!$AB$24,0)</f>
        <v>4.4999999999999998E-2</v>
      </c>
      <c r="AJ190" s="38">
        <f t="shared" si="15"/>
        <v>4.4999999999999998E-2</v>
      </c>
      <c r="AK190" s="93">
        <f t="shared" si="37"/>
        <v>9.4149999999999867</v>
      </c>
      <c r="AL190" s="93">
        <f>IF(AG190="Y",LININTERP(AK190,XS_Analyzer_Calculations!$AY$4:$AY$104,XS_Analyzer_Calculations!$AZ$4:$AZ$104),AL189)</f>
        <v>2.648999999999992</v>
      </c>
      <c r="AM190" s="38">
        <f t="shared" si="16"/>
        <v>2.351000000000008</v>
      </c>
      <c r="AN190" s="18">
        <f t="shared" si="17"/>
        <v>0.10518750000000035</v>
      </c>
      <c r="AO190" s="100">
        <f t="shared" si="18"/>
        <v>5.2478567053607719E-2</v>
      </c>
      <c r="AP190" s="100">
        <f t="shared" si="19"/>
        <v>2.0043897138530782</v>
      </c>
      <c r="AQ190" s="18">
        <f t="shared" si="20"/>
        <v>1.6595180023127203E-3</v>
      </c>
      <c r="AR190" s="32">
        <f>IFERROR(IF(AG190="Y",VLOOKUP(AK190,XS_Analyzer_Calculations!$R$5:$T$104,3,TRUE),0),0)</f>
        <v>0.1</v>
      </c>
      <c r="AS190" s="198">
        <f t="shared" si="21"/>
        <v>0.01</v>
      </c>
      <c r="AT190" s="18">
        <f t="shared" si="22"/>
        <v>2.4848740822292497</v>
      </c>
      <c r="AU190" s="38">
        <f>AT190*XS_Analyzer_Calculations!$I$7^0.5</f>
        <v>0.24848740822292498</v>
      </c>
      <c r="AV190" s="18">
        <f t="shared" si="58"/>
        <v>2.3623283015845433</v>
      </c>
      <c r="AW190" s="18">
        <f t="shared" si="23"/>
        <v>1.2507391814443207</v>
      </c>
      <c r="AX190" s="18">
        <f t="shared" si="24"/>
        <v>5</v>
      </c>
      <c r="AY190" s="32">
        <f t="shared" si="25"/>
        <v>2.3375000000000079</v>
      </c>
      <c r="AZ190" s="18">
        <f>((AS190*AP190)/(1.65*XS_Analyzer!$Q$72))*12</f>
        <v>5.7597371888066604</v>
      </c>
      <c r="BA190" s="18">
        <f>(AW190/((1.65*62.4)*XS_Analyzer!$Q$73))*12</f>
        <v>3.2394177193585101</v>
      </c>
      <c r="BB190" s="18">
        <f t="shared" si="26"/>
        <v>4.576140536341887</v>
      </c>
      <c r="BC190" s="38">
        <f t="shared" si="27"/>
        <v>7.9338104532547087</v>
      </c>
      <c r="BD190" s="18">
        <f>IF(ISNUMBER(LININTERP(AW190,Permissible_Shear!$T$178:$T$188,Permissible_Shear!$V$178:$V$188)),LININTERP(AW190,Permissible_Shear!$T$178:$T$188,Permissible_Shear!$V$178:$V$188),0)</f>
        <v>4.1566656282506287</v>
      </c>
      <c r="BE190" s="18">
        <f>LININTERP(AW190,Permissible_Shear!$S$205:$S$222,Permissible_Shear!$V$205:$V$222)</f>
        <v>4.2210599420135022</v>
      </c>
      <c r="BF190" s="18">
        <f>INDEX($AZ$3:$BE$204,ROW(BF190)-2,MATCH(XS_Analyzer!$S$5,XS_AnalyzerSummary!$AZ$2:$BE$2,0))</f>
        <v>4.576140536341887</v>
      </c>
      <c r="BG190" s="26">
        <f t="shared" si="28"/>
        <v>0</v>
      </c>
      <c r="BH190" s="26">
        <f t="shared" si="29"/>
        <v>0</v>
      </c>
      <c r="BI190" s="26">
        <f t="shared" si="30"/>
        <v>2.3623283015845433</v>
      </c>
      <c r="BJ190" s="26">
        <f t="shared" si="31"/>
        <v>0</v>
      </c>
      <c r="BK190" s="26">
        <f t="shared" si="32"/>
        <v>0</v>
      </c>
      <c r="BL190" s="26">
        <f t="shared" si="33"/>
        <v>1.2507391814443207</v>
      </c>
      <c r="BM190" s="18">
        <f t="shared" si="34"/>
        <v>0</v>
      </c>
      <c r="BN190" s="18">
        <f t="shared" si="35"/>
        <v>0</v>
      </c>
      <c r="BO190" s="18">
        <f t="shared" si="36"/>
        <v>2.0043897138530782</v>
      </c>
    </row>
    <row r="191" spans="30:67">
      <c r="AD191" s="32">
        <v>187</v>
      </c>
      <c r="AE191" s="25" t="str">
        <f t="shared" si="13"/>
        <v>Right</v>
      </c>
      <c r="AF191" s="25" t="str">
        <f t="shared" si="14"/>
        <v>Channel</v>
      </c>
      <c r="AG191" s="32" t="str">
        <f>IF(XS_AnalyzerSummary!$AB$24&gt;=XS_AnalyzerSummary!AD191,"Y","N")</f>
        <v>Y</v>
      </c>
      <c r="AH191" s="38">
        <v>1</v>
      </c>
      <c r="AI191" s="38">
        <f>IF(AG191="Y",$O$19/XS_AnalyzerSummary!$AB$24,0)</f>
        <v>4.4999999999999998E-2</v>
      </c>
      <c r="AJ191" s="38">
        <f t="shared" si="15"/>
        <v>4.4999999999999998E-2</v>
      </c>
      <c r="AK191" s="93">
        <f t="shared" si="37"/>
        <v>9.4599999999999866</v>
      </c>
      <c r="AL191" s="93">
        <f>IF(AG191="Y",LININTERP(AK191,XS_Analyzer_Calculations!$AY$4:$AY$104,XS_Analyzer_Calculations!$AZ$4:$AZ$104),AL190)</f>
        <v>2.6759999999999922</v>
      </c>
      <c r="AM191" s="38">
        <f t="shared" si="16"/>
        <v>2.3240000000000078</v>
      </c>
      <c r="AN191" s="18">
        <f t="shared" si="17"/>
        <v>0.10397250000000037</v>
      </c>
      <c r="AO191" s="100">
        <f t="shared" si="18"/>
        <v>5.2478567053607483E-2</v>
      </c>
      <c r="AP191" s="100">
        <f t="shared" si="19"/>
        <v>1.9812374048588488</v>
      </c>
      <c r="AQ191" s="18">
        <f t="shared" si="20"/>
        <v>1.659518002312713E-3</v>
      </c>
      <c r="AR191" s="32">
        <f>IFERROR(IF(AG191="Y",VLOOKUP(AK191,XS_Analyzer_Calculations!$R$5:$T$104,3,TRUE),0),0)</f>
        <v>0.1</v>
      </c>
      <c r="AS191" s="198">
        <f t="shared" si="21"/>
        <v>0.01</v>
      </c>
      <c r="AT191" s="18">
        <f t="shared" si="22"/>
        <v>2.4372213572363663</v>
      </c>
      <c r="AU191" s="38">
        <f>AT191*XS_Analyzer_Calculations!$I$7^0.5</f>
        <v>0.24372213572363666</v>
      </c>
      <c r="AV191" s="18">
        <f t="shared" si="58"/>
        <v>2.3441019089051025</v>
      </c>
      <c r="AW191" s="18">
        <f t="shared" si="23"/>
        <v>1.2362921406319216</v>
      </c>
      <c r="AX191" s="18">
        <f t="shared" si="24"/>
        <v>5</v>
      </c>
      <c r="AY191" s="32">
        <f t="shared" si="25"/>
        <v>2.3105000000000082</v>
      </c>
      <c r="AZ191" s="18">
        <f>((AS191*AP191)/(1.65*XS_Analyzer!$Q$72))*12</f>
        <v>5.6932076041659254</v>
      </c>
      <c r="BA191" s="18">
        <f>(AW191/((1.65*62.4)*XS_Analyzer!$Q$73))*12</f>
        <v>3.2019998462365238</v>
      </c>
      <c r="BB191" s="18">
        <f t="shared" si="26"/>
        <v>4.5213919300649126</v>
      </c>
      <c r="BC191" s="38">
        <f t="shared" si="27"/>
        <v>7.8666926154684393</v>
      </c>
      <c r="BD191" s="18">
        <f>IF(ISNUMBER(LININTERP(AW191,Permissible_Shear!$T$178:$T$188,Permissible_Shear!$V$178:$V$188)),LININTERP(AW191,Permissible_Shear!$T$178:$T$188,Permissible_Shear!$V$178:$V$188),0)</f>
        <v>4.1115391911454573</v>
      </c>
      <c r="BE191" s="18">
        <f>LININTERP(AW191,Permissible_Shear!$S$205:$S$222,Permissible_Shear!$V$205:$V$222)</f>
        <v>4.1759129394747552</v>
      </c>
      <c r="BF191" s="18">
        <f>INDEX($AZ$3:$BE$204,ROW(BF191)-2,MATCH(XS_Analyzer!$S$5,XS_AnalyzerSummary!$AZ$2:$BE$2,0))</f>
        <v>4.5213919300649126</v>
      </c>
      <c r="BG191" s="26">
        <f t="shared" si="28"/>
        <v>0</v>
      </c>
      <c r="BH191" s="26">
        <f t="shared" si="29"/>
        <v>0</v>
      </c>
      <c r="BI191" s="26">
        <f t="shared" si="30"/>
        <v>2.3441019089051025</v>
      </c>
      <c r="BJ191" s="26">
        <f t="shared" si="31"/>
        <v>0</v>
      </c>
      <c r="BK191" s="26">
        <f t="shared" si="32"/>
        <v>0</v>
      </c>
      <c r="BL191" s="26">
        <f t="shared" si="33"/>
        <v>1.2362921406319216</v>
      </c>
      <c r="BM191" s="18">
        <f t="shared" si="34"/>
        <v>0</v>
      </c>
      <c r="BN191" s="18">
        <f t="shared" si="35"/>
        <v>0</v>
      </c>
      <c r="BO191" s="18">
        <f t="shared" si="36"/>
        <v>1.9812374048588488</v>
      </c>
    </row>
    <row r="192" spans="30:67">
      <c r="AD192" s="32">
        <v>188</v>
      </c>
      <c r="AE192" s="25" t="str">
        <f t="shared" si="13"/>
        <v>Right</v>
      </c>
      <c r="AF192" s="25" t="str">
        <f t="shared" si="14"/>
        <v>Channel</v>
      </c>
      <c r="AG192" s="32" t="str">
        <f>IF(XS_AnalyzerSummary!$AB$24&gt;=XS_AnalyzerSummary!AD192,"Y","N")</f>
        <v>Y</v>
      </c>
      <c r="AH192" s="38">
        <v>1</v>
      </c>
      <c r="AI192" s="38">
        <f>IF(AG192="Y",$O$19/XS_AnalyzerSummary!$AB$24,0)</f>
        <v>4.4999999999999998E-2</v>
      </c>
      <c r="AJ192" s="38">
        <f t="shared" si="15"/>
        <v>4.4999999999999998E-2</v>
      </c>
      <c r="AK192" s="93">
        <f t="shared" si="37"/>
        <v>9.5049999999999866</v>
      </c>
      <c r="AL192" s="93">
        <f>IF(AG192="Y",LININTERP(AK192,XS_Analyzer_Calculations!$AY$4:$AY$104,XS_Analyzer_Calculations!$AZ$4:$AZ$104),AL191)</f>
        <v>2.7029999999999919</v>
      </c>
      <c r="AM192" s="38">
        <f t="shared" si="16"/>
        <v>2.2970000000000081</v>
      </c>
      <c r="AN192" s="18">
        <f t="shared" si="17"/>
        <v>0.10275750000000036</v>
      </c>
      <c r="AO192" s="100">
        <f t="shared" si="18"/>
        <v>5.2478567053607719E-2</v>
      </c>
      <c r="AP192" s="100">
        <f t="shared" si="19"/>
        <v>1.958085095864601</v>
      </c>
      <c r="AQ192" s="18">
        <f t="shared" si="20"/>
        <v>1.6595180023127203E-3</v>
      </c>
      <c r="AR192" s="32">
        <f>IFERROR(IF(AG192="Y",VLOOKUP(AK192,XS_Analyzer_Calculations!$R$5:$T$104,3,TRUE),0),0)</f>
        <v>0.1</v>
      </c>
      <c r="AS192" s="198">
        <f t="shared" si="21"/>
        <v>0.01</v>
      </c>
      <c r="AT192" s="18">
        <f t="shared" si="22"/>
        <v>2.3899384350858663</v>
      </c>
      <c r="AU192" s="38">
        <f>AT192*XS_Analyzer_Calculations!$I$7^0.5</f>
        <v>0.23899384350858666</v>
      </c>
      <c r="AV192" s="18">
        <f t="shared" si="58"/>
        <v>2.3258043793259451</v>
      </c>
      <c r="AW192" s="18">
        <f t="shared" si="23"/>
        <v>1.2218450998195109</v>
      </c>
      <c r="AX192" s="18">
        <f t="shared" si="24"/>
        <v>5</v>
      </c>
      <c r="AY192" s="32">
        <f t="shared" si="25"/>
        <v>2.2835000000000081</v>
      </c>
      <c r="AZ192" s="18">
        <f>((AS192*AP192)/(1.65*XS_Analyzer!$Q$72))*12</f>
        <v>5.626678019525138</v>
      </c>
      <c r="BA192" s="18">
        <f>(AW192/((1.65*62.4)*XS_Analyzer!$Q$73))*12</f>
        <v>3.1645819731145068</v>
      </c>
      <c r="BB192" s="18">
        <f t="shared" si="26"/>
        <v>4.4666700325407325</v>
      </c>
      <c r="BC192" s="38">
        <f t="shared" si="27"/>
        <v>7.7993682064673422</v>
      </c>
      <c r="BD192" s="18">
        <f>IF(ISNUMBER(LININTERP(AW192,Permissible_Shear!$T$178:$T$188,Permissible_Shear!$V$178:$V$188)),LININTERP(AW192,Permissible_Shear!$T$178:$T$188,Permissible_Shear!$V$178:$V$188),0)</f>
        <v>4.0664127540402513</v>
      </c>
      <c r="BE192" s="18">
        <f>LININTERP(AW192,Permissible_Shear!$S$205:$S$222,Permissible_Shear!$V$205:$V$222)</f>
        <v>4.1307659369359717</v>
      </c>
      <c r="BF192" s="18">
        <f>INDEX($AZ$3:$BE$204,ROW(BF192)-2,MATCH(XS_Analyzer!$S$5,XS_AnalyzerSummary!$AZ$2:$BE$2,0))</f>
        <v>4.4666700325407325</v>
      </c>
      <c r="BG192" s="26">
        <f t="shared" si="28"/>
        <v>0</v>
      </c>
      <c r="BH192" s="26">
        <f t="shared" si="29"/>
        <v>0</v>
      </c>
      <c r="BI192" s="26">
        <f t="shared" si="30"/>
        <v>2.3258043793259451</v>
      </c>
      <c r="BJ192" s="26">
        <f t="shared" si="31"/>
        <v>0</v>
      </c>
      <c r="BK192" s="26">
        <f t="shared" si="32"/>
        <v>0</v>
      </c>
      <c r="BL192" s="26">
        <f t="shared" si="33"/>
        <v>1.2218450998195109</v>
      </c>
      <c r="BM192" s="18">
        <f t="shared" si="34"/>
        <v>0</v>
      </c>
      <c r="BN192" s="18">
        <f t="shared" si="35"/>
        <v>0</v>
      </c>
      <c r="BO192" s="18">
        <f t="shared" si="36"/>
        <v>1.958085095864601</v>
      </c>
    </row>
    <row r="193" spans="30:67">
      <c r="AD193" s="32">
        <v>189</v>
      </c>
      <c r="AE193" s="25" t="str">
        <f t="shared" si="13"/>
        <v>Right</v>
      </c>
      <c r="AF193" s="25" t="str">
        <f t="shared" si="14"/>
        <v>Channel</v>
      </c>
      <c r="AG193" s="32" t="str">
        <f>IF(XS_AnalyzerSummary!$AB$24&gt;=XS_AnalyzerSummary!AD193,"Y","N")</f>
        <v>Y</v>
      </c>
      <c r="AH193" s="38">
        <v>1</v>
      </c>
      <c r="AI193" s="38">
        <f>IF(AG193="Y",$O$19/XS_AnalyzerSummary!$AB$24,0)</f>
        <v>4.4999999999999998E-2</v>
      </c>
      <c r="AJ193" s="38">
        <f t="shared" si="15"/>
        <v>4.4999999999999998E-2</v>
      </c>
      <c r="AK193" s="93">
        <f t="shared" si="37"/>
        <v>9.5499999999999865</v>
      </c>
      <c r="AL193" s="93">
        <f>IF(AG193="Y",LININTERP(AK193,XS_Analyzer_Calculations!$AY$4:$AY$104,XS_Analyzer_Calculations!$AZ$4:$AZ$104),AL192)</f>
        <v>2.729999999999992</v>
      </c>
      <c r="AM193" s="38">
        <f t="shared" si="16"/>
        <v>2.270000000000008</v>
      </c>
      <c r="AN193" s="18">
        <f t="shared" si="17"/>
        <v>0.10154250000000035</v>
      </c>
      <c r="AO193" s="100">
        <f t="shared" si="18"/>
        <v>5.2478567053607483E-2</v>
      </c>
      <c r="AP193" s="100">
        <f t="shared" si="19"/>
        <v>1.934932786870371</v>
      </c>
      <c r="AQ193" s="18">
        <f t="shared" si="20"/>
        <v>1.659518002312713E-3</v>
      </c>
      <c r="AR193" s="32">
        <f>IFERROR(IF(AG193="Y",VLOOKUP(AK193,XS_Analyzer_Calculations!$R$5:$T$104,3,TRUE),0),0)</f>
        <v>0.1</v>
      </c>
      <c r="AS193" s="198">
        <f t="shared" si="21"/>
        <v>0.01</v>
      </c>
      <c r="AT193" s="18">
        <f t="shared" si="22"/>
        <v>2.3430267676260308</v>
      </c>
      <c r="AU193" s="38">
        <f>AT193*XS_Analyzer_Calculations!$I$7^0.5</f>
        <v>0.23430267676260308</v>
      </c>
      <c r="AV193" s="18">
        <f t="shared" si="58"/>
        <v>2.3074345890893198</v>
      </c>
      <c r="AW193" s="18">
        <f t="shared" si="23"/>
        <v>1.2073980590071114</v>
      </c>
      <c r="AX193" s="18">
        <f t="shared" si="24"/>
        <v>5</v>
      </c>
      <c r="AY193" s="32">
        <f t="shared" si="25"/>
        <v>2.2565000000000079</v>
      </c>
      <c r="AZ193" s="18">
        <f>((AS193*AP193)/(1.65*XS_Analyzer!$Q$72))*12</f>
        <v>5.5601484348844021</v>
      </c>
      <c r="BA193" s="18">
        <f>(AW193/((1.65*62.4)*XS_Analyzer!$Q$73))*12</f>
        <v>3.1271640999925188</v>
      </c>
      <c r="BB193" s="18">
        <f t="shared" si="26"/>
        <v>4.4119751444701354</v>
      </c>
      <c r="BC193" s="38">
        <f t="shared" si="27"/>
        <v>7.7318341509575381</v>
      </c>
      <c r="BD193" s="18">
        <f>IF(ISNUMBER(LININTERP(AW193,Permissible_Shear!$T$178:$T$188,Permissible_Shear!$V$178:$V$188)),LININTERP(AW193,Permissible_Shear!$T$178:$T$188,Permissible_Shear!$V$178:$V$188),0)</f>
        <v>4.021286316935079</v>
      </c>
      <c r="BE193" s="18">
        <f>LININTERP(AW193,Permissible_Shear!$S$205:$S$222,Permissible_Shear!$V$205:$V$222)</f>
        <v>4.0856189343972229</v>
      </c>
      <c r="BF193" s="18">
        <f>INDEX($AZ$3:$BE$204,ROW(BF193)-2,MATCH(XS_Analyzer!$S$5,XS_AnalyzerSummary!$AZ$2:$BE$2,0))</f>
        <v>4.4119751444701354</v>
      </c>
      <c r="BG193" s="26">
        <f t="shared" si="28"/>
        <v>0</v>
      </c>
      <c r="BH193" s="26">
        <f t="shared" si="29"/>
        <v>0</v>
      </c>
      <c r="BI193" s="26">
        <f t="shared" si="30"/>
        <v>2.3074345890893198</v>
      </c>
      <c r="BJ193" s="26">
        <f t="shared" si="31"/>
        <v>0</v>
      </c>
      <c r="BK193" s="26">
        <f t="shared" si="32"/>
        <v>0</v>
      </c>
      <c r="BL193" s="26">
        <f t="shared" si="33"/>
        <v>1.2073980590071114</v>
      </c>
      <c r="BM193" s="18">
        <f t="shared" si="34"/>
        <v>0</v>
      </c>
      <c r="BN193" s="18">
        <f t="shared" si="35"/>
        <v>0</v>
      </c>
      <c r="BO193" s="18">
        <f t="shared" si="36"/>
        <v>1.934932786870371</v>
      </c>
    </row>
    <row r="194" spans="30:67">
      <c r="AD194" s="32">
        <v>190</v>
      </c>
      <c r="AE194" s="25" t="str">
        <f t="shared" si="13"/>
        <v>Right</v>
      </c>
      <c r="AF194" s="25" t="str">
        <f t="shared" si="14"/>
        <v>Channel</v>
      </c>
      <c r="AG194" s="32" t="str">
        <f>IF(XS_AnalyzerSummary!$AB$24&gt;=XS_AnalyzerSummary!AD194,"Y","N")</f>
        <v>Y</v>
      </c>
      <c r="AH194" s="38">
        <v>1</v>
      </c>
      <c r="AI194" s="38">
        <f>IF(AG194="Y",$O$19/XS_AnalyzerSummary!$AB$24,0)</f>
        <v>4.4999999999999998E-2</v>
      </c>
      <c r="AJ194" s="38">
        <f t="shared" si="15"/>
        <v>4.4999999999999998E-2</v>
      </c>
      <c r="AK194" s="93">
        <f t="shared" si="37"/>
        <v>9.5949999999999864</v>
      </c>
      <c r="AL194" s="93">
        <f>IF(AG194="Y",LININTERP(AK194,XS_Analyzer_Calculations!$AY$4:$AY$104,XS_Analyzer_Calculations!$AZ$4:$AZ$104),AL193)</f>
        <v>2.7569999999999917</v>
      </c>
      <c r="AM194" s="38">
        <f t="shared" si="16"/>
        <v>2.2430000000000083</v>
      </c>
      <c r="AN194" s="18">
        <f t="shared" si="17"/>
        <v>0.10032750000000036</v>
      </c>
      <c r="AO194" s="100">
        <f t="shared" si="18"/>
        <v>5.2478567053607719E-2</v>
      </c>
      <c r="AP194" s="100">
        <f t="shared" si="19"/>
        <v>1.9117804778761236</v>
      </c>
      <c r="AQ194" s="18">
        <f t="shared" si="20"/>
        <v>1.6595180023127203E-3</v>
      </c>
      <c r="AR194" s="32">
        <f>IFERROR(IF(AG194="Y",VLOOKUP(AK194,XS_Analyzer_Calculations!$R$5:$T$104,3,TRUE),0),0)</f>
        <v>0.1</v>
      </c>
      <c r="AS194" s="198">
        <f t="shared" si="21"/>
        <v>0.01</v>
      </c>
      <c r="AT194" s="18">
        <f t="shared" si="22"/>
        <v>2.2964878297774094</v>
      </c>
      <c r="AU194" s="38">
        <f>AT194*XS_Analyzer_Calculations!$I$7^0.5</f>
        <v>0.22964878297774094</v>
      </c>
      <c r="AV194" s="18">
        <f t="shared" si="58"/>
        <v>2.2889913829980824</v>
      </c>
      <c r="AW194" s="18">
        <f t="shared" si="23"/>
        <v>1.1929510181947012</v>
      </c>
      <c r="AX194" s="18">
        <f t="shared" si="24"/>
        <v>5</v>
      </c>
      <c r="AY194" s="32">
        <f t="shared" si="25"/>
        <v>2.2295000000000083</v>
      </c>
      <c r="AZ194" s="18">
        <f>((AS194*AP194)/(1.65*XS_Analyzer!$Q$72))*12</f>
        <v>5.4936188502436156</v>
      </c>
      <c r="BA194" s="18">
        <f>(AW194/((1.65*62.4)*XS_Analyzer!$Q$73))*12</f>
        <v>3.0897462268705027</v>
      </c>
      <c r="BB194" s="18">
        <f t="shared" si="26"/>
        <v>4.3573075735556746</v>
      </c>
      <c r="BC194" s="38">
        <f t="shared" si="27"/>
        <v>7.664087290677406</v>
      </c>
      <c r="BD194" s="18">
        <f>IF(ISNUMBER(LININTERP(AW194,Permissible_Shear!$T$178:$T$188,Permissible_Shear!$V$178:$V$188)),LININTERP(AW194,Permissible_Shear!$T$178:$T$188,Permissible_Shear!$V$178:$V$188),0)</f>
        <v>3.9761598798298738</v>
      </c>
      <c r="BE194" s="18">
        <f>LININTERP(AW194,Permissible_Shear!$S$205:$S$222,Permissible_Shear!$V$205:$V$222)</f>
        <v>4.0404719318584412</v>
      </c>
      <c r="BF194" s="18">
        <f>INDEX($AZ$3:$BE$204,ROW(BF194)-2,MATCH(XS_Analyzer!$S$5,XS_AnalyzerSummary!$AZ$2:$BE$2,0))</f>
        <v>4.3573075735556746</v>
      </c>
      <c r="BG194" s="26">
        <f t="shared" si="28"/>
        <v>0</v>
      </c>
      <c r="BH194" s="26">
        <f t="shared" si="29"/>
        <v>0</v>
      </c>
      <c r="BI194" s="26">
        <f t="shared" si="30"/>
        <v>2.2889913829980824</v>
      </c>
      <c r="BJ194" s="26">
        <f t="shared" si="31"/>
        <v>0</v>
      </c>
      <c r="BK194" s="26">
        <f t="shared" si="32"/>
        <v>0</v>
      </c>
      <c r="BL194" s="26">
        <f t="shared" si="33"/>
        <v>1.1929510181947012</v>
      </c>
      <c r="BM194" s="18">
        <f t="shared" si="34"/>
        <v>0</v>
      </c>
      <c r="BN194" s="18">
        <f t="shared" si="35"/>
        <v>0</v>
      </c>
      <c r="BO194" s="18">
        <f t="shared" si="36"/>
        <v>1.9117804778761236</v>
      </c>
    </row>
    <row r="195" spans="30:67">
      <c r="AD195" s="32">
        <v>191</v>
      </c>
      <c r="AE195" s="25" t="str">
        <f t="shared" si="13"/>
        <v>Right</v>
      </c>
      <c r="AF195" s="25" t="str">
        <f t="shared" si="14"/>
        <v>Channel</v>
      </c>
      <c r="AG195" s="32" t="str">
        <f>IF(XS_AnalyzerSummary!$AB$24&gt;=XS_AnalyzerSummary!AD195,"Y","N")</f>
        <v>Y</v>
      </c>
      <c r="AH195" s="38">
        <v>1</v>
      </c>
      <c r="AI195" s="38">
        <f>IF(AG195="Y",$O$19/XS_AnalyzerSummary!$AB$24,0)</f>
        <v>4.4999999999999998E-2</v>
      </c>
      <c r="AJ195" s="38">
        <f t="shared" si="15"/>
        <v>4.4999999999999998E-2</v>
      </c>
      <c r="AK195" s="93">
        <f t="shared" si="37"/>
        <v>9.6399999999999864</v>
      </c>
      <c r="AL195" s="93">
        <f>IF(AG195="Y",LININTERP(AK195,XS_Analyzer_Calculations!$AY$4:$AY$104,XS_Analyzer_Calculations!$AZ$4:$AZ$104),AL194)</f>
        <v>2.7839999999999918</v>
      </c>
      <c r="AM195" s="38">
        <f t="shared" si="16"/>
        <v>2.2160000000000082</v>
      </c>
      <c r="AN195" s="18">
        <f t="shared" si="17"/>
        <v>9.9112500000000367E-2</v>
      </c>
      <c r="AO195" s="100">
        <f t="shared" si="18"/>
        <v>5.2478567053607719E-2</v>
      </c>
      <c r="AP195" s="100">
        <f t="shared" si="19"/>
        <v>1.8886281688818851</v>
      </c>
      <c r="AQ195" s="18">
        <f t="shared" si="20"/>
        <v>1.6595180023127203E-3</v>
      </c>
      <c r="AR195" s="32">
        <f>IFERROR(IF(AG195="Y",VLOOKUP(AK195,XS_Analyzer_Calculations!$R$5:$T$104,3,TRUE),0),0)</f>
        <v>0.1</v>
      </c>
      <c r="AS195" s="198">
        <f t="shared" si="21"/>
        <v>0.01</v>
      </c>
      <c r="AT195" s="18">
        <f t="shared" si="22"/>
        <v>2.2503231201823417</v>
      </c>
      <c r="AU195" s="38">
        <f>AT195*XS_Analyzer_Calculations!$I$7^0.5</f>
        <v>0.22503231201823418</v>
      </c>
      <c r="AV195" s="18">
        <f t="shared" si="58"/>
        <v>2.2704735731439865</v>
      </c>
      <c r="AW195" s="18">
        <f t="shared" si="23"/>
        <v>1.1785039773822963</v>
      </c>
      <c r="AX195" s="18">
        <f t="shared" si="24"/>
        <v>5</v>
      </c>
      <c r="AY195" s="32">
        <f t="shared" si="25"/>
        <v>2.2025000000000081</v>
      </c>
      <c r="AZ195" s="18">
        <f>((AS195*AP195)/(1.65*XS_Analyzer!$Q$72))*12</f>
        <v>5.4270892656028549</v>
      </c>
      <c r="BA195" s="18">
        <f>(AW195/((1.65*62.4)*XS_Analyzer!$Q$73))*12</f>
        <v>3.0523283537485013</v>
      </c>
      <c r="BB195" s="18">
        <f t="shared" si="26"/>
        <v>4.3026676347509296</v>
      </c>
      <c r="BC195" s="38">
        <f t="shared" si="27"/>
        <v>7.5961243811317818</v>
      </c>
      <c r="BD195" s="18">
        <f>IF(ISNUMBER(LININTERP(AW195,Permissible_Shear!$T$178:$T$188,Permissible_Shear!$V$178:$V$188)),LININTERP(AW195,Permissible_Shear!$T$178:$T$188,Permissible_Shear!$V$178:$V$188),0)</f>
        <v>3.9310334427246847</v>
      </c>
      <c r="BE195" s="18">
        <f>LININTERP(AW195,Permissible_Shear!$S$205:$S$222,Permissible_Shear!$V$205:$V$222)</f>
        <v>3.9953249293196755</v>
      </c>
      <c r="BF195" s="18">
        <f>INDEX($AZ$3:$BE$204,ROW(BF195)-2,MATCH(XS_Analyzer!$S$5,XS_AnalyzerSummary!$AZ$2:$BE$2,0))</f>
        <v>4.3026676347509296</v>
      </c>
      <c r="BG195" s="26">
        <f t="shared" si="28"/>
        <v>0</v>
      </c>
      <c r="BH195" s="26">
        <f t="shared" si="29"/>
        <v>0</v>
      </c>
      <c r="BI195" s="26">
        <f t="shared" si="30"/>
        <v>2.2704735731439865</v>
      </c>
      <c r="BJ195" s="26">
        <f t="shared" si="31"/>
        <v>0</v>
      </c>
      <c r="BK195" s="26">
        <f t="shared" si="32"/>
        <v>0</v>
      </c>
      <c r="BL195" s="26">
        <f t="shared" si="33"/>
        <v>1.1785039773822963</v>
      </c>
      <c r="BM195" s="18">
        <f t="shared" si="34"/>
        <v>0</v>
      </c>
      <c r="BN195" s="18">
        <f t="shared" si="35"/>
        <v>0</v>
      </c>
      <c r="BO195" s="18">
        <f t="shared" si="36"/>
        <v>1.8886281688818851</v>
      </c>
    </row>
    <row r="196" spans="30:67">
      <c r="AD196" s="32">
        <v>192</v>
      </c>
      <c r="AE196" s="25" t="str">
        <f t="shared" si="13"/>
        <v>Right</v>
      </c>
      <c r="AF196" s="25" t="str">
        <f t="shared" si="14"/>
        <v>Channel</v>
      </c>
      <c r="AG196" s="32" t="str">
        <f>IF(XS_AnalyzerSummary!$AB$24&gt;=XS_AnalyzerSummary!AD196,"Y","N")</f>
        <v>Y</v>
      </c>
      <c r="AH196" s="38">
        <v>1</v>
      </c>
      <c r="AI196" s="38">
        <f>IF(AG196="Y",$O$19/XS_AnalyzerSummary!$AB$24,0)</f>
        <v>4.4999999999999998E-2</v>
      </c>
      <c r="AJ196" s="38">
        <f t="shared" si="15"/>
        <v>4.4999999999999998E-2</v>
      </c>
      <c r="AK196" s="93">
        <f t="shared" si="37"/>
        <v>9.6849999999999863</v>
      </c>
      <c r="AL196" s="93">
        <f>IF(AG196="Y",LININTERP(AK196,XS_Analyzer_Calculations!$AY$4:$AY$104,XS_Analyzer_Calculations!$AZ$4:$AZ$104),AL195)</f>
        <v>2.8109999999999919</v>
      </c>
      <c r="AM196" s="38">
        <f t="shared" si="16"/>
        <v>2.1890000000000081</v>
      </c>
      <c r="AN196" s="18">
        <f t="shared" si="17"/>
        <v>9.7897500000000373E-2</v>
      </c>
      <c r="AO196" s="100">
        <f t="shared" si="18"/>
        <v>5.2478567053607483E-2</v>
      </c>
      <c r="AP196" s="100">
        <f t="shared" si="19"/>
        <v>1.8654758598876549</v>
      </c>
      <c r="AQ196" s="18">
        <f t="shared" si="20"/>
        <v>1.659518002312713E-3</v>
      </c>
      <c r="AR196" s="32">
        <f>IFERROR(IF(AG196="Y",VLOOKUP(AK196,XS_Analyzer_Calculations!$R$5:$T$104,3,TRUE),0),0)</f>
        <v>0.1</v>
      </c>
      <c r="AS196" s="198">
        <f t="shared" si="21"/>
        <v>0.01</v>
      </c>
      <c r="AT196" s="18">
        <f t="shared" si="22"/>
        <v>2.2045341618807304</v>
      </c>
      <c r="AU196" s="38">
        <f>AT196*XS_Analyzer_Calculations!$I$7^0.5</f>
        <v>0.22045341618807304</v>
      </c>
      <c r="AV196" s="18">
        <f t="shared" ref="AV196:AV204" si="59">IF(ROUND(AN196,5)=0,0,IF(ISNUMBER(AU196/AN196),AU196/AN196,0))</f>
        <v>2.2518799375680913</v>
      </c>
      <c r="AW196" s="18">
        <f t="shared" si="23"/>
        <v>1.1640569365698965</v>
      </c>
      <c r="AX196" s="18">
        <f t="shared" si="24"/>
        <v>5</v>
      </c>
      <c r="AY196" s="32">
        <f t="shared" si="25"/>
        <v>2.1755000000000084</v>
      </c>
      <c r="AZ196" s="18">
        <f>((AS196*AP196)/(1.65*XS_Analyzer!$Q$72))*12</f>
        <v>5.3605596809621181</v>
      </c>
      <c r="BA196" s="18">
        <f>(AW196/((1.65*62.4)*XS_Analyzer!$Q$73))*12</f>
        <v>3.0149104806265132</v>
      </c>
      <c r="BB196" s="18">
        <f t="shared" si="26"/>
        <v>4.2480556505218088</v>
      </c>
      <c r="BC196" s="38">
        <f t="shared" si="27"/>
        <v>7.5279420881561538</v>
      </c>
      <c r="BD196" s="18">
        <f>IF(ISNUMBER(LININTERP(AW196,Permissible_Shear!$T$178:$T$188,Permissible_Shear!$V$178:$V$188)),LININTERP(AW196,Permissible_Shear!$T$178:$T$188,Permissible_Shear!$V$178:$V$188),0)</f>
        <v>3.885907005619512</v>
      </c>
      <c r="BE196" s="18">
        <f>LININTERP(AW196,Permissible_Shear!$S$205:$S$222,Permissible_Shear!$V$205:$V$222)</f>
        <v>3.9501779267809263</v>
      </c>
      <c r="BF196" s="18">
        <f>INDEX($AZ$3:$BE$204,ROW(BF196)-2,MATCH(XS_Analyzer!$S$5,XS_AnalyzerSummary!$AZ$2:$BE$2,0))</f>
        <v>4.2480556505218088</v>
      </c>
      <c r="BG196" s="26">
        <f t="shared" si="28"/>
        <v>0</v>
      </c>
      <c r="BH196" s="26">
        <f t="shared" si="29"/>
        <v>0</v>
      </c>
      <c r="BI196" s="26">
        <f t="shared" si="30"/>
        <v>2.2518799375680913</v>
      </c>
      <c r="BJ196" s="26">
        <f t="shared" si="31"/>
        <v>0</v>
      </c>
      <c r="BK196" s="26">
        <f t="shared" si="32"/>
        <v>0</v>
      </c>
      <c r="BL196" s="26">
        <f t="shared" si="33"/>
        <v>1.1640569365698965</v>
      </c>
      <c r="BM196" s="18">
        <f t="shared" si="34"/>
        <v>0</v>
      </c>
      <c r="BN196" s="18">
        <f t="shared" si="35"/>
        <v>0</v>
      </c>
      <c r="BO196" s="18">
        <f t="shared" si="36"/>
        <v>1.8654758598876549</v>
      </c>
    </row>
    <row r="197" spans="30:67">
      <c r="AD197" s="32">
        <v>193</v>
      </c>
      <c r="AE197" s="25" t="str">
        <f t="shared" si="13"/>
        <v>Right</v>
      </c>
      <c r="AF197" s="25" t="str">
        <f t="shared" si="14"/>
        <v>Channel</v>
      </c>
      <c r="AG197" s="32" t="str">
        <f>IF(XS_AnalyzerSummary!$AB$24&gt;=XS_AnalyzerSummary!AD197,"Y","N")</f>
        <v>Y</v>
      </c>
      <c r="AH197" s="38">
        <v>1</v>
      </c>
      <c r="AI197" s="38">
        <f>IF(AG197="Y",$O$19/XS_AnalyzerSummary!$AB$24,0)</f>
        <v>4.4999999999999998E-2</v>
      </c>
      <c r="AJ197" s="38">
        <f t="shared" si="15"/>
        <v>4.4999999999999998E-2</v>
      </c>
      <c r="AK197" s="93">
        <f t="shared" si="37"/>
        <v>9.7299999999999862</v>
      </c>
      <c r="AL197" s="93">
        <f>IF(AG197="Y",LININTERP(AK197,XS_Analyzer_Calculations!$AY$4:$AY$104,XS_Analyzer_Calculations!$AZ$4:$AZ$104),AL196)</f>
        <v>2.8379999999999916</v>
      </c>
      <c r="AM197" s="38">
        <f t="shared" si="16"/>
        <v>2.1620000000000084</v>
      </c>
      <c r="AN197" s="18">
        <f t="shared" si="17"/>
        <v>9.6682500000000365E-2</v>
      </c>
      <c r="AO197" s="100">
        <f t="shared" si="18"/>
        <v>5.2478567053607719E-2</v>
      </c>
      <c r="AP197" s="100">
        <f t="shared" si="19"/>
        <v>1.8423235508934077</v>
      </c>
      <c r="AQ197" s="18">
        <f t="shared" si="20"/>
        <v>1.6595180023127203E-3</v>
      </c>
      <c r="AR197" s="32">
        <f>IFERROR(IF(AG197="Y",VLOOKUP(AK197,XS_Analyzer_Calculations!$R$5:$T$104,3,TRUE),0),0)</f>
        <v>0.1</v>
      </c>
      <c r="AS197" s="198">
        <f t="shared" si="21"/>
        <v>0.01</v>
      </c>
      <c r="AT197" s="18">
        <f t="shared" si="22"/>
        <v>2.1591225030137386</v>
      </c>
      <c r="AU197" s="38">
        <f>AT197*XS_Analyzer_Calculations!$I$7^0.5</f>
        <v>0.21591225030137387</v>
      </c>
      <c r="AV197" s="18">
        <f t="shared" si="59"/>
        <v>2.2332092188490478</v>
      </c>
      <c r="AW197" s="18">
        <f t="shared" si="23"/>
        <v>1.1496098957574865</v>
      </c>
      <c r="AX197" s="18">
        <f t="shared" si="24"/>
        <v>5</v>
      </c>
      <c r="AY197" s="32">
        <f t="shared" si="25"/>
        <v>2.1485000000000083</v>
      </c>
      <c r="AZ197" s="18">
        <f>((AS197*AP197)/(1.65*XS_Analyzer!$Q$72))*12</f>
        <v>5.2940300963213325</v>
      </c>
      <c r="BA197" s="18">
        <f>(AW197/((1.65*62.4)*XS_Analyzer!$Q$73))*12</f>
        <v>2.9774926075044976</v>
      </c>
      <c r="BB197" s="18">
        <f t="shared" si="26"/>
        <v>4.1934719511205829</v>
      </c>
      <c r="BC197" s="38">
        <f t="shared" si="27"/>
        <v>7.4595369842998647</v>
      </c>
      <c r="BD197" s="18">
        <f>IF(ISNUMBER(LININTERP(AW197,Permissible_Shear!$T$178:$T$188,Permissible_Shear!$V$178:$V$188)),LININTERP(AW197,Permissible_Shear!$T$178:$T$188,Permissible_Shear!$V$178:$V$188),0)</f>
        <v>3.8407805685143077</v>
      </c>
      <c r="BE197" s="18">
        <f>LININTERP(AW197,Permissible_Shear!$S$205:$S$222,Permissible_Shear!$V$205:$V$222)</f>
        <v>3.905030924242145</v>
      </c>
      <c r="BF197" s="18">
        <f>INDEX($AZ$3:$BE$204,ROW(BF197)-2,MATCH(XS_Analyzer!$S$5,XS_AnalyzerSummary!$AZ$2:$BE$2,0))</f>
        <v>4.1934719511205829</v>
      </c>
      <c r="BG197" s="26">
        <f t="shared" si="28"/>
        <v>0</v>
      </c>
      <c r="BH197" s="26">
        <f t="shared" si="29"/>
        <v>0</v>
      </c>
      <c r="BI197" s="26">
        <f t="shared" si="30"/>
        <v>2.2332092188490478</v>
      </c>
      <c r="BJ197" s="26">
        <f t="shared" si="31"/>
        <v>0</v>
      </c>
      <c r="BK197" s="26">
        <f t="shared" si="32"/>
        <v>0</v>
      </c>
      <c r="BL197" s="26">
        <f t="shared" si="33"/>
        <v>1.1496098957574865</v>
      </c>
      <c r="BM197" s="18">
        <f t="shared" si="34"/>
        <v>0</v>
      </c>
      <c r="BN197" s="18">
        <f t="shared" si="35"/>
        <v>0</v>
      </c>
      <c r="BO197" s="18">
        <f t="shared" si="36"/>
        <v>1.8423235508934077</v>
      </c>
    </row>
    <row r="198" spans="30:67">
      <c r="AD198" s="32">
        <v>194</v>
      </c>
      <c r="AE198" s="25" t="str">
        <f t="shared" si="13"/>
        <v>Right</v>
      </c>
      <c r="AF198" s="25" t="str">
        <f t="shared" si="14"/>
        <v>Channel</v>
      </c>
      <c r="AG198" s="32" t="str">
        <f>IF(XS_AnalyzerSummary!$AB$24&gt;=XS_AnalyzerSummary!AD198,"Y","N")</f>
        <v>Y</v>
      </c>
      <c r="AH198" s="38">
        <v>1</v>
      </c>
      <c r="AI198" s="38">
        <f>IF(AG198="Y",$O$19/XS_AnalyzerSummary!$AB$24,0)</f>
        <v>4.4999999999999998E-2</v>
      </c>
      <c r="AJ198" s="38">
        <f t="shared" si="15"/>
        <v>4.4999999999999998E-2</v>
      </c>
      <c r="AK198" s="93">
        <f t="shared" si="37"/>
        <v>9.7749999999999861</v>
      </c>
      <c r="AL198" s="93">
        <f>IF(AG198="Y",LININTERP(AK198,XS_Analyzer_Calculations!$AY$4:$AY$104,XS_Analyzer_Calculations!$AZ$4:$AZ$104),AL197)</f>
        <v>2.8649999999999918</v>
      </c>
      <c r="AM198" s="38">
        <f t="shared" si="16"/>
        <v>2.1350000000000082</v>
      </c>
      <c r="AN198" s="18">
        <f t="shared" si="17"/>
        <v>9.5467500000000358E-2</v>
      </c>
      <c r="AO198" s="100">
        <f t="shared" si="18"/>
        <v>5.2478567053607483E-2</v>
      </c>
      <c r="AP198" s="100">
        <f t="shared" si="19"/>
        <v>1.819171241899177</v>
      </c>
      <c r="AQ198" s="18">
        <f t="shared" si="20"/>
        <v>1.659518002312713E-3</v>
      </c>
      <c r="AR198" s="32">
        <f>IFERROR(IF(AG198="Y",VLOOKUP(AK198,XS_Analyzer_Calculations!$R$5:$T$104,3,TRUE),0),0)</f>
        <v>0.1</v>
      </c>
      <c r="AS198" s="198">
        <f t="shared" si="21"/>
        <v>0.01</v>
      </c>
      <c r="AT198" s="18">
        <f t="shared" si="22"/>
        <v>2.1140897175569084</v>
      </c>
      <c r="AU198" s="38">
        <f>AT198*XS_Analyzer_Calculations!$I$7^0.5</f>
        <v>0.21140897175569084</v>
      </c>
      <c r="AV198" s="18">
        <f t="shared" si="59"/>
        <v>2.2144601226143981</v>
      </c>
      <c r="AW198" s="18">
        <f t="shared" si="23"/>
        <v>1.1351628549450863</v>
      </c>
      <c r="AX198" s="18">
        <f t="shared" si="24"/>
        <v>5</v>
      </c>
      <c r="AY198" s="32">
        <f t="shared" si="25"/>
        <v>2.1215000000000082</v>
      </c>
      <c r="AZ198" s="18">
        <f>((AS198*AP198)/(1.65*XS_Analyzer!$Q$72))*12</f>
        <v>5.2275005116805939</v>
      </c>
      <c r="BA198" s="18">
        <f>(AW198/((1.65*62.4)*XS_Analyzer!$Q$73))*12</f>
        <v>2.9400747343825082</v>
      </c>
      <c r="BB198" s="18">
        <f t="shared" si="26"/>
        <v>4.1389168748734804</v>
      </c>
      <c r="BC198" s="38">
        <f t="shared" si="27"/>
        <v>7.3909055450162873</v>
      </c>
      <c r="BD198" s="18">
        <f>IF(ISNUMBER(LININTERP(AW198,Permissible_Shear!$T$178:$T$188,Permissible_Shear!$V$178:$V$188)),LININTERP(AW198,Permissible_Shear!$T$178:$T$188,Permissible_Shear!$V$178:$V$188),0)</f>
        <v>3.7956541314091332</v>
      </c>
      <c r="BE198" s="18">
        <f>LININTERP(AW198,Permissible_Shear!$S$205:$S$222,Permissible_Shear!$V$205:$V$222)</f>
        <v>3.8598839217033944</v>
      </c>
      <c r="BF198" s="18">
        <f>INDEX($AZ$3:$BE$204,ROW(BF198)-2,MATCH(XS_Analyzer!$S$5,XS_AnalyzerSummary!$AZ$2:$BE$2,0))</f>
        <v>4.1389168748734804</v>
      </c>
      <c r="BG198" s="26">
        <f t="shared" si="28"/>
        <v>0</v>
      </c>
      <c r="BH198" s="26">
        <f t="shared" si="29"/>
        <v>0</v>
      </c>
      <c r="BI198" s="26">
        <f t="shared" si="30"/>
        <v>2.2144601226143981</v>
      </c>
      <c r="BJ198" s="26">
        <f t="shared" si="31"/>
        <v>0</v>
      </c>
      <c r="BK198" s="26">
        <f t="shared" si="32"/>
        <v>0</v>
      </c>
      <c r="BL198" s="26">
        <f t="shared" si="33"/>
        <v>1.1351628549450863</v>
      </c>
      <c r="BM198" s="18">
        <f t="shared" si="34"/>
        <v>0</v>
      </c>
      <c r="BN198" s="18">
        <f t="shared" si="35"/>
        <v>0</v>
      </c>
      <c r="BO198" s="18">
        <f t="shared" si="36"/>
        <v>1.819171241899177</v>
      </c>
    </row>
    <row r="199" spans="30:67">
      <c r="AD199" s="32">
        <v>195</v>
      </c>
      <c r="AE199" s="25" t="str">
        <f t="shared" si="13"/>
        <v>Right</v>
      </c>
      <c r="AF199" s="25" t="str">
        <f t="shared" si="14"/>
        <v>Channel</v>
      </c>
      <c r="AG199" s="32" t="str">
        <f>IF(XS_AnalyzerSummary!$AB$24&gt;=XS_AnalyzerSummary!AD199,"Y","N")</f>
        <v>Y</v>
      </c>
      <c r="AH199" s="38">
        <v>1</v>
      </c>
      <c r="AI199" s="38">
        <f>IF(AG199="Y",$O$19/XS_AnalyzerSummary!$AB$24,0)</f>
        <v>4.4999999999999998E-2</v>
      </c>
      <c r="AJ199" s="38">
        <f t="shared" si="15"/>
        <v>4.4999999999999998E-2</v>
      </c>
      <c r="AK199" s="93">
        <f t="shared" si="37"/>
        <v>9.8199999999999861</v>
      </c>
      <c r="AL199" s="93">
        <f>IF(AG199="Y",LININTERP(AK199,XS_Analyzer_Calculations!$AY$4:$AY$104,XS_Analyzer_Calculations!$AZ$4:$AZ$104),AL198)</f>
        <v>2.8919999999999915</v>
      </c>
      <c r="AM199" s="38">
        <f t="shared" si="16"/>
        <v>2.1080000000000085</v>
      </c>
      <c r="AN199" s="18">
        <f t="shared" si="17"/>
        <v>9.4252500000000378E-2</v>
      </c>
      <c r="AO199" s="100">
        <f t="shared" si="18"/>
        <v>5.2478567053607719E-2</v>
      </c>
      <c r="AP199" s="100">
        <f t="shared" si="19"/>
        <v>1.7960189329049305</v>
      </c>
      <c r="AQ199" s="18">
        <f t="shared" si="20"/>
        <v>1.6595180023127203E-3</v>
      </c>
      <c r="AR199" s="32">
        <f>IFERROR(IF(AG199="Y",VLOOKUP(AK199,XS_Analyzer_Calculations!$R$5:$T$104,3,TRUE),0),0)</f>
        <v>0.1</v>
      </c>
      <c r="AS199" s="198">
        <f t="shared" si="21"/>
        <v>0.01</v>
      </c>
      <c r="AT199" s="18">
        <f t="shared" si="22"/>
        <v>2.0694374060840874</v>
      </c>
      <c r="AU199" s="38">
        <f>AT199*XS_Analyzer_Calculations!$I$7^0.5</f>
        <v>0.20694374060840875</v>
      </c>
      <c r="AV199" s="18">
        <f t="shared" si="59"/>
        <v>2.1956313159694218</v>
      </c>
      <c r="AW199" s="18">
        <f t="shared" si="23"/>
        <v>1.1207158141326767</v>
      </c>
      <c r="AX199" s="18">
        <f t="shared" si="24"/>
        <v>5</v>
      </c>
      <c r="AY199" s="32">
        <f t="shared" si="25"/>
        <v>2.0945000000000085</v>
      </c>
      <c r="AZ199" s="18">
        <f>((AS199*AP199)/(1.65*XS_Analyzer!$Q$72))*12</f>
        <v>5.160970927039811</v>
      </c>
      <c r="BA199" s="18">
        <f>(AW199/((1.65*62.4)*XS_Analyzer!$Q$73))*12</f>
        <v>2.9026568612604944</v>
      </c>
      <c r="BB199" s="18">
        <f t="shared" si="26"/>
        <v>4.0843907684826659</v>
      </c>
      <c r="BC199" s="38">
        <f t="shared" si="27"/>
        <v>7.3220441446472293</v>
      </c>
      <c r="BD199" s="18">
        <f>IF(ISNUMBER(LININTERP(AW199,Permissible_Shear!$T$178:$T$188,Permissible_Shear!$V$178:$V$188)),LININTERP(AW199,Permissible_Shear!$T$178:$T$188,Permissible_Shear!$V$178:$V$188),0)</f>
        <v>3.7497904096068657</v>
      </c>
      <c r="BE199" s="18">
        <f>LININTERP(AW199,Permissible_Shear!$S$205:$S$222,Permissible_Shear!$V$205:$V$222)</f>
        <v>3.8147369191646145</v>
      </c>
      <c r="BF199" s="18">
        <f>INDEX($AZ$3:$BE$204,ROW(BF199)-2,MATCH(XS_Analyzer!$S$5,XS_AnalyzerSummary!$AZ$2:$BE$2,0))</f>
        <v>4.0843907684826659</v>
      </c>
      <c r="BG199" s="26">
        <f t="shared" si="28"/>
        <v>0</v>
      </c>
      <c r="BH199" s="26">
        <f t="shared" si="29"/>
        <v>0</v>
      </c>
      <c r="BI199" s="26">
        <f t="shared" si="30"/>
        <v>2.1956313159694218</v>
      </c>
      <c r="BJ199" s="26">
        <f t="shared" si="31"/>
        <v>0</v>
      </c>
      <c r="BK199" s="26">
        <f t="shared" si="32"/>
        <v>0</v>
      </c>
      <c r="BL199" s="26">
        <f t="shared" si="33"/>
        <v>1.1207158141326767</v>
      </c>
      <c r="BM199" s="18">
        <f t="shared" si="34"/>
        <v>0</v>
      </c>
      <c r="BN199" s="18">
        <f t="shared" si="35"/>
        <v>0</v>
      </c>
      <c r="BO199" s="18">
        <f t="shared" si="36"/>
        <v>1.7960189329049305</v>
      </c>
    </row>
    <row r="200" spans="30:67">
      <c r="AD200" s="32">
        <v>196</v>
      </c>
      <c r="AE200" s="25" t="str">
        <f t="shared" si="13"/>
        <v>Right</v>
      </c>
      <c r="AF200" s="25" t="str">
        <f t="shared" si="14"/>
        <v>Channel</v>
      </c>
      <c r="AG200" s="32" t="str">
        <f>IF(XS_AnalyzerSummary!$AB$24&gt;=XS_AnalyzerSummary!AD200,"Y","N")</f>
        <v>Y</v>
      </c>
      <c r="AH200" s="38">
        <v>1</v>
      </c>
      <c r="AI200" s="38">
        <f>IF(AG200="Y",$O$19/XS_AnalyzerSummary!$AB$24,0)</f>
        <v>4.4999999999999998E-2</v>
      </c>
      <c r="AJ200" s="38">
        <f t="shared" si="15"/>
        <v>4.4999999999999998E-2</v>
      </c>
      <c r="AK200" s="93">
        <f t="shared" si="37"/>
        <v>9.864999999999986</v>
      </c>
      <c r="AL200" s="93">
        <f>IF(AG200="Y",LININTERP(AK200,XS_Analyzer_Calculations!$AY$4:$AY$104,XS_Analyzer_Calculations!$AZ$4:$AZ$104),AL199)</f>
        <v>2.9189999999999916</v>
      </c>
      <c r="AM200" s="38">
        <f t="shared" si="16"/>
        <v>2.0810000000000084</v>
      </c>
      <c r="AN200" s="18">
        <f t="shared" si="17"/>
        <v>9.303750000000037E-2</v>
      </c>
      <c r="AO200" s="100">
        <f t="shared" si="18"/>
        <v>5.2478567053607719E-2</v>
      </c>
      <c r="AP200" s="100">
        <f t="shared" si="19"/>
        <v>1.7728666239106916</v>
      </c>
      <c r="AQ200" s="18">
        <f t="shared" si="20"/>
        <v>1.6595180023127203E-3</v>
      </c>
      <c r="AR200" s="32">
        <f>IFERROR(IF(AG200="Y",VLOOKUP(AK200,XS_Analyzer_Calculations!$R$5:$T$104,3,TRUE),0),0)</f>
        <v>0.1</v>
      </c>
      <c r="AS200" s="198">
        <f t="shared" si="21"/>
        <v>0.01</v>
      </c>
      <c r="AT200" s="18">
        <f t="shared" si="22"/>
        <v>2.0251671965642402</v>
      </c>
      <c r="AU200" s="38">
        <f>AT200*XS_Analyzer_Calculations!$I$7^0.5</f>
        <v>0.20251671965642404</v>
      </c>
      <c r="AV200" s="18">
        <f t="shared" si="59"/>
        <v>2.1767214258382181</v>
      </c>
      <c r="AW200" s="18">
        <f t="shared" si="23"/>
        <v>1.1062687733202716</v>
      </c>
      <c r="AX200" s="18">
        <f t="shared" si="24"/>
        <v>5</v>
      </c>
      <c r="AY200" s="32">
        <f t="shared" si="25"/>
        <v>2.0675000000000083</v>
      </c>
      <c r="AZ200" s="18">
        <f>((AS200*AP200)/(1.65*XS_Analyzer!$Q$72))*12</f>
        <v>5.0944413423990484</v>
      </c>
      <c r="BA200" s="18">
        <f>(AW200/((1.65*62.4)*XS_Analyzer!$Q$73))*12</f>
        <v>2.8652389881384916</v>
      </c>
      <c r="BB200" s="18">
        <f t="shared" si="26"/>
        <v>4.0298939873435309</v>
      </c>
      <c r="BC200" s="38">
        <f t="shared" si="27"/>
        <v>7.2529490521875628</v>
      </c>
      <c r="BD200" s="18">
        <f>IF(ISNUMBER(LININTERP(AW200,Permissible_Shear!$T$178:$T$188,Permissible_Shear!$V$178:$V$188)),LININTERP(AW200,Permissible_Shear!$T$178:$T$188,Permissible_Shear!$V$178:$V$188),0)</f>
        <v>3.7035166902023917</v>
      </c>
      <c r="BE200" s="18">
        <f>LININTERP(AW200,Permissible_Shear!$S$205:$S$222,Permissible_Shear!$V$205:$V$222)</f>
        <v>3.7695899166258484</v>
      </c>
      <c r="BF200" s="18">
        <f>INDEX($AZ$3:$BE$204,ROW(BF200)-2,MATCH(XS_Analyzer!$S$5,XS_AnalyzerSummary!$AZ$2:$BE$2,0))</f>
        <v>4.0298939873435309</v>
      </c>
      <c r="BG200" s="26">
        <f t="shared" si="28"/>
        <v>0</v>
      </c>
      <c r="BH200" s="26">
        <f t="shared" si="29"/>
        <v>0</v>
      </c>
      <c r="BI200" s="26">
        <f t="shared" si="30"/>
        <v>2.1767214258382181</v>
      </c>
      <c r="BJ200" s="26">
        <f t="shared" si="31"/>
        <v>0</v>
      </c>
      <c r="BK200" s="26">
        <f t="shared" si="32"/>
        <v>0</v>
      </c>
      <c r="BL200" s="26">
        <f t="shared" si="33"/>
        <v>1.1062687733202716</v>
      </c>
      <c r="BM200" s="18">
        <f t="shared" si="34"/>
        <v>0</v>
      </c>
      <c r="BN200" s="18">
        <f t="shared" si="35"/>
        <v>0</v>
      </c>
      <c r="BO200" s="18">
        <f t="shared" si="36"/>
        <v>1.7728666239106916</v>
      </c>
    </row>
    <row r="201" spans="30:67">
      <c r="AD201" s="32">
        <v>197</v>
      </c>
      <c r="AE201" s="25" t="str">
        <f t="shared" si="13"/>
        <v>Right</v>
      </c>
      <c r="AF201" s="25" t="str">
        <f t="shared" si="14"/>
        <v>Channel</v>
      </c>
      <c r="AG201" s="32" t="str">
        <f>IF(XS_AnalyzerSummary!$AB$24&gt;=XS_AnalyzerSummary!AD201,"Y","N")</f>
        <v>Y</v>
      </c>
      <c r="AH201" s="38">
        <v>1</v>
      </c>
      <c r="AI201" s="38">
        <f>IF(AG201="Y",$O$19/XS_AnalyzerSummary!$AB$24,0)</f>
        <v>4.4999999999999998E-2</v>
      </c>
      <c r="AJ201" s="38">
        <f t="shared" si="15"/>
        <v>4.4999999999999998E-2</v>
      </c>
      <c r="AK201" s="93">
        <f t="shared" si="37"/>
        <v>9.9099999999999859</v>
      </c>
      <c r="AL201" s="93">
        <f>IF(AG201="Y",LININTERP(AK201,XS_Analyzer_Calculations!$AY$4:$AY$104,XS_Analyzer_Calculations!$AZ$4:$AZ$104),AL200)</f>
        <v>2.9459999999999917</v>
      </c>
      <c r="AM201" s="38">
        <f t="shared" si="16"/>
        <v>2.0540000000000083</v>
      </c>
      <c r="AN201" s="18">
        <f t="shared" si="17"/>
        <v>9.182250000000039E-2</v>
      </c>
      <c r="AO201" s="100">
        <f t="shared" si="18"/>
        <v>5.2478567053607483E-2</v>
      </c>
      <c r="AP201" s="100">
        <f t="shared" si="19"/>
        <v>1.7497143149164611</v>
      </c>
      <c r="AQ201" s="18">
        <f t="shared" si="20"/>
        <v>1.659518002312713E-3</v>
      </c>
      <c r="AR201" s="32">
        <f>IFERROR(IF(AG201="Y",VLOOKUP(AK201,XS_Analyzer_Calculations!$R$5:$T$104,3,TRUE),0),0)</f>
        <v>0.1</v>
      </c>
      <c r="AS201" s="198">
        <f t="shared" si="21"/>
        <v>0.01</v>
      </c>
      <c r="AT201" s="18">
        <f t="shared" si="22"/>
        <v>1.981280745192648</v>
      </c>
      <c r="AU201" s="38">
        <f>AT201*XS_Analyzer_Calculations!$I$7^0.5</f>
        <v>0.19812807451926481</v>
      </c>
      <c r="AV201" s="18">
        <f t="shared" si="59"/>
        <v>2.1577290372105309</v>
      </c>
      <c r="AW201" s="18">
        <f t="shared" si="23"/>
        <v>1.0918217325078718</v>
      </c>
      <c r="AX201" s="18">
        <f t="shared" si="24"/>
        <v>5</v>
      </c>
      <c r="AY201" s="32">
        <f t="shared" si="25"/>
        <v>2.0405000000000086</v>
      </c>
      <c r="AZ201" s="18">
        <f>((AS201*AP201)/(1.65*XS_Analyzer!$Q$72))*12</f>
        <v>5.0279117577583108</v>
      </c>
      <c r="BA201" s="18">
        <f>(AW201/((1.65*62.4)*XS_Analyzer!$Q$73))*12</f>
        <v>2.8278211150165031</v>
      </c>
      <c r="BB201" s="18">
        <f t="shared" si="26"/>
        <v>3.9754268958782761</v>
      </c>
      <c r="BC201" s="38">
        <f t="shared" si="27"/>
        <v>7.1836164268150959</v>
      </c>
      <c r="BD201" s="18">
        <f>IF(ISNUMBER(LININTERP(AW201,Permissible_Shear!$T$178:$T$188,Permissible_Shear!$V$178:$V$188)),LININTERP(AW201,Permissible_Shear!$T$178:$T$188,Permissible_Shear!$V$178:$V$188),0)</f>
        <v>3.6572429707979355</v>
      </c>
      <c r="BE201" s="18">
        <f>LININTERP(AW201,Permissible_Shear!$S$205:$S$222,Permissible_Shear!$V$205:$V$222)</f>
        <v>3.7229825091777906</v>
      </c>
      <c r="BF201" s="18">
        <f>INDEX($AZ$3:$BE$204,ROW(BF201)-2,MATCH(XS_Analyzer!$S$5,XS_AnalyzerSummary!$AZ$2:$BE$2,0))</f>
        <v>3.9754268958782761</v>
      </c>
      <c r="BG201" s="26">
        <f t="shared" si="28"/>
        <v>0</v>
      </c>
      <c r="BH201" s="26">
        <f t="shared" si="29"/>
        <v>0</v>
      </c>
      <c r="BI201" s="26">
        <f t="shared" si="30"/>
        <v>2.1577290372105309</v>
      </c>
      <c r="BJ201" s="26">
        <f t="shared" si="31"/>
        <v>0</v>
      </c>
      <c r="BK201" s="26">
        <f t="shared" si="32"/>
        <v>0</v>
      </c>
      <c r="BL201" s="26">
        <f t="shared" si="33"/>
        <v>1.0918217325078718</v>
      </c>
      <c r="BM201" s="18">
        <f t="shared" si="34"/>
        <v>0</v>
      </c>
      <c r="BN201" s="18">
        <f t="shared" si="35"/>
        <v>0</v>
      </c>
      <c r="BO201" s="18">
        <f t="shared" si="36"/>
        <v>1.7497143149164611</v>
      </c>
    </row>
    <row r="202" spans="30:67">
      <c r="AD202" s="32">
        <v>198</v>
      </c>
      <c r="AE202" s="25" t="str">
        <f t="shared" si="13"/>
        <v>Right</v>
      </c>
      <c r="AF202" s="25" t="str">
        <f t="shared" si="14"/>
        <v>Channel</v>
      </c>
      <c r="AG202" s="32" t="str">
        <f>IF(XS_AnalyzerSummary!$AB$24&gt;=XS_AnalyzerSummary!AD202,"Y","N")</f>
        <v>Y</v>
      </c>
      <c r="AH202" s="38">
        <v>1</v>
      </c>
      <c r="AI202" s="38">
        <f>IF(AG202="Y",$O$19/XS_AnalyzerSummary!$AB$24,0)</f>
        <v>4.4999999999999998E-2</v>
      </c>
      <c r="AJ202" s="38">
        <f t="shared" si="15"/>
        <v>4.4999999999999998E-2</v>
      </c>
      <c r="AK202" s="93">
        <f t="shared" si="37"/>
        <v>9.9549999999999859</v>
      </c>
      <c r="AL202" s="93">
        <f>IF(AG202="Y",LININTERP(AK202,XS_Analyzer_Calculations!$AY$4:$AY$104,XS_Analyzer_Calculations!$AZ$4:$AZ$104),AL201)</f>
        <v>2.9729999999999914</v>
      </c>
      <c r="AM202" s="38">
        <f t="shared" si="16"/>
        <v>2.0270000000000086</v>
      </c>
      <c r="AN202" s="18">
        <f t="shared" si="17"/>
        <v>9.0607500000000382E-2</v>
      </c>
      <c r="AO202" s="100">
        <f t="shared" si="18"/>
        <v>5.2478567053607719E-2</v>
      </c>
      <c r="AP202" s="100">
        <f t="shared" si="19"/>
        <v>0</v>
      </c>
      <c r="AQ202" s="18">
        <f t="shared" si="20"/>
        <v>1.6595180023127203E-3</v>
      </c>
      <c r="AR202" s="32">
        <f>IFERROR(IF(AG202="Y",VLOOKUP(AK202,XS_Analyzer_Calculations!$R$5:$T$104,3,TRUE),0),0)</f>
        <v>0.1</v>
      </c>
      <c r="AS202" s="198">
        <f t="shared" si="21"/>
        <v>0.01</v>
      </c>
      <c r="AT202" s="18">
        <f t="shared" si="22"/>
        <v>1.9377797372586649</v>
      </c>
      <c r="AU202" s="38">
        <f>AT202*XS_Analyzer_Calculations!$I$7^0.5</f>
        <v>0.1937779737258665</v>
      </c>
      <c r="AV202" s="18">
        <f t="shared" si="59"/>
        <v>2.1386526912878701</v>
      </c>
      <c r="AW202" s="18">
        <f t="shared" si="23"/>
        <v>0</v>
      </c>
      <c r="AX202" s="18">
        <f t="shared" si="24"/>
        <v>5</v>
      </c>
      <c r="AY202" s="32">
        <f t="shared" si="25"/>
        <v>2.0135000000000085</v>
      </c>
      <c r="AZ202" s="18">
        <f>((AS202*AP202)/(1.65*XS_Analyzer!$Q$72))*12</f>
        <v>0</v>
      </c>
      <c r="BA202" s="18">
        <f>(AW202/((1.65*62.4)*XS_Analyzer!$Q$73))*12</f>
        <v>0</v>
      </c>
      <c r="BB202" s="18">
        <f t="shared" si="26"/>
        <v>3.9209898678868438</v>
      </c>
      <c r="BC202" s="38">
        <f t="shared" si="27"/>
        <v>7.1140423131693931</v>
      </c>
      <c r="BD202" s="18">
        <f>IF(ISNUMBER(LININTERP(AW202,Permissible_Shear!$T$178:$T$188,Permissible_Shear!$V$178:$V$188)),LININTERP(AW202,Permissible_Shear!$T$178:$T$188,Permissible_Shear!$V$178:$V$188),0)</f>
        <v>0</v>
      </c>
      <c r="BE202" s="18">
        <f>LININTERP(AW202,Permissible_Shear!$S$205:$S$222,Permissible_Shear!$V$205:$V$222)</f>
        <v>1.5E-3</v>
      </c>
      <c r="BF202" s="18">
        <f>INDEX($AZ$3:$BE$204,ROW(BF202)-2,MATCH(XS_Analyzer!$S$5,XS_AnalyzerSummary!$AZ$2:$BE$2,0))</f>
        <v>3.9209898678868438</v>
      </c>
      <c r="BG202" s="26">
        <f t="shared" si="28"/>
        <v>0</v>
      </c>
      <c r="BH202" s="26">
        <f t="shared" si="29"/>
        <v>0</v>
      </c>
      <c r="BI202" s="26">
        <f t="shared" si="30"/>
        <v>2.1386526912878701</v>
      </c>
      <c r="BJ202" s="26">
        <f t="shared" si="31"/>
        <v>0</v>
      </c>
      <c r="BK202" s="26">
        <f t="shared" si="32"/>
        <v>0</v>
      </c>
      <c r="BL202" s="26">
        <f t="shared" si="33"/>
        <v>0</v>
      </c>
      <c r="BM202" s="18">
        <f t="shared" si="34"/>
        <v>0</v>
      </c>
      <c r="BN202" s="18">
        <f t="shared" si="35"/>
        <v>0</v>
      </c>
      <c r="BO202" s="18">
        <f t="shared" si="36"/>
        <v>0</v>
      </c>
    </row>
    <row r="203" spans="30:67">
      <c r="AD203" s="32">
        <v>199</v>
      </c>
      <c r="AE203" s="25" t="str">
        <f t="shared" si="13"/>
        <v>Right</v>
      </c>
      <c r="AF203" s="25" t="str">
        <f t="shared" si="14"/>
        <v>Channel</v>
      </c>
      <c r="AG203" s="32" t="str">
        <f>IF(XS_AnalyzerSummary!$AB$24&gt;=XS_AnalyzerSummary!AD203,"Y","N")</f>
        <v>Y</v>
      </c>
      <c r="AH203" s="38">
        <v>1</v>
      </c>
      <c r="AI203" s="38">
        <f>IF(AG203="Y",$O$19/XS_AnalyzerSummary!$AB$24,0)</f>
        <v>4.4999999999999998E-2</v>
      </c>
      <c r="AJ203" s="38">
        <f t="shared" si="15"/>
        <v>4.4999999999999998E-2</v>
      </c>
      <c r="AK203" s="93">
        <f t="shared" si="37"/>
        <v>9.9999999999999858</v>
      </c>
      <c r="AL203" s="93">
        <f>IF(AG203="Y",LININTERP(AK203,XS_Analyzer_Calculations!$AY$4:$AY$104,XS_Analyzer_Calculations!$AZ$4:$AZ$104),AL202)</f>
        <v>2.9999999999999916</v>
      </c>
      <c r="AM203" s="38">
        <f t="shared" si="16"/>
        <v>2.0000000000000084</v>
      </c>
      <c r="AN203" s="18">
        <f t="shared" si="17"/>
        <v>0</v>
      </c>
      <c r="AO203" s="100">
        <f t="shared" si="18"/>
        <v>0</v>
      </c>
      <c r="AP203" s="100">
        <f t="shared" si="19"/>
        <v>0</v>
      </c>
      <c r="AQ203" s="18">
        <f t="shared" si="20"/>
        <v>0</v>
      </c>
      <c r="AR203" s="32">
        <f>IFERROR(IF(AG203="Y",VLOOKUP(AK203,XS_Analyzer_Calculations!$R$5:$T$104,3,TRUE),0),0)</f>
        <v>0.1</v>
      </c>
      <c r="AS203" s="198">
        <f t="shared" si="21"/>
        <v>0.01</v>
      </c>
      <c r="AT203" s="18">
        <f t="shared" si="22"/>
        <v>0</v>
      </c>
      <c r="AU203" s="38">
        <f>AT203*XS_Analyzer_Calculations!$I$7^0.5</f>
        <v>0</v>
      </c>
      <c r="AV203" s="18">
        <f t="shared" si="59"/>
        <v>0</v>
      </c>
      <c r="AW203" s="18">
        <f t="shared" si="23"/>
        <v>0</v>
      </c>
      <c r="AX203" s="18">
        <f t="shared" si="24"/>
        <v>5</v>
      </c>
      <c r="AY203" s="32">
        <f t="shared" si="25"/>
        <v>0</v>
      </c>
      <c r="AZ203" s="18">
        <f>((AS203*AP203)/(1.65*XS_Analyzer!$Q$72))*12</f>
        <v>0</v>
      </c>
      <c r="BA203" s="18">
        <f>(AW203/((1.65*62.4)*XS_Analyzer!$Q$73))*12</f>
        <v>0</v>
      </c>
      <c r="BB203" s="18">
        <f t="shared" si="26"/>
        <v>3.866583286916347</v>
      </c>
      <c r="BC203" s="38">
        <f t="shared" si="27"/>
        <v>7.044222636361881</v>
      </c>
      <c r="BD203" s="18">
        <f>IF(ISNUMBER(LININTERP(AW203,Permissible_Shear!$T$178:$T$188,Permissible_Shear!$V$178:$V$188)),LININTERP(AW203,Permissible_Shear!$T$178:$T$188,Permissible_Shear!$V$178:$V$188),0)</f>
        <v>0</v>
      </c>
      <c r="BE203" s="18">
        <f>LININTERP(AW203,Permissible_Shear!$S$205:$S$222,Permissible_Shear!$V$205:$V$222)</f>
        <v>1.5E-3</v>
      </c>
      <c r="BF203" s="18">
        <f>INDEX($AZ$3:$BE$204,ROW(BF203)-2,MATCH(XS_Analyzer!$S$5,XS_AnalyzerSummary!$AZ$2:$BE$2,0))</f>
        <v>3.866583286916347</v>
      </c>
      <c r="BG203" s="26">
        <f t="shared" si="28"/>
        <v>0</v>
      </c>
      <c r="BH203" s="26">
        <f t="shared" si="29"/>
        <v>0</v>
      </c>
      <c r="BI203" s="26">
        <f t="shared" si="30"/>
        <v>0</v>
      </c>
      <c r="BJ203" s="26">
        <f t="shared" si="31"/>
        <v>0</v>
      </c>
      <c r="BK203" s="26">
        <f t="shared" si="32"/>
        <v>0</v>
      </c>
      <c r="BL203" s="26">
        <f t="shared" si="33"/>
        <v>0</v>
      </c>
      <c r="BM203" s="18">
        <f t="shared" si="34"/>
        <v>0</v>
      </c>
      <c r="BN203" s="18">
        <f t="shared" si="35"/>
        <v>0</v>
      </c>
      <c r="BO203" s="18">
        <f t="shared" si="36"/>
        <v>0</v>
      </c>
    </row>
    <row r="204" spans="30:67">
      <c r="AD204" s="32">
        <v>200</v>
      </c>
      <c r="AE204" s="25" t="str">
        <f t="shared" si="13"/>
        <v>Right</v>
      </c>
      <c r="AF204" s="25" t="str">
        <f t="shared" si="14"/>
        <v>Channel</v>
      </c>
      <c r="AG204" s="32" t="str">
        <f>IF(XS_AnalyzerSummary!$AB$24&gt;=XS_AnalyzerSummary!AD204,"Y","N")</f>
        <v>Y</v>
      </c>
      <c r="AH204" s="38">
        <v>1</v>
      </c>
      <c r="AI204" s="38">
        <f>IF(AG204="Y",$O$19/XS_AnalyzerSummary!$AB$24,0)</f>
        <v>4.4999999999999998E-2</v>
      </c>
      <c r="AJ204" s="38">
        <f t="shared" si="15"/>
        <v>4.4999999999999998E-2</v>
      </c>
      <c r="AK204" s="93">
        <f t="shared" si="37"/>
        <v>10</v>
      </c>
      <c r="AL204" s="93" t="e">
        <f>IF(AG204="Y",LININTERP(AK204,XS_Analyzer_Calculations!$AY$4:$AY$104,XS_Analyzer_Calculations!$AZ$4:$AZ$104),AL203)</f>
        <v>#VALUE!</v>
      </c>
      <c r="AM204" s="38" t="e">
        <f t="shared" si="16"/>
        <v>#VALUE!</v>
      </c>
      <c r="AN204" s="18">
        <f t="shared" si="17"/>
        <v>0</v>
      </c>
      <c r="AO204" s="100">
        <f t="shared" si="18"/>
        <v>0</v>
      </c>
      <c r="AP204" s="100">
        <f t="shared" si="19"/>
        <v>0</v>
      </c>
      <c r="AQ204" s="18">
        <f t="shared" si="20"/>
        <v>0</v>
      </c>
      <c r="AR204" s="32" t="str">
        <f>IFERROR(IF(AG204="Y",VLOOKUP(AK204,XS_Analyzer_Calculations!$R$5:$T$104,3,TRUE),0),0)</f>
        <v/>
      </c>
      <c r="AS204" s="198">
        <f t="shared" si="21"/>
        <v>0.01</v>
      </c>
      <c r="AT204" s="18">
        <f t="shared" si="22"/>
        <v>0</v>
      </c>
      <c r="AU204" s="38">
        <f>AT204*XS_Analyzer_Calculations!$I$7^0.5</f>
        <v>0</v>
      </c>
      <c r="AV204" s="18">
        <f t="shared" si="59"/>
        <v>0</v>
      </c>
      <c r="AW204" s="18">
        <f t="shared" si="23"/>
        <v>0</v>
      </c>
      <c r="AX204" s="18">
        <f t="shared" si="24"/>
        <v>5</v>
      </c>
      <c r="AY204" s="32">
        <f t="shared" si="25"/>
        <v>0</v>
      </c>
      <c r="AZ204" s="18">
        <f>((AS204*AP204)/(1.65*XS_Analyzer!$Q$72))*12</f>
        <v>0</v>
      </c>
      <c r="BA204" s="18">
        <f>(AW204/((1.65*62.4)*XS_Analyzer!$Q$73))*12</f>
        <v>0</v>
      </c>
      <c r="BB204" s="18" t="e">
        <f t="shared" si="26"/>
        <v>#VALUE!</v>
      </c>
      <c r="BC204" s="38" t="e">
        <f t="shared" si="27"/>
        <v>#VALUE!</v>
      </c>
      <c r="BD204" s="18">
        <f>IF(ISNUMBER(LININTERP(AW204,Permissible_Shear!$T$178:$T$188,Permissible_Shear!$V$178:$V$188)),LININTERP(AW204,Permissible_Shear!$T$178:$T$188,Permissible_Shear!$V$178:$V$188),0)</f>
        <v>0</v>
      </c>
      <c r="BE204" s="18">
        <f>LININTERP(AW204,Permissible_Shear!$S$205:$S$222,Permissible_Shear!$V$205:$V$222)</f>
        <v>1.5E-3</v>
      </c>
      <c r="BF204" s="18" t="e">
        <f>INDEX($AZ$3:$BE$204,ROW(BF204)-2,MATCH(XS_Analyzer!$S$5,XS_AnalyzerSummary!$AZ$2:$BE$2,0))</f>
        <v>#VALUE!</v>
      </c>
      <c r="BG204" s="26">
        <f t="shared" si="28"/>
        <v>0</v>
      </c>
      <c r="BH204" s="26">
        <f t="shared" si="29"/>
        <v>0</v>
      </c>
      <c r="BI204" s="26">
        <f t="shared" si="30"/>
        <v>0</v>
      </c>
      <c r="BJ204" s="26">
        <f t="shared" si="31"/>
        <v>0</v>
      </c>
      <c r="BK204" s="26">
        <f t="shared" si="32"/>
        <v>0</v>
      </c>
      <c r="BL204" s="26">
        <f t="shared" si="33"/>
        <v>0</v>
      </c>
      <c r="BM204" s="18">
        <f t="shared" si="34"/>
        <v>0</v>
      </c>
      <c r="BN204" s="18">
        <f t="shared" si="35"/>
        <v>0</v>
      </c>
      <c r="BO204" s="18">
        <f t="shared" si="36"/>
        <v>0</v>
      </c>
    </row>
  </sheetData>
  <mergeCells count="13">
    <mergeCell ref="Z1:AB1"/>
    <mergeCell ref="AD1:AY1"/>
    <mergeCell ref="AZ1:BE1"/>
    <mergeCell ref="A47:B47"/>
    <mergeCell ref="C47:D47"/>
    <mergeCell ref="F47:G47"/>
    <mergeCell ref="I47:J47"/>
    <mergeCell ref="L47:M47"/>
    <mergeCell ref="A1:C1"/>
    <mergeCell ref="E1:H1"/>
    <mergeCell ref="I1:L1"/>
    <mergeCell ref="M1:S1"/>
    <mergeCell ref="U1:X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A106"/>
  <sheetViews>
    <sheetView topLeftCell="AO1" workbookViewId="0">
      <selection activeCell="BH4" sqref="BH4:BH104"/>
    </sheetView>
  </sheetViews>
  <sheetFormatPr defaultRowHeight="12.75"/>
  <cols>
    <col min="1" max="10" width="9.140625" style="11"/>
    <col min="11" max="12" width="13" style="11" customWidth="1"/>
    <col min="13" max="22" width="9.140625" style="11"/>
    <col min="23" max="23" width="13.5703125" style="11" customWidth="1"/>
    <col min="24" max="24" width="9.140625" style="11"/>
    <col min="25" max="25" width="10" style="11" customWidth="1"/>
    <col min="26" max="27" width="9.140625" style="11"/>
    <col min="28" max="28" width="15.85546875" style="11" customWidth="1"/>
    <col min="29" max="29" width="9.140625" style="11"/>
    <col min="30" max="30" width="14.140625" style="11" customWidth="1"/>
    <col min="31" max="33" width="9.140625" style="11"/>
    <col min="34" max="34" width="13.42578125" style="11" customWidth="1"/>
    <col min="35" max="35" width="14.7109375" style="11" customWidth="1"/>
    <col min="36" max="59" width="9.140625" style="11"/>
    <col min="60" max="60" width="13.28515625" style="11" bestFit="1" customWidth="1"/>
    <col min="61" max="66" width="9.140625" style="11"/>
    <col min="67" max="67" width="12.85546875" style="11" customWidth="1"/>
    <col min="68" max="75" width="9.140625" style="11"/>
    <col min="76" max="76" width="9.28515625" style="11" bestFit="1" customWidth="1"/>
    <col min="77" max="77" width="18.140625" style="11" bestFit="1" customWidth="1"/>
    <col min="78" max="78" width="9.5703125" style="11" bestFit="1" customWidth="1"/>
    <col min="79" max="16384" width="9.140625" style="11"/>
  </cols>
  <sheetData>
    <row r="1" spans="1:79">
      <c r="A1" s="207" t="s">
        <v>12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426" t="s">
        <v>437</v>
      </c>
      <c r="AH1" s="427"/>
      <c r="AI1" s="208"/>
      <c r="AJ1" s="208"/>
      <c r="AK1" s="208"/>
      <c r="AL1" s="209"/>
      <c r="AM1" s="10"/>
      <c r="AN1" s="10"/>
      <c r="AO1" s="10"/>
      <c r="AP1" s="10"/>
      <c r="AQ1" s="421" t="s">
        <v>117</v>
      </c>
      <c r="AR1" s="422"/>
      <c r="AS1" s="422"/>
      <c r="AT1" s="422"/>
      <c r="AU1" s="422"/>
      <c r="AV1" s="422"/>
      <c r="AW1" s="422"/>
      <c r="AX1" s="422"/>
      <c r="AY1" s="422"/>
      <c r="AZ1" s="422"/>
      <c r="BA1" s="422"/>
      <c r="BB1" s="423"/>
      <c r="BC1" s="9"/>
      <c r="BD1" s="421" t="s">
        <v>403</v>
      </c>
      <c r="BE1" s="422"/>
      <c r="BF1" s="422"/>
      <c r="BG1" s="422"/>
      <c r="BH1" s="422"/>
      <c r="BI1" s="422"/>
      <c r="BJ1" s="423"/>
      <c r="BK1" s="10"/>
      <c r="BL1" s="421" t="s">
        <v>239</v>
      </c>
      <c r="BM1" s="422"/>
      <c r="BN1" s="422"/>
      <c r="BO1" s="422"/>
      <c r="BP1" s="422"/>
      <c r="BQ1" s="422"/>
      <c r="BR1" s="422"/>
      <c r="BS1" s="422"/>
      <c r="BT1" s="422"/>
      <c r="BU1" s="422"/>
      <c r="BV1" s="423"/>
    </row>
    <row r="2" spans="1:79" ht="26.25">
      <c r="A2" s="10"/>
      <c r="B2" s="5" t="s">
        <v>340</v>
      </c>
      <c r="C2" s="5" t="s">
        <v>340</v>
      </c>
      <c r="D2" s="10"/>
      <c r="E2" s="10"/>
      <c r="F2" s="9"/>
      <c r="G2" s="9"/>
      <c r="H2" s="9"/>
      <c r="I2" s="68" t="s">
        <v>37</v>
      </c>
      <c r="J2" s="68"/>
      <c r="K2" s="68"/>
      <c r="L2" s="68"/>
      <c r="M2" s="68"/>
      <c r="N2" s="422" t="s">
        <v>186</v>
      </c>
      <c r="O2" s="422"/>
      <c r="P2" s="5"/>
      <c r="W2" s="11" t="s">
        <v>438</v>
      </c>
      <c r="X2" s="10" t="s">
        <v>194</v>
      </c>
      <c r="AE2" s="10" t="s">
        <v>438</v>
      </c>
      <c r="AG2" s="210"/>
      <c r="AH2" s="211" t="s">
        <v>139</v>
      </c>
      <c r="AI2" s="10" t="s">
        <v>194</v>
      </c>
      <c r="AK2" s="428" t="s">
        <v>337</v>
      </c>
      <c r="AL2" s="428"/>
      <c r="AQ2" s="11" t="s">
        <v>38</v>
      </c>
      <c r="AR2" s="11" t="s">
        <v>76</v>
      </c>
      <c r="AS2" s="11" t="s">
        <v>36</v>
      </c>
      <c r="AY2" s="10" t="s">
        <v>266</v>
      </c>
      <c r="AZ2" s="10" t="s">
        <v>0</v>
      </c>
      <c r="BA2" s="10" t="s">
        <v>35</v>
      </c>
      <c r="BB2" s="10" t="s">
        <v>224</v>
      </c>
      <c r="BC2" s="10"/>
      <c r="BD2" s="10"/>
      <c r="BE2" s="10"/>
      <c r="BF2" s="119" t="s">
        <v>366</v>
      </c>
      <c r="BG2" s="119"/>
      <c r="BH2" s="10"/>
      <c r="BI2" s="10"/>
      <c r="BJ2" s="10" t="s">
        <v>472</v>
      </c>
      <c r="BK2" s="10"/>
      <c r="BL2" s="10"/>
      <c r="BM2" s="10"/>
      <c r="BN2" s="10" t="s">
        <v>232</v>
      </c>
      <c r="BO2" s="10"/>
      <c r="BP2" s="10" t="s">
        <v>278</v>
      </c>
      <c r="BQ2" s="7" t="s">
        <v>40</v>
      </c>
      <c r="BR2" s="7" t="s">
        <v>158</v>
      </c>
      <c r="BS2" s="5" t="s">
        <v>80</v>
      </c>
      <c r="BT2" s="7" t="s">
        <v>142</v>
      </c>
      <c r="BU2" s="7" t="s">
        <v>513</v>
      </c>
      <c r="BV2" s="7" t="s">
        <v>81</v>
      </c>
      <c r="BY2" s="5" t="s">
        <v>175</v>
      </c>
    </row>
    <row r="3" spans="1:79">
      <c r="A3" s="10"/>
      <c r="B3" s="5">
        <f t="array" ref="B3">MAX(IF(NOT(ISERROR($B$5:$B$104)),$B$5:$B$104,""))</f>
        <v>10</v>
      </c>
      <c r="C3" s="5">
        <f t="array" ref="C3">MAX(IF(NOT(ISERROR($C$5:$C$104)),$C$5:$C$104,""))</f>
        <v>3</v>
      </c>
      <c r="D3" s="10"/>
      <c r="E3" s="10"/>
      <c r="I3" s="25" t="s">
        <v>508</v>
      </c>
      <c r="J3" s="25" t="s">
        <v>74</v>
      </c>
      <c r="K3" s="25" t="s">
        <v>267</v>
      </c>
      <c r="M3" s="10"/>
      <c r="N3" s="69"/>
      <c r="O3" s="25" t="s">
        <v>185</v>
      </c>
      <c r="P3" s="5"/>
      <c r="W3" s="5" t="s">
        <v>433</v>
      </c>
      <c r="X3" s="5" t="s">
        <v>433</v>
      </c>
      <c r="Y3" s="5" t="s">
        <v>39</v>
      </c>
      <c r="Z3" s="5" t="s">
        <v>86</v>
      </c>
      <c r="AA3" s="5"/>
      <c r="AB3" s="5" t="s">
        <v>276</v>
      </c>
      <c r="AC3" s="5" t="s">
        <v>144</v>
      </c>
      <c r="AD3" s="5"/>
      <c r="AE3" s="5" t="s">
        <v>106</v>
      </c>
      <c r="AF3" s="5" t="s">
        <v>270</v>
      </c>
      <c r="AG3" s="212" t="s">
        <v>78</v>
      </c>
      <c r="AH3" s="213" t="s">
        <v>540</v>
      </c>
      <c r="AI3" s="5" t="s">
        <v>106</v>
      </c>
      <c r="AJ3" s="5" t="s">
        <v>270</v>
      </c>
      <c r="AK3" s="5" t="s">
        <v>277</v>
      </c>
      <c r="AL3" s="5" t="s">
        <v>195</v>
      </c>
      <c r="AM3" s="5"/>
      <c r="AN3" s="5"/>
      <c r="AO3" s="5"/>
      <c r="AP3" s="5"/>
      <c r="AQ3" s="46">
        <f>IFERROR(VLOOKUP("left edge of water",$BE$4:$BF$104,2,FALSE),MIN($AY$4:$AY$104))</f>
        <v>1</v>
      </c>
      <c r="AR3" s="46">
        <f>IFERROR(VLOOKUP("right edge of water",$BE$4:$BF$104,2,FALSE),MAX($AY$4:$AY$104))</f>
        <v>10</v>
      </c>
      <c r="AS3" s="46" t="s">
        <v>473</v>
      </c>
      <c r="AT3" s="46" t="s">
        <v>77</v>
      </c>
      <c r="AU3" s="118">
        <f>AU4</f>
        <v>1</v>
      </c>
      <c r="AV3" s="118">
        <f t="shared" ref="AV3:AV104" si="0">IF(IF(ISBLANK(AV2),$O$17,IF(AND(AS4=AS3,AS3=AS2),$O$17,LININTERP(AU3,$B$5:$B$104,$C$5:$C$104)))&gt;$O$17,$K$4,IF(ISBLANK(AV2),$O$17,IF(AND(AS4=AS3,AS3=AS2),$O$17,LININTERP(AU3,$B$5:$B$104,$C$5:$C$104))))</f>
        <v>5</v>
      </c>
      <c r="AW3" s="46"/>
      <c r="AX3" s="5"/>
      <c r="AZ3" s="10" t="s">
        <v>431</v>
      </c>
      <c r="BA3" s="10"/>
      <c r="BB3" s="10" t="s">
        <v>36</v>
      </c>
      <c r="BC3" s="10"/>
      <c r="BD3" s="10" t="s">
        <v>472</v>
      </c>
      <c r="BE3" s="10" t="s">
        <v>269</v>
      </c>
      <c r="BF3" s="10" t="s">
        <v>75</v>
      </c>
      <c r="BG3" s="10" t="s">
        <v>268</v>
      </c>
      <c r="BH3" s="10" t="s">
        <v>190</v>
      </c>
      <c r="BI3" s="10" t="s">
        <v>432</v>
      </c>
      <c r="BJ3" s="10">
        <v>0</v>
      </c>
      <c r="BK3" s="10"/>
      <c r="BL3" s="5" t="s">
        <v>158</v>
      </c>
      <c r="BP3" s="31"/>
      <c r="BQ3" s="31"/>
      <c r="BR3" s="31"/>
      <c r="BS3" s="31"/>
      <c r="BT3" s="31"/>
      <c r="BU3" s="31"/>
      <c r="BV3" s="31"/>
      <c r="BX3" s="10" t="s">
        <v>255</v>
      </c>
      <c r="BY3" s="5" t="s">
        <v>526</v>
      </c>
      <c r="BZ3" s="10" t="s">
        <v>454</v>
      </c>
      <c r="CA3" s="10" t="s">
        <v>371</v>
      </c>
    </row>
    <row r="4" spans="1:79">
      <c r="A4" s="50" t="s">
        <v>367</v>
      </c>
      <c r="B4" s="50" t="s">
        <v>1</v>
      </c>
      <c r="C4" s="50" t="s">
        <v>105</v>
      </c>
      <c r="D4" s="50" t="s">
        <v>2</v>
      </c>
      <c r="E4" s="50" t="s">
        <v>226</v>
      </c>
      <c r="F4" s="50" t="s">
        <v>336</v>
      </c>
      <c r="G4" s="50" t="s">
        <v>226</v>
      </c>
      <c r="I4" s="26">
        <f>XS_Analyzer!M5</f>
        <v>0</v>
      </c>
      <c r="J4" s="26">
        <f>XS_Analyzer!N5</f>
        <v>90</v>
      </c>
      <c r="K4" s="100">
        <f>XS_Analyzer!O5</f>
        <v>5</v>
      </c>
      <c r="M4" s="10"/>
      <c r="N4" s="26"/>
      <c r="O4" s="32">
        <f t="array" ref="O4">IF(I4&lt;MIN(IF(NOT(ISNA(B5:B104)),B5:B104)),MIN(IF(NOT(ISNA(B5:B104)),B5:B104)),I4)</f>
        <v>1</v>
      </c>
      <c r="P4" s="9"/>
      <c r="Q4" s="5" t="s">
        <v>3</v>
      </c>
      <c r="R4" s="5" t="s">
        <v>164</v>
      </c>
      <c r="S4" s="5" t="s">
        <v>275</v>
      </c>
      <c r="T4" s="5" t="s">
        <v>78</v>
      </c>
      <c r="U4" s="5" t="s">
        <v>479</v>
      </c>
      <c r="V4" s="5" t="s">
        <v>311</v>
      </c>
      <c r="W4" s="9">
        <f>W5</f>
        <v>3.4</v>
      </c>
      <c r="X4" s="9">
        <f t="shared" ref="X4:X104" si="1">W4+$O$22</f>
        <v>3.8</v>
      </c>
      <c r="Y4" s="9" t="s">
        <v>538</v>
      </c>
      <c r="Z4" s="5" t="s">
        <v>187</v>
      </c>
      <c r="AA4" s="5" t="s">
        <v>436</v>
      </c>
      <c r="AB4" s="9" t="s">
        <v>539</v>
      </c>
      <c r="AC4" s="5" t="s">
        <v>187</v>
      </c>
      <c r="AD4" s="5" t="s">
        <v>145</v>
      </c>
      <c r="AE4" s="11">
        <f>R5</f>
        <v>1</v>
      </c>
      <c r="AF4" s="11">
        <f t="shared" ref="AF4:AF104" si="2">IF(AND(AE5=AE4,AF3&lt;&gt;"midpoint"),AF3,IF(AND(ISNUMBER(AE4),ISNUMBER(AE5)),AVERAGE(AE4:AE5),""))</f>
        <v>5.5</v>
      </c>
      <c r="AG4" s="11">
        <f t="shared" ref="AG4:AG104" si="3">IF(ISNUMBER(AF4),VLOOKUP(AE5,$S$4:$T$104,2,FALSE),"")</f>
        <v>0.1</v>
      </c>
      <c r="AH4" s="11">
        <f>IF(ISNUMBER(AG4),AG4,IF(ISNUMBER(AF4),AH3,""))</f>
        <v>0.1</v>
      </c>
      <c r="AI4" s="11">
        <f>R5</f>
        <v>1</v>
      </c>
      <c r="AJ4" s="11">
        <f t="shared" ref="AJ4:AJ104" si="4">IF(AND(AJ3="midpoint",AI4=AI5),AI4-1,IF(AI5=AI4,AJ3,IF(AND(ISNUMBER(AI4),ISNUMBER(AI5)),AVERAGE(AI4:AI5),"")))</f>
        <v>3</v>
      </c>
      <c r="AK4" s="11" t="str">
        <f t="shared" ref="AK4:AK105" si="5">IF(ISNUMBER(AJ4),VLOOKUP(AI5,$S$4:$U$104,3,FALSE),"")</f>
        <v>L-BK</v>
      </c>
      <c r="AL4" s="11" t="str">
        <f t="shared" ref="AL4:AL105" si="6">IF(ISTEXT(AK4),AK4,IF(ISNUMBER(AJ4),AL3,""))</f>
        <v>L-BK</v>
      </c>
      <c r="AM4" s="9"/>
      <c r="AN4" s="9"/>
      <c r="AO4" s="9"/>
      <c r="AP4" s="9"/>
      <c r="AQ4" s="9"/>
      <c r="AR4" s="9"/>
      <c r="AS4" s="74">
        <f t="shared" ref="AS4:AS104" si="7">IF(AS3=$AR$3,$AR$3,IF(BA4&lt;=$AQ$3,$AQ$3,IF(BA4&gt;=$AR$3,$AR$3,BA4)))</f>
        <v>1</v>
      </c>
      <c r="AT4" s="74">
        <f t="shared" ref="AT4:AT104" si="8">IF(OR(AND(AS4=$O$4,AT3&lt;&gt;$O$17),(AND(AS4=$O$11,AT3&lt;&gt;$O$17)),AND(AS4=$O$4,AT3=$O$17),AND(AS4=$O$11,AT3=$O$17)),$O$17,LININTERP(AS4,$B$5:$B$104,$C$5:$C$104))</f>
        <v>5</v>
      </c>
      <c r="AU4" s="74">
        <f t="shared" ref="AU4:AU104" si="9">AS4</f>
        <v>1</v>
      </c>
      <c r="AV4" s="74">
        <f t="shared" si="0"/>
        <v>3</v>
      </c>
      <c r="AW4" s="102"/>
      <c r="AX4" s="9"/>
      <c r="AY4" s="9">
        <f t="shared" ref="AY4:AY103" si="10">IF(ISERROR(B5),$O$11,B5)</f>
        <v>1</v>
      </c>
      <c r="AZ4" s="11">
        <f t="shared" ref="AZ4:AZ104" si="11">IF(AY4&lt;&gt;"",IFERROR(VLOOKUP(AY4,$B$5:$C$104,2,FALSE),LININTERP(AY4,$B$5:$B$104,$C$5:$C$104)),"")</f>
        <v>3</v>
      </c>
      <c r="BA4" s="75">
        <f t="shared" ref="BA4:BA104" si="12">IF(AY4&lt;=$I$4,$I$4,IF(AY4&gt;=$J$4,$J$4,AY4))</f>
        <v>1</v>
      </c>
      <c r="BB4" s="11">
        <f t="shared" ref="BB4:BB104" si="13">IF(IF(AY4=0,$K$4,IF(BA4&lt;$I$4,$K$4,IF(BA4&lt;&gt;"",IFERROR(VLOOKUP(BA4,$B$5:$C$104,2,FALSE),LININTERP(BA4,$B$5:$B$104,$C$5:$C$104)),"")))&gt;$K$4,$K$4,IF(AY4=0,$K$4,IF(BA4&lt;$I$4,$K$4,IF(BA4&lt;&gt;"",IFERROR(VLOOKUP(BA4,$B$5:$C$104,2,FALSE),LININTERP(BA4,$B$5:$B$104,$C$5:$C$104)),""))))</f>
        <v>3</v>
      </c>
      <c r="BD4" s="11">
        <f t="shared" ref="BD4:BD104" si="14">IF(AND(AY4&gt;$I$4,AY4&lt;$J$4),$O$17-AZ4,0)</f>
        <v>2</v>
      </c>
      <c r="BE4" s="9">
        <f t="shared" ref="BE4:BE104" si="15">IF(AND(BD4&lt;=0,BD5&gt;0),IF(ISNONTEXT(BD5),"left edge of water",0),IF(AND(BD3&gt;0,BD4&lt;=0),IF(ISNONTEXT(BD3),"right edge of water",0),0))</f>
        <v>0</v>
      </c>
      <c r="BF4" s="71">
        <f t="shared" ref="BF4:BF104" si="16">IF(AND(BG4="MAX WSE",BE4="left edge of water"),$O$4,IF(AND(BG4="MAX WSE",BE4="right edge of water"),$O$11,IF(BE4="left edge of water",(($O$17-AZ4)/((AZ5-AZ4)/(AY5-AY4)))+AY4,IF(BE4="right edge of water",(($O$17-AZ3)/((AZ4-AZ3)/(AY4-AY3)))+AY3,0))))</f>
        <v>0</v>
      </c>
      <c r="BG4" s="11" t="str">
        <f t="shared" ref="BG4:BG104" si="17">IF(AND($O$17&gt;LININTERP(BA4,$B$5:$B$104,$C$5:$C$104),OR(BD4&gt;0,BE4&lt;&gt;0)),"MAX WSE","At Ground")</f>
        <v>MAX WSE</v>
      </c>
      <c r="BH4" s="132">
        <f>AV4</f>
        <v>3</v>
      </c>
      <c r="BJ4" s="71">
        <f t="shared" ref="BJ4:BJ104" si="18">IF(BE4&lt;&gt;0,$O$17-AZ4,BD4)</f>
        <v>2</v>
      </c>
      <c r="BL4" s="9">
        <f t="shared" ref="BL4:BL5" si="19">IF(AND(ISNUMBER(B4),ISNUMBER(D4)),D4,IF(ISNUMBER(B4),BL2,0))</f>
        <v>0</v>
      </c>
      <c r="BM4" s="9"/>
      <c r="BN4" s="102">
        <f t="shared" ref="BN4:BN104" si="20">IF(BG4="At Ground",IF(OR(BE4="left edge of water",BE4="right edge of water"),BF4,NA()),IF(BG4="MAX WSE",BA4,NA()))</f>
        <v>1</v>
      </c>
      <c r="BO4" s="9" t="str">
        <f>IF(BP4="Left",IF(ISNA(VLOOKUP(BN4,XS_AnalyzerSummary!$A$21:$B$25,2,TRUE)),"",VLOOKUP(BN4,XS_AnalyzerSummary!$A$21:$B$25,2,TRUE)),IF(ISNA(VLOOKUP(-BN4,XS_AnalyzerSummary!$A$28:$B$32,2,TRUE)),"",VLOOKUP(-BN4,XS_AnalyzerSummary!$A$28:$B$32,2,TRUE)))</f>
        <v>Left Bank</v>
      </c>
      <c r="BP4" s="9" t="str">
        <f>IF(AU4&lt;XS_AnalyzerSummary!$B$7,"Left",IF(AU4&gt;XS_AnalyzerSummary!$B$7,"Right","Thalweg"))</f>
        <v>Left</v>
      </c>
      <c r="BQ4" s="9">
        <f t="shared" ref="BQ4:BQ104" si="21">IF(ISNA(BO4),"",IF(BP4="Left",SQRT(((AU5-AU4)^2)+((AV5-AV4)^2)),IF(BP4="Right",SQRT(((AU3-AU4)^2)+((AV3-AV4)^2)),0)))</f>
        <v>5</v>
      </c>
      <c r="BR4" s="9">
        <f t="shared" ref="BR4:BR104" si="22">IF(BO4="",0,IF(BP4="Left",BL5,IF(OR(BP4="Right",BP4="Thalweg"),BL4,0)))</f>
        <v>0.1</v>
      </c>
      <c r="BS4" s="9">
        <f t="shared" ref="BS4:BS104" si="23">IF(ISNA(BO4),"",((BR4^1.5)*BQ4))</f>
        <v>0.158113883008419</v>
      </c>
      <c r="BT4" s="20">
        <f t="shared" ref="BT4:BT104" si="24">IF(AND(BP4="Left",NOT(ISNA(BN4)),NOT(ISNA(BN5))),BN5-BN4,IF(AND(BP4="Right",NOT(ISNA(BN3)),NOT(ISNA(BN4))),BN4-BN3,0))</f>
        <v>4</v>
      </c>
      <c r="BU4" s="9">
        <f t="shared" ref="BU4:BU104" si="25">IF(ISNA(BO4),"",IF(BJ4&lt;0,0,BJ4))</f>
        <v>2</v>
      </c>
      <c r="BV4" s="9">
        <f t="shared" ref="BV4:BV104" si="26">IF(ISNA(BO4),"",IF(BP4="Left",AVERAGE(BU4,BU5)*BT4,IF(BP4="Right",AVERAGE(BU4,BU3)*BT4,0)))</f>
        <v>14</v>
      </c>
      <c r="BX4" s="9">
        <f>IF(AND(ISNUMBER($BN4),$BO4="Left 2nd Stage"),$BN4,0)</f>
        <v>0</v>
      </c>
      <c r="BY4" s="9">
        <f>IF(AND(ISNUMBER($BN4),$BO4="Left Bank"),$BN4,0)</f>
        <v>1</v>
      </c>
      <c r="BZ4" s="9">
        <f>IF(AND(ISNUMBER(BO4),BP4="Right 2nd Stage"),BO4,0)</f>
        <v>0</v>
      </c>
      <c r="CA4" s="9">
        <f t="shared" ref="CA4" si="27">IF(AND(ISNUMBER(BN4),BO4="Thalweg"),BN4,0)</f>
        <v>0</v>
      </c>
    </row>
    <row r="5" spans="1:79">
      <c r="A5" s="9">
        <v>1</v>
      </c>
      <c r="B5" s="166">
        <f>IF(ISNUMBER(XS_Analyzer!B5),XS_Analyzer!B5,NA())</f>
        <v>1</v>
      </c>
      <c r="C5" s="88">
        <f>IF(ISNUMBER(XS_Analyzer!C5),XS_Analyzer!C5,NA())</f>
        <v>3</v>
      </c>
      <c r="D5" s="88">
        <f>IF(ISNUMBER(XS_Analyzer!E5),XS_Analyzer!E5,"")</f>
        <v>0.1</v>
      </c>
      <c r="E5" s="9" t="str">
        <f t="shared" ref="E5:E104" si="28">IF(ISNA(AE5),"",IF(AE4=AE5,"",(IF((ISNUMBER(B6)),CONCATENATE(AE4," to ",AE5),""))))</f>
        <v>1 to 10</v>
      </c>
      <c r="F5" s="88" t="str">
        <f>IF(AND(ISTEXT(XS_Analyzer!D5),XS_Analyzer!D5&lt;&gt;""),VLOOKUP(XS_Analyzer!D5,$K$12:$L$21,2,FALSE),"")</f>
        <v>L-BK</v>
      </c>
      <c r="G5" s="132" t="str">
        <f t="shared" ref="G5:G104" si="29">IF(ISNA(AE5),"",IF(AE4=AE5,"",(IF((ISNUMBER(B6)),CONCATENATE(AE4," to ",AE5),""))))</f>
        <v>1 to 10</v>
      </c>
      <c r="M5" s="10"/>
      <c r="N5" s="26">
        <f>I4</f>
        <v>0</v>
      </c>
      <c r="O5" s="140">
        <f t="array" ref="O5">MIN(IF(NOT(ISNA(C5:C104)),C5:C104))</f>
        <v>0</v>
      </c>
      <c r="Q5" s="5" t="str">
        <f t="shared" ref="Q5:Q104" si="30">IF(ISNUMBER(B5),"Y","N")</f>
        <v>Y</v>
      </c>
      <c r="R5" s="5">
        <f t="shared" ref="R5:R104" si="31">IF(ISNUMBER(B5),B5,"")</f>
        <v>1</v>
      </c>
      <c r="S5" s="5">
        <f t="shared" ref="S5:S104" si="32">IF(ISNUMBER(B6),B6,"")</f>
        <v>5</v>
      </c>
      <c r="T5" s="5">
        <f t="shared" ref="T5:T104" si="33">IF(AND(R5=S5,ISNUMBER(T4),ISBLANK(D5)),T4,IF(ISNUMBER(D5),D5,IF(ISNUMBER(S5),T4,"")))</f>
        <v>0.1</v>
      </c>
      <c r="U5" s="5" t="str">
        <f t="shared" ref="U5:U105" si="34">IF(AND(Q5="Y",Q6&lt;&gt;"N"),IF(F5="",AB4,F5),IF(AND(Q5="Y",Q6="N"),F5,""))</f>
        <v>L-BK</v>
      </c>
      <c r="V5" s="62">
        <f t="shared" ref="V5:V104" si="35">IF(AND(ISNUMBER(B6),ISNUMBER(B5)),AVERAGE(B5:B6),"")</f>
        <v>3</v>
      </c>
      <c r="W5" s="62">
        <f>IF(ISNUMBER(AJ5),$C$3+$O$22,IF(ISNUMBER(AJ4),$C$3+$O$22,NA()))</f>
        <v>3.4</v>
      </c>
      <c r="X5" s="9">
        <f t="shared" si="1"/>
        <v>3.8</v>
      </c>
      <c r="Y5" s="64">
        <f t="shared" ref="Y5:Y104" si="36">IF(AND(Q5="Y",Q6&lt;&gt;"N"),IF(ISNUMBER(D5),D5,Y4),"")</f>
        <v>0.1</v>
      </c>
      <c r="Z5" s="174">
        <f t="shared" ref="Z5:Z105" si="37">R5</f>
        <v>1</v>
      </c>
      <c r="AA5" s="64" t="str">
        <f t="shared" ref="AA5:AA6" si="38">IF(ISNUMBER(Y5),INDEX(Y5:Y105,MATCH(TRUE,INDEX(Y5:Y105&lt;&gt;Y5,),0)),"")</f>
        <v/>
      </c>
      <c r="AB5" s="64" t="str">
        <f t="shared" ref="AB5:AB104" si="39">IF(AND(Q5="Y",Q6&lt;&gt;"N"),IF(F5="",AB4,F5),IF(AND(Q5="Y",Q6="N"),F5,""))</f>
        <v>L-BK</v>
      </c>
      <c r="AC5" s="64">
        <f t="shared" ref="AC5:AC105" si="40">R5</f>
        <v>1</v>
      </c>
      <c r="AD5" s="64" t="str">
        <f t="shared" ref="AD5:AD6" si="41">IF(ISTEXT(AB5),INDEX(AB5:AB105,MATCH(TRUE,INDEX(AB5:AB105&lt;&gt;AB5,),0)),"")</f>
        <v>R-BK</v>
      </c>
      <c r="AE5" s="11">
        <f t="shared" ref="AE5:AE104" si="42">IF(AND(ISNUMBER(AE4),ISNUMBER(S5)),(VLOOKUP(AA5,Y5:Z105,2,FALSE)),IF(ISNUMBER(S5),R5,""))</f>
        <v>10</v>
      </c>
      <c r="AF5" s="11">
        <f t="shared" si="2"/>
        <v>5.5</v>
      </c>
      <c r="AG5" s="11">
        <f t="shared" si="3"/>
        <v>0.1</v>
      </c>
      <c r="AH5" s="11">
        <f t="shared" ref="AH5:AH104" si="43">IF(ISNUMBER(AG5),AG5,IF(ISNUMBER(AF5),AH4,""))</f>
        <v>0.1</v>
      </c>
      <c r="AI5" s="11">
        <f t="shared" ref="AI5:AI6" si="44">IF(AND(ISNUMBER(AI4),ISNUMBER(S5)),(VLOOKUP(AD5,AB5:AC105,2,FALSE)),IF(ISNUMBER(S5),R5,NA()))</f>
        <v>5</v>
      </c>
      <c r="AJ5" s="11">
        <f t="shared" si="4"/>
        <v>7.5</v>
      </c>
      <c r="AK5" s="11" t="str">
        <f t="shared" si="5"/>
        <v>R-BK</v>
      </c>
      <c r="AL5" s="11" t="str">
        <f t="shared" si="6"/>
        <v>R-BK</v>
      </c>
      <c r="AR5" s="11" t="str">
        <f>IF(AND(AS5=$O$4,AT4&lt;&gt;$O$17),"Y","N")</f>
        <v>N</v>
      </c>
      <c r="AS5" s="74">
        <f t="shared" si="7"/>
        <v>5</v>
      </c>
      <c r="AT5" s="74">
        <f t="shared" si="8"/>
        <v>0</v>
      </c>
      <c r="AU5" s="74">
        <f t="shared" si="9"/>
        <v>5</v>
      </c>
      <c r="AV5" s="74">
        <f t="shared" si="0"/>
        <v>0</v>
      </c>
      <c r="AW5" s="102"/>
      <c r="AY5" s="9">
        <f t="shared" si="10"/>
        <v>5</v>
      </c>
      <c r="AZ5" s="11">
        <f t="shared" si="11"/>
        <v>0</v>
      </c>
      <c r="BA5" s="75">
        <f t="shared" si="12"/>
        <v>5</v>
      </c>
      <c r="BB5" s="11">
        <f t="shared" si="13"/>
        <v>0</v>
      </c>
      <c r="BD5" s="11">
        <f t="shared" si="14"/>
        <v>5</v>
      </c>
      <c r="BE5" s="9">
        <f t="shared" si="15"/>
        <v>0</v>
      </c>
      <c r="BF5" s="71">
        <f t="shared" si="16"/>
        <v>0</v>
      </c>
      <c r="BG5" s="11" t="str">
        <f t="shared" si="17"/>
        <v>MAX WSE</v>
      </c>
      <c r="BH5" s="132">
        <f t="shared" ref="BH5:BH68" si="45">AV5</f>
        <v>0</v>
      </c>
      <c r="BJ5" s="71">
        <f t="shared" si="18"/>
        <v>5</v>
      </c>
      <c r="BL5" s="9">
        <f t="shared" si="19"/>
        <v>0.1</v>
      </c>
      <c r="BM5" s="9"/>
      <c r="BN5" s="102">
        <f t="shared" si="20"/>
        <v>5</v>
      </c>
      <c r="BO5" s="9" t="str">
        <f>IF(BP5="Left",IF(ISNA(VLOOKUP(BN5,XS_AnalyzerSummary!$A$21:$B$25,2,TRUE)),"",VLOOKUP(BN5,XS_AnalyzerSummary!$A$21:$B$25,2,TRUE)),IF(ISNA(VLOOKUP(-BN5,XS_AnalyzerSummary!$A$28:$B$32,2,TRUE)),"",VLOOKUP(-BN5,XS_AnalyzerSummary!$A$28:$B$32,2,TRUE)))</f>
        <v>Thalweg</v>
      </c>
      <c r="BP5" s="9" t="str">
        <f>IF(AU5&lt;XS_AnalyzerSummary!$B$7,"Left",IF(AU5&gt;XS_AnalyzerSummary!$B$7,"Right","Thalweg"))</f>
        <v>Thalweg</v>
      </c>
      <c r="BQ5" s="9">
        <f t="shared" si="21"/>
        <v>0</v>
      </c>
      <c r="BR5" s="9">
        <f t="shared" si="22"/>
        <v>0.1</v>
      </c>
      <c r="BS5" s="9">
        <f t="shared" si="23"/>
        <v>0</v>
      </c>
      <c r="BT5" s="9">
        <f t="shared" si="24"/>
        <v>0</v>
      </c>
      <c r="BU5" s="9">
        <f t="shared" si="25"/>
        <v>5</v>
      </c>
      <c r="BV5" s="9">
        <f t="shared" si="26"/>
        <v>0</v>
      </c>
      <c r="BX5" s="9">
        <f>IF(AND(ISNUMBER($BN5),$BO5="Left 2nd Stage"),$BN5,0)</f>
        <v>0</v>
      </c>
      <c r="BY5" s="9">
        <f t="shared" ref="BY5:BY68" si="46">IF(AND(ISNUMBER($BN5),$BO5="Left Bank"),$BN5,0)</f>
        <v>0</v>
      </c>
      <c r="BZ5" s="9">
        <f>IF(AND(ISNUMBER(BO5),BP5="Right 2nd Stage"),BO5,0)</f>
        <v>0</v>
      </c>
      <c r="CA5" s="9">
        <f t="shared" ref="CA5:CA103" si="47">IF(AND(ISNUMBER(BN5),BO5="Thalweg"),BN5,0)</f>
        <v>5</v>
      </c>
    </row>
    <row r="6" spans="1:79">
      <c r="A6" s="9">
        <v>2</v>
      </c>
      <c r="B6" s="166">
        <f>IF(ISNUMBER(XS_Analyzer!B6),XS_Analyzer!B6,NA())</f>
        <v>5</v>
      </c>
      <c r="C6" s="88">
        <f>IF(ISNUMBER(XS_Analyzer!C6),XS_Analyzer!C6,NA())</f>
        <v>0</v>
      </c>
      <c r="D6" s="88" t="str">
        <f>IF(ISNUMBER(XS_Analyzer!E6),XS_Analyzer!E6,"")</f>
        <v/>
      </c>
      <c r="E6" s="9" t="str">
        <f t="shared" si="28"/>
        <v/>
      </c>
      <c r="F6" s="88" t="str">
        <f>IF(AND(ISTEXT(XS_Analyzer!D6),XS_Analyzer!D6&lt;&gt;""),VLOOKUP(XS_Analyzer!D6,$K$12:$L$21,2,FALSE),"")</f>
        <v>R-BK</v>
      </c>
      <c r="G6" s="132" t="str">
        <f t="shared" si="29"/>
        <v/>
      </c>
      <c r="I6" s="25" t="s">
        <v>510</v>
      </c>
      <c r="M6" s="10"/>
      <c r="N6" s="26">
        <f>I4</f>
        <v>0</v>
      </c>
      <c r="O6" s="26">
        <f t="array" ref="O6">MAX(IF(NOT(ISNA(C5:C104)),C5:C104))</f>
        <v>3</v>
      </c>
      <c r="Q6" s="5" t="str">
        <f t="shared" si="30"/>
        <v>Y</v>
      </c>
      <c r="R6" s="5">
        <f t="shared" si="31"/>
        <v>5</v>
      </c>
      <c r="S6" s="5">
        <f t="shared" si="32"/>
        <v>10</v>
      </c>
      <c r="T6" s="5">
        <f t="shared" si="33"/>
        <v>0.1</v>
      </c>
      <c r="U6" s="5" t="str">
        <f t="shared" si="34"/>
        <v>R-BK</v>
      </c>
      <c r="V6" s="62">
        <f t="shared" si="35"/>
        <v>7.5</v>
      </c>
      <c r="W6" s="62">
        <f t="shared" ref="W6:W69" si="48">IF(ISNUMBER(AJ6),$C$3+$O$22,IF(ISNUMBER(AJ5),$C$3+$O$22,NA()))</f>
        <v>3.4</v>
      </c>
      <c r="X6" s="9">
        <f t="shared" si="1"/>
        <v>3.8</v>
      </c>
      <c r="Y6" s="64">
        <f t="shared" si="36"/>
        <v>0.1</v>
      </c>
      <c r="Z6" s="174">
        <f t="shared" si="37"/>
        <v>5</v>
      </c>
      <c r="AA6" s="64" t="str">
        <f t="shared" si="38"/>
        <v/>
      </c>
      <c r="AB6" s="64" t="str">
        <f t="shared" si="39"/>
        <v>R-BK</v>
      </c>
      <c r="AC6" s="64">
        <f t="shared" si="40"/>
        <v>5</v>
      </c>
      <c r="AD6" s="64" t="str">
        <f t="shared" si="41"/>
        <v>R-2 Stg</v>
      </c>
      <c r="AE6" s="11">
        <f t="shared" si="42"/>
        <v>10</v>
      </c>
      <c r="AF6" s="11" t="str">
        <f t="shared" si="2"/>
        <v/>
      </c>
      <c r="AG6" s="11" t="str">
        <f t="shared" si="3"/>
        <v/>
      </c>
      <c r="AH6" s="11" t="str">
        <f t="shared" si="43"/>
        <v/>
      </c>
      <c r="AI6" s="11">
        <f t="shared" si="44"/>
        <v>10</v>
      </c>
      <c r="AJ6" s="11" t="e">
        <f t="shared" si="4"/>
        <v>#N/A</v>
      </c>
      <c r="AK6" s="11" t="str">
        <f t="shared" si="5"/>
        <v/>
      </c>
      <c r="AL6" s="11" t="str">
        <f t="shared" si="6"/>
        <v/>
      </c>
      <c r="AS6" s="74">
        <f t="shared" si="7"/>
        <v>10</v>
      </c>
      <c r="AT6" s="74">
        <f t="shared" si="8"/>
        <v>5</v>
      </c>
      <c r="AU6" s="74">
        <f t="shared" si="9"/>
        <v>10</v>
      </c>
      <c r="AV6" s="74">
        <f t="shared" si="0"/>
        <v>3</v>
      </c>
      <c r="AW6" s="102"/>
      <c r="AY6" s="9">
        <f t="shared" si="10"/>
        <v>10</v>
      </c>
      <c r="AZ6" s="11">
        <f t="shared" si="11"/>
        <v>3</v>
      </c>
      <c r="BA6" s="75">
        <f t="shared" si="12"/>
        <v>10</v>
      </c>
      <c r="BB6" s="11">
        <f t="shared" si="13"/>
        <v>3</v>
      </c>
      <c r="BD6" s="11">
        <f t="shared" si="14"/>
        <v>2</v>
      </c>
      <c r="BE6" s="9">
        <f t="shared" si="15"/>
        <v>0</v>
      </c>
      <c r="BF6" s="71">
        <f t="shared" si="16"/>
        <v>0</v>
      </c>
      <c r="BG6" s="11" t="str">
        <f t="shared" si="17"/>
        <v>MAX WSE</v>
      </c>
      <c r="BH6" s="132">
        <f t="shared" si="45"/>
        <v>3</v>
      </c>
      <c r="BJ6" s="71">
        <f t="shared" si="18"/>
        <v>2</v>
      </c>
      <c r="BL6" s="9">
        <f t="shared" ref="BL6:BL94" si="49">IF(AND(ISNUMBER(B6),ISNUMBER(D6)),D6,IF(ISNUMBER(B6),BL5,0))</f>
        <v>0.1</v>
      </c>
      <c r="BM6" s="9"/>
      <c r="BN6" s="102">
        <f t="shared" si="20"/>
        <v>10</v>
      </c>
      <c r="BO6" s="9" t="str">
        <f>IF(BP6="Left",IF(ISNA(VLOOKUP(BN6,XS_AnalyzerSummary!$A$21:$B$25,2,TRUE)),"",VLOOKUP(BN6,XS_AnalyzerSummary!$A$21:$B$25,2,TRUE)),IF(ISNA(VLOOKUP(-BN6,XS_AnalyzerSummary!$A$28:$B$32,2,TRUE)),"",VLOOKUP(-BN6,XS_AnalyzerSummary!$A$28:$B$32,2,TRUE)))</f>
        <v>Right Bank</v>
      </c>
      <c r="BP6" s="9" t="str">
        <f>IF(AU6&lt;XS_AnalyzerSummary!$B$7,"Left",IF(AU6&gt;XS_AnalyzerSummary!$B$7,"Right","Thalweg"))</f>
        <v>Right</v>
      </c>
      <c r="BQ6" s="9">
        <f t="shared" si="21"/>
        <v>5.8309518948453007</v>
      </c>
      <c r="BR6" s="9">
        <f t="shared" si="22"/>
        <v>0.1</v>
      </c>
      <c r="BS6" s="9">
        <f t="shared" si="23"/>
        <v>0.18439088914585777</v>
      </c>
      <c r="BT6" s="9">
        <f t="shared" si="24"/>
        <v>5</v>
      </c>
      <c r="BU6" s="9">
        <f t="shared" si="25"/>
        <v>2</v>
      </c>
      <c r="BV6" s="9">
        <f t="shared" si="26"/>
        <v>17.5</v>
      </c>
      <c r="BX6" s="9">
        <f>IF(AND(ISNUMBER($BN6),$BO6="Left 2nd Stage",SUM($BX$5:BX5)=0),$BN6,0)</f>
        <v>0</v>
      </c>
      <c r="BY6" s="9">
        <f t="shared" si="46"/>
        <v>0</v>
      </c>
      <c r="BZ6" s="9">
        <f>IF(AND(ISNUMBER($BN6),$BO6="Right 2nd Stage",SUM($BZ$5:$BZ5)=0),$BN5,0)</f>
        <v>0</v>
      </c>
      <c r="CA6" s="9">
        <f t="shared" si="47"/>
        <v>0</v>
      </c>
    </row>
    <row r="7" spans="1:79">
      <c r="A7" s="9">
        <v>3</v>
      </c>
      <c r="B7" s="166">
        <f>IF(ISNUMBER(XS_Analyzer!B7),XS_Analyzer!B7,NA())</f>
        <v>10</v>
      </c>
      <c r="C7" s="88">
        <f>IF(ISNUMBER(XS_Analyzer!C7),XS_Analyzer!C7,NA())</f>
        <v>3</v>
      </c>
      <c r="D7" s="88" t="str">
        <f>IF(ISNUMBER(XS_Analyzer!E7),XS_Analyzer!E7,"")</f>
        <v/>
      </c>
      <c r="E7" s="9" t="str">
        <f t="shared" si="28"/>
        <v/>
      </c>
      <c r="F7" s="88" t="str">
        <f>IF(AND(ISTEXT(XS_Analyzer!D7),XS_Analyzer!D7&lt;&gt;""),VLOOKUP(XS_Analyzer!D7,$K$12:$L$21,2,FALSE),"")</f>
        <v>R-2 Stg</v>
      </c>
      <c r="G7" s="132" t="str">
        <f t="shared" si="29"/>
        <v/>
      </c>
      <c r="I7" s="32">
        <f>XS_Analyzer!Q5</f>
        <v>0.01</v>
      </c>
      <c r="M7" s="10"/>
      <c r="Q7" s="5" t="str">
        <f t="shared" si="30"/>
        <v>Y</v>
      </c>
      <c r="R7" s="5">
        <f t="shared" si="31"/>
        <v>10</v>
      </c>
      <c r="S7" s="5" t="str">
        <f t="shared" si="32"/>
        <v/>
      </c>
      <c r="T7" s="5" t="str">
        <f t="shared" si="33"/>
        <v/>
      </c>
      <c r="U7" s="5" t="str">
        <f t="shared" si="34"/>
        <v>R-2 Stg</v>
      </c>
      <c r="V7" s="62" t="str">
        <f t="shared" si="35"/>
        <v/>
      </c>
      <c r="W7" s="62" t="e">
        <f t="shared" si="48"/>
        <v>#N/A</v>
      </c>
      <c r="X7" s="9" t="e">
        <f t="shared" si="1"/>
        <v>#N/A</v>
      </c>
      <c r="Y7" s="64" t="str">
        <f t="shared" si="36"/>
        <v/>
      </c>
      <c r="Z7" s="174">
        <f t="shared" si="37"/>
        <v>10</v>
      </c>
      <c r="AA7" s="64" t="str">
        <f>IF(ISNUMBER(Y7),INDEX(Y7:Y106,MATCH(TRUE,INDEX(Y7:Y106&lt;&gt;Y7,),0)),"")</f>
        <v/>
      </c>
      <c r="AB7" s="64" t="str">
        <f t="shared" si="39"/>
        <v>R-2 Stg</v>
      </c>
      <c r="AC7" s="64">
        <f t="shared" si="40"/>
        <v>10</v>
      </c>
      <c r="AD7" s="64" t="str">
        <f>IF(ISTEXT(AB7),INDEX(AB7:AB106,MATCH(TRUE,INDEX(AB7:AB106&lt;&gt;AB7,),0)),"")</f>
        <v/>
      </c>
      <c r="AE7" s="11" t="str">
        <f t="shared" si="42"/>
        <v/>
      </c>
      <c r="AF7" s="11" t="str">
        <f t="shared" si="2"/>
        <v/>
      </c>
      <c r="AG7" s="11" t="str">
        <f t="shared" si="3"/>
        <v/>
      </c>
      <c r="AH7" s="11" t="str">
        <f t="shared" si="43"/>
        <v/>
      </c>
      <c r="AI7" s="11" t="e">
        <f>IF(AND(ISNUMBER(AI6),ISNUMBER(S7)),(VLOOKUP(AD7,AB7:AC106,2,FALSE)),IF(ISNUMBER(S7),R7,NA()))</f>
        <v>#N/A</v>
      </c>
      <c r="AJ7" s="11" t="e">
        <f t="shared" si="4"/>
        <v>#N/A</v>
      </c>
      <c r="AK7" s="11" t="str">
        <f t="shared" si="5"/>
        <v/>
      </c>
      <c r="AL7" s="11" t="str">
        <f t="shared" si="6"/>
        <v/>
      </c>
      <c r="AS7" s="74">
        <f t="shared" si="7"/>
        <v>10</v>
      </c>
      <c r="AT7" s="74">
        <f t="shared" si="8"/>
        <v>5</v>
      </c>
      <c r="AU7" s="74">
        <f t="shared" si="9"/>
        <v>10</v>
      </c>
      <c r="AV7" s="74">
        <f t="shared" si="0"/>
        <v>5</v>
      </c>
      <c r="AW7" s="102"/>
      <c r="AY7" s="9">
        <f t="shared" si="10"/>
        <v>10</v>
      </c>
      <c r="AZ7" s="11">
        <f t="shared" si="11"/>
        <v>3</v>
      </c>
      <c r="BA7" s="75">
        <f t="shared" si="12"/>
        <v>10</v>
      </c>
      <c r="BB7" s="11">
        <f t="shared" si="13"/>
        <v>3</v>
      </c>
      <c r="BD7" s="11">
        <f t="shared" si="14"/>
        <v>2</v>
      </c>
      <c r="BE7" s="9">
        <f t="shared" si="15"/>
        <v>0</v>
      </c>
      <c r="BF7" s="71">
        <f t="shared" si="16"/>
        <v>0</v>
      </c>
      <c r="BG7" s="11" t="str">
        <f t="shared" si="17"/>
        <v>MAX WSE</v>
      </c>
      <c r="BH7" s="132">
        <f t="shared" si="45"/>
        <v>5</v>
      </c>
      <c r="BJ7" s="71">
        <f t="shared" si="18"/>
        <v>2</v>
      </c>
      <c r="BL7" s="9">
        <f t="shared" si="49"/>
        <v>0.1</v>
      </c>
      <c r="BM7" s="9"/>
      <c r="BN7" s="102">
        <f t="shared" si="20"/>
        <v>10</v>
      </c>
      <c r="BO7" s="9" t="str">
        <f>IF(BP7="Left",IF(ISNA(VLOOKUP(BN7,XS_AnalyzerSummary!$A$21:$B$25,2,TRUE)),"",VLOOKUP(BN7,XS_AnalyzerSummary!$A$21:$B$25,2,TRUE)),IF(ISNA(VLOOKUP(-BN7,XS_AnalyzerSummary!$A$28:$B$32,2,TRUE)),"",VLOOKUP(-BN7,XS_AnalyzerSummary!$A$28:$B$32,2,TRUE)))</f>
        <v>Right Bank</v>
      </c>
      <c r="BP7" s="9" t="str">
        <f>IF(AU7&lt;XS_AnalyzerSummary!$B$7,"Left",IF(AU7&gt;XS_AnalyzerSummary!$B$7,"Right","Thalweg"))</f>
        <v>Right</v>
      </c>
      <c r="BQ7" s="9">
        <f t="shared" si="21"/>
        <v>2</v>
      </c>
      <c r="BR7" s="9">
        <f t="shared" si="22"/>
        <v>0.1</v>
      </c>
      <c r="BS7" s="9">
        <f t="shared" si="23"/>
        <v>6.3245553203367597E-2</v>
      </c>
      <c r="BT7" s="9">
        <f t="shared" si="24"/>
        <v>0</v>
      </c>
      <c r="BU7" s="9">
        <f t="shared" si="25"/>
        <v>2</v>
      </c>
      <c r="BV7" s="9">
        <f t="shared" si="26"/>
        <v>0</v>
      </c>
      <c r="BX7" s="9">
        <f>IF(AND(ISNUMBER($BN7),$BO7="Left 2nd Stage",SUM($BX$5:BX6)=0),$BN7,0)</f>
        <v>0</v>
      </c>
      <c r="BY7" s="9">
        <f t="shared" si="46"/>
        <v>0</v>
      </c>
      <c r="BZ7" s="9">
        <f>IF(AND(ISNUMBER($BN7),$BO7="Right 2nd Stage",SUM($BZ$5:$BZ6)=0),$BN6,0)</f>
        <v>0</v>
      </c>
      <c r="CA7" s="9">
        <f t="shared" si="47"/>
        <v>0</v>
      </c>
    </row>
    <row r="8" spans="1:79" ht="15">
      <c r="A8" s="9">
        <v>4</v>
      </c>
      <c r="B8" s="166" t="e">
        <f>IF(ISNUMBER(XS_Analyzer!B8),XS_Analyzer!B8,NA())</f>
        <v>#N/A</v>
      </c>
      <c r="C8" s="88" t="e">
        <f>IF(ISNUMBER(XS_Analyzer!C8),XS_Analyzer!C8,NA())</f>
        <v>#N/A</v>
      </c>
      <c r="D8" s="88" t="str">
        <f>IF(ISNUMBER(XS_Analyzer!E8),XS_Analyzer!E8,"")</f>
        <v/>
      </c>
      <c r="E8" s="9" t="str">
        <f t="shared" si="28"/>
        <v/>
      </c>
      <c r="F8" s="88" t="e">
        <f>IF(AND(ISTEXT(XS_Analyzer!D8),XS_Analyzer!D8&lt;&gt;""),VLOOKUP(XS_Analyzer!D8,$K$12:$L$21,2,FALSE),"")</f>
        <v>#N/A</v>
      </c>
      <c r="G8" s="132" t="str">
        <f t="shared" si="29"/>
        <v/>
      </c>
      <c r="H8" s="7"/>
      <c r="I8" s="7"/>
      <c r="M8" s="10"/>
      <c r="N8" s="309" t="s">
        <v>225</v>
      </c>
      <c r="O8" s="309"/>
      <c r="P8" s="5"/>
      <c r="Q8" s="5" t="str">
        <f t="shared" si="30"/>
        <v>N</v>
      </c>
      <c r="R8" s="5" t="str">
        <f t="shared" si="31"/>
        <v/>
      </c>
      <c r="S8" s="5" t="str">
        <f t="shared" si="32"/>
        <v/>
      </c>
      <c r="T8" s="5" t="str">
        <f t="shared" si="33"/>
        <v/>
      </c>
      <c r="U8" s="5" t="str">
        <f t="shared" si="34"/>
        <v/>
      </c>
      <c r="V8" s="62" t="str">
        <f t="shared" si="35"/>
        <v/>
      </c>
      <c r="W8" s="62" t="e">
        <f t="shared" si="48"/>
        <v>#N/A</v>
      </c>
      <c r="X8" s="9" t="e">
        <f t="shared" si="1"/>
        <v>#N/A</v>
      </c>
      <c r="Y8" s="64" t="str">
        <f t="shared" si="36"/>
        <v/>
      </c>
      <c r="Z8" s="174" t="str">
        <f t="shared" si="37"/>
        <v/>
      </c>
      <c r="AA8" s="64" t="str">
        <f>IF(ISNUMBER(Y8),INDEX(Y8:Y106,MATCH(TRUE,INDEX(Y8:Y106&lt;&gt;Y8,),0)),"")</f>
        <v/>
      </c>
      <c r="AB8" s="64" t="str">
        <f t="shared" si="39"/>
        <v/>
      </c>
      <c r="AC8" s="64" t="str">
        <f t="shared" si="40"/>
        <v/>
      </c>
      <c r="AD8" s="64" t="e">
        <f>IF(ISTEXT(AB8),INDEX(AB8:AB106,MATCH(TRUE,INDEX(AB8:AB106&lt;&gt;AB8,),0)),"")</f>
        <v>#N/A</v>
      </c>
      <c r="AE8" s="11" t="str">
        <f t="shared" si="42"/>
        <v/>
      </c>
      <c r="AF8" s="11" t="str">
        <f t="shared" si="2"/>
        <v/>
      </c>
      <c r="AG8" s="11" t="str">
        <f t="shared" si="3"/>
        <v/>
      </c>
      <c r="AH8" s="11" t="str">
        <f t="shared" si="43"/>
        <v/>
      </c>
      <c r="AI8" s="11" t="e">
        <f>IF(AND(ISNUMBER(AI7),ISNUMBER(S8)),(VLOOKUP(AD8,AB8:AC106,2,FALSE)),IF(ISNUMBER(S8),R8,NA()))</f>
        <v>#N/A</v>
      </c>
      <c r="AJ8" s="11" t="e">
        <f t="shared" si="4"/>
        <v>#N/A</v>
      </c>
      <c r="AK8" s="11" t="str">
        <f t="shared" si="5"/>
        <v/>
      </c>
      <c r="AL8" s="11" t="str">
        <f t="shared" si="6"/>
        <v/>
      </c>
      <c r="AM8" s="5"/>
      <c r="AN8" s="5"/>
      <c r="AO8" s="5"/>
      <c r="AP8" s="5"/>
      <c r="AQ8" s="5"/>
      <c r="AR8" s="5"/>
      <c r="AS8" s="74">
        <f t="shared" si="7"/>
        <v>10</v>
      </c>
      <c r="AT8" s="74">
        <f t="shared" si="8"/>
        <v>5</v>
      </c>
      <c r="AU8" s="74">
        <f t="shared" si="9"/>
        <v>10</v>
      </c>
      <c r="AV8" s="74">
        <f t="shared" si="0"/>
        <v>5</v>
      </c>
      <c r="AW8" s="102"/>
      <c r="AY8" s="9">
        <f t="shared" si="10"/>
        <v>10</v>
      </c>
      <c r="AZ8" s="11">
        <f t="shared" si="11"/>
        <v>3</v>
      </c>
      <c r="BA8" s="75">
        <f t="shared" si="12"/>
        <v>10</v>
      </c>
      <c r="BB8" s="11">
        <f t="shared" si="13"/>
        <v>3</v>
      </c>
      <c r="BD8" s="11">
        <f t="shared" si="14"/>
        <v>2</v>
      </c>
      <c r="BE8" s="9">
        <f t="shared" si="15"/>
        <v>0</v>
      </c>
      <c r="BF8" s="71">
        <f t="shared" si="16"/>
        <v>0</v>
      </c>
      <c r="BG8" s="11" t="str">
        <f t="shared" si="17"/>
        <v>MAX WSE</v>
      </c>
      <c r="BH8" s="132">
        <f t="shared" si="45"/>
        <v>5</v>
      </c>
      <c r="BJ8" s="71">
        <f t="shared" si="18"/>
        <v>2</v>
      </c>
      <c r="BL8" s="9">
        <f t="shared" si="49"/>
        <v>0</v>
      </c>
      <c r="BM8" s="9"/>
      <c r="BN8" s="102">
        <f t="shared" si="20"/>
        <v>10</v>
      </c>
      <c r="BO8" s="9" t="str">
        <f>IF(BP8="Left",IF(ISNA(VLOOKUP(BN8,XS_AnalyzerSummary!$A$21:$B$25,2,TRUE)),"",VLOOKUP(BN8,XS_AnalyzerSummary!$A$21:$B$25,2,TRUE)),IF(ISNA(VLOOKUP(-BN8,XS_AnalyzerSummary!$A$28:$B$32,2,TRUE)),"",VLOOKUP(-BN8,XS_AnalyzerSummary!$A$28:$B$32,2,TRUE)))</f>
        <v>Right Bank</v>
      </c>
      <c r="BP8" s="9" t="str">
        <f>IF(AU8&lt;XS_AnalyzerSummary!$B$7,"Left",IF(AU8&gt;XS_AnalyzerSummary!$B$7,"Right","Thalweg"))</f>
        <v>Right</v>
      </c>
      <c r="BQ8" s="9">
        <f t="shared" si="21"/>
        <v>0</v>
      </c>
      <c r="BR8" s="9">
        <f t="shared" si="22"/>
        <v>0</v>
      </c>
      <c r="BS8" s="9">
        <f t="shared" si="23"/>
        <v>0</v>
      </c>
      <c r="BT8" s="9">
        <f t="shared" si="24"/>
        <v>0</v>
      </c>
      <c r="BU8" s="9">
        <f t="shared" si="25"/>
        <v>2</v>
      </c>
      <c r="BV8" s="9">
        <f t="shared" si="26"/>
        <v>0</v>
      </c>
      <c r="BX8" s="9">
        <f>IF(AND(ISNUMBER($BN8),$BO8="Left 2nd Stage",SUM($BX$5:BX7)=0),$BN8,0)</f>
        <v>0</v>
      </c>
      <c r="BY8" s="9">
        <f t="shared" si="46"/>
        <v>0</v>
      </c>
      <c r="BZ8" s="9">
        <f>IF(AND(ISNUMBER($BN8),$BO8="Right 2nd Stage",SUM($BZ$5:$BZ7)=0),$BN7,0)</f>
        <v>0</v>
      </c>
      <c r="CA8" s="9">
        <f t="shared" si="47"/>
        <v>0</v>
      </c>
    </row>
    <row r="9" spans="1:79" ht="15">
      <c r="A9" s="9">
        <v>5</v>
      </c>
      <c r="B9" s="166" t="e">
        <f>IF(ISNUMBER(XS_Analyzer!B9),XS_Analyzer!B9,NA())</f>
        <v>#N/A</v>
      </c>
      <c r="C9" s="88" t="e">
        <f>IF(ISNUMBER(XS_Analyzer!C9),XS_Analyzer!C9,NA())</f>
        <v>#N/A</v>
      </c>
      <c r="D9" s="88" t="str">
        <f>IF(ISNUMBER(XS_Analyzer!E9),XS_Analyzer!E9,"")</f>
        <v/>
      </c>
      <c r="E9" s="9" t="str">
        <f t="shared" si="28"/>
        <v/>
      </c>
      <c r="F9" s="88" t="e">
        <f>IF(AND(ISTEXT(XS_Analyzer!D9),XS_Analyzer!D9&lt;&gt;""),VLOOKUP(XS_Analyzer!D9,$K$12:$L$21,2,FALSE),"")</f>
        <v>#N/A</v>
      </c>
      <c r="G9" s="132" t="str">
        <f t="shared" si="29"/>
        <v/>
      </c>
      <c r="H9" s="7"/>
      <c r="I9" s="7"/>
      <c r="J9" s="5"/>
      <c r="K9" s="69" t="s">
        <v>87</v>
      </c>
      <c r="L9" s="26" t="str">
        <f>IF(COUNTIF(XS_Analyzer!$AB$6,"&lt;&gt;#N/A"),"Yes","No")</f>
        <v>No</v>
      </c>
      <c r="M9" s="5"/>
      <c r="N9" s="69"/>
      <c r="O9" s="25" t="s">
        <v>471</v>
      </c>
      <c r="P9" s="5"/>
      <c r="Q9" s="5" t="str">
        <f t="shared" si="30"/>
        <v>N</v>
      </c>
      <c r="R9" s="5" t="str">
        <f t="shared" si="31"/>
        <v/>
      </c>
      <c r="S9" s="5" t="str">
        <f t="shared" si="32"/>
        <v/>
      </c>
      <c r="T9" s="5" t="str">
        <f t="shared" si="33"/>
        <v/>
      </c>
      <c r="U9" s="5" t="str">
        <f t="shared" si="34"/>
        <v/>
      </c>
      <c r="V9" s="62" t="str">
        <f t="shared" si="35"/>
        <v/>
      </c>
      <c r="W9" s="62" t="e">
        <f t="shared" si="48"/>
        <v>#N/A</v>
      </c>
      <c r="X9" s="9" t="e">
        <f t="shared" si="1"/>
        <v>#N/A</v>
      </c>
      <c r="Y9" s="64" t="str">
        <f t="shared" si="36"/>
        <v/>
      </c>
      <c r="Z9" s="174" t="str">
        <f t="shared" si="37"/>
        <v/>
      </c>
      <c r="AA9" s="64" t="str">
        <f>IF(ISNUMBER(Y9),INDEX(Y9:Y106,MATCH(TRUE,INDEX(Y9:Y106&lt;&gt;Y9,),0)),"")</f>
        <v/>
      </c>
      <c r="AB9" s="64" t="str">
        <f t="shared" si="39"/>
        <v/>
      </c>
      <c r="AC9" s="64" t="str">
        <f t="shared" si="40"/>
        <v/>
      </c>
      <c r="AD9" s="64" t="e">
        <f>IF(ISTEXT(AB9),INDEX(AB9:AB106,MATCH(TRUE,INDEX(AB9:AB106&lt;&gt;AB9,),0)),"")</f>
        <v>#N/A</v>
      </c>
      <c r="AE9" s="11" t="str">
        <f t="shared" si="42"/>
        <v/>
      </c>
      <c r="AF9" s="11" t="str">
        <f t="shared" si="2"/>
        <v/>
      </c>
      <c r="AG9" s="11" t="str">
        <f t="shared" si="3"/>
        <v/>
      </c>
      <c r="AH9" s="11" t="str">
        <f t="shared" si="43"/>
        <v/>
      </c>
      <c r="AI9" s="11" t="e">
        <f>IF(AND(ISNUMBER(AI8),ISNUMBER(S9)),(VLOOKUP(AD9,AB9:AC106,2,FALSE)),IF(ISNUMBER(S9),R9,NA()))</f>
        <v>#N/A</v>
      </c>
      <c r="AJ9" s="11" t="e">
        <f t="shared" si="4"/>
        <v>#N/A</v>
      </c>
      <c r="AK9" s="11" t="str">
        <f t="shared" si="5"/>
        <v/>
      </c>
      <c r="AL9" s="11" t="str">
        <f t="shared" si="6"/>
        <v/>
      </c>
      <c r="AM9" s="9"/>
      <c r="AN9" s="9"/>
      <c r="AO9" s="9"/>
      <c r="AP9" s="9"/>
      <c r="AQ9" s="9"/>
      <c r="AR9" s="9"/>
      <c r="AS9" s="74">
        <f t="shared" si="7"/>
        <v>10</v>
      </c>
      <c r="AT9" s="74">
        <f t="shared" si="8"/>
        <v>5</v>
      </c>
      <c r="AU9" s="74">
        <f t="shared" si="9"/>
        <v>10</v>
      </c>
      <c r="AV9" s="74">
        <f t="shared" si="0"/>
        <v>5</v>
      </c>
      <c r="AW9" s="102"/>
      <c r="AY9" s="9">
        <f t="shared" si="10"/>
        <v>10</v>
      </c>
      <c r="AZ9" s="11">
        <f t="shared" si="11"/>
        <v>3</v>
      </c>
      <c r="BA9" s="75">
        <f t="shared" si="12"/>
        <v>10</v>
      </c>
      <c r="BB9" s="11">
        <f t="shared" si="13"/>
        <v>3</v>
      </c>
      <c r="BD9" s="11">
        <f t="shared" si="14"/>
        <v>2</v>
      </c>
      <c r="BE9" s="9">
        <f t="shared" si="15"/>
        <v>0</v>
      </c>
      <c r="BF9" s="71">
        <f t="shared" si="16"/>
        <v>0</v>
      </c>
      <c r="BG9" s="11" t="str">
        <f t="shared" si="17"/>
        <v>MAX WSE</v>
      </c>
      <c r="BH9" s="132">
        <f t="shared" si="45"/>
        <v>5</v>
      </c>
      <c r="BJ9" s="71">
        <f t="shared" si="18"/>
        <v>2</v>
      </c>
      <c r="BL9" s="9">
        <f t="shared" si="49"/>
        <v>0</v>
      </c>
      <c r="BM9" s="9"/>
      <c r="BN9" s="102">
        <f t="shared" si="20"/>
        <v>10</v>
      </c>
      <c r="BO9" s="9" t="str">
        <f>IF(BP9="Left",IF(ISNA(VLOOKUP(BN9,XS_AnalyzerSummary!$A$21:$B$25,2,TRUE)),"",VLOOKUP(BN9,XS_AnalyzerSummary!$A$21:$B$25,2,TRUE)),IF(ISNA(VLOOKUP(-BN9,XS_AnalyzerSummary!$A$28:$B$32,2,TRUE)),"",VLOOKUP(-BN9,XS_AnalyzerSummary!$A$28:$B$32,2,TRUE)))</f>
        <v>Right Bank</v>
      </c>
      <c r="BP9" s="9" t="str">
        <f>IF(AU9&lt;XS_AnalyzerSummary!$B$7,"Left",IF(AU9&gt;XS_AnalyzerSummary!$B$7,"Right","Thalweg"))</f>
        <v>Right</v>
      </c>
      <c r="BQ9" s="9">
        <f t="shared" si="21"/>
        <v>0</v>
      </c>
      <c r="BR9" s="9">
        <f t="shared" si="22"/>
        <v>0</v>
      </c>
      <c r="BS9" s="9">
        <f t="shared" si="23"/>
        <v>0</v>
      </c>
      <c r="BT9" s="9">
        <f t="shared" si="24"/>
        <v>0</v>
      </c>
      <c r="BU9" s="9">
        <f t="shared" si="25"/>
        <v>2</v>
      </c>
      <c r="BV9" s="9">
        <f t="shared" si="26"/>
        <v>0</v>
      </c>
      <c r="BX9" s="9">
        <f>IF(AND(ISNUMBER($BN9),$BO9="Left 2nd Stage",SUM($BX$5:BX8)=0),$BN9,0)</f>
        <v>0</v>
      </c>
      <c r="BY9" s="9">
        <f t="shared" si="46"/>
        <v>0</v>
      </c>
      <c r="BZ9" s="9">
        <f>IF(AND(ISNUMBER($BN9),$BO9="Right 2nd Stage",SUM($BZ$5:$BZ8)=0),$BN8,0)</f>
        <v>0</v>
      </c>
      <c r="CA9" s="9">
        <f t="shared" si="47"/>
        <v>0</v>
      </c>
    </row>
    <row r="10" spans="1:79">
      <c r="A10" s="9">
        <v>6</v>
      </c>
      <c r="B10" s="166" t="e">
        <f>IF(ISNUMBER(XS_Analyzer!B10),XS_Analyzer!B10,NA())</f>
        <v>#N/A</v>
      </c>
      <c r="C10" s="88" t="e">
        <f>IF(ISNUMBER(XS_Analyzer!C10),XS_Analyzer!C10,NA())</f>
        <v>#N/A</v>
      </c>
      <c r="D10" s="88" t="str">
        <f>IF(ISNUMBER(XS_Analyzer!E10),XS_Analyzer!E10,"")</f>
        <v/>
      </c>
      <c r="E10" s="9" t="str">
        <f t="shared" si="28"/>
        <v/>
      </c>
      <c r="F10" s="88" t="e">
        <f>IF(AND(ISTEXT(XS_Analyzer!D10),XS_Analyzer!D10&lt;&gt;""),VLOOKUP(XS_Analyzer!D10,$K$12:$L$21,2,FALSE),"")</f>
        <v>#N/A</v>
      </c>
      <c r="G10" s="132" t="str">
        <f t="shared" si="29"/>
        <v/>
      </c>
      <c r="J10" s="5"/>
      <c r="K10" s="9"/>
      <c r="L10" s="5"/>
      <c r="M10" s="5"/>
      <c r="N10" s="69"/>
      <c r="O10" s="25"/>
      <c r="P10" s="5"/>
      <c r="Q10" s="5" t="str">
        <f t="shared" si="30"/>
        <v>N</v>
      </c>
      <c r="R10" s="5" t="str">
        <f t="shared" si="31"/>
        <v/>
      </c>
      <c r="S10" s="5" t="str">
        <f t="shared" si="32"/>
        <v/>
      </c>
      <c r="T10" s="5" t="str">
        <f t="shared" si="33"/>
        <v/>
      </c>
      <c r="U10" s="5" t="str">
        <f t="shared" si="34"/>
        <v/>
      </c>
      <c r="V10" s="62" t="str">
        <f t="shared" si="35"/>
        <v/>
      </c>
      <c r="W10" s="62" t="e">
        <f t="shared" si="48"/>
        <v>#N/A</v>
      </c>
      <c r="X10" s="9" t="e">
        <f t="shared" si="1"/>
        <v>#N/A</v>
      </c>
      <c r="Y10" s="64" t="str">
        <f t="shared" si="36"/>
        <v/>
      </c>
      <c r="Z10" s="174" t="str">
        <f t="shared" si="37"/>
        <v/>
      </c>
      <c r="AA10" s="64" t="str">
        <f>IF(ISNUMBER(Y10),INDEX(Y10:Y106,MATCH(TRUE,INDEX(Y10:Y106&lt;&gt;Y10,),0)),"")</f>
        <v/>
      </c>
      <c r="AB10" s="64" t="str">
        <f t="shared" si="39"/>
        <v/>
      </c>
      <c r="AC10" s="64" t="str">
        <f t="shared" si="40"/>
        <v/>
      </c>
      <c r="AD10" s="64" t="e">
        <f>IF(ISTEXT(AB10),INDEX(AB10:AB106,MATCH(TRUE,INDEX(AB10:AB106&lt;&gt;AB10,),0)),"")</f>
        <v>#N/A</v>
      </c>
      <c r="AE10" s="11" t="str">
        <f t="shared" si="42"/>
        <v/>
      </c>
      <c r="AF10" s="11" t="str">
        <f t="shared" si="2"/>
        <v/>
      </c>
      <c r="AG10" s="11" t="str">
        <f t="shared" si="3"/>
        <v/>
      </c>
      <c r="AH10" s="11" t="str">
        <f t="shared" si="43"/>
        <v/>
      </c>
      <c r="AI10" s="11" t="e">
        <f>IF(AND(ISNUMBER(AI9),ISNUMBER(S10)),(VLOOKUP(AD10,AB10:AC106,2,FALSE)),IF(ISNUMBER(S10),R10,NA()))</f>
        <v>#N/A</v>
      </c>
      <c r="AJ10" s="11" t="e">
        <f t="shared" si="4"/>
        <v>#N/A</v>
      </c>
      <c r="AK10" s="11" t="str">
        <f t="shared" si="5"/>
        <v/>
      </c>
      <c r="AL10" s="11" t="str">
        <f t="shared" si="6"/>
        <v/>
      </c>
      <c r="AM10" s="9"/>
      <c r="AN10" s="9"/>
      <c r="AO10" s="9"/>
      <c r="AP10" s="9"/>
      <c r="AQ10" s="9"/>
      <c r="AR10" s="9"/>
      <c r="AS10" s="74">
        <f t="shared" si="7"/>
        <v>10</v>
      </c>
      <c r="AT10" s="74">
        <f t="shared" si="8"/>
        <v>5</v>
      </c>
      <c r="AU10" s="74">
        <f t="shared" si="9"/>
        <v>10</v>
      </c>
      <c r="AV10" s="74">
        <f t="shared" si="0"/>
        <v>5</v>
      </c>
      <c r="AW10" s="102"/>
      <c r="AY10" s="9">
        <f t="shared" si="10"/>
        <v>10</v>
      </c>
      <c r="AZ10" s="11">
        <f t="shared" si="11"/>
        <v>3</v>
      </c>
      <c r="BA10" s="75">
        <f t="shared" si="12"/>
        <v>10</v>
      </c>
      <c r="BB10" s="11">
        <f t="shared" si="13"/>
        <v>3</v>
      </c>
      <c r="BD10" s="11">
        <f t="shared" si="14"/>
        <v>2</v>
      </c>
      <c r="BE10" s="9">
        <f t="shared" si="15"/>
        <v>0</v>
      </c>
      <c r="BF10" s="71">
        <f t="shared" si="16"/>
        <v>0</v>
      </c>
      <c r="BG10" s="11" t="str">
        <f t="shared" si="17"/>
        <v>MAX WSE</v>
      </c>
      <c r="BH10" s="132">
        <f t="shared" si="45"/>
        <v>5</v>
      </c>
      <c r="BJ10" s="71">
        <f t="shared" si="18"/>
        <v>2</v>
      </c>
      <c r="BL10" s="9">
        <f t="shared" si="49"/>
        <v>0</v>
      </c>
      <c r="BM10" s="9"/>
      <c r="BN10" s="102">
        <f t="shared" si="20"/>
        <v>10</v>
      </c>
      <c r="BO10" s="9" t="str">
        <f>IF(BP10="Left",IF(ISNA(VLOOKUP(BN10,XS_AnalyzerSummary!$A$21:$B$25,2,TRUE)),"",VLOOKUP(BN10,XS_AnalyzerSummary!$A$21:$B$25,2,TRUE)),IF(ISNA(VLOOKUP(-BN10,XS_AnalyzerSummary!$A$28:$B$32,2,TRUE)),"",VLOOKUP(-BN10,XS_AnalyzerSummary!$A$28:$B$32,2,TRUE)))</f>
        <v>Right Bank</v>
      </c>
      <c r="BP10" s="9" t="str">
        <f>IF(AU10&lt;XS_AnalyzerSummary!$B$7,"Left",IF(AU10&gt;XS_AnalyzerSummary!$B$7,"Right","Thalweg"))</f>
        <v>Right</v>
      </c>
      <c r="BQ10" s="9">
        <f t="shared" si="21"/>
        <v>0</v>
      </c>
      <c r="BR10" s="9">
        <f t="shared" si="22"/>
        <v>0</v>
      </c>
      <c r="BS10" s="9">
        <f t="shared" si="23"/>
        <v>0</v>
      </c>
      <c r="BT10" s="9">
        <f t="shared" si="24"/>
        <v>0</v>
      </c>
      <c r="BU10" s="9">
        <f t="shared" si="25"/>
        <v>2</v>
      </c>
      <c r="BV10" s="9">
        <f t="shared" si="26"/>
        <v>0</v>
      </c>
      <c r="BX10" s="9">
        <f>IF(AND(ISNUMBER($BN10),$BO10="Left 2nd Stage",SUM($BX$5:BX9)=0),$BN10,0)</f>
        <v>0</v>
      </c>
      <c r="BY10" s="9">
        <f t="shared" si="46"/>
        <v>0</v>
      </c>
      <c r="BZ10" s="9">
        <f>IF(AND(ISNUMBER($BN10),$BO10="Right 2nd Stage",SUM($BZ$5:$BZ9)=0),$BN9,0)</f>
        <v>0</v>
      </c>
      <c r="CA10" s="9">
        <f t="shared" si="47"/>
        <v>0</v>
      </c>
    </row>
    <row r="11" spans="1:79">
      <c r="A11" s="9">
        <v>7</v>
      </c>
      <c r="B11" s="166" t="e">
        <f>IF(ISNUMBER(XS_Analyzer!B11),XS_Analyzer!B11,NA())</f>
        <v>#N/A</v>
      </c>
      <c r="C11" s="88" t="e">
        <f>IF(ISNUMBER(XS_Analyzer!C11),XS_Analyzer!C11,NA())</f>
        <v>#N/A</v>
      </c>
      <c r="D11" s="88" t="str">
        <f>IF(ISNUMBER(XS_Analyzer!E11),XS_Analyzer!E11,"")</f>
        <v/>
      </c>
      <c r="E11" s="9" t="str">
        <f t="shared" si="28"/>
        <v/>
      </c>
      <c r="F11" s="88" t="e">
        <f>IF(AND(ISTEXT(XS_Analyzer!D11),XS_Analyzer!D11&lt;&gt;""),VLOOKUP(XS_Analyzer!D11,$K$12:$L$21,2,FALSE),"")</f>
        <v>#N/A</v>
      </c>
      <c r="G11" s="132" t="str">
        <f t="shared" si="29"/>
        <v/>
      </c>
      <c r="H11" s="82"/>
      <c r="I11" s="82"/>
      <c r="J11" s="82"/>
      <c r="K11" s="162" t="s">
        <v>88</v>
      </c>
      <c r="L11" s="100"/>
      <c r="M11" s="5"/>
      <c r="N11" s="26"/>
      <c r="O11" s="32">
        <f t="array" ref="O11">IF(J4&gt;MAX(IF(NOT(ISNA(B5:B104)),B5:B104)),MAX(IF(NOT(ISNA(B5:B104)),B5:B104)),J4)</f>
        <v>10</v>
      </c>
      <c r="P11" s="9"/>
      <c r="Q11" s="5" t="str">
        <f t="shared" si="30"/>
        <v>N</v>
      </c>
      <c r="R11" s="5" t="str">
        <f t="shared" si="31"/>
        <v/>
      </c>
      <c r="S11" s="5" t="str">
        <f t="shared" si="32"/>
        <v/>
      </c>
      <c r="T11" s="5" t="str">
        <f t="shared" si="33"/>
        <v/>
      </c>
      <c r="U11" s="5" t="str">
        <f t="shared" si="34"/>
        <v/>
      </c>
      <c r="V11" s="62" t="str">
        <f t="shared" si="35"/>
        <v/>
      </c>
      <c r="W11" s="62" t="e">
        <f t="shared" si="48"/>
        <v>#N/A</v>
      </c>
      <c r="X11" s="9" t="e">
        <f t="shared" si="1"/>
        <v>#N/A</v>
      </c>
      <c r="Y11" s="64" t="str">
        <f t="shared" si="36"/>
        <v/>
      </c>
      <c r="Z11" s="174" t="str">
        <f t="shared" si="37"/>
        <v/>
      </c>
      <c r="AA11" s="64" t="str">
        <f>IF(ISNUMBER(Y11),INDEX(Y11:Y106,MATCH(TRUE,INDEX(Y11:Y106&lt;&gt;Y11,),0)),"")</f>
        <v/>
      </c>
      <c r="AB11" s="64" t="str">
        <f t="shared" si="39"/>
        <v/>
      </c>
      <c r="AC11" s="64" t="str">
        <f t="shared" si="40"/>
        <v/>
      </c>
      <c r="AD11" s="64" t="e">
        <f>IF(ISTEXT(AB11),INDEX(AB11:AB106,MATCH(TRUE,INDEX(AB11:AB106&lt;&gt;AB11,),0)),"")</f>
        <v>#N/A</v>
      </c>
      <c r="AE11" s="11" t="str">
        <f t="shared" si="42"/>
        <v/>
      </c>
      <c r="AF11" s="11" t="str">
        <f t="shared" si="2"/>
        <v/>
      </c>
      <c r="AG11" s="11" t="str">
        <f t="shared" si="3"/>
        <v/>
      </c>
      <c r="AH11" s="11" t="str">
        <f t="shared" si="43"/>
        <v/>
      </c>
      <c r="AI11" s="11" t="e">
        <f>IF(AND(ISNUMBER(AI10),ISNUMBER(S11)),(VLOOKUP(AD11,AB11:AC106,2,FALSE)),IF(ISNUMBER(S11),R11,NA()))</f>
        <v>#N/A</v>
      </c>
      <c r="AJ11" s="11" t="e">
        <f t="shared" si="4"/>
        <v>#N/A</v>
      </c>
      <c r="AK11" s="11" t="str">
        <f t="shared" si="5"/>
        <v/>
      </c>
      <c r="AL11" s="11" t="str">
        <f t="shared" si="6"/>
        <v/>
      </c>
      <c r="AS11" s="74">
        <f t="shared" si="7"/>
        <v>10</v>
      </c>
      <c r="AT11" s="74">
        <f t="shared" si="8"/>
        <v>5</v>
      </c>
      <c r="AU11" s="74">
        <f t="shared" si="9"/>
        <v>10</v>
      </c>
      <c r="AV11" s="74">
        <f t="shared" si="0"/>
        <v>5</v>
      </c>
      <c r="AW11" s="102"/>
      <c r="AY11" s="9">
        <f t="shared" si="10"/>
        <v>10</v>
      </c>
      <c r="AZ11" s="11">
        <f t="shared" si="11"/>
        <v>3</v>
      </c>
      <c r="BA11" s="75">
        <f t="shared" si="12"/>
        <v>10</v>
      </c>
      <c r="BB11" s="11">
        <f t="shared" si="13"/>
        <v>3</v>
      </c>
      <c r="BD11" s="11">
        <f t="shared" si="14"/>
        <v>2</v>
      </c>
      <c r="BE11" s="9">
        <f t="shared" si="15"/>
        <v>0</v>
      </c>
      <c r="BF11" s="71">
        <f t="shared" si="16"/>
        <v>0</v>
      </c>
      <c r="BG11" s="11" t="str">
        <f t="shared" si="17"/>
        <v>MAX WSE</v>
      </c>
      <c r="BH11" s="132">
        <f t="shared" si="45"/>
        <v>5</v>
      </c>
      <c r="BJ11" s="71">
        <f t="shared" si="18"/>
        <v>2</v>
      </c>
      <c r="BL11" s="9">
        <f t="shared" si="49"/>
        <v>0</v>
      </c>
      <c r="BM11" s="9"/>
      <c r="BN11" s="102">
        <f t="shared" si="20"/>
        <v>10</v>
      </c>
      <c r="BO11" s="9" t="str">
        <f>IF(BP11="Left",IF(ISNA(VLOOKUP(BN11,XS_AnalyzerSummary!$A$21:$B$25,2,TRUE)),"",VLOOKUP(BN11,XS_AnalyzerSummary!$A$21:$B$25,2,TRUE)),IF(ISNA(VLOOKUP(-BN11,XS_AnalyzerSummary!$A$28:$B$32,2,TRUE)),"",VLOOKUP(-BN11,XS_AnalyzerSummary!$A$28:$B$32,2,TRUE)))</f>
        <v>Right Bank</v>
      </c>
      <c r="BP11" s="9" t="str">
        <f>IF(AU11&lt;XS_AnalyzerSummary!$B$7,"Left",IF(AU11&gt;XS_AnalyzerSummary!$B$7,"Right","Thalweg"))</f>
        <v>Right</v>
      </c>
      <c r="BQ11" s="9">
        <f t="shared" si="21"/>
        <v>0</v>
      </c>
      <c r="BR11" s="9">
        <f t="shared" si="22"/>
        <v>0</v>
      </c>
      <c r="BS11" s="9">
        <f t="shared" si="23"/>
        <v>0</v>
      </c>
      <c r="BT11" s="9">
        <f t="shared" si="24"/>
        <v>0</v>
      </c>
      <c r="BU11" s="9">
        <f t="shared" si="25"/>
        <v>2</v>
      </c>
      <c r="BV11" s="9">
        <f t="shared" si="26"/>
        <v>0</v>
      </c>
      <c r="BX11" s="9">
        <f>IF(AND(ISNUMBER($BN11),$BO11="Left 2nd Stage",SUM($BX$5:BX10)=0),$BN11,0)</f>
        <v>0</v>
      </c>
      <c r="BY11" s="9">
        <f t="shared" si="46"/>
        <v>0</v>
      </c>
      <c r="BZ11" s="9">
        <f>IF(AND(ISNUMBER($BN11),$BO11="Right 2nd Stage",SUM($BZ$5:$BZ10)=0),$BN10,0)</f>
        <v>0</v>
      </c>
      <c r="CA11" s="9">
        <f t="shared" si="47"/>
        <v>0</v>
      </c>
    </row>
    <row r="12" spans="1:79">
      <c r="A12" s="9">
        <v>8</v>
      </c>
      <c r="B12" s="166" t="e">
        <f>IF(ISNUMBER(XS_Analyzer!B12),XS_Analyzer!B12,NA())</f>
        <v>#N/A</v>
      </c>
      <c r="C12" s="88" t="e">
        <f>IF(ISNUMBER(XS_Analyzer!C12),XS_Analyzer!C12,NA())</f>
        <v>#N/A</v>
      </c>
      <c r="D12" s="88" t="str">
        <f>IF(ISNUMBER(XS_Analyzer!E12),XS_Analyzer!E12,"")</f>
        <v/>
      </c>
      <c r="E12" s="9" t="str">
        <f t="shared" si="28"/>
        <v/>
      </c>
      <c r="F12" s="88" t="e">
        <f>IF(AND(ISTEXT(XS_Analyzer!D12),XS_Analyzer!D12&lt;&gt;""),VLOOKUP(XS_Analyzer!D12,$K$12:$L$21,2,FALSE),"")</f>
        <v>#N/A</v>
      </c>
      <c r="G12" s="132" t="str">
        <f t="shared" si="29"/>
        <v/>
      </c>
      <c r="H12" s="82"/>
      <c r="I12" s="82"/>
      <c r="J12" s="82"/>
      <c r="K12" s="26" t="s">
        <v>84</v>
      </c>
      <c r="L12" s="69" t="s">
        <v>196</v>
      </c>
      <c r="M12" s="10"/>
      <c r="N12" s="26">
        <f>J4</f>
        <v>90</v>
      </c>
      <c r="O12" s="26">
        <f t="array" ref="O12">MIN(IF(NOT(ISNA(C5:C104)),C5:C104))</f>
        <v>0</v>
      </c>
      <c r="Q12" s="5" t="str">
        <f t="shared" si="30"/>
        <v>N</v>
      </c>
      <c r="R12" s="5" t="str">
        <f t="shared" si="31"/>
        <v/>
      </c>
      <c r="S12" s="5" t="str">
        <f t="shared" si="32"/>
        <v/>
      </c>
      <c r="T12" s="5" t="str">
        <f t="shared" si="33"/>
        <v/>
      </c>
      <c r="U12" s="5" t="str">
        <f t="shared" si="34"/>
        <v/>
      </c>
      <c r="V12" s="62" t="str">
        <f t="shared" si="35"/>
        <v/>
      </c>
      <c r="W12" s="62" t="e">
        <f t="shared" si="48"/>
        <v>#N/A</v>
      </c>
      <c r="X12" s="9" t="e">
        <f t="shared" si="1"/>
        <v>#N/A</v>
      </c>
      <c r="Y12" s="64" t="str">
        <f t="shared" si="36"/>
        <v/>
      </c>
      <c r="Z12" s="174" t="str">
        <f t="shared" si="37"/>
        <v/>
      </c>
      <c r="AA12" s="64" t="str">
        <f>IF(ISNUMBER(Y12),INDEX(Y12:Y106,MATCH(TRUE,INDEX(Y12:Y106&lt;&gt;Y12,),0)),"")</f>
        <v/>
      </c>
      <c r="AB12" s="64" t="str">
        <f t="shared" si="39"/>
        <v/>
      </c>
      <c r="AC12" s="64" t="str">
        <f t="shared" si="40"/>
        <v/>
      </c>
      <c r="AD12" s="64" t="e">
        <f>IF(ISTEXT(AB12),INDEX(AB12:AB106,MATCH(TRUE,INDEX(AB12:AB106&lt;&gt;AB12,),0)),"")</f>
        <v>#N/A</v>
      </c>
      <c r="AE12" s="11" t="str">
        <f t="shared" si="42"/>
        <v/>
      </c>
      <c r="AF12" s="11" t="str">
        <f t="shared" si="2"/>
        <v/>
      </c>
      <c r="AG12" s="11" t="str">
        <f t="shared" si="3"/>
        <v/>
      </c>
      <c r="AH12" s="11" t="str">
        <f t="shared" si="43"/>
        <v/>
      </c>
      <c r="AI12" s="11" t="e">
        <f>IF(AND(ISNUMBER(AI11),ISNUMBER(S12)),(VLOOKUP(AD12,AB12:AC106,2,FALSE)),IF(ISNUMBER(S12),R12,NA()))</f>
        <v>#N/A</v>
      </c>
      <c r="AJ12" s="11" t="e">
        <f t="shared" si="4"/>
        <v>#N/A</v>
      </c>
      <c r="AK12" s="11" t="str">
        <f t="shared" si="5"/>
        <v/>
      </c>
      <c r="AL12" s="11" t="str">
        <f t="shared" si="6"/>
        <v/>
      </c>
      <c r="AS12" s="74">
        <f t="shared" si="7"/>
        <v>10</v>
      </c>
      <c r="AT12" s="74">
        <f t="shared" si="8"/>
        <v>5</v>
      </c>
      <c r="AU12" s="74">
        <f t="shared" si="9"/>
        <v>10</v>
      </c>
      <c r="AV12" s="74">
        <f t="shared" si="0"/>
        <v>5</v>
      </c>
      <c r="AW12" s="102"/>
      <c r="AY12" s="9">
        <f t="shared" si="10"/>
        <v>10</v>
      </c>
      <c r="AZ12" s="11">
        <f t="shared" si="11"/>
        <v>3</v>
      </c>
      <c r="BA12" s="75">
        <f t="shared" si="12"/>
        <v>10</v>
      </c>
      <c r="BB12" s="11">
        <f t="shared" si="13"/>
        <v>3</v>
      </c>
      <c r="BD12" s="11">
        <f t="shared" si="14"/>
        <v>2</v>
      </c>
      <c r="BE12" s="9">
        <f t="shared" si="15"/>
        <v>0</v>
      </c>
      <c r="BF12" s="71">
        <f t="shared" si="16"/>
        <v>0</v>
      </c>
      <c r="BG12" s="11" t="str">
        <f t="shared" si="17"/>
        <v>MAX WSE</v>
      </c>
      <c r="BH12" s="132">
        <f t="shared" si="45"/>
        <v>5</v>
      </c>
      <c r="BJ12" s="71">
        <f t="shared" si="18"/>
        <v>2</v>
      </c>
      <c r="BL12" s="9">
        <f t="shared" si="49"/>
        <v>0</v>
      </c>
      <c r="BM12" s="9"/>
      <c r="BN12" s="102">
        <f t="shared" si="20"/>
        <v>10</v>
      </c>
      <c r="BO12" s="9" t="str">
        <f>IF(BP12="Left",IF(ISNA(VLOOKUP(BN12,XS_AnalyzerSummary!$A$21:$B$25,2,TRUE)),"",VLOOKUP(BN12,XS_AnalyzerSummary!$A$21:$B$25,2,TRUE)),IF(ISNA(VLOOKUP(-BN12,XS_AnalyzerSummary!$A$28:$B$32,2,TRUE)),"",VLOOKUP(-BN12,XS_AnalyzerSummary!$A$28:$B$32,2,TRUE)))</f>
        <v>Right Bank</v>
      </c>
      <c r="BP12" s="9" t="str">
        <f>IF(AU12&lt;XS_AnalyzerSummary!$B$7,"Left",IF(AU12&gt;XS_AnalyzerSummary!$B$7,"Right","Thalweg"))</f>
        <v>Right</v>
      </c>
      <c r="BQ12" s="9">
        <f t="shared" si="21"/>
        <v>0</v>
      </c>
      <c r="BR12" s="9">
        <f t="shared" si="22"/>
        <v>0</v>
      </c>
      <c r="BS12" s="9">
        <f t="shared" si="23"/>
        <v>0</v>
      </c>
      <c r="BT12" s="9">
        <f t="shared" si="24"/>
        <v>0</v>
      </c>
      <c r="BU12" s="9">
        <f t="shared" si="25"/>
        <v>2</v>
      </c>
      <c r="BV12" s="9">
        <f t="shared" si="26"/>
        <v>0</v>
      </c>
      <c r="BX12" s="9">
        <f>IF(AND(ISNUMBER($BN12),$BO12="Left 2nd Stage",SUM($BX$5:BX11)=0),$BN12,0)</f>
        <v>0</v>
      </c>
      <c r="BY12" s="9">
        <f t="shared" si="46"/>
        <v>0</v>
      </c>
      <c r="BZ12" s="9">
        <f>IF(AND(ISNUMBER($BN12),$BO12="Right 2nd Stage",SUM($BZ$5:$BZ11)=0),$BN11,0)</f>
        <v>0</v>
      </c>
      <c r="CA12" s="9">
        <f t="shared" si="47"/>
        <v>0</v>
      </c>
    </row>
    <row r="13" spans="1:79" ht="15">
      <c r="A13" s="9">
        <v>9</v>
      </c>
      <c r="B13" s="166" t="e">
        <f>IF(ISNUMBER(XS_Analyzer!B13),XS_Analyzer!B13,NA())</f>
        <v>#N/A</v>
      </c>
      <c r="C13" s="88" t="e">
        <f>IF(ISNUMBER(XS_Analyzer!C13),XS_Analyzer!C13,NA())</f>
        <v>#N/A</v>
      </c>
      <c r="D13" s="88" t="str">
        <f>IF(ISNUMBER(XS_Analyzer!E13),XS_Analyzer!E13,"")</f>
        <v/>
      </c>
      <c r="E13" s="9" t="str">
        <f t="shared" si="28"/>
        <v/>
      </c>
      <c r="F13" s="88" t="e">
        <f>IF(AND(ISTEXT(XS_Analyzer!D13),XS_Analyzer!D13&lt;&gt;""),VLOOKUP(XS_Analyzer!D13,$K$12:$L$21,2,FALSE),"")</f>
        <v>#N/A</v>
      </c>
      <c r="G13" s="132" t="str">
        <f t="shared" si="29"/>
        <v/>
      </c>
      <c r="K13" s="32" t="s">
        <v>439</v>
      </c>
      <c r="L13" s="25" t="s">
        <v>233</v>
      </c>
      <c r="M13" s="10"/>
      <c r="N13" s="26">
        <f>J4</f>
        <v>90</v>
      </c>
      <c r="O13" s="26">
        <f t="array" ref="O13">MAX(IF(NOT(ISNA(C5:C104)),C5:C104))</f>
        <v>3</v>
      </c>
      <c r="Q13" s="5" t="str">
        <f t="shared" si="30"/>
        <v>N</v>
      </c>
      <c r="R13" s="5" t="str">
        <f t="shared" si="31"/>
        <v/>
      </c>
      <c r="S13" s="5" t="str">
        <f t="shared" si="32"/>
        <v/>
      </c>
      <c r="T13" s="5" t="str">
        <f t="shared" si="33"/>
        <v/>
      </c>
      <c r="U13" s="5" t="str">
        <f t="shared" si="34"/>
        <v/>
      </c>
      <c r="V13" s="62" t="str">
        <f t="shared" si="35"/>
        <v/>
      </c>
      <c r="W13" s="62" t="e">
        <f t="shared" si="48"/>
        <v>#N/A</v>
      </c>
      <c r="X13" s="9" t="e">
        <f t="shared" si="1"/>
        <v>#N/A</v>
      </c>
      <c r="Y13" s="64" t="str">
        <f t="shared" si="36"/>
        <v/>
      </c>
      <c r="Z13" s="174" t="str">
        <f t="shared" si="37"/>
        <v/>
      </c>
      <c r="AA13" s="64" t="str">
        <f>IF(ISNUMBER(Y13),INDEX(Y13:Y106,MATCH(TRUE,INDEX(Y13:Y106&lt;&gt;Y13,),0)),"")</f>
        <v/>
      </c>
      <c r="AB13" s="64" t="str">
        <f t="shared" si="39"/>
        <v/>
      </c>
      <c r="AC13" s="64" t="str">
        <f t="shared" si="40"/>
        <v/>
      </c>
      <c r="AD13" s="64" t="e">
        <f>IF(ISTEXT(AB13),INDEX(AB13:AB106,MATCH(TRUE,INDEX(AB13:AB106&lt;&gt;AB13,),0)),"")</f>
        <v>#N/A</v>
      </c>
      <c r="AE13" s="11" t="str">
        <f t="shared" si="42"/>
        <v/>
      </c>
      <c r="AF13" s="11" t="str">
        <f t="shared" si="2"/>
        <v/>
      </c>
      <c r="AG13" s="11" t="str">
        <f t="shared" si="3"/>
        <v/>
      </c>
      <c r="AH13" s="11" t="str">
        <f t="shared" si="43"/>
        <v/>
      </c>
      <c r="AI13" s="11" t="e">
        <f>IF(AND(ISNUMBER(AI12),ISNUMBER(S13)),(VLOOKUP(AD13,AB13:AC106,2,FALSE)),IF(ISNUMBER(S13),R13,NA()))</f>
        <v>#N/A</v>
      </c>
      <c r="AJ13" s="11" t="e">
        <f t="shared" si="4"/>
        <v>#N/A</v>
      </c>
      <c r="AK13" s="11" t="str">
        <f t="shared" si="5"/>
        <v/>
      </c>
      <c r="AL13" s="11" t="str">
        <f t="shared" si="6"/>
        <v/>
      </c>
      <c r="AM13" s="9"/>
      <c r="AN13" s="7"/>
      <c r="AO13" s="7"/>
      <c r="AP13" s="7"/>
      <c r="AQ13" s="7"/>
      <c r="AS13" s="74">
        <f t="shared" si="7"/>
        <v>10</v>
      </c>
      <c r="AT13" s="74">
        <f t="shared" si="8"/>
        <v>5</v>
      </c>
      <c r="AU13" s="74">
        <f t="shared" si="9"/>
        <v>10</v>
      </c>
      <c r="AV13" s="74">
        <f t="shared" si="0"/>
        <v>5</v>
      </c>
      <c r="AW13" s="102"/>
      <c r="AY13" s="9">
        <f t="shared" si="10"/>
        <v>10</v>
      </c>
      <c r="AZ13" s="11">
        <f t="shared" si="11"/>
        <v>3</v>
      </c>
      <c r="BA13" s="75">
        <f t="shared" si="12"/>
        <v>10</v>
      </c>
      <c r="BB13" s="11">
        <f t="shared" si="13"/>
        <v>3</v>
      </c>
      <c r="BD13" s="11">
        <f t="shared" si="14"/>
        <v>2</v>
      </c>
      <c r="BE13" s="9">
        <f t="shared" si="15"/>
        <v>0</v>
      </c>
      <c r="BF13" s="71">
        <f t="shared" si="16"/>
        <v>0</v>
      </c>
      <c r="BG13" s="11" t="str">
        <f t="shared" si="17"/>
        <v>MAX WSE</v>
      </c>
      <c r="BH13" s="132">
        <f t="shared" si="45"/>
        <v>5</v>
      </c>
      <c r="BJ13" s="71">
        <f t="shared" si="18"/>
        <v>2</v>
      </c>
      <c r="BL13" s="9">
        <f t="shared" si="49"/>
        <v>0</v>
      </c>
      <c r="BM13" s="9"/>
      <c r="BN13" s="102">
        <f t="shared" si="20"/>
        <v>10</v>
      </c>
      <c r="BO13" s="9" t="str">
        <f>IF(BP13="Left",IF(ISNA(VLOOKUP(BN13,XS_AnalyzerSummary!$A$21:$B$25,2,TRUE)),"",VLOOKUP(BN13,XS_AnalyzerSummary!$A$21:$B$25,2,TRUE)),IF(ISNA(VLOOKUP(-BN13,XS_AnalyzerSummary!$A$28:$B$32,2,TRUE)),"",VLOOKUP(-BN13,XS_AnalyzerSummary!$A$28:$B$32,2,TRUE)))</f>
        <v>Right Bank</v>
      </c>
      <c r="BP13" s="9" t="str">
        <f>IF(AU13&lt;XS_AnalyzerSummary!$B$7,"Left",IF(AU13&gt;XS_AnalyzerSummary!$B$7,"Right","Thalweg"))</f>
        <v>Right</v>
      </c>
      <c r="BQ13" s="9">
        <f t="shared" si="21"/>
        <v>0</v>
      </c>
      <c r="BR13" s="9">
        <f t="shared" si="22"/>
        <v>0</v>
      </c>
      <c r="BS13" s="9">
        <f t="shared" si="23"/>
        <v>0</v>
      </c>
      <c r="BT13" s="9">
        <f t="shared" si="24"/>
        <v>0</v>
      </c>
      <c r="BU13" s="9">
        <f t="shared" si="25"/>
        <v>2</v>
      </c>
      <c r="BV13" s="9">
        <f t="shared" si="26"/>
        <v>0</v>
      </c>
      <c r="BX13" s="9">
        <f>IF(AND(ISNUMBER($BN13),$BO13="Left 2nd Stage",SUM($BX$5:BX12)=0),$BN13,0)</f>
        <v>0</v>
      </c>
      <c r="BY13" s="9">
        <f t="shared" si="46"/>
        <v>0</v>
      </c>
      <c r="BZ13" s="9">
        <f>IF(AND(ISNUMBER($BN13),$BO13="Right 2nd Stage",SUM($BZ$5:$BZ12)=0),$BN12,0)</f>
        <v>0</v>
      </c>
      <c r="CA13" s="9">
        <f t="shared" si="47"/>
        <v>0</v>
      </c>
    </row>
    <row r="14" spans="1:79" ht="15">
      <c r="A14" s="9">
        <v>10</v>
      </c>
      <c r="B14" s="166" t="e">
        <f>IF(ISNUMBER(XS_Analyzer!B14),XS_Analyzer!B14,NA())</f>
        <v>#N/A</v>
      </c>
      <c r="C14" s="88" t="e">
        <f>IF(ISNUMBER(XS_Analyzer!C14),XS_Analyzer!C14,NA())</f>
        <v>#N/A</v>
      </c>
      <c r="D14" s="88" t="str">
        <f>IF(ISNUMBER(XS_Analyzer!E14),XS_Analyzer!E14,"")</f>
        <v/>
      </c>
      <c r="E14" s="9" t="str">
        <f t="shared" si="28"/>
        <v/>
      </c>
      <c r="F14" s="88" t="e">
        <f>IF(AND(ISTEXT(XS_Analyzer!D14),XS_Analyzer!D14&lt;&gt;""),VLOOKUP(XS_Analyzer!D14,$K$12:$L$21,2,FALSE),"")</f>
        <v>#N/A</v>
      </c>
      <c r="G14" s="132" t="str">
        <f t="shared" si="29"/>
        <v/>
      </c>
      <c r="K14" s="18" t="s">
        <v>504</v>
      </c>
      <c r="L14" s="93" t="s">
        <v>263</v>
      </c>
      <c r="M14" s="10"/>
      <c r="Q14" s="5" t="str">
        <f t="shared" si="30"/>
        <v>N</v>
      </c>
      <c r="R14" s="5" t="str">
        <f t="shared" si="31"/>
        <v/>
      </c>
      <c r="S14" s="5" t="str">
        <f t="shared" si="32"/>
        <v/>
      </c>
      <c r="T14" s="5" t="str">
        <f t="shared" si="33"/>
        <v/>
      </c>
      <c r="U14" s="5" t="str">
        <f t="shared" si="34"/>
        <v/>
      </c>
      <c r="V14" s="62" t="str">
        <f t="shared" si="35"/>
        <v/>
      </c>
      <c r="W14" s="62" t="e">
        <f t="shared" si="48"/>
        <v>#N/A</v>
      </c>
      <c r="X14" s="9" t="e">
        <f t="shared" si="1"/>
        <v>#N/A</v>
      </c>
      <c r="Y14" s="64" t="str">
        <f t="shared" si="36"/>
        <v/>
      </c>
      <c r="Z14" s="174" t="str">
        <f t="shared" si="37"/>
        <v/>
      </c>
      <c r="AA14" s="64" t="str">
        <f>IF(ISNUMBER(Y14),INDEX(Y14:Y106,MATCH(TRUE,INDEX(Y14:Y106&lt;&gt;Y14,),0)),"")</f>
        <v/>
      </c>
      <c r="AB14" s="64" t="str">
        <f t="shared" si="39"/>
        <v/>
      </c>
      <c r="AC14" s="64" t="str">
        <f t="shared" si="40"/>
        <v/>
      </c>
      <c r="AD14" s="64" t="e">
        <f>IF(ISTEXT(AB14),INDEX(AB14:AB106,MATCH(TRUE,INDEX(AB14:AB106&lt;&gt;AB14,),0)),"")</f>
        <v>#N/A</v>
      </c>
      <c r="AE14" s="11" t="str">
        <f t="shared" si="42"/>
        <v/>
      </c>
      <c r="AF14" s="11" t="str">
        <f t="shared" si="2"/>
        <v/>
      </c>
      <c r="AG14" s="11" t="str">
        <f t="shared" si="3"/>
        <v/>
      </c>
      <c r="AH14" s="11" t="str">
        <f t="shared" si="43"/>
        <v/>
      </c>
      <c r="AI14" s="11" t="e">
        <f>IF(AND(ISNUMBER(AI13),ISNUMBER(S14)),(VLOOKUP(AD14,AB14:AC106,2,FALSE)),IF(ISNUMBER(S14),R14,NA()))</f>
        <v>#N/A</v>
      </c>
      <c r="AJ14" s="11" t="e">
        <f t="shared" si="4"/>
        <v>#N/A</v>
      </c>
      <c r="AK14" s="11" t="str">
        <f t="shared" si="5"/>
        <v/>
      </c>
      <c r="AL14" s="11" t="str">
        <f t="shared" si="6"/>
        <v/>
      </c>
      <c r="AM14" s="5"/>
      <c r="AN14" s="7"/>
      <c r="AO14" s="7"/>
      <c r="AP14" s="7"/>
      <c r="AQ14" s="7"/>
      <c r="AR14" s="5"/>
      <c r="AS14" s="74">
        <f t="shared" si="7"/>
        <v>10</v>
      </c>
      <c r="AT14" s="74">
        <f t="shared" si="8"/>
        <v>5</v>
      </c>
      <c r="AU14" s="74">
        <f t="shared" si="9"/>
        <v>10</v>
      </c>
      <c r="AV14" s="74">
        <f t="shared" si="0"/>
        <v>5</v>
      </c>
      <c r="AW14" s="102"/>
      <c r="AY14" s="9">
        <f t="shared" si="10"/>
        <v>10</v>
      </c>
      <c r="AZ14" s="11">
        <f t="shared" si="11"/>
        <v>3</v>
      </c>
      <c r="BA14" s="75">
        <f t="shared" si="12"/>
        <v>10</v>
      </c>
      <c r="BB14" s="11">
        <f t="shared" si="13"/>
        <v>3</v>
      </c>
      <c r="BD14" s="11">
        <f t="shared" si="14"/>
        <v>2</v>
      </c>
      <c r="BE14" s="9">
        <f t="shared" si="15"/>
        <v>0</v>
      </c>
      <c r="BF14" s="71">
        <f t="shared" si="16"/>
        <v>0</v>
      </c>
      <c r="BG14" s="11" t="str">
        <f t="shared" si="17"/>
        <v>MAX WSE</v>
      </c>
      <c r="BH14" s="132">
        <f t="shared" si="45"/>
        <v>5</v>
      </c>
      <c r="BJ14" s="71">
        <f t="shared" si="18"/>
        <v>2</v>
      </c>
      <c r="BL14" s="9">
        <f t="shared" si="49"/>
        <v>0</v>
      </c>
      <c r="BM14" s="9"/>
      <c r="BN14" s="9">
        <f t="shared" si="20"/>
        <v>10</v>
      </c>
      <c r="BO14" s="9" t="str">
        <f>IF(BP14="Left",IF(ISNA(VLOOKUP(BN14,XS_AnalyzerSummary!$A$21:$B$25,2,TRUE)),"",VLOOKUP(BN14,XS_AnalyzerSummary!$A$21:$B$25,2,TRUE)),IF(ISNA(VLOOKUP(-BN14,XS_AnalyzerSummary!$A$28:$B$32,2,TRUE)),"",VLOOKUP(-BN14,XS_AnalyzerSummary!$A$28:$B$32,2,TRUE)))</f>
        <v>Right Bank</v>
      </c>
      <c r="BP14" s="9" t="str">
        <f>IF(AU14&lt;XS_AnalyzerSummary!$B$7,"Left",IF(AU14&gt;XS_AnalyzerSummary!$B$7,"Right","Thalweg"))</f>
        <v>Right</v>
      </c>
      <c r="BQ14" s="9">
        <f t="shared" si="21"/>
        <v>0</v>
      </c>
      <c r="BR14" s="9">
        <f t="shared" si="22"/>
        <v>0</v>
      </c>
      <c r="BS14" s="9">
        <f t="shared" si="23"/>
        <v>0</v>
      </c>
      <c r="BT14" s="9">
        <f t="shared" si="24"/>
        <v>0</v>
      </c>
      <c r="BU14" s="9">
        <f t="shared" si="25"/>
        <v>2</v>
      </c>
      <c r="BV14" s="9">
        <f t="shared" si="26"/>
        <v>0</v>
      </c>
      <c r="BX14" s="9">
        <f>IF(AND(ISNUMBER($BN14),$BO14="Left 2nd Stage",SUM($BX$5:BX13)=0),$BN14,0)</f>
        <v>0</v>
      </c>
      <c r="BY14" s="9">
        <f t="shared" si="46"/>
        <v>0</v>
      </c>
      <c r="BZ14" s="9">
        <f>IF(AND(ISNUMBER($BN14),$BO14="Right 2nd Stage",SUM($BZ$5:$BZ13)=0),$BN13,0)</f>
        <v>0</v>
      </c>
      <c r="CA14" s="9">
        <f t="shared" si="47"/>
        <v>0</v>
      </c>
    </row>
    <row r="15" spans="1:79" ht="15">
      <c r="A15" s="9">
        <v>11</v>
      </c>
      <c r="B15" s="166" t="e">
        <f>IF(ISNUMBER(XS_Analyzer!B15),XS_Analyzer!B15,NA())</f>
        <v>#N/A</v>
      </c>
      <c r="C15" s="88" t="e">
        <f>IF(ISNUMBER(XS_Analyzer!C15),XS_Analyzer!C15,NA())</f>
        <v>#N/A</v>
      </c>
      <c r="D15" s="88" t="str">
        <f>IF(ISNUMBER(XS_Analyzer!E15),XS_Analyzer!E15,"")</f>
        <v/>
      </c>
      <c r="E15" s="9" t="str">
        <f t="shared" si="28"/>
        <v/>
      </c>
      <c r="F15" s="88" t="e">
        <f>IF(AND(ISTEXT(XS_Analyzer!D15),XS_Analyzer!D15&lt;&gt;""),VLOOKUP(XS_Analyzer!D15,$K$12:$L$21,2,FALSE),"")</f>
        <v>#N/A</v>
      </c>
      <c r="G15" s="132" t="str">
        <f t="shared" si="29"/>
        <v/>
      </c>
      <c r="K15" s="26" t="s">
        <v>230</v>
      </c>
      <c r="L15" s="69" t="s">
        <v>234</v>
      </c>
      <c r="M15" s="10"/>
      <c r="N15" s="309" t="s">
        <v>509</v>
      </c>
      <c r="O15" s="309"/>
      <c r="P15" s="5"/>
      <c r="Q15" s="5" t="str">
        <f t="shared" si="30"/>
        <v>N</v>
      </c>
      <c r="R15" s="5" t="str">
        <f t="shared" si="31"/>
        <v/>
      </c>
      <c r="S15" s="5" t="str">
        <f t="shared" si="32"/>
        <v/>
      </c>
      <c r="T15" s="5" t="str">
        <f t="shared" si="33"/>
        <v/>
      </c>
      <c r="U15" s="5" t="str">
        <f t="shared" si="34"/>
        <v/>
      </c>
      <c r="V15" s="62" t="str">
        <f t="shared" si="35"/>
        <v/>
      </c>
      <c r="W15" s="62" t="e">
        <f t="shared" si="48"/>
        <v>#N/A</v>
      </c>
      <c r="X15" s="9" t="e">
        <f t="shared" si="1"/>
        <v>#N/A</v>
      </c>
      <c r="Y15" s="64" t="str">
        <f t="shared" si="36"/>
        <v/>
      </c>
      <c r="Z15" s="174" t="str">
        <f t="shared" si="37"/>
        <v/>
      </c>
      <c r="AA15" s="64" t="str">
        <f>IF(ISNUMBER(Y15),INDEX(Y15:Y106,MATCH(TRUE,INDEX(Y15:Y106&lt;&gt;Y15,),0)),"")</f>
        <v/>
      </c>
      <c r="AB15" s="64" t="str">
        <f t="shared" si="39"/>
        <v/>
      </c>
      <c r="AC15" s="64" t="str">
        <f t="shared" si="40"/>
        <v/>
      </c>
      <c r="AD15" s="64" t="e">
        <f>IF(ISTEXT(AB15),INDEX(AB15:AB106,MATCH(TRUE,INDEX(AB15:AB106&lt;&gt;AB15,),0)),"")</f>
        <v>#N/A</v>
      </c>
      <c r="AE15" s="11" t="str">
        <f t="shared" si="42"/>
        <v/>
      </c>
      <c r="AF15" s="11" t="str">
        <f t="shared" si="2"/>
        <v/>
      </c>
      <c r="AG15" s="11" t="str">
        <f t="shared" si="3"/>
        <v/>
      </c>
      <c r="AH15" s="11" t="str">
        <f t="shared" si="43"/>
        <v/>
      </c>
      <c r="AI15" s="11" t="e">
        <f>IF(AND(ISNUMBER(AI14),ISNUMBER(S15)),(VLOOKUP(AD15,AB15:AC106,2,FALSE)),IF(ISNUMBER(S15),R15,NA()))</f>
        <v>#N/A</v>
      </c>
      <c r="AJ15" s="11" t="e">
        <f t="shared" si="4"/>
        <v>#N/A</v>
      </c>
      <c r="AK15" s="11" t="str">
        <f t="shared" si="5"/>
        <v/>
      </c>
      <c r="AL15" s="11" t="str">
        <f t="shared" si="6"/>
        <v/>
      </c>
      <c r="AN15" s="7"/>
      <c r="AO15" s="7"/>
      <c r="AP15" s="7"/>
      <c r="AQ15" s="7"/>
      <c r="AR15" s="5"/>
      <c r="AS15" s="74">
        <f t="shared" si="7"/>
        <v>10</v>
      </c>
      <c r="AT15" s="74">
        <f t="shared" si="8"/>
        <v>5</v>
      </c>
      <c r="AU15" s="74">
        <f t="shared" si="9"/>
        <v>10</v>
      </c>
      <c r="AV15" s="74">
        <f t="shared" si="0"/>
        <v>5</v>
      </c>
      <c r="AW15" s="102"/>
      <c r="AY15" s="9">
        <f t="shared" si="10"/>
        <v>10</v>
      </c>
      <c r="AZ15" s="11">
        <f t="shared" si="11"/>
        <v>3</v>
      </c>
      <c r="BA15" s="75">
        <f t="shared" si="12"/>
        <v>10</v>
      </c>
      <c r="BB15" s="11">
        <f t="shared" si="13"/>
        <v>3</v>
      </c>
      <c r="BD15" s="11">
        <f t="shared" si="14"/>
        <v>2</v>
      </c>
      <c r="BE15" s="9">
        <f t="shared" si="15"/>
        <v>0</v>
      </c>
      <c r="BF15" s="71">
        <f t="shared" si="16"/>
        <v>0</v>
      </c>
      <c r="BG15" s="11" t="str">
        <f t="shared" si="17"/>
        <v>MAX WSE</v>
      </c>
      <c r="BH15" s="132">
        <f t="shared" si="45"/>
        <v>5</v>
      </c>
      <c r="BJ15" s="71">
        <f t="shared" si="18"/>
        <v>2</v>
      </c>
      <c r="BL15" s="9">
        <f t="shared" si="49"/>
        <v>0</v>
      </c>
      <c r="BM15" s="9"/>
      <c r="BN15" s="9">
        <f t="shared" si="20"/>
        <v>10</v>
      </c>
      <c r="BO15" s="9" t="str">
        <f>IF(BP15="Left",IF(ISNA(VLOOKUP(BN15,XS_AnalyzerSummary!$A$21:$B$25,2,TRUE)),"",VLOOKUP(BN15,XS_AnalyzerSummary!$A$21:$B$25,2,TRUE)),IF(ISNA(VLOOKUP(-BN15,XS_AnalyzerSummary!$A$28:$B$32,2,TRUE)),"",VLOOKUP(-BN15,XS_AnalyzerSummary!$A$28:$B$32,2,TRUE)))</f>
        <v>Right Bank</v>
      </c>
      <c r="BP15" s="9" t="str">
        <f>IF(AU15&lt;XS_AnalyzerSummary!$B$7,"Left",IF(AU15&gt;XS_AnalyzerSummary!$B$7,"Right","Thalweg"))</f>
        <v>Right</v>
      </c>
      <c r="BQ15" s="9">
        <f t="shared" si="21"/>
        <v>0</v>
      </c>
      <c r="BR15" s="9">
        <f t="shared" si="22"/>
        <v>0</v>
      </c>
      <c r="BS15" s="9">
        <f t="shared" si="23"/>
        <v>0</v>
      </c>
      <c r="BT15" s="9">
        <f t="shared" si="24"/>
        <v>0</v>
      </c>
      <c r="BU15" s="9">
        <f t="shared" si="25"/>
        <v>2</v>
      </c>
      <c r="BV15" s="9">
        <f t="shared" si="26"/>
        <v>0</v>
      </c>
      <c r="BX15" s="9">
        <f>IF(AND(ISNUMBER($BN15),$BO15="Left 2nd Stage",SUM($BX$5:BX14)=0),$BN15,0)</f>
        <v>0</v>
      </c>
      <c r="BY15" s="9">
        <f t="shared" si="46"/>
        <v>0</v>
      </c>
      <c r="BZ15" s="9">
        <f>IF(AND(ISNUMBER($BN15),$BO15="Right 2nd Stage",SUM($BZ$5:$BZ14)=0),$BN14,0)</f>
        <v>0</v>
      </c>
      <c r="CA15" s="9">
        <f t="shared" si="47"/>
        <v>0</v>
      </c>
    </row>
    <row r="16" spans="1:79" ht="15">
      <c r="A16" s="9">
        <v>12</v>
      </c>
      <c r="B16" s="166" t="e">
        <f>IF(ISNUMBER(XS_Analyzer!B16),XS_Analyzer!B16,NA())</f>
        <v>#N/A</v>
      </c>
      <c r="C16" s="88" t="e">
        <f>IF(ISNUMBER(XS_Analyzer!C16),XS_Analyzer!C16,NA())</f>
        <v>#N/A</v>
      </c>
      <c r="D16" s="88" t="str">
        <f>IF(ISNUMBER(XS_Analyzer!E16),XS_Analyzer!E16,"")</f>
        <v/>
      </c>
      <c r="E16" s="9" t="str">
        <f t="shared" si="28"/>
        <v/>
      </c>
      <c r="F16" s="88" t="e">
        <f>IF(AND(ISTEXT(XS_Analyzer!D16),XS_Analyzer!D16&lt;&gt;""),VLOOKUP(XS_Analyzer!D16,$K$12:$L$21,2,FALSE),"")</f>
        <v>#N/A</v>
      </c>
      <c r="G16" s="132" t="str">
        <f t="shared" si="29"/>
        <v/>
      </c>
      <c r="H16" s="10"/>
      <c r="I16" s="7"/>
      <c r="K16" s="26" t="s">
        <v>371</v>
      </c>
      <c r="L16" s="69" t="str">
        <f>IF(L9="Yes","R-IB","R-BK")</f>
        <v>R-BK</v>
      </c>
      <c r="M16" s="10"/>
      <c r="N16" s="69"/>
      <c r="O16" s="25" t="s">
        <v>138</v>
      </c>
      <c r="P16" s="5"/>
      <c r="Q16" s="5" t="str">
        <f t="shared" si="30"/>
        <v>N</v>
      </c>
      <c r="R16" s="5" t="str">
        <f t="shared" si="31"/>
        <v/>
      </c>
      <c r="S16" s="5" t="str">
        <f t="shared" si="32"/>
        <v/>
      </c>
      <c r="T16" s="5" t="str">
        <f t="shared" si="33"/>
        <v/>
      </c>
      <c r="U16" s="5" t="str">
        <f t="shared" si="34"/>
        <v/>
      </c>
      <c r="V16" s="62" t="str">
        <f t="shared" si="35"/>
        <v/>
      </c>
      <c r="W16" s="62" t="e">
        <f t="shared" si="48"/>
        <v>#N/A</v>
      </c>
      <c r="X16" s="9" t="e">
        <f t="shared" si="1"/>
        <v>#N/A</v>
      </c>
      <c r="Y16" s="64" t="str">
        <f t="shared" si="36"/>
        <v/>
      </c>
      <c r="Z16" s="174" t="str">
        <f t="shared" si="37"/>
        <v/>
      </c>
      <c r="AA16" s="64" t="str">
        <f>IF(ISNUMBER(Y16),INDEX(Y16:Y106,MATCH(TRUE,INDEX(Y16:Y106&lt;&gt;Y16,),0)),"")</f>
        <v/>
      </c>
      <c r="AB16" s="64" t="str">
        <f t="shared" si="39"/>
        <v/>
      </c>
      <c r="AC16" s="64" t="str">
        <f t="shared" si="40"/>
        <v/>
      </c>
      <c r="AD16" s="64" t="e">
        <f>IF(ISTEXT(AB16),INDEX(AB16:AB106,MATCH(TRUE,INDEX(AB16:AB106&lt;&gt;AB16,),0)),"")</f>
        <v>#N/A</v>
      </c>
      <c r="AE16" s="11" t="str">
        <f t="shared" si="42"/>
        <v/>
      </c>
      <c r="AF16" s="11" t="str">
        <f t="shared" si="2"/>
        <v/>
      </c>
      <c r="AG16" s="11" t="str">
        <f t="shared" si="3"/>
        <v/>
      </c>
      <c r="AH16" s="11" t="str">
        <f t="shared" si="43"/>
        <v/>
      </c>
      <c r="AI16" s="11" t="e">
        <f>IF(AND(ISNUMBER(AI15),ISNUMBER(S16)),(VLOOKUP(AD16,AB16:AC106,2,FALSE)),IF(ISNUMBER(S16),R16,NA()))</f>
        <v>#N/A</v>
      </c>
      <c r="AJ16" s="11" t="e">
        <f t="shared" si="4"/>
        <v>#N/A</v>
      </c>
      <c r="AK16" s="11" t="str">
        <f t="shared" si="5"/>
        <v/>
      </c>
      <c r="AL16" s="11" t="str">
        <f t="shared" si="6"/>
        <v/>
      </c>
      <c r="AN16" s="7"/>
      <c r="AO16" s="7"/>
      <c r="AP16" s="7"/>
      <c r="AQ16" s="7"/>
      <c r="AR16" s="5"/>
      <c r="AS16" s="74">
        <f t="shared" si="7"/>
        <v>10</v>
      </c>
      <c r="AT16" s="74">
        <f t="shared" si="8"/>
        <v>5</v>
      </c>
      <c r="AU16" s="74">
        <f t="shared" si="9"/>
        <v>10</v>
      </c>
      <c r="AV16" s="74">
        <f t="shared" si="0"/>
        <v>5</v>
      </c>
      <c r="AW16" s="102"/>
      <c r="AY16" s="9">
        <f t="shared" si="10"/>
        <v>10</v>
      </c>
      <c r="AZ16" s="11">
        <f t="shared" si="11"/>
        <v>3</v>
      </c>
      <c r="BA16" s="75">
        <f t="shared" si="12"/>
        <v>10</v>
      </c>
      <c r="BB16" s="11">
        <f t="shared" si="13"/>
        <v>3</v>
      </c>
      <c r="BD16" s="11">
        <f t="shared" si="14"/>
        <v>2</v>
      </c>
      <c r="BE16" s="9">
        <f t="shared" si="15"/>
        <v>0</v>
      </c>
      <c r="BF16" s="71">
        <f t="shared" si="16"/>
        <v>0</v>
      </c>
      <c r="BG16" s="11" t="str">
        <f t="shared" si="17"/>
        <v>MAX WSE</v>
      </c>
      <c r="BH16" s="132">
        <f t="shared" si="45"/>
        <v>5</v>
      </c>
      <c r="BJ16" s="71">
        <f t="shared" si="18"/>
        <v>2</v>
      </c>
      <c r="BL16" s="9">
        <f t="shared" si="49"/>
        <v>0</v>
      </c>
      <c r="BM16" s="9"/>
      <c r="BN16" s="9">
        <f t="shared" si="20"/>
        <v>10</v>
      </c>
      <c r="BO16" s="9" t="str">
        <f>IF(BP16="Left",IF(ISNA(VLOOKUP(BN16,XS_AnalyzerSummary!$A$21:$B$25,2,TRUE)),"",VLOOKUP(BN16,XS_AnalyzerSummary!$A$21:$B$25,2,TRUE)),IF(ISNA(VLOOKUP(-BN16,XS_AnalyzerSummary!$A$28:$B$32,2,TRUE)),"",VLOOKUP(-BN16,XS_AnalyzerSummary!$A$28:$B$32,2,TRUE)))</f>
        <v>Right Bank</v>
      </c>
      <c r="BP16" s="9" t="str">
        <f>IF(AU16&lt;XS_AnalyzerSummary!$B$7,"Left",IF(AU16&gt;XS_AnalyzerSummary!$B$7,"Right","Thalweg"))</f>
        <v>Right</v>
      </c>
      <c r="BQ16" s="9">
        <f t="shared" si="21"/>
        <v>0</v>
      </c>
      <c r="BR16" s="9">
        <f t="shared" si="22"/>
        <v>0</v>
      </c>
      <c r="BS16" s="9">
        <f t="shared" si="23"/>
        <v>0</v>
      </c>
      <c r="BT16" s="9">
        <f t="shared" si="24"/>
        <v>0</v>
      </c>
      <c r="BU16" s="9">
        <f t="shared" si="25"/>
        <v>2</v>
      </c>
      <c r="BV16" s="9">
        <f t="shared" si="26"/>
        <v>0</v>
      </c>
      <c r="BX16" s="9">
        <f>IF(AND(ISNUMBER($BN16),$BO16="Left 2nd Stage",SUM($BX$5:BX15)=0),$BN16,0)</f>
        <v>0</v>
      </c>
      <c r="BY16" s="9">
        <f t="shared" si="46"/>
        <v>0</v>
      </c>
      <c r="BZ16" s="9">
        <f>IF(AND(ISNUMBER($BN16),$BO16="Right 2nd Stage",SUM($BZ$5:$BZ15)=0),$BN15,0)</f>
        <v>0</v>
      </c>
      <c r="CA16" s="9">
        <f t="shared" si="47"/>
        <v>0</v>
      </c>
    </row>
    <row r="17" spans="1:79" ht="15">
      <c r="A17" s="9">
        <v>13</v>
      </c>
      <c r="B17" s="166" t="e">
        <f>IF(ISNUMBER(XS_Analyzer!B17),XS_Analyzer!B17,NA())</f>
        <v>#N/A</v>
      </c>
      <c r="C17" s="88" t="e">
        <f>IF(ISNUMBER(XS_Analyzer!C17),XS_Analyzer!C17,NA())</f>
        <v>#N/A</v>
      </c>
      <c r="D17" s="88" t="str">
        <f>IF(ISNUMBER(XS_Analyzer!E17),XS_Analyzer!E17,"")</f>
        <v/>
      </c>
      <c r="E17" s="9" t="str">
        <f t="shared" si="28"/>
        <v/>
      </c>
      <c r="F17" s="88" t="e">
        <f>IF(AND(ISTEXT(XS_Analyzer!D17),XS_Analyzer!D17&lt;&gt;""),VLOOKUP(XS_Analyzer!D17,$K$12:$L$21,2,FALSE),"")</f>
        <v>#N/A</v>
      </c>
      <c r="G17" s="132" t="str">
        <f t="shared" si="29"/>
        <v/>
      </c>
      <c r="H17" s="10"/>
      <c r="I17" s="7"/>
      <c r="K17" s="26" t="s">
        <v>334</v>
      </c>
      <c r="L17" s="69" t="s">
        <v>33</v>
      </c>
      <c r="M17" s="10"/>
      <c r="N17" s="26"/>
      <c r="O17" s="32">
        <f>K4</f>
        <v>5</v>
      </c>
      <c r="P17" s="9"/>
      <c r="Q17" s="5" t="str">
        <f t="shared" si="30"/>
        <v>N</v>
      </c>
      <c r="R17" s="5" t="str">
        <f t="shared" si="31"/>
        <v/>
      </c>
      <c r="S17" s="5" t="str">
        <f t="shared" si="32"/>
        <v/>
      </c>
      <c r="T17" s="5" t="str">
        <f t="shared" si="33"/>
        <v/>
      </c>
      <c r="U17" s="5" t="str">
        <f t="shared" si="34"/>
        <v/>
      </c>
      <c r="V17" s="62" t="str">
        <f t="shared" si="35"/>
        <v/>
      </c>
      <c r="W17" s="62" t="e">
        <f t="shared" si="48"/>
        <v>#N/A</v>
      </c>
      <c r="X17" s="9" t="e">
        <f t="shared" si="1"/>
        <v>#N/A</v>
      </c>
      <c r="Y17" s="64" t="str">
        <f t="shared" si="36"/>
        <v/>
      </c>
      <c r="Z17" s="174" t="str">
        <f t="shared" si="37"/>
        <v/>
      </c>
      <c r="AA17" s="64" t="str">
        <f>IF(ISNUMBER(Y17),INDEX(Y17:Y106,MATCH(TRUE,INDEX(Y17:Y106&lt;&gt;Y17,),0)),"")</f>
        <v/>
      </c>
      <c r="AB17" s="64" t="str">
        <f t="shared" si="39"/>
        <v/>
      </c>
      <c r="AC17" s="64" t="str">
        <f t="shared" si="40"/>
        <v/>
      </c>
      <c r="AD17" s="64" t="e">
        <f>IF(ISTEXT(AB17),INDEX(AB17:AB106,MATCH(TRUE,INDEX(AB17:AB106&lt;&gt;AB17,),0)),"")</f>
        <v>#N/A</v>
      </c>
      <c r="AE17" s="11" t="str">
        <f t="shared" si="42"/>
        <v/>
      </c>
      <c r="AF17" s="11" t="str">
        <f t="shared" si="2"/>
        <v/>
      </c>
      <c r="AG17" s="11" t="str">
        <f t="shared" si="3"/>
        <v/>
      </c>
      <c r="AH17" s="11" t="str">
        <f t="shared" si="43"/>
        <v/>
      </c>
      <c r="AI17" s="11" t="e">
        <f>IF(AND(ISNUMBER(AI16),ISNUMBER(S17)),(VLOOKUP(AD17,AB17:AC106,2,FALSE)),IF(ISNUMBER(S17),R17,NA()))</f>
        <v>#N/A</v>
      </c>
      <c r="AJ17" s="11" t="e">
        <f t="shared" si="4"/>
        <v>#N/A</v>
      </c>
      <c r="AK17" s="11" t="str">
        <f t="shared" si="5"/>
        <v/>
      </c>
      <c r="AL17" s="11" t="str">
        <f t="shared" si="6"/>
        <v/>
      </c>
      <c r="AN17" s="7"/>
      <c r="AO17" s="7"/>
      <c r="AP17" s="7"/>
      <c r="AQ17" s="7"/>
      <c r="AS17" s="74">
        <f t="shared" si="7"/>
        <v>10</v>
      </c>
      <c r="AT17" s="74">
        <f t="shared" si="8"/>
        <v>5</v>
      </c>
      <c r="AU17" s="74">
        <f t="shared" si="9"/>
        <v>10</v>
      </c>
      <c r="AV17" s="74">
        <f t="shared" si="0"/>
        <v>5</v>
      </c>
      <c r="AW17" s="102"/>
      <c r="AY17" s="9">
        <f t="shared" si="10"/>
        <v>10</v>
      </c>
      <c r="AZ17" s="11">
        <f t="shared" si="11"/>
        <v>3</v>
      </c>
      <c r="BA17" s="75">
        <f t="shared" si="12"/>
        <v>10</v>
      </c>
      <c r="BB17" s="11">
        <f t="shared" si="13"/>
        <v>3</v>
      </c>
      <c r="BD17" s="11">
        <f t="shared" si="14"/>
        <v>2</v>
      </c>
      <c r="BE17" s="9">
        <f t="shared" si="15"/>
        <v>0</v>
      </c>
      <c r="BF17" s="71">
        <f t="shared" si="16"/>
        <v>0</v>
      </c>
      <c r="BG17" s="11" t="str">
        <f t="shared" si="17"/>
        <v>MAX WSE</v>
      </c>
      <c r="BH17" s="132">
        <f t="shared" si="45"/>
        <v>5</v>
      </c>
      <c r="BJ17" s="71">
        <f t="shared" si="18"/>
        <v>2</v>
      </c>
      <c r="BL17" s="9">
        <f t="shared" si="49"/>
        <v>0</v>
      </c>
      <c r="BM17" s="9"/>
      <c r="BN17" s="9">
        <f t="shared" si="20"/>
        <v>10</v>
      </c>
      <c r="BO17" s="9" t="str">
        <f>IF(BP17="Left",IF(ISNA(VLOOKUP(BN17,XS_AnalyzerSummary!$A$21:$B$25,2,TRUE)),"",VLOOKUP(BN17,XS_AnalyzerSummary!$A$21:$B$25,2,TRUE)),IF(ISNA(VLOOKUP(-BN17,XS_AnalyzerSummary!$A$28:$B$32,2,TRUE)),"",VLOOKUP(-BN17,XS_AnalyzerSummary!$A$28:$B$32,2,TRUE)))</f>
        <v>Right Bank</v>
      </c>
      <c r="BP17" s="9" t="str">
        <f>IF(AU17&lt;XS_AnalyzerSummary!$B$7,"Left",IF(AU17&gt;XS_AnalyzerSummary!$B$7,"Right","Thalweg"))</f>
        <v>Right</v>
      </c>
      <c r="BQ17" s="9">
        <f t="shared" si="21"/>
        <v>0</v>
      </c>
      <c r="BR17" s="9">
        <f t="shared" si="22"/>
        <v>0</v>
      </c>
      <c r="BS17" s="9">
        <f t="shared" si="23"/>
        <v>0</v>
      </c>
      <c r="BT17" s="9">
        <f t="shared" si="24"/>
        <v>0</v>
      </c>
      <c r="BU17" s="9">
        <f t="shared" si="25"/>
        <v>2</v>
      </c>
      <c r="BV17" s="9">
        <f t="shared" si="26"/>
        <v>0</v>
      </c>
      <c r="BX17" s="9">
        <f>IF(AND(ISNUMBER($BN17),$BO17="Left 2nd Stage",SUM($BX$5:BX16)=0),$BN17,0)</f>
        <v>0</v>
      </c>
      <c r="BY17" s="9">
        <f t="shared" si="46"/>
        <v>0</v>
      </c>
      <c r="BZ17" s="9">
        <f>IF(AND(ISNUMBER($BN17),$BO17="Right 2nd Stage",SUM($BZ$5:$BZ16)=0),$BN16,0)</f>
        <v>0</v>
      </c>
      <c r="CA17" s="9">
        <f t="shared" si="47"/>
        <v>0</v>
      </c>
    </row>
    <row r="18" spans="1:79" ht="15">
      <c r="A18" s="9">
        <v>14</v>
      </c>
      <c r="B18" s="166" t="e">
        <f>IF(ISNUMBER(XS_Analyzer!B18),XS_Analyzer!B18,NA())</f>
        <v>#N/A</v>
      </c>
      <c r="C18" s="88" t="e">
        <f>IF(ISNUMBER(XS_Analyzer!C18),XS_Analyzer!C18,NA())</f>
        <v>#N/A</v>
      </c>
      <c r="D18" s="88" t="str">
        <f>IF(ISNUMBER(XS_Analyzer!E18),XS_Analyzer!E18,"")</f>
        <v/>
      </c>
      <c r="E18" s="9" t="str">
        <f t="shared" si="28"/>
        <v/>
      </c>
      <c r="F18" s="88" t="e">
        <f>IF(AND(ISTEXT(XS_Analyzer!D18),XS_Analyzer!D18&lt;&gt;""),VLOOKUP(XS_Analyzer!D18,$K$12:$L$21,2,FALSE),"")</f>
        <v>#N/A</v>
      </c>
      <c r="G18" s="132" t="str">
        <f t="shared" si="29"/>
        <v/>
      </c>
      <c r="H18" s="10"/>
      <c r="K18" s="26" t="s">
        <v>262</v>
      </c>
      <c r="L18" s="69" t="s">
        <v>47</v>
      </c>
      <c r="M18" s="10"/>
      <c r="N18" s="26">
        <f>O4</f>
        <v>1</v>
      </c>
      <c r="O18" s="26">
        <f>O17</f>
        <v>5</v>
      </c>
      <c r="Q18" s="5" t="str">
        <f t="shared" si="30"/>
        <v>N</v>
      </c>
      <c r="R18" s="5" t="str">
        <f t="shared" si="31"/>
        <v/>
      </c>
      <c r="S18" s="5" t="str">
        <f t="shared" si="32"/>
        <v/>
      </c>
      <c r="T18" s="5" t="str">
        <f t="shared" si="33"/>
        <v/>
      </c>
      <c r="U18" s="5" t="str">
        <f t="shared" si="34"/>
        <v/>
      </c>
      <c r="V18" s="62" t="str">
        <f t="shared" si="35"/>
        <v/>
      </c>
      <c r="W18" s="62" t="e">
        <f t="shared" si="48"/>
        <v>#N/A</v>
      </c>
      <c r="X18" s="9" t="e">
        <f t="shared" si="1"/>
        <v>#N/A</v>
      </c>
      <c r="Y18" s="64" t="str">
        <f t="shared" si="36"/>
        <v/>
      </c>
      <c r="Z18" s="174" t="str">
        <f t="shared" si="37"/>
        <v/>
      </c>
      <c r="AA18" s="64" t="str">
        <f>IF(ISNUMBER(Y18),INDEX(Y18:Y106,MATCH(TRUE,INDEX(Y18:Y106&lt;&gt;Y18,),0)),"")</f>
        <v/>
      </c>
      <c r="AB18" s="64" t="str">
        <f t="shared" si="39"/>
        <v/>
      </c>
      <c r="AC18" s="64" t="str">
        <f t="shared" si="40"/>
        <v/>
      </c>
      <c r="AD18" s="64" t="e">
        <f>IF(ISTEXT(AB18),INDEX(AB18:AB106,MATCH(TRUE,INDEX(AB18:AB106&lt;&gt;AB18,),0)),"")</f>
        <v>#N/A</v>
      </c>
      <c r="AE18" s="11" t="str">
        <f t="shared" si="42"/>
        <v/>
      </c>
      <c r="AF18" s="11" t="str">
        <f t="shared" si="2"/>
        <v/>
      </c>
      <c r="AG18" s="11" t="str">
        <f t="shared" si="3"/>
        <v/>
      </c>
      <c r="AH18" s="11" t="str">
        <f t="shared" si="43"/>
        <v/>
      </c>
      <c r="AI18" s="11" t="e">
        <f>IF(AND(ISNUMBER(AI17),ISNUMBER(S18)),(VLOOKUP(AD18,AB18:AC106,2,FALSE)),IF(ISNUMBER(S18),R18,NA()))</f>
        <v>#N/A</v>
      </c>
      <c r="AJ18" s="11" t="e">
        <f t="shared" si="4"/>
        <v>#N/A</v>
      </c>
      <c r="AK18" s="11" t="str">
        <f t="shared" si="5"/>
        <v/>
      </c>
      <c r="AL18" s="11" t="str">
        <f t="shared" si="6"/>
        <v/>
      </c>
      <c r="AN18" s="7"/>
      <c r="AO18" s="7"/>
      <c r="AP18" s="7"/>
      <c r="AQ18" s="7"/>
      <c r="AR18" s="5"/>
      <c r="AS18" s="74">
        <f t="shared" si="7"/>
        <v>10</v>
      </c>
      <c r="AT18" s="74">
        <f t="shared" si="8"/>
        <v>5</v>
      </c>
      <c r="AU18" s="74">
        <f t="shared" si="9"/>
        <v>10</v>
      </c>
      <c r="AV18" s="74">
        <f t="shared" si="0"/>
        <v>5</v>
      </c>
      <c r="AW18" s="102"/>
      <c r="AY18" s="9">
        <f t="shared" si="10"/>
        <v>10</v>
      </c>
      <c r="AZ18" s="11">
        <f t="shared" si="11"/>
        <v>3</v>
      </c>
      <c r="BA18" s="75">
        <f t="shared" si="12"/>
        <v>10</v>
      </c>
      <c r="BB18" s="11">
        <f t="shared" si="13"/>
        <v>3</v>
      </c>
      <c r="BD18" s="11">
        <f t="shared" si="14"/>
        <v>2</v>
      </c>
      <c r="BE18" s="9">
        <f t="shared" si="15"/>
        <v>0</v>
      </c>
      <c r="BF18" s="157">
        <f t="shared" si="16"/>
        <v>0</v>
      </c>
      <c r="BG18" s="11" t="str">
        <f t="shared" si="17"/>
        <v>MAX WSE</v>
      </c>
      <c r="BH18" s="132">
        <f t="shared" si="45"/>
        <v>5</v>
      </c>
      <c r="BJ18" s="71">
        <f t="shared" si="18"/>
        <v>2</v>
      </c>
      <c r="BL18" s="9">
        <f t="shared" si="49"/>
        <v>0</v>
      </c>
      <c r="BM18" s="9"/>
      <c r="BN18" s="9">
        <f t="shared" si="20"/>
        <v>10</v>
      </c>
      <c r="BO18" s="9" t="str">
        <f>IF(BP18="Left",IF(ISNA(VLOOKUP(BN18,XS_AnalyzerSummary!$A$21:$B$25,2,TRUE)),"",VLOOKUP(BN18,XS_AnalyzerSummary!$A$21:$B$25,2,TRUE)),IF(ISNA(VLOOKUP(-BN18,XS_AnalyzerSummary!$A$28:$B$32,2,TRUE)),"",VLOOKUP(-BN18,XS_AnalyzerSummary!$A$28:$B$32,2,TRUE)))</f>
        <v>Right Bank</v>
      </c>
      <c r="BP18" s="9" t="str">
        <f>IF(AU18&lt;XS_AnalyzerSummary!$B$7,"Left",IF(AU18&gt;XS_AnalyzerSummary!$B$7,"Right","Thalweg"))</f>
        <v>Right</v>
      </c>
      <c r="BQ18" s="9">
        <f t="shared" si="21"/>
        <v>0</v>
      </c>
      <c r="BR18" s="9">
        <f t="shared" si="22"/>
        <v>0</v>
      </c>
      <c r="BS18" s="9">
        <f t="shared" si="23"/>
        <v>0</v>
      </c>
      <c r="BT18" s="9">
        <f t="shared" si="24"/>
        <v>0</v>
      </c>
      <c r="BU18" s="9">
        <f t="shared" si="25"/>
        <v>2</v>
      </c>
      <c r="BV18" s="9">
        <f t="shared" si="26"/>
        <v>0</v>
      </c>
      <c r="BX18" s="9">
        <f>IF(AND(ISNUMBER($BN18),$BO18="Left 2nd Stage",SUM($BX$5:BX17)=0),$BN18,0)</f>
        <v>0</v>
      </c>
      <c r="BY18" s="9">
        <f t="shared" si="46"/>
        <v>0</v>
      </c>
      <c r="BZ18" s="9">
        <f>IF(AND(ISNUMBER($BN18),$BO18="Right 2nd Stage",SUM($BZ$5:$BZ17)=0),$BN17,0)</f>
        <v>0</v>
      </c>
      <c r="CA18" s="9">
        <f t="shared" si="47"/>
        <v>0</v>
      </c>
    </row>
    <row r="19" spans="1:79" ht="15">
      <c r="A19" s="9">
        <v>15</v>
      </c>
      <c r="B19" s="166" t="e">
        <f>IF(ISNUMBER(XS_Analyzer!B19),XS_Analyzer!B19,NA())</f>
        <v>#N/A</v>
      </c>
      <c r="C19" s="88" t="e">
        <f>IF(ISNUMBER(XS_Analyzer!C19),XS_Analyzer!C19,NA())</f>
        <v>#N/A</v>
      </c>
      <c r="D19" s="88" t="str">
        <f>IF(ISNUMBER(XS_Analyzer!E19),XS_Analyzer!E19,"")</f>
        <v/>
      </c>
      <c r="E19" s="9" t="str">
        <f t="shared" si="28"/>
        <v/>
      </c>
      <c r="F19" s="88" t="e">
        <f>IF(AND(ISTEXT(XS_Analyzer!D19),XS_Analyzer!D19&lt;&gt;""),VLOOKUP(XS_Analyzer!D19,$K$12:$L$21,2,FALSE),"")</f>
        <v>#N/A</v>
      </c>
      <c r="G19" s="132" t="str">
        <f t="shared" si="29"/>
        <v/>
      </c>
      <c r="I19" s="9"/>
      <c r="J19" s="9"/>
      <c r="K19" s="26" t="s">
        <v>44</v>
      </c>
      <c r="L19" s="69" t="s">
        <v>9</v>
      </c>
      <c r="M19" s="5"/>
      <c r="N19" s="26">
        <f>O11</f>
        <v>10</v>
      </c>
      <c r="O19" s="26">
        <f>O17</f>
        <v>5</v>
      </c>
      <c r="Q19" s="5" t="str">
        <f t="shared" si="30"/>
        <v>N</v>
      </c>
      <c r="R19" s="5" t="str">
        <f t="shared" si="31"/>
        <v/>
      </c>
      <c r="S19" s="5" t="str">
        <f t="shared" si="32"/>
        <v/>
      </c>
      <c r="T19" s="5" t="str">
        <f t="shared" si="33"/>
        <v/>
      </c>
      <c r="U19" s="5" t="str">
        <f t="shared" si="34"/>
        <v/>
      </c>
      <c r="V19" s="62" t="str">
        <f t="shared" si="35"/>
        <v/>
      </c>
      <c r="W19" s="62" t="e">
        <f t="shared" si="48"/>
        <v>#N/A</v>
      </c>
      <c r="X19" s="9" t="e">
        <f t="shared" si="1"/>
        <v>#N/A</v>
      </c>
      <c r="Y19" s="64" t="str">
        <f t="shared" si="36"/>
        <v/>
      </c>
      <c r="Z19" s="174" t="str">
        <f t="shared" si="37"/>
        <v/>
      </c>
      <c r="AA19" s="64" t="str">
        <f>IF(ISNUMBER(Y19),INDEX(Y19:Y106,MATCH(TRUE,INDEX(Y19:Y106&lt;&gt;Y19,),0)),"")</f>
        <v/>
      </c>
      <c r="AB19" s="64" t="str">
        <f t="shared" si="39"/>
        <v/>
      </c>
      <c r="AC19" s="64" t="str">
        <f t="shared" si="40"/>
        <v/>
      </c>
      <c r="AD19" s="64" t="e">
        <f>IF(ISTEXT(AB19),INDEX(AB19:AB106,MATCH(TRUE,INDEX(AB19:AB106&lt;&gt;AB19,),0)),"")</f>
        <v>#N/A</v>
      </c>
      <c r="AE19" s="11" t="str">
        <f t="shared" si="42"/>
        <v/>
      </c>
      <c r="AF19" s="11" t="str">
        <f t="shared" si="2"/>
        <v/>
      </c>
      <c r="AG19" s="11" t="str">
        <f t="shared" si="3"/>
        <v/>
      </c>
      <c r="AH19" s="11" t="str">
        <f t="shared" si="43"/>
        <v/>
      </c>
      <c r="AI19" s="11" t="e">
        <f>IF(AND(ISNUMBER(AI18),ISNUMBER(S19)),(VLOOKUP(AD19,AB19:AC106,2,FALSE)),IF(ISNUMBER(S19),R19,NA()))</f>
        <v>#N/A</v>
      </c>
      <c r="AJ19" s="11" t="e">
        <f t="shared" si="4"/>
        <v>#N/A</v>
      </c>
      <c r="AK19" s="11" t="str">
        <f t="shared" si="5"/>
        <v/>
      </c>
      <c r="AL19" s="11" t="str">
        <f t="shared" si="6"/>
        <v/>
      </c>
      <c r="AN19" s="7"/>
      <c r="AO19" s="7"/>
      <c r="AP19" s="7"/>
      <c r="AQ19" s="7"/>
      <c r="AR19" s="9"/>
      <c r="AS19" s="74">
        <f t="shared" si="7"/>
        <v>10</v>
      </c>
      <c r="AT19" s="74">
        <f t="shared" si="8"/>
        <v>5</v>
      </c>
      <c r="AU19" s="74">
        <f t="shared" si="9"/>
        <v>10</v>
      </c>
      <c r="AV19" s="74">
        <f t="shared" si="0"/>
        <v>5</v>
      </c>
      <c r="AW19" s="102"/>
      <c r="AY19" s="9">
        <f t="shared" si="10"/>
        <v>10</v>
      </c>
      <c r="AZ19" s="11">
        <f t="shared" si="11"/>
        <v>3</v>
      </c>
      <c r="BA19" s="75">
        <f t="shared" si="12"/>
        <v>10</v>
      </c>
      <c r="BB19" s="11">
        <f t="shared" si="13"/>
        <v>3</v>
      </c>
      <c r="BD19" s="11">
        <f t="shared" si="14"/>
        <v>2</v>
      </c>
      <c r="BE19" s="9">
        <f t="shared" si="15"/>
        <v>0</v>
      </c>
      <c r="BF19" s="71">
        <f t="shared" si="16"/>
        <v>0</v>
      </c>
      <c r="BG19" s="11" t="str">
        <f t="shared" si="17"/>
        <v>MAX WSE</v>
      </c>
      <c r="BH19" s="132">
        <f t="shared" si="45"/>
        <v>5</v>
      </c>
      <c r="BJ19" s="71">
        <f t="shared" si="18"/>
        <v>2</v>
      </c>
      <c r="BL19" s="9">
        <f t="shared" si="49"/>
        <v>0</v>
      </c>
      <c r="BM19" s="9"/>
      <c r="BN19" s="9">
        <f t="shared" si="20"/>
        <v>10</v>
      </c>
      <c r="BO19" s="9" t="str">
        <f>IF(BP19="Left",IF(ISNA(VLOOKUP(BN19,XS_AnalyzerSummary!$A$21:$B$25,2,TRUE)),"",VLOOKUP(BN19,XS_AnalyzerSummary!$A$21:$B$25,2,TRUE)),IF(ISNA(VLOOKUP(-BN19,XS_AnalyzerSummary!$A$28:$B$32,2,TRUE)),"",VLOOKUP(-BN19,XS_AnalyzerSummary!$A$28:$B$32,2,TRUE)))</f>
        <v>Right Bank</v>
      </c>
      <c r="BP19" s="9" t="str">
        <f>IF(AU19&lt;XS_AnalyzerSummary!$B$7,"Left",IF(AU19&gt;XS_AnalyzerSummary!$B$7,"Right","Thalweg"))</f>
        <v>Right</v>
      </c>
      <c r="BQ19" s="9">
        <f t="shared" si="21"/>
        <v>0</v>
      </c>
      <c r="BR19" s="9">
        <f t="shared" si="22"/>
        <v>0</v>
      </c>
      <c r="BS19" s="9">
        <f t="shared" si="23"/>
        <v>0</v>
      </c>
      <c r="BT19" s="9">
        <f t="shared" si="24"/>
        <v>0</v>
      </c>
      <c r="BU19" s="9">
        <f t="shared" si="25"/>
        <v>2</v>
      </c>
      <c r="BV19" s="9">
        <f t="shared" si="26"/>
        <v>0</v>
      </c>
      <c r="BX19" s="9">
        <f>IF(AND(ISNUMBER($BN19),$BO19="Left 2nd Stage",SUM($BX$5:BX18)=0),$BN19,0)</f>
        <v>0</v>
      </c>
      <c r="BY19" s="9">
        <f t="shared" si="46"/>
        <v>0</v>
      </c>
      <c r="BZ19" s="9">
        <f>IF(AND(ISNUMBER($BN19),$BO19="Right 2nd Stage",SUM($BZ$5:$BZ18)=0),$BN18,0)</f>
        <v>0</v>
      </c>
      <c r="CA19" s="9">
        <f t="shared" si="47"/>
        <v>0</v>
      </c>
    </row>
    <row r="20" spans="1:79" ht="15">
      <c r="A20" s="9">
        <v>16</v>
      </c>
      <c r="B20" s="166" t="e">
        <f>IF(ISNUMBER(XS_Analyzer!B20),XS_Analyzer!B20,NA())</f>
        <v>#N/A</v>
      </c>
      <c r="C20" s="88" t="e">
        <f>IF(ISNUMBER(XS_Analyzer!C20),XS_Analyzer!C20,NA())</f>
        <v>#N/A</v>
      </c>
      <c r="D20" s="88" t="str">
        <f>IF(ISNUMBER(XS_Analyzer!E20),XS_Analyzer!E20,"")</f>
        <v/>
      </c>
      <c r="E20" s="9" t="str">
        <f t="shared" si="28"/>
        <v/>
      </c>
      <c r="F20" s="88" t="e">
        <f>IF(AND(ISTEXT(XS_Analyzer!D20),XS_Analyzer!D20&lt;&gt;""),VLOOKUP(XS_Analyzer!D20,$K$12:$L$21,2,FALSE),"")</f>
        <v>#N/A</v>
      </c>
      <c r="G20" s="132" t="str">
        <f t="shared" si="29"/>
        <v/>
      </c>
      <c r="I20" s="20"/>
      <c r="J20" s="74"/>
      <c r="K20" s="26" t="s">
        <v>193</v>
      </c>
      <c r="L20" s="69"/>
      <c r="M20" s="5"/>
      <c r="N20" s="9"/>
      <c r="O20" s="9"/>
      <c r="P20" s="9"/>
      <c r="Q20" s="5" t="str">
        <f t="shared" si="30"/>
        <v>N</v>
      </c>
      <c r="R20" s="5" t="str">
        <f t="shared" si="31"/>
        <v/>
      </c>
      <c r="S20" s="5" t="str">
        <f t="shared" si="32"/>
        <v/>
      </c>
      <c r="T20" s="5" t="str">
        <f t="shared" si="33"/>
        <v/>
      </c>
      <c r="U20" s="5" t="str">
        <f t="shared" si="34"/>
        <v/>
      </c>
      <c r="V20" s="62" t="str">
        <f t="shared" si="35"/>
        <v/>
      </c>
      <c r="W20" s="62" t="e">
        <f t="shared" si="48"/>
        <v>#N/A</v>
      </c>
      <c r="X20" s="9" t="e">
        <f t="shared" si="1"/>
        <v>#N/A</v>
      </c>
      <c r="Y20" s="64" t="str">
        <f t="shared" si="36"/>
        <v/>
      </c>
      <c r="Z20" s="174" t="str">
        <f t="shared" si="37"/>
        <v/>
      </c>
      <c r="AA20" s="64" t="str">
        <f>IF(ISNUMBER(Y20),INDEX(Y20:Y106,MATCH(TRUE,INDEX(Y20:Y106&lt;&gt;Y20,),0)),"")</f>
        <v/>
      </c>
      <c r="AB20" s="64" t="str">
        <f t="shared" si="39"/>
        <v/>
      </c>
      <c r="AC20" s="64" t="str">
        <f t="shared" si="40"/>
        <v/>
      </c>
      <c r="AD20" s="64" t="e">
        <f>IF(ISTEXT(AB20),INDEX(AB20:AB106,MATCH(TRUE,INDEX(AB20:AB106&lt;&gt;AB20,),0)),"")</f>
        <v>#N/A</v>
      </c>
      <c r="AE20" s="11" t="str">
        <f t="shared" si="42"/>
        <v/>
      </c>
      <c r="AF20" s="11" t="str">
        <f t="shared" si="2"/>
        <v/>
      </c>
      <c r="AG20" s="11" t="str">
        <f t="shared" si="3"/>
        <v/>
      </c>
      <c r="AH20" s="11" t="str">
        <f t="shared" si="43"/>
        <v/>
      </c>
      <c r="AI20" s="11" t="e">
        <f>IF(AND(ISNUMBER(AI19),ISNUMBER(S20)),(VLOOKUP(AD20,AB20:AC106,2,FALSE)),IF(ISNUMBER(S20),R20,NA()))</f>
        <v>#N/A</v>
      </c>
      <c r="AJ20" s="11" t="e">
        <f t="shared" si="4"/>
        <v>#N/A</v>
      </c>
      <c r="AK20" s="11" t="str">
        <f t="shared" si="5"/>
        <v/>
      </c>
      <c r="AL20" s="11" t="str">
        <f t="shared" si="6"/>
        <v/>
      </c>
      <c r="AN20" s="7"/>
      <c r="AO20" s="7"/>
      <c r="AP20" s="7"/>
      <c r="AQ20" s="7"/>
      <c r="AR20" s="9"/>
      <c r="AS20" s="74">
        <f t="shared" si="7"/>
        <v>10</v>
      </c>
      <c r="AT20" s="74">
        <f t="shared" si="8"/>
        <v>5</v>
      </c>
      <c r="AU20" s="74">
        <f t="shared" si="9"/>
        <v>10</v>
      </c>
      <c r="AV20" s="74">
        <f t="shared" si="0"/>
        <v>5</v>
      </c>
      <c r="AW20" s="102"/>
      <c r="AY20" s="9">
        <f t="shared" si="10"/>
        <v>10</v>
      </c>
      <c r="AZ20" s="11">
        <f t="shared" si="11"/>
        <v>3</v>
      </c>
      <c r="BA20" s="75">
        <f t="shared" si="12"/>
        <v>10</v>
      </c>
      <c r="BB20" s="11">
        <f t="shared" si="13"/>
        <v>3</v>
      </c>
      <c r="BD20" s="11">
        <f t="shared" si="14"/>
        <v>2</v>
      </c>
      <c r="BE20" s="9">
        <f t="shared" si="15"/>
        <v>0</v>
      </c>
      <c r="BF20" s="71">
        <f t="shared" si="16"/>
        <v>0</v>
      </c>
      <c r="BG20" s="11" t="str">
        <f t="shared" si="17"/>
        <v>MAX WSE</v>
      </c>
      <c r="BH20" s="132">
        <f t="shared" si="45"/>
        <v>5</v>
      </c>
      <c r="BJ20" s="71">
        <f t="shared" si="18"/>
        <v>2</v>
      </c>
      <c r="BL20" s="9">
        <f t="shared" si="49"/>
        <v>0</v>
      </c>
      <c r="BM20" s="9"/>
      <c r="BN20" s="9">
        <f t="shared" si="20"/>
        <v>10</v>
      </c>
      <c r="BO20" s="9" t="str">
        <f>IF(BP20="Left",IF(ISNA(VLOOKUP(BN20,XS_AnalyzerSummary!$A$21:$B$25,2,TRUE)),"",VLOOKUP(BN20,XS_AnalyzerSummary!$A$21:$B$25,2,TRUE)),IF(ISNA(VLOOKUP(-BN20,XS_AnalyzerSummary!$A$28:$B$32,2,TRUE)),"",VLOOKUP(-BN20,XS_AnalyzerSummary!$A$28:$B$32,2,TRUE)))</f>
        <v>Right Bank</v>
      </c>
      <c r="BP20" s="9" t="str">
        <f>IF(AU20&lt;XS_AnalyzerSummary!$B$7,"Left",IF(AU20&gt;XS_AnalyzerSummary!$B$7,"Right","Thalweg"))</f>
        <v>Right</v>
      </c>
      <c r="BQ20" s="9">
        <f t="shared" si="21"/>
        <v>0</v>
      </c>
      <c r="BR20" s="9">
        <f t="shared" si="22"/>
        <v>0</v>
      </c>
      <c r="BS20" s="9">
        <f t="shared" si="23"/>
        <v>0</v>
      </c>
      <c r="BT20" s="9">
        <f t="shared" si="24"/>
        <v>0</v>
      </c>
      <c r="BU20" s="9">
        <f t="shared" si="25"/>
        <v>2</v>
      </c>
      <c r="BV20" s="9">
        <f t="shared" si="26"/>
        <v>0</v>
      </c>
      <c r="BX20" s="9">
        <f>IF(AND(ISNUMBER($BN20),$BO20="Left 2nd Stage",SUM($BX$5:BX19)=0),$BN20,0)</f>
        <v>0</v>
      </c>
      <c r="BY20" s="9">
        <f t="shared" si="46"/>
        <v>0</v>
      </c>
      <c r="BZ20" s="9">
        <f>IF(AND(ISNUMBER($BN20),$BO20="Right 2nd Stage",SUM($BZ$5:$BZ19)=0),$BN19,0)</f>
        <v>0</v>
      </c>
      <c r="CA20" s="9">
        <f t="shared" si="47"/>
        <v>0</v>
      </c>
    </row>
    <row r="21" spans="1:79" ht="15">
      <c r="A21" s="9">
        <v>17</v>
      </c>
      <c r="B21" s="166" t="e">
        <f>IF(ISNUMBER(XS_Analyzer!B21),XS_Analyzer!B21,NA())</f>
        <v>#N/A</v>
      </c>
      <c r="C21" s="88" t="e">
        <f>IF(ISNUMBER(XS_Analyzer!C21),XS_Analyzer!C21,NA())</f>
        <v>#N/A</v>
      </c>
      <c r="D21" s="88" t="str">
        <f>IF(ISNUMBER(XS_Analyzer!E21),XS_Analyzer!E21,"")</f>
        <v/>
      </c>
      <c r="E21" s="9" t="str">
        <f t="shared" si="28"/>
        <v/>
      </c>
      <c r="F21" s="88" t="e">
        <f>IF(AND(ISTEXT(XS_Analyzer!D21),XS_Analyzer!D21&lt;&gt;""),VLOOKUP(XS_Analyzer!D21,$K$12:$L$21,2,FALSE),"")</f>
        <v>#N/A</v>
      </c>
      <c r="G21" s="132" t="str">
        <f t="shared" si="29"/>
        <v/>
      </c>
      <c r="K21" s="7"/>
      <c r="L21" s="7"/>
      <c r="M21" s="10"/>
      <c r="N21" s="9"/>
      <c r="O21" s="196" t="s">
        <v>468</v>
      </c>
      <c r="P21" s="9"/>
      <c r="Q21" s="5" t="str">
        <f t="shared" si="30"/>
        <v>N</v>
      </c>
      <c r="R21" s="5" t="str">
        <f t="shared" si="31"/>
        <v/>
      </c>
      <c r="S21" s="5" t="str">
        <f t="shared" si="32"/>
        <v/>
      </c>
      <c r="T21" s="5" t="str">
        <f t="shared" si="33"/>
        <v/>
      </c>
      <c r="U21" s="5" t="str">
        <f t="shared" si="34"/>
        <v/>
      </c>
      <c r="V21" s="62" t="str">
        <f t="shared" si="35"/>
        <v/>
      </c>
      <c r="W21" s="62" t="e">
        <f t="shared" si="48"/>
        <v>#N/A</v>
      </c>
      <c r="X21" s="9" t="e">
        <f t="shared" si="1"/>
        <v>#N/A</v>
      </c>
      <c r="Y21" s="64" t="str">
        <f t="shared" si="36"/>
        <v/>
      </c>
      <c r="Z21" s="174" t="str">
        <f t="shared" si="37"/>
        <v/>
      </c>
      <c r="AA21" s="64" t="str">
        <f>IF(ISNUMBER(Y21),INDEX(Y21:Y106,MATCH(TRUE,INDEX(Y21:Y106&lt;&gt;Y21,),0)),"")</f>
        <v/>
      </c>
      <c r="AB21" s="64" t="str">
        <f t="shared" si="39"/>
        <v/>
      </c>
      <c r="AC21" s="64" t="str">
        <f t="shared" si="40"/>
        <v/>
      </c>
      <c r="AD21" s="64" t="e">
        <f>IF(ISTEXT(AB21),INDEX(AB21:AB106,MATCH(TRUE,INDEX(AB21:AB106&lt;&gt;AB21,),0)),"")</f>
        <v>#N/A</v>
      </c>
      <c r="AE21" s="11" t="str">
        <f t="shared" si="42"/>
        <v/>
      </c>
      <c r="AF21" s="11" t="str">
        <f t="shared" si="2"/>
        <v/>
      </c>
      <c r="AG21" s="11" t="str">
        <f t="shared" si="3"/>
        <v/>
      </c>
      <c r="AH21" s="11" t="str">
        <f t="shared" si="43"/>
        <v/>
      </c>
      <c r="AI21" s="11" t="e">
        <f>IF(AND(ISNUMBER(AI20),ISNUMBER(S21)),(VLOOKUP(AD21,AB21:AC106,2,FALSE)),IF(ISNUMBER(S21),R21,NA()))</f>
        <v>#N/A</v>
      </c>
      <c r="AJ21" s="11" t="e">
        <f t="shared" si="4"/>
        <v>#N/A</v>
      </c>
      <c r="AK21" s="11" t="str">
        <f t="shared" si="5"/>
        <v/>
      </c>
      <c r="AL21" s="11" t="str">
        <f t="shared" si="6"/>
        <v/>
      </c>
      <c r="AN21" s="7"/>
      <c r="AO21" s="7"/>
      <c r="AP21" s="7"/>
      <c r="AQ21" s="7"/>
      <c r="AR21" s="9"/>
      <c r="AS21" s="74">
        <f t="shared" si="7"/>
        <v>10</v>
      </c>
      <c r="AT21" s="74">
        <f t="shared" si="8"/>
        <v>5</v>
      </c>
      <c r="AU21" s="74">
        <f t="shared" si="9"/>
        <v>10</v>
      </c>
      <c r="AV21" s="74">
        <f t="shared" si="0"/>
        <v>5</v>
      </c>
      <c r="AW21" s="102"/>
      <c r="AY21" s="9">
        <f t="shared" si="10"/>
        <v>10</v>
      </c>
      <c r="AZ21" s="11">
        <f t="shared" si="11"/>
        <v>3</v>
      </c>
      <c r="BA21" s="75">
        <f t="shared" si="12"/>
        <v>10</v>
      </c>
      <c r="BB21" s="11">
        <f t="shared" si="13"/>
        <v>3</v>
      </c>
      <c r="BD21" s="11">
        <f t="shared" si="14"/>
        <v>2</v>
      </c>
      <c r="BE21" s="9">
        <f t="shared" si="15"/>
        <v>0</v>
      </c>
      <c r="BF21" s="71">
        <f t="shared" si="16"/>
        <v>0</v>
      </c>
      <c r="BG21" s="11" t="str">
        <f t="shared" si="17"/>
        <v>MAX WSE</v>
      </c>
      <c r="BH21" s="132">
        <f t="shared" si="45"/>
        <v>5</v>
      </c>
      <c r="BJ21" s="71">
        <f t="shared" si="18"/>
        <v>2</v>
      </c>
      <c r="BL21" s="9">
        <f t="shared" si="49"/>
        <v>0</v>
      </c>
      <c r="BM21" s="9"/>
      <c r="BN21" s="9">
        <f t="shared" si="20"/>
        <v>10</v>
      </c>
      <c r="BO21" s="9" t="str">
        <f>IF(BP21="Left",IF(ISNA(VLOOKUP(BN21,XS_AnalyzerSummary!$A$21:$B$25,2,TRUE)),"",VLOOKUP(BN21,XS_AnalyzerSummary!$A$21:$B$25,2,TRUE)),IF(ISNA(VLOOKUP(-BN21,XS_AnalyzerSummary!$A$28:$B$32,2,TRUE)),"",VLOOKUP(-BN21,XS_AnalyzerSummary!$A$28:$B$32,2,TRUE)))</f>
        <v>Right Bank</v>
      </c>
      <c r="BP21" s="9" t="str">
        <f>IF(AU21&lt;XS_AnalyzerSummary!$B$7,"Left",IF(AU21&gt;XS_AnalyzerSummary!$B$7,"Right","Thalweg"))</f>
        <v>Right</v>
      </c>
      <c r="BQ21" s="9">
        <f t="shared" si="21"/>
        <v>0</v>
      </c>
      <c r="BR21" s="9">
        <f t="shared" si="22"/>
        <v>0</v>
      </c>
      <c r="BS21" s="9">
        <f t="shared" si="23"/>
        <v>0</v>
      </c>
      <c r="BT21" s="9">
        <f t="shared" si="24"/>
        <v>0</v>
      </c>
      <c r="BU21" s="9">
        <f t="shared" si="25"/>
        <v>2</v>
      </c>
      <c r="BV21" s="9">
        <f t="shared" si="26"/>
        <v>0</v>
      </c>
      <c r="BX21" s="9">
        <f>IF(AND(ISNUMBER($BN21),$BO21="Left 2nd Stage",SUM($BX$5:BX20)=0),$BN21,0)</f>
        <v>0</v>
      </c>
      <c r="BY21" s="9">
        <f t="shared" si="46"/>
        <v>0</v>
      </c>
      <c r="BZ21" s="9">
        <f>IF(AND(ISNUMBER($BN21),$BO21="Right 2nd Stage",SUM($BZ$5:$BZ20)=0),$BN20,0)</f>
        <v>0</v>
      </c>
      <c r="CA21" s="9">
        <f t="shared" si="47"/>
        <v>0</v>
      </c>
    </row>
    <row r="22" spans="1:79" ht="15">
      <c r="A22" s="9">
        <v>18</v>
      </c>
      <c r="B22" s="166" t="e">
        <f>IF(ISNUMBER(XS_Analyzer!B22),XS_Analyzer!B22,NA())</f>
        <v>#N/A</v>
      </c>
      <c r="C22" s="88" t="e">
        <f>IF(ISNUMBER(XS_Analyzer!C22),XS_Analyzer!C22,NA())</f>
        <v>#N/A</v>
      </c>
      <c r="D22" s="88" t="str">
        <f>IF(ISNUMBER(XS_Analyzer!E22),XS_Analyzer!E22,"")</f>
        <v/>
      </c>
      <c r="E22" s="9" t="str">
        <f t="shared" si="28"/>
        <v/>
      </c>
      <c r="F22" s="88" t="e">
        <f>IF(AND(ISTEXT(XS_Analyzer!D22),XS_Analyzer!D22&lt;&gt;""),VLOOKUP(XS_Analyzer!D22,$K$12:$L$21,2,FALSE),"")</f>
        <v>#N/A</v>
      </c>
      <c r="G22" s="132" t="str">
        <f t="shared" si="29"/>
        <v/>
      </c>
      <c r="I22" s="5"/>
      <c r="J22" s="9"/>
      <c r="K22" s="7"/>
      <c r="L22" s="7"/>
      <c r="M22" s="5"/>
      <c r="N22" s="5"/>
      <c r="O22" s="26">
        <f t="array" ref="O22">ROUND(((MAX(IF(NOT(ISNA(C5:C104)),C5:C104))-MIN(IF(NOT(ISNA(C5:C104)),C5:C104)))/7.5),1)</f>
        <v>0.4</v>
      </c>
      <c r="P22" s="5"/>
      <c r="Q22" s="5" t="str">
        <f t="shared" si="30"/>
        <v>N</v>
      </c>
      <c r="R22" s="5" t="str">
        <f t="shared" si="31"/>
        <v/>
      </c>
      <c r="S22" s="5" t="str">
        <f t="shared" si="32"/>
        <v/>
      </c>
      <c r="T22" s="5" t="str">
        <f t="shared" si="33"/>
        <v/>
      </c>
      <c r="U22" s="5" t="str">
        <f t="shared" si="34"/>
        <v/>
      </c>
      <c r="V22" s="62" t="str">
        <f t="shared" si="35"/>
        <v/>
      </c>
      <c r="W22" s="62" t="e">
        <f t="shared" si="48"/>
        <v>#N/A</v>
      </c>
      <c r="X22" s="9" t="e">
        <f t="shared" si="1"/>
        <v>#N/A</v>
      </c>
      <c r="Y22" s="64" t="str">
        <f t="shared" si="36"/>
        <v/>
      </c>
      <c r="Z22" s="174" t="str">
        <f t="shared" si="37"/>
        <v/>
      </c>
      <c r="AA22" s="64" t="str">
        <f>IF(ISNUMBER(Y22),INDEX(Y22:Y106,MATCH(TRUE,INDEX(Y22:Y106&lt;&gt;Y22,),0)),"")</f>
        <v/>
      </c>
      <c r="AB22" s="64" t="str">
        <f t="shared" si="39"/>
        <v/>
      </c>
      <c r="AC22" s="64" t="str">
        <f t="shared" si="40"/>
        <v/>
      </c>
      <c r="AD22" s="64" t="e">
        <f>IF(ISTEXT(AB22),INDEX(AB22:AB106,MATCH(TRUE,INDEX(AB22:AB106&lt;&gt;AB22,),0)),"")</f>
        <v>#N/A</v>
      </c>
      <c r="AE22" s="11" t="str">
        <f t="shared" si="42"/>
        <v/>
      </c>
      <c r="AF22" s="11" t="str">
        <f t="shared" si="2"/>
        <v/>
      </c>
      <c r="AG22" s="11" t="str">
        <f t="shared" si="3"/>
        <v/>
      </c>
      <c r="AH22" s="11" t="str">
        <f t="shared" si="43"/>
        <v/>
      </c>
      <c r="AI22" s="11" t="e">
        <f>IF(AND(ISNUMBER(AI21),ISNUMBER(S22)),(VLOOKUP(AD22,AB22:AC106,2,FALSE)),IF(ISNUMBER(S22),R22,NA()))</f>
        <v>#N/A</v>
      </c>
      <c r="AJ22" s="11" t="e">
        <f t="shared" si="4"/>
        <v>#N/A</v>
      </c>
      <c r="AK22" s="11" t="str">
        <f t="shared" si="5"/>
        <v/>
      </c>
      <c r="AL22" s="11" t="str">
        <f t="shared" si="6"/>
        <v/>
      </c>
      <c r="AN22" s="7"/>
      <c r="AO22" s="7"/>
      <c r="AP22" s="7"/>
      <c r="AQ22" s="7"/>
      <c r="AR22" s="9"/>
      <c r="AS22" s="74">
        <f t="shared" si="7"/>
        <v>10</v>
      </c>
      <c r="AT22" s="74">
        <f t="shared" si="8"/>
        <v>5</v>
      </c>
      <c r="AU22" s="74">
        <f t="shared" si="9"/>
        <v>10</v>
      </c>
      <c r="AV22" s="74">
        <f t="shared" si="0"/>
        <v>5</v>
      </c>
      <c r="AW22" s="102"/>
      <c r="AY22" s="9">
        <f t="shared" si="10"/>
        <v>10</v>
      </c>
      <c r="AZ22" s="11">
        <f t="shared" si="11"/>
        <v>3</v>
      </c>
      <c r="BA22" s="75">
        <f t="shared" si="12"/>
        <v>10</v>
      </c>
      <c r="BB22" s="11">
        <f t="shared" si="13"/>
        <v>3</v>
      </c>
      <c r="BD22" s="11">
        <f t="shared" si="14"/>
        <v>2</v>
      </c>
      <c r="BE22" s="9">
        <f t="shared" si="15"/>
        <v>0</v>
      </c>
      <c r="BF22" s="71">
        <f t="shared" si="16"/>
        <v>0</v>
      </c>
      <c r="BG22" s="11" t="str">
        <f t="shared" si="17"/>
        <v>MAX WSE</v>
      </c>
      <c r="BH22" s="132">
        <f t="shared" si="45"/>
        <v>5</v>
      </c>
      <c r="BJ22" s="71">
        <f t="shared" si="18"/>
        <v>2</v>
      </c>
      <c r="BL22" s="9">
        <f t="shared" si="49"/>
        <v>0</v>
      </c>
      <c r="BM22" s="9"/>
      <c r="BN22" s="9">
        <f t="shared" si="20"/>
        <v>10</v>
      </c>
      <c r="BO22" s="9" t="str">
        <f>IF(BP22="Left",IF(ISNA(VLOOKUP(BN22,XS_AnalyzerSummary!$A$21:$B$25,2,TRUE)),"",VLOOKUP(BN22,XS_AnalyzerSummary!$A$21:$B$25,2,TRUE)),IF(ISNA(VLOOKUP(-BN22,XS_AnalyzerSummary!$A$28:$B$32,2,TRUE)),"",VLOOKUP(-BN22,XS_AnalyzerSummary!$A$28:$B$32,2,TRUE)))</f>
        <v>Right Bank</v>
      </c>
      <c r="BP22" s="9" t="str">
        <f>IF(AU22&lt;XS_AnalyzerSummary!$B$7,"Left",IF(AU22&gt;XS_AnalyzerSummary!$B$7,"Right","Thalweg"))</f>
        <v>Right</v>
      </c>
      <c r="BQ22" s="9">
        <f t="shared" si="21"/>
        <v>0</v>
      </c>
      <c r="BR22" s="9">
        <f t="shared" si="22"/>
        <v>0</v>
      </c>
      <c r="BS22" s="9">
        <f t="shared" si="23"/>
        <v>0</v>
      </c>
      <c r="BT22" s="9">
        <f t="shared" si="24"/>
        <v>0</v>
      </c>
      <c r="BU22" s="9">
        <f t="shared" si="25"/>
        <v>2</v>
      </c>
      <c r="BV22" s="9">
        <f t="shared" si="26"/>
        <v>0</v>
      </c>
      <c r="BX22" s="9">
        <f>IF(AND(ISNUMBER($BN22),$BO22="Left 2nd Stage",SUM($BX$5:BX21)=0),$BN22,0)</f>
        <v>0</v>
      </c>
      <c r="BY22" s="9">
        <f t="shared" si="46"/>
        <v>0</v>
      </c>
      <c r="BZ22" s="9">
        <f>IF(AND(ISNUMBER($BN22),$BO22="Right 2nd Stage",SUM($BZ$5:$BZ21)=0),$BN21,0)</f>
        <v>0</v>
      </c>
      <c r="CA22" s="9">
        <f t="shared" si="47"/>
        <v>0</v>
      </c>
    </row>
    <row r="23" spans="1:79" ht="15">
      <c r="A23" s="9">
        <v>19</v>
      </c>
      <c r="B23" s="166" t="e">
        <f>IF(ISNUMBER(XS_Analyzer!B23),XS_Analyzer!B23,NA())</f>
        <v>#N/A</v>
      </c>
      <c r="C23" s="88" t="e">
        <f>IF(ISNUMBER(XS_Analyzer!C23),XS_Analyzer!C23,NA())</f>
        <v>#N/A</v>
      </c>
      <c r="D23" s="88" t="str">
        <f>IF(ISNUMBER(XS_Analyzer!E23),XS_Analyzer!E23,"")</f>
        <v/>
      </c>
      <c r="E23" s="9" t="str">
        <f t="shared" si="28"/>
        <v/>
      </c>
      <c r="F23" s="88" t="e">
        <f>IF(AND(ISTEXT(XS_Analyzer!D23),XS_Analyzer!D23&lt;&gt;""),VLOOKUP(XS_Analyzer!D23,$K$12:$L$21,2,FALSE),"")</f>
        <v>#N/A</v>
      </c>
      <c r="G23" s="132" t="str">
        <f t="shared" si="29"/>
        <v/>
      </c>
      <c r="I23" s="20"/>
      <c r="J23" s="20"/>
      <c r="K23" s="7"/>
      <c r="L23" s="7"/>
      <c r="M23" s="193"/>
      <c r="N23" s="9"/>
      <c r="P23" s="9"/>
      <c r="Q23" s="5" t="str">
        <f t="shared" si="30"/>
        <v>N</v>
      </c>
      <c r="R23" s="5" t="str">
        <f t="shared" si="31"/>
        <v/>
      </c>
      <c r="S23" s="5" t="str">
        <f t="shared" si="32"/>
        <v/>
      </c>
      <c r="T23" s="5" t="str">
        <f t="shared" si="33"/>
        <v/>
      </c>
      <c r="U23" s="5" t="str">
        <f t="shared" si="34"/>
        <v/>
      </c>
      <c r="V23" s="62" t="str">
        <f t="shared" si="35"/>
        <v/>
      </c>
      <c r="W23" s="62" t="e">
        <f t="shared" si="48"/>
        <v>#N/A</v>
      </c>
      <c r="X23" s="9" t="e">
        <f t="shared" si="1"/>
        <v>#N/A</v>
      </c>
      <c r="Y23" s="64" t="str">
        <f t="shared" si="36"/>
        <v/>
      </c>
      <c r="Z23" s="174" t="str">
        <f t="shared" si="37"/>
        <v/>
      </c>
      <c r="AA23" s="64" t="str">
        <f>IF(ISNUMBER(Y23),INDEX(Y23:Y106,MATCH(TRUE,INDEX(Y23:Y106&lt;&gt;Y23,),0)),"")</f>
        <v/>
      </c>
      <c r="AB23" s="64" t="str">
        <f t="shared" si="39"/>
        <v/>
      </c>
      <c r="AC23" s="64" t="str">
        <f t="shared" si="40"/>
        <v/>
      </c>
      <c r="AD23" s="64" t="e">
        <f>IF(ISTEXT(AB23),INDEX(AB23:AB106,MATCH(TRUE,INDEX(AB23:AB106&lt;&gt;AB23,),0)),"")</f>
        <v>#N/A</v>
      </c>
      <c r="AE23" s="11" t="str">
        <f t="shared" si="42"/>
        <v/>
      </c>
      <c r="AF23" s="11" t="str">
        <f t="shared" si="2"/>
        <v/>
      </c>
      <c r="AG23" s="11" t="str">
        <f t="shared" si="3"/>
        <v/>
      </c>
      <c r="AH23" s="11" t="str">
        <f t="shared" si="43"/>
        <v/>
      </c>
      <c r="AI23" s="11" t="e">
        <f>IF(AND(ISNUMBER(AI22),ISNUMBER(S23)),(VLOOKUP(AD23,AB23:AC106,2,FALSE)),IF(ISNUMBER(S23),R23,NA()))</f>
        <v>#N/A</v>
      </c>
      <c r="AJ23" s="11" t="e">
        <f t="shared" si="4"/>
        <v>#N/A</v>
      </c>
      <c r="AK23" s="11" t="str">
        <f t="shared" si="5"/>
        <v/>
      </c>
      <c r="AL23" s="11" t="str">
        <f t="shared" si="6"/>
        <v/>
      </c>
      <c r="AN23" s="7"/>
      <c r="AO23" s="7"/>
      <c r="AP23" s="7"/>
      <c r="AQ23" s="7"/>
      <c r="AR23" s="9"/>
      <c r="AS23" s="74">
        <f t="shared" si="7"/>
        <v>10</v>
      </c>
      <c r="AT23" s="74">
        <f t="shared" si="8"/>
        <v>5</v>
      </c>
      <c r="AU23" s="74">
        <f t="shared" si="9"/>
        <v>10</v>
      </c>
      <c r="AV23" s="74">
        <f t="shared" si="0"/>
        <v>5</v>
      </c>
      <c r="AW23" s="102"/>
      <c r="AY23" s="9">
        <f t="shared" si="10"/>
        <v>10</v>
      </c>
      <c r="AZ23" s="11">
        <f t="shared" si="11"/>
        <v>3</v>
      </c>
      <c r="BA23" s="75">
        <f t="shared" si="12"/>
        <v>10</v>
      </c>
      <c r="BB23" s="11">
        <f t="shared" si="13"/>
        <v>3</v>
      </c>
      <c r="BD23" s="11">
        <f t="shared" si="14"/>
        <v>2</v>
      </c>
      <c r="BE23" s="9">
        <f t="shared" si="15"/>
        <v>0</v>
      </c>
      <c r="BF23" s="71">
        <f t="shared" si="16"/>
        <v>0</v>
      </c>
      <c r="BG23" s="11" t="str">
        <f t="shared" si="17"/>
        <v>MAX WSE</v>
      </c>
      <c r="BH23" s="132">
        <f t="shared" si="45"/>
        <v>5</v>
      </c>
      <c r="BJ23" s="71">
        <f t="shared" si="18"/>
        <v>2</v>
      </c>
      <c r="BL23" s="9">
        <f t="shared" si="49"/>
        <v>0</v>
      </c>
      <c r="BM23" s="9"/>
      <c r="BN23" s="9">
        <f t="shared" si="20"/>
        <v>10</v>
      </c>
      <c r="BO23" s="9" t="str">
        <f>IF(BP23="Left",IF(ISNA(VLOOKUP(BN23,XS_AnalyzerSummary!$A$21:$B$25,2,TRUE)),"",VLOOKUP(BN23,XS_AnalyzerSummary!$A$21:$B$25,2,TRUE)),IF(ISNA(VLOOKUP(-BN23,XS_AnalyzerSummary!$A$28:$B$32,2,TRUE)),"",VLOOKUP(-BN23,XS_AnalyzerSummary!$A$28:$B$32,2,TRUE)))</f>
        <v>Right Bank</v>
      </c>
      <c r="BP23" s="9" t="str">
        <f>IF(AU23&lt;XS_AnalyzerSummary!$B$7,"Left",IF(AU23&gt;XS_AnalyzerSummary!$B$7,"Right","Thalweg"))</f>
        <v>Right</v>
      </c>
      <c r="BQ23" s="9">
        <f t="shared" si="21"/>
        <v>0</v>
      </c>
      <c r="BR23" s="9">
        <f t="shared" si="22"/>
        <v>0</v>
      </c>
      <c r="BS23" s="9">
        <f t="shared" si="23"/>
        <v>0</v>
      </c>
      <c r="BT23" s="9">
        <f t="shared" si="24"/>
        <v>0</v>
      </c>
      <c r="BU23" s="9">
        <f t="shared" si="25"/>
        <v>2</v>
      </c>
      <c r="BV23" s="9">
        <f t="shared" si="26"/>
        <v>0</v>
      </c>
      <c r="BX23" s="9">
        <f>IF(AND(ISNUMBER($BN23),$BO23="Left 2nd Stage",SUM($BX$5:BX22)=0),$BN23,0)</f>
        <v>0</v>
      </c>
      <c r="BY23" s="9">
        <f t="shared" si="46"/>
        <v>0</v>
      </c>
      <c r="BZ23" s="9">
        <f>IF(AND(ISNUMBER($BN23),$BO23="Right 2nd Stage",SUM($BZ$5:$BZ22)=0),$BN22,0)</f>
        <v>0</v>
      </c>
      <c r="CA23" s="9">
        <f t="shared" si="47"/>
        <v>0</v>
      </c>
    </row>
    <row r="24" spans="1:79" ht="15">
      <c r="A24" s="9">
        <v>20</v>
      </c>
      <c r="B24" s="166" t="e">
        <f>IF(ISNUMBER(XS_Analyzer!B24),XS_Analyzer!B24,NA())</f>
        <v>#N/A</v>
      </c>
      <c r="C24" s="88" t="e">
        <f>IF(ISNUMBER(XS_Analyzer!C24),XS_Analyzer!C24,NA())</f>
        <v>#N/A</v>
      </c>
      <c r="D24" s="88" t="str">
        <f>IF(ISNUMBER(XS_Analyzer!E24),XS_Analyzer!E24,"")</f>
        <v/>
      </c>
      <c r="E24" s="9" t="str">
        <f t="shared" si="28"/>
        <v/>
      </c>
      <c r="F24" s="88" t="e">
        <f>IF(AND(ISTEXT(XS_Analyzer!D24),XS_Analyzer!D24&lt;&gt;""),VLOOKUP(XS_Analyzer!D24,$K$12:$L$21,2,FALSE),"")</f>
        <v>#N/A</v>
      </c>
      <c r="G24" s="132" t="str">
        <f t="shared" si="29"/>
        <v/>
      </c>
      <c r="K24" s="7"/>
      <c r="L24" s="7"/>
      <c r="M24" s="10"/>
      <c r="N24" s="9"/>
      <c r="O24" s="9"/>
      <c r="P24" s="9"/>
      <c r="Q24" s="5" t="str">
        <f t="shared" si="30"/>
        <v>N</v>
      </c>
      <c r="R24" s="5" t="str">
        <f t="shared" si="31"/>
        <v/>
      </c>
      <c r="S24" s="5" t="str">
        <f t="shared" si="32"/>
        <v/>
      </c>
      <c r="T24" s="5" t="str">
        <f t="shared" si="33"/>
        <v/>
      </c>
      <c r="U24" s="5" t="str">
        <f t="shared" si="34"/>
        <v/>
      </c>
      <c r="V24" s="62" t="str">
        <f t="shared" si="35"/>
        <v/>
      </c>
      <c r="W24" s="62" t="e">
        <f t="shared" si="48"/>
        <v>#N/A</v>
      </c>
      <c r="X24" s="9" t="e">
        <f t="shared" si="1"/>
        <v>#N/A</v>
      </c>
      <c r="Y24" s="64" t="str">
        <f t="shared" si="36"/>
        <v/>
      </c>
      <c r="Z24" s="174" t="str">
        <f t="shared" si="37"/>
        <v/>
      </c>
      <c r="AA24" s="64" t="str">
        <f>IF(ISNUMBER(Y24),INDEX(Y24:Y106,MATCH(TRUE,INDEX(Y24:Y106&lt;&gt;Y24,),0)),"")</f>
        <v/>
      </c>
      <c r="AB24" s="64" t="str">
        <f t="shared" si="39"/>
        <v/>
      </c>
      <c r="AC24" s="64" t="str">
        <f t="shared" si="40"/>
        <v/>
      </c>
      <c r="AD24" s="64" t="e">
        <f>IF(ISTEXT(AB24),INDEX(AB24:AB106,MATCH(TRUE,INDEX(AB24:AB106&lt;&gt;AB24,),0)),"")</f>
        <v>#N/A</v>
      </c>
      <c r="AE24" s="11" t="str">
        <f t="shared" si="42"/>
        <v/>
      </c>
      <c r="AF24" s="11" t="str">
        <f t="shared" si="2"/>
        <v/>
      </c>
      <c r="AG24" s="11" t="str">
        <f t="shared" si="3"/>
        <v/>
      </c>
      <c r="AH24" s="11" t="str">
        <f t="shared" si="43"/>
        <v/>
      </c>
      <c r="AI24" s="11" t="e">
        <f>IF(AND(ISNUMBER(AI23),ISNUMBER(S24)),(VLOOKUP(AD24,AB24:AC106,2,FALSE)),IF(ISNUMBER(S24),R24,NA()))</f>
        <v>#N/A</v>
      </c>
      <c r="AJ24" s="11" t="e">
        <f t="shared" si="4"/>
        <v>#N/A</v>
      </c>
      <c r="AK24" s="11" t="str">
        <f t="shared" si="5"/>
        <v/>
      </c>
      <c r="AL24" s="11" t="str">
        <f t="shared" si="6"/>
        <v/>
      </c>
      <c r="AN24" s="7"/>
      <c r="AO24" s="7"/>
      <c r="AP24" s="7"/>
      <c r="AQ24" s="7"/>
      <c r="AR24" s="9"/>
      <c r="AS24" s="74">
        <f t="shared" si="7"/>
        <v>10</v>
      </c>
      <c r="AT24" s="74">
        <f t="shared" si="8"/>
        <v>5</v>
      </c>
      <c r="AU24" s="74">
        <f t="shared" si="9"/>
        <v>10</v>
      </c>
      <c r="AV24" s="74">
        <f t="shared" si="0"/>
        <v>5</v>
      </c>
      <c r="AW24" s="102"/>
      <c r="AY24" s="9">
        <f t="shared" si="10"/>
        <v>10</v>
      </c>
      <c r="AZ24" s="11">
        <f t="shared" si="11"/>
        <v>3</v>
      </c>
      <c r="BA24" s="75">
        <f t="shared" si="12"/>
        <v>10</v>
      </c>
      <c r="BB24" s="11">
        <f t="shared" si="13"/>
        <v>3</v>
      </c>
      <c r="BD24" s="11">
        <f t="shared" si="14"/>
        <v>2</v>
      </c>
      <c r="BE24" s="9">
        <f t="shared" si="15"/>
        <v>0</v>
      </c>
      <c r="BF24" s="71">
        <f t="shared" si="16"/>
        <v>0</v>
      </c>
      <c r="BG24" s="11" t="str">
        <f t="shared" si="17"/>
        <v>MAX WSE</v>
      </c>
      <c r="BH24" s="132">
        <f t="shared" si="45"/>
        <v>5</v>
      </c>
      <c r="BJ24" s="71">
        <f t="shared" si="18"/>
        <v>2</v>
      </c>
      <c r="BL24" s="9">
        <f t="shared" si="49"/>
        <v>0</v>
      </c>
      <c r="BM24" s="9"/>
      <c r="BN24" s="9">
        <f t="shared" si="20"/>
        <v>10</v>
      </c>
      <c r="BO24" s="9" t="str">
        <f>IF(BP24="Left",IF(ISNA(VLOOKUP(BN24,XS_AnalyzerSummary!$A$21:$B$25,2,TRUE)),"",VLOOKUP(BN24,XS_AnalyzerSummary!$A$21:$B$25,2,TRUE)),IF(ISNA(VLOOKUP(-BN24,XS_AnalyzerSummary!$A$28:$B$32,2,TRUE)),"",VLOOKUP(-BN24,XS_AnalyzerSummary!$A$28:$B$32,2,TRUE)))</f>
        <v>Right Bank</v>
      </c>
      <c r="BP24" s="9" t="str">
        <f>IF(AU24&lt;XS_AnalyzerSummary!$B$7,"Left",IF(AU24&gt;XS_AnalyzerSummary!$B$7,"Right","Thalweg"))</f>
        <v>Right</v>
      </c>
      <c r="BQ24" s="9">
        <f t="shared" si="21"/>
        <v>0</v>
      </c>
      <c r="BR24" s="9">
        <f t="shared" si="22"/>
        <v>0</v>
      </c>
      <c r="BS24" s="9">
        <f t="shared" si="23"/>
        <v>0</v>
      </c>
      <c r="BT24" s="9">
        <f t="shared" si="24"/>
        <v>0</v>
      </c>
      <c r="BU24" s="9">
        <f t="shared" si="25"/>
        <v>2</v>
      </c>
      <c r="BV24" s="9">
        <f t="shared" si="26"/>
        <v>0</v>
      </c>
      <c r="BX24" s="9">
        <f>IF(AND(ISNUMBER($BN24),$BO24="Left 2nd Stage",SUM($BX$5:BX23)=0),$BN24,0)</f>
        <v>0</v>
      </c>
      <c r="BY24" s="9">
        <f t="shared" si="46"/>
        <v>0</v>
      </c>
      <c r="BZ24" s="9">
        <f>IF(AND(ISNUMBER($BN24),$BO24="Right 2nd Stage",SUM($BZ$5:$BZ23)=0),$BN23,0)</f>
        <v>0</v>
      </c>
      <c r="CA24" s="9">
        <f t="shared" si="47"/>
        <v>0</v>
      </c>
    </row>
    <row r="25" spans="1:79" ht="15">
      <c r="A25" s="9">
        <v>21</v>
      </c>
      <c r="B25" s="166" t="e">
        <f>IF(ISNUMBER(XS_Analyzer!B25),XS_Analyzer!B25,NA())</f>
        <v>#N/A</v>
      </c>
      <c r="C25" s="88" t="e">
        <f>IF(ISNUMBER(XS_Analyzer!C25),XS_Analyzer!C25,NA())</f>
        <v>#N/A</v>
      </c>
      <c r="D25" s="88" t="str">
        <f>IF(ISNUMBER(XS_Analyzer!E25),XS_Analyzer!E25,"")</f>
        <v/>
      </c>
      <c r="E25" s="9" t="str">
        <f t="shared" si="28"/>
        <v/>
      </c>
      <c r="F25" s="88" t="e">
        <f>IF(AND(ISTEXT(XS_Analyzer!D25),XS_Analyzer!D25&lt;&gt;""),VLOOKUP(XS_Analyzer!D25,$K$12:$L$21,2,FALSE),"")</f>
        <v>#N/A</v>
      </c>
      <c r="G25" s="132" t="str">
        <f t="shared" si="29"/>
        <v/>
      </c>
      <c r="K25" s="7"/>
      <c r="L25" s="7"/>
      <c r="M25" s="10"/>
      <c r="N25" s="5"/>
      <c r="P25" s="9"/>
      <c r="Q25" s="5" t="str">
        <f t="shared" si="30"/>
        <v>N</v>
      </c>
      <c r="R25" s="5" t="str">
        <f t="shared" si="31"/>
        <v/>
      </c>
      <c r="S25" s="5" t="str">
        <f t="shared" si="32"/>
        <v/>
      </c>
      <c r="T25" s="5" t="str">
        <f t="shared" si="33"/>
        <v/>
      </c>
      <c r="U25" s="5" t="str">
        <f t="shared" si="34"/>
        <v/>
      </c>
      <c r="V25" s="62" t="str">
        <f t="shared" si="35"/>
        <v/>
      </c>
      <c r="W25" s="62" t="e">
        <f t="shared" si="48"/>
        <v>#N/A</v>
      </c>
      <c r="X25" s="9" t="e">
        <f t="shared" si="1"/>
        <v>#N/A</v>
      </c>
      <c r="Y25" s="64" t="str">
        <f t="shared" si="36"/>
        <v/>
      </c>
      <c r="Z25" s="174" t="str">
        <f t="shared" si="37"/>
        <v/>
      </c>
      <c r="AA25" s="64" t="str">
        <f>IF(ISNUMBER(Y25),INDEX(Y25:Y106,MATCH(TRUE,INDEX(Y25:Y106&lt;&gt;Y25,),0)),"")</f>
        <v/>
      </c>
      <c r="AB25" s="64" t="str">
        <f t="shared" si="39"/>
        <v/>
      </c>
      <c r="AC25" s="64" t="str">
        <f t="shared" si="40"/>
        <v/>
      </c>
      <c r="AD25" s="64" t="e">
        <f>IF(ISTEXT(AB25),INDEX(AB25:AB106,MATCH(TRUE,INDEX(AB25:AB106&lt;&gt;AB25,),0)),"")</f>
        <v>#N/A</v>
      </c>
      <c r="AE25" s="11" t="str">
        <f t="shared" si="42"/>
        <v/>
      </c>
      <c r="AF25" s="11" t="str">
        <f t="shared" si="2"/>
        <v/>
      </c>
      <c r="AG25" s="11" t="str">
        <f t="shared" si="3"/>
        <v/>
      </c>
      <c r="AH25" s="11" t="str">
        <f t="shared" si="43"/>
        <v/>
      </c>
      <c r="AI25" s="11" t="e">
        <f>IF(AND(ISNUMBER(AI24),ISNUMBER(S25)),(VLOOKUP(AD25,AB25:AC106,2,FALSE)),IF(ISNUMBER(S25),R25,NA()))</f>
        <v>#N/A</v>
      </c>
      <c r="AJ25" s="11" t="e">
        <f t="shared" si="4"/>
        <v>#N/A</v>
      </c>
      <c r="AK25" s="11" t="str">
        <f t="shared" si="5"/>
        <v/>
      </c>
      <c r="AL25" s="11" t="str">
        <f t="shared" si="6"/>
        <v/>
      </c>
      <c r="AN25" s="7"/>
      <c r="AO25" s="7"/>
      <c r="AP25" s="7"/>
      <c r="AQ25" s="7"/>
      <c r="AR25" s="9"/>
      <c r="AS25" s="74">
        <f t="shared" si="7"/>
        <v>10</v>
      </c>
      <c r="AT25" s="74">
        <f t="shared" si="8"/>
        <v>5</v>
      </c>
      <c r="AU25" s="74">
        <f t="shared" si="9"/>
        <v>10</v>
      </c>
      <c r="AV25" s="74">
        <f t="shared" si="0"/>
        <v>5</v>
      </c>
      <c r="AW25" s="102"/>
      <c r="AY25" s="9">
        <f t="shared" si="10"/>
        <v>10</v>
      </c>
      <c r="AZ25" s="11">
        <f t="shared" si="11"/>
        <v>3</v>
      </c>
      <c r="BA25" s="75">
        <f t="shared" si="12"/>
        <v>10</v>
      </c>
      <c r="BB25" s="11">
        <f t="shared" si="13"/>
        <v>3</v>
      </c>
      <c r="BD25" s="11">
        <f t="shared" si="14"/>
        <v>2</v>
      </c>
      <c r="BE25" s="9">
        <f t="shared" si="15"/>
        <v>0</v>
      </c>
      <c r="BF25" s="71">
        <f t="shared" si="16"/>
        <v>0</v>
      </c>
      <c r="BG25" s="11" t="str">
        <f t="shared" si="17"/>
        <v>MAX WSE</v>
      </c>
      <c r="BH25" s="132">
        <f t="shared" si="45"/>
        <v>5</v>
      </c>
      <c r="BJ25" s="71">
        <f t="shared" si="18"/>
        <v>2</v>
      </c>
      <c r="BL25" s="9">
        <f t="shared" si="49"/>
        <v>0</v>
      </c>
      <c r="BM25" s="9"/>
      <c r="BN25" s="9">
        <f t="shared" si="20"/>
        <v>10</v>
      </c>
      <c r="BO25" s="9" t="str">
        <f>IF(BP25="Left",IF(ISNA(VLOOKUP(BN25,XS_AnalyzerSummary!$A$21:$B$25,2,TRUE)),"",VLOOKUP(BN25,XS_AnalyzerSummary!$A$21:$B$25,2,TRUE)),IF(ISNA(VLOOKUP(-BN25,XS_AnalyzerSummary!$A$28:$B$32,2,TRUE)),"",VLOOKUP(-BN25,XS_AnalyzerSummary!$A$28:$B$32,2,TRUE)))</f>
        <v>Right Bank</v>
      </c>
      <c r="BP25" s="9" t="str">
        <f>IF(AU25&lt;XS_AnalyzerSummary!$B$7,"Left",IF(AU25&gt;XS_AnalyzerSummary!$B$7,"Right","Thalweg"))</f>
        <v>Right</v>
      </c>
      <c r="BQ25" s="9">
        <f t="shared" si="21"/>
        <v>0</v>
      </c>
      <c r="BR25" s="9">
        <f t="shared" si="22"/>
        <v>0</v>
      </c>
      <c r="BS25" s="9">
        <f t="shared" si="23"/>
        <v>0</v>
      </c>
      <c r="BT25" s="9">
        <f t="shared" si="24"/>
        <v>0</v>
      </c>
      <c r="BU25" s="9">
        <f t="shared" si="25"/>
        <v>2</v>
      </c>
      <c r="BV25" s="9">
        <f t="shared" si="26"/>
        <v>0</v>
      </c>
      <c r="BX25" s="9">
        <f>IF(AND(ISNUMBER($BN25),$BO25="Left 2nd Stage",SUM($BX$5:BX24)=0),$BN25,0)</f>
        <v>0</v>
      </c>
      <c r="BY25" s="9">
        <f t="shared" si="46"/>
        <v>0</v>
      </c>
      <c r="BZ25" s="9">
        <f>IF(AND(ISNUMBER($BN25),$BO25="Right 2nd Stage",SUM($BZ$5:$BZ24)=0),$BN24,0)</f>
        <v>0</v>
      </c>
      <c r="CA25" s="9">
        <f t="shared" si="47"/>
        <v>0</v>
      </c>
    </row>
    <row r="26" spans="1:79" ht="15">
      <c r="A26" s="9">
        <v>22</v>
      </c>
      <c r="B26" s="166" t="e">
        <f>IF(ISNUMBER(XS_Analyzer!B26),XS_Analyzer!B26,NA())</f>
        <v>#N/A</v>
      </c>
      <c r="C26" s="88" t="e">
        <f>IF(ISNUMBER(XS_Analyzer!C26),XS_Analyzer!C26,NA())</f>
        <v>#N/A</v>
      </c>
      <c r="D26" s="88" t="str">
        <f>IF(ISNUMBER(XS_Analyzer!E26),XS_Analyzer!E26,"")</f>
        <v/>
      </c>
      <c r="E26" s="9" t="str">
        <f t="shared" si="28"/>
        <v/>
      </c>
      <c r="F26" s="88" t="e">
        <f>IF(AND(ISTEXT(XS_Analyzer!D26),XS_Analyzer!D26&lt;&gt;""),VLOOKUP(XS_Analyzer!D26,$K$12:$L$21,2,FALSE),"")</f>
        <v>#N/A</v>
      </c>
      <c r="G26" s="132" t="str">
        <f t="shared" si="29"/>
        <v/>
      </c>
      <c r="K26" s="7"/>
      <c r="L26" s="7"/>
      <c r="M26" s="10"/>
      <c r="N26" s="9"/>
      <c r="P26" s="9"/>
      <c r="Q26" s="5" t="str">
        <f t="shared" si="30"/>
        <v>N</v>
      </c>
      <c r="R26" s="5" t="str">
        <f t="shared" si="31"/>
        <v/>
      </c>
      <c r="S26" s="5" t="str">
        <f t="shared" si="32"/>
        <v/>
      </c>
      <c r="T26" s="5" t="str">
        <f t="shared" si="33"/>
        <v/>
      </c>
      <c r="U26" s="5" t="str">
        <f t="shared" si="34"/>
        <v/>
      </c>
      <c r="V26" s="62" t="str">
        <f t="shared" si="35"/>
        <v/>
      </c>
      <c r="W26" s="62" t="e">
        <f t="shared" si="48"/>
        <v>#N/A</v>
      </c>
      <c r="X26" s="9" t="e">
        <f t="shared" si="1"/>
        <v>#N/A</v>
      </c>
      <c r="Y26" s="64" t="str">
        <f t="shared" si="36"/>
        <v/>
      </c>
      <c r="Z26" s="174" t="str">
        <f t="shared" si="37"/>
        <v/>
      </c>
      <c r="AA26" s="64" t="str">
        <f>IF(ISNUMBER(Y26),INDEX(Y26:Y106,MATCH(TRUE,INDEX(Y26:Y106&lt;&gt;Y26,),0)),"")</f>
        <v/>
      </c>
      <c r="AB26" s="64" t="str">
        <f t="shared" si="39"/>
        <v/>
      </c>
      <c r="AC26" s="64" t="str">
        <f t="shared" si="40"/>
        <v/>
      </c>
      <c r="AD26" s="64" t="e">
        <f>IF(ISTEXT(AB26),INDEX(AB26:AB106,MATCH(TRUE,INDEX(AB26:AB106&lt;&gt;AB26,),0)),"")</f>
        <v>#N/A</v>
      </c>
      <c r="AE26" s="11" t="str">
        <f t="shared" si="42"/>
        <v/>
      </c>
      <c r="AF26" s="11" t="str">
        <f t="shared" si="2"/>
        <v/>
      </c>
      <c r="AG26" s="11" t="str">
        <f t="shared" si="3"/>
        <v/>
      </c>
      <c r="AH26" s="11" t="str">
        <f t="shared" si="43"/>
        <v/>
      </c>
      <c r="AI26" s="11" t="e">
        <f>IF(AND(ISNUMBER(AI25),ISNUMBER(S26)),(VLOOKUP(AD26,AB26:AC106,2,FALSE)),IF(ISNUMBER(S26),R26,NA()))</f>
        <v>#N/A</v>
      </c>
      <c r="AJ26" s="11" t="e">
        <f t="shared" si="4"/>
        <v>#N/A</v>
      </c>
      <c r="AK26" s="11" t="str">
        <f t="shared" si="5"/>
        <v/>
      </c>
      <c r="AL26" s="11" t="str">
        <f t="shared" si="6"/>
        <v/>
      </c>
      <c r="AN26" s="7"/>
      <c r="AO26" s="7"/>
      <c r="AP26" s="7"/>
      <c r="AQ26" s="7"/>
      <c r="AR26" s="9"/>
      <c r="AS26" s="74">
        <f t="shared" si="7"/>
        <v>10</v>
      </c>
      <c r="AT26" s="74">
        <f t="shared" si="8"/>
        <v>5</v>
      </c>
      <c r="AU26" s="74">
        <f t="shared" si="9"/>
        <v>10</v>
      </c>
      <c r="AV26" s="74">
        <f t="shared" si="0"/>
        <v>5</v>
      </c>
      <c r="AW26" s="102"/>
      <c r="AY26" s="9">
        <f t="shared" si="10"/>
        <v>10</v>
      </c>
      <c r="AZ26" s="11">
        <f t="shared" si="11"/>
        <v>3</v>
      </c>
      <c r="BA26" s="75">
        <f t="shared" si="12"/>
        <v>10</v>
      </c>
      <c r="BB26" s="11">
        <f t="shared" si="13"/>
        <v>3</v>
      </c>
      <c r="BD26" s="11">
        <f t="shared" si="14"/>
        <v>2</v>
      </c>
      <c r="BE26" s="9">
        <f t="shared" si="15"/>
        <v>0</v>
      </c>
      <c r="BF26" s="71">
        <f t="shared" si="16"/>
        <v>0</v>
      </c>
      <c r="BG26" s="11" t="str">
        <f t="shared" si="17"/>
        <v>MAX WSE</v>
      </c>
      <c r="BH26" s="132">
        <f t="shared" si="45"/>
        <v>5</v>
      </c>
      <c r="BJ26" s="71">
        <f t="shared" si="18"/>
        <v>2</v>
      </c>
      <c r="BL26" s="9">
        <f t="shared" si="49"/>
        <v>0</v>
      </c>
      <c r="BM26" s="9"/>
      <c r="BN26" s="9">
        <f t="shared" si="20"/>
        <v>10</v>
      </c>
      <c r="BO26" s="9" t="str">
        <f>IF(BP26="Left",IF(ISNA(VLOOKUP(BN26,XS_AnalyzerSummary!$A$21:$B$25,2,TRUE)),"",VLOOKUP(BN26,XS_AnalyzerSummary!$A$21:$B$25,2,TRUE)),IF(ISNA(VLOOKUP(-BN26,XS_AnalyzerSummary!$A$28:$B$32,2,TRUE)),"",VLOOKUP(-BN26,XS_AnalyzerSummary!$A$28:$B$32,2,TRUE)))</f>
        <v>Right Bank</v>
      </c>
      <c r="BP26" s="9" t="str">
        <f>IF(AU26&lt;XS_AnalyzerSummary!$B$7,"Left",IF(AU26&gt;XS_AnalyzerSummary!$B$7,"Right","Thalweg"))</f>
        <v>Right</v>
      </c>
      <c r="BQ26" s="9">
        <f t="shared" si="21"/>
        <v>0</v>
      </c>
      <c r="BR26" s="9">
        <f t="shared" si="22"/>
        <v>0</v>
      </c>
      <c r="BS26" s="9">
        <f t="shared" si="23"/>
        <v>0</v>
      </c>
      <c r="BT26" s="9">
        <f t="shared" si="24"/>
        <v>0</v>
      </c>
      <c r="BU26" s="9">
        <f t="shared" si="25"/>
        <v>2</v>
      </c>
      <c r="BV26" s="9">
        <f t="shared" si="26"/>
        <v>0</v>
      </c>
      <c r="BX26" s="9">
        <f>IF(AND(ISNUMBER($BN26),$BO26="Left 2nd Stage",SUM($BX$5:BX25)=0),$BN26,0)</f>
        <v>0</v>
      </c>
      <c r="BY26" s="9">
        <f t="shared" si="46"/>
        <v>0</v>
      </c>
      <c r="BZ26" s="9">
        <f>IF(AND(ISNUMBER($BN26),$BO26="Right 2nd Stage",SUM($BZ$5:$BZ25)=0),$BN25,0)</f>
        <v>0</v>
      </c>
      <c r="CA26" s="9">
        <f t="shared" si="47"/>
        <v>0</v>
      </c>
    </row>
    <row r="27" spans="1:79" ht="15">
      <c r="A27" s="9">
        <v>23</v>
      </c>
      <c r="B27" s="166" t="e">
        <f>IF(ISNUMBER(XS_Analyzer!B27),XS_Analyzer!B27,NA())</f>
        <v>#N/A</v>
      </c>
      <c r="C27" s="88" t="e">
        <f>IF(ISNUMBER(XS_Analyzer!C27),XS_Analyzer!C27,NA())</f>
        <v>#N/A</v>
      </c>
      <c r="D27" s="88" t="str">
        <f>IF(ISNUMBER(XS_Analyzer!E27),XS_Analyzer!E27,"")</f>
        <v/>
      </c>
      <c r="E27" s="9" t="str">
        <f t="shared" si="28"/>
        <v/>
      </c>
      <c r="F27" s="88" t="e">
        <f>IF(AND(ISTEXT(XS_Analyzer!D27),XS_Analyzer!D27&lt;&gt;""),VLOOKUP(XS_Analyzer!D27,$K$12:$L$21,2,FALSE),"")</f>
        <v>#N/A</v>
      </c>
      <c r="G27" s="132" t="str">
        <f t="shared" si="29"/>
        <v/>
      </c>
      <c r="K27" s="7"/>
      <c r="L27" s="7"/>
      <c r="M27" s="10"/>
      <c r="N27" s="9"/>
      <c r="O27" s="9"/>
      <c r="P27" s="9"/>
      <c r="Q27" s="5" t="str">
        <f t="shared" si="30"/>
        <v>N</v>
      </c>
      <c r="R27" s="5" t="str">
        <f t="shared" si="31"/>
        <v/>
      </c>
      <c r="S27" s="5" t="str">
        <f t="shared" si="32"/>
        <v/>
      </c>
      <c r="T27" s="5" t="str">
        <f t="shared" si="33"/>
        <v/>
      </c>
      <c r="U27" s="5" t="str">
        <f t="shared" si="34"/>
        <v/>
      </c>
      <c r="V27" s="62" t="str">
        <f t="shared" si="35"/>
        <v/>
      </c>
      <c r="W27" s="62" t="e">
        <f t="shared" si="48"/>
        <v>#N/A</v>
      </c>
      <c r="X27" s="9" t="e">
        <f t="shared" si="1"/>
        <v>#N/A</v>
      </c>
      <c r="Y27" s="64" t="str">
        <f t="shared" si="36"/>
        <v/>
      </c>
      <c r="Z27" s="174" t="str">
        <f t="shared" si="37"/>
        <v/>
      </c>
      <c r="AA27" s="64" t="str">
        <f>IF(ISNUMBER(Y27),INDEX(Y27:Y106,MATCH(TRUE,INDEX(Y27:Y106&lt;&gt;Y27,),0)),"")</f>
        <v/>
      </c>
      <c r="AB27" s="64" t="str">
        <f t="shared" si="39"/>
        <v/>
      </c>
      <c r="AC27" s="64" t="str">
        <f t="shared" si="40"/>
        <v/>
      </c>
      <c r="AD27" s="64" t="e">
        <f>IF(ISTEXT(AB27),INDEX(AB27:AB106,MATCH(TRUE,INDEX(AB27:AB106&lt;&gt;AB27,),0)),"")</f>
        <v>#N/A</v>
      </c>
      <c r="AE27" s="11" t="str">
        <f t="shared" si="42"/>
        <v/>
      </c>
      <c r="AF27" s="11" t="str">
        <f t="shared" si="2"/>
        <v/>
      </c>
      <c r="AG27" s="11" t="str">
        <f t="shared" si="3"/>
        <v/>
      </c>
      <c r="AH27" s="11" t="str">
        <f t="shared" si="43"/>
        <v/>
      </c>
      <c r="AI27" s="11" t="e">
        <f>IF(AND(ISNUMBER(AI26),ISNUMBER(S27)),(VLOOKUP(AD27,AB27:AC106,2,FALSE)),IF(ISNUMBER(S27),R27,NA()))</f>
        <v>#N/A</v>
      </c>
      <c r="AJ27" s="11" t="e">
        <f t="shared" si="4"/>
        <v>#N/A</v>
      </c>
      <c r="AK27" s="11" t="str">
        <f t="shared" si="5"/>
        <v/>
      </c>
      <c r="AL27" s="11" t="str">
        <f t="shared" si="6"/>
        <v/>
      </c>
      <c r="AN27" s="7"/>
      <c r="AO27" s="7"/>
      <c r="AP27" s="7"/>
      <c r="AQ27" s="7"/>
      <c r="AR27" s="9"/>
      <c r="AS27" s="74">
        <f t="shared" si="7"/>
        <v>10</v>
      </c>
      <c r="AT27" s="74">
        <f t="shared" si="8"/>
        <v>5</v>
      </c>
      <c r="AU27" s="74">
        <f t="shared" si="9"/>
        <v>10</v>
      </c>
      <c r="AV27" s="74">
        <f t="shared" si="0"/>
        <v>5</v>
      </c>
      <c r="AW27" s="102"/>
      <c r="AY27" s="9">
        <f t="shared" si="10"/>
        <v>10</v>
      </c>
      <c r="AZ27" s="11">
        <f t="shared" si="11"/>
        <v>3</v>
      </c>
      <c r="BA27" s="75">
        <f t="shared" si="12"/>
        <v>10</v>
      </c>
      <c r="BB27" s="11">
        <f t="shared" si="13"/>
        <v>3</v>
      </c>
      <c r="BD27" s="11">
        <f t="shared" si="14"/>
        <v>2</v>
      </c>
      <c r="BE27" s="9">
        <f t="shared" si="15"/>
        <v>0</v>
      </c>
      <c r="BF27" s="71">
        <f t="shared" si="16"/>
        <v>0</v>
      </c>
      <c r="BG27" s="11" t="str">
        <f t="shared" si="17"/>
        <v>MAX WSE</v>
      </c>
      <c r="BH27" s="132">
        <f t="shared" si="45"/>
        <v>5</v>
      </c>
      <c r="BJ27" s="71">
        <f t="shared" si="18"/>
        <v>2</v>
      </c>
      <c r="BL27" s="9">
        <f t="shared" si="49"/>
        <v>0</v>
      </c>
      <c r="BM27" s="9"/>
      <c r="BN27" s="9">
        <f t="shared" si="20"/>
        <v>10</v>
      </c>
      <c r="BO27" s="9" t="str">
        <f>IF(BP27="Left",IF(ISNA(VLOOKUP(BN27,XS_AnalyzerSummary!$A$21:$B$25,2,TRUE)),"",VLOOKUP(BN27,XS_AnalyzerSummary!$A$21:$B$25,2,TRUE)),IF(ISNA(VLOOKUP(-BN27,XS_AnalyzerSummary!$A$28:$B$32,2,TRUE)),"",VLOOKUP(-BN27,XS_AnalyzerSummary!$A$28:$B$32,2,TRUE)))</f>
        <v>Right Bank</v>
      </c>
      <c r="BP27" s="9" t="str">
        <f>IF(AU27&lt;XS_AnalyzerSummary!$B$7,"Left",IF(AU27&gt;XS_AnalyzerSummary!$B$7,"Right","Thalweg"))</f>
        <v>Right</v>
      </c>
      <c r="BQ27" s="9">
        <f t="shared" si="21"/>
        <v>0</v>
      </c>
      <c r="BR27" s="9">
        <f t="shared" si="22"/>
        <v>0</v>
      </c>
      <c r="BS27" s="9">
        <f t="shared" si="23"/>
        <v>0</v>
      </c>
      <c r="BT27" s="9">
        <f t="shared" si="24"/>
        <v>0</v>
      </c>
      <c r="BU27" s="9">
        <f t="shared" si="25"/>
        <v>2</v>
      </c>
      <c r="BV27" s="9">
        <f t="shared" si="26"/>
        <v>0</v>
      </c>
      <c r="BX27" s="9">
        <f>IF(AND(ISNUMBER($BN27),$BO27="Left 2nd Stage",SUM($BX$5:BX26)=0),$BN27,0)</f>
        <v>0</v>
      </c>
      <c r="BY27" s="9">
        <f t="shared" si="46"/>
        <v>0</v>
      </c>
      <c r="BZ27" s="9">
        <f>IF(AND(ISNUMBER($BN27),$BO27="Right 2nd Stage",SUM($BZ$5:$BZ26)=0),$BN26,0)</f>
        <v>0</v>
      </c>
      <c r="CA27" s="9">
        <f t="shared" si="47"/>
        <v>0</v>
      </c>
    </row>
    <row r="28" spans="1:79" ht="15">
      <c r="A28" s="9">
        <v>24</v>
      </c>
      <c r="B28" s="166" t="e">
        <f>IF(ISNUMBER(XS_Analyzer!B28),XS_Analyzer!B28,NA())</f>
        <v>#N/A</v>
      </c>
      <c r="C28" s="88" t="e">
        <f>IF(ISNUMBER(XS_Analyzer!C28),XS_Analyzer!C28,NA())</f>
        <v>#N/A</v>
      </c>
      <c r="D28" s="88" t="str">
        <f>IF(ISNUMBER(XS_Analyzer!E28),XS_Analyzer!E28,"")</f>
        <v/>
      </c>
      <c r="E28" s="9" t="str">
        <f t="shared" si="28"/>
        <v/>
      </c>
      <c r="F28" s="88" t="e">
        <f>IF(AND(ISTEXT(XS_Analyzer!D28),XS_Analyzer!D28&lt;&gt;""),VLOOKUP(XS_Analyzer!D28,$K$12:$L$21,2,FALSE),"")</f>
        <v>#N/A</v>
      </c>
      <c r="G28" s="132" t="str">
        <f t="shared" si="29"/>
        <v/>
      </c>
      <c r="K28" s="7"/>
      <c r="L28" s="7"/>
      <c r="M28" s="10"/>
      <c r="N28" s="9"/>
      <c r="P28" s="9"/>
      <c r="Q28" s="5" t="str">
        <f t="shared" si="30"/>
        <v>N</v>
      </c>
      <c r="R28" s="5" t="str">
        <f t="shared" si="31"/>
        <v/>
      </c>
      <c r="S28" s="5" t="str">
        <f t="shared" si="32"/>
        <v/>
      </c>
      <c r="T28" s="5" t="str">
        <f t="shared" si="33"/>
        <v/>
      </c>
      <c r="U28" s="5" t="str">
        <f t="shared" si="34"/>
        <v/>
      </c>
      <c r="V28" s="62" t="str">
        <f t="shared" si="35"/>
        <v/>
      </c>
      <c r="W28" s="62" t="e">
        <f t="shared" si="48"/>
        <v>#N/A</v>
      </c>
      <c r="X28" s="9" t="e">
        <f t="shared" si="1"/>
        <v>#N/A</v>
      </c>
      <c r="Y28" s="64" t="str">
        <f t="shared" si="36"/>
        <v/>
      </c>
      <c r="Z28" s="174" t="str">
        <f t="shared" si="37"/>
        <v/>
      </c>
      <c r="AA28" s="64" t="str">
        <f>IF(ISNUMBER(Y28),INDEX(Y28:Y106,MATCH(TRUE,INDEX(Y28:Y106&lt;&gt;Y28,),0)),"")</f>
        <v/>
      </c>
      <c r="AB28" s="64" t="str">
        <f t="shared" si="39"/>
        <v/>
      </c>
      <c r="AC28" s="64" t="str">
        <f t="shared" si="40"/>
        <v/>
      </c>
      <c r="AD28" s="64" t="e">
        <f>IF(ISTEXT(AB28),INDEX(AB28:AB106,MATCH(TRUE,INDEX(AB28:AB106&lt;&gt;AB28,),0)),"")</f>
        <v>#N/A</v>
      </c>
      <c r="AE28" s="11" t="str">
        <f t="shared" si="42"/>
        <v/>
      </c>
      <c r="AF28" s="11" t="str">
        <f t="shared" si="2"/>
        <v/>
      </c>
      <c r="AG28" s="11" t="str">
        <f t="shared" si="3"/>
        <v/>
      </c>
      <c r="AH28" s="11" t="str">
        <f t="shared" si="43"/>
        <v/>
      </c>
      <c r="AI28" s="11" t="e">
        <f>IF(AND(ISNUMBER(AI27),ISNUMBER(S28)),(VLOOKUP(AD28,AB28:AC106,2,FALSE)),IF(ISNUMBER(S28),R28,NA()))</f>
        <v>#N/A</v>
      </c>
      <c r="AJ28" s="11" t="e">
        <f t="shared" si="4"/>
        <v>#N/A</v>
      </c>
      <c r="AK28" s="11" t="str">
        <f t="shared" si="5"/>
        <v/>
      </c>
      <c r="AL28" s="11" t="str">
        <f t="shared" si="6"/>
        <v/>
      </c>
      <c r="AN28" s="7"/>
      <c r="AO28" s="7"/>
      <c r="AP28" s="7"/>
      <c r="AQ28" s="7"/>
      <c r="AR28" s="9"/>
      <c r="AS28" s="74">
        <f t="shared" si="7"/>
        <v>10</v>
      </c>
      <c r="AT28" s="74">
        <f t="shared" si="8"/>
        <v>5</v>
      </c>
      <c r="AU28" s="74">
        <f t="shared" si="9"/>
        <v>10</v>
      </c>
      <c r="AV28" s="74">
        <f t="shared" si="0"/>
        <v>5</v>
      </c>
      <c r="AW28" s="102"/>
      <c r="AY28" s="9">
        <f t="shared" si="10"/>
        <v>10</v>
      </c>
      <c r="AZ28" s="11">
        <f t="shared" si="11"/>
        <v>3</v>
      </c>
      <c r="BA28" s="75">
        <f t="shared" si="12"/>
        <v>10</v>
      </c>
      <c r="BB28" s="11">
        <f t="shared" si="13"/>
        <v>3</v>
      </c>
      <c r="BD28" s="11">
        <f t="shared" si="14"/>
        <v>2</v>
      </c>
      <c r="BE28" s="9">
        <f t="shared" si="15"/>
        <v>0</v>
      </c>
      <c r="BF28" s="71">
        <f t="shared" si="16"/>
        <v>0</v>
      </c>
      <c r="BG28" s="11" t="str">
        <f t="shared" si="17"/>
        <v>MAX WSE</v>
      </c>
      <c r="BH28" s="132">
        <f t="shared" si="45"/>
        <v>5</v>
      </c>
      <c r="BJ28" s="71">
        <f t="shared" si="18"/>
        <v>2</v>
      </c>
      <c r="BL28" s="9">
        <f t="shared" si="49"/>
        <v>0</v>
      </c>
      <c r="BM28" s="9"/>
      <c r="BN28" s="9">
        <f t="shared" si="20"/>
        <v>10</v>
      </c>
      <c r="BO28" s="9" t="str">
        <f>IF(BP28="Left",IF(ISNA(VLOOKUP(BN28,XS_AnalyzerSummary!$A$21:$B$25,2,TRUE)),"",VLOOKUP(BN28,XS_AnalyzerSummary!$A$21:$B$25,2,TRUE)),IF(ISNA(VLOOKUP(-BN28,XS_AnalyzerSummary!$A$28:$B$32,2,TRUE)),"",VLOOKUP(-BN28,XS_AnalyzerSummary!$A$28:$B$32,2,TRUE)))</f>
        <v>Right Bank</v>
      </c>
      <c r="BP28" s="9" t="str">
        <f>IF(AU28&lt;XS_AnalyzerSummary!$B$7,"Left",IF(AU28&gt;XS_AnalyzerSummary!$B$7,"Right","Thalweg"))</f>
        <v>Right</v>
      </c>
      <c r="BQ28" s="9">
        <f t="shared" si="21"/>
        <v>0</v>
      </c>
      <c r="BR28" s="9">
        <f t="shared" si="22"/>
        <v>0</v>
      </c>
      <c r="BS28" s="9">
        <f t="shared" si="23"/>
        <v>0</v>
      </c>
      <c r="BT28" s="9">
        <f t="shared" si="24"/>
        <v>0</v>
      </c>
      <c r="BU28" s="9">
        <f t="shared" si="25"/>
        <v>2</v>
      </c>
      <c r="BV28" s="9">
        <f t="shared" si="26"/>
        <v>0</v>
      </c>
      <c r="BX28" s="9">
        <f>IF(AND(ISNUMBER($BN28),$BO28="Left 2nd Stage",SUM($BX$5:BX27)=0),$BN28,0)</f>
        <v>0</v>
      </c>
      <c r="BY28" s="9">
        <f t="shared" si="46"/>
        <v>0</v>
      </c>
      <c r="BZ28" s="9">
        <f>IF(AND(ISNUMBER($BN28),$BO28="Right 2nd Stage",SUM($BZ$5:$BZ27)=0),$BN27,0)</f>
        <v>0</v>
      </c>
      <c r="CA28" s="9">
        <f t="shared" si="47"/>
        <v>0</v>
      </c>
    </row>
    <row r="29" spans="1:79" ht="15">
      <c r="A29" s="9">
        <v>25</v>
      </c>
      <c r="B29" s="166" t="e">
        <f>IF(ISNUMBER(XS_Analyzer!B29),XS_Analyzer!B29,NA())</f>
        <v>#N/A</v>
      </c>
      <c r="C29" s="88" t="e">
        <f>IF(ISNUMBER(XS_Analyzer!C29),XS_Analyzer!C29,NA())</f>
        <v>#N/A</v>
      </c>
      <c r="D29" s="88" t="str">
        <f>IF(ISNUMBER(XS_Analyzer!E29),XS_Analyzer!E29,"")</f>
        <v/>
      </c>
      <c r="E29" s="9" t="str">
        <f t="shared" si="28"/>
        <v/>
      </c>
      <c r="F29" s="88" t="e">
        <f>IF(AND(ISTEXT(XS_Analyzer!D29),XS_Analyzer!D29&lt;&gt;""),VLOOKUP(XS_Analyzer!D29,$K$12:$L$21,2,FALSE),"")</f>
        <v>#N/A</v>
      </c>
      <c r="G29" s="132" t="str">
        <f t="shared" si="29"/>
        <v/>
      </c>
      <c r="K29" s="7"/>
      <c r="L29" s="7"/>
      <c r="M29" s="10"/>
      <c r="N29" s="9"/>
      <c r="P29" s="9"/>
      <c r="Q29" s="5" t="str">
        <f t="shared" si="30"/>
        <v>N</v>
      </c>
      <c r="R29" s="5" t="str">
        <f t="shared" si="31"/>
        <v/>
      </c>
      <c r="S29" s="5" t="str">
        <f t="shared" si="32"/>
        <v/>
      </c>
      <c r="T29" s="5" t="str">
        <f t="shared" si="33"/>
        <v/>
      </c>
      <c r="U29" s="5" t="str">
        <f t="shared" si="34"/>
        <v/>
      </c>
      <c r="V29" s="62" t="str">
        <f t="shared" si="35"/>
        <v/>
      </c>
      <c r="W29" s="62" t="e">
        <f t="shared" si="48"/>
        <v>#N/A</v>
      </c>
      <c r="X29" s="9" t="e">
        <f t="shared" si="1"/>
        <v>#N/A</v>
      </c>
      <c r="Y29" s="64" t="str">
        <f t="shared" si="36"/>
        <v/>
      </c>
      <c r="Z29" s="174" t="str">
        <f t="shared" si="37"/>
        <v/>
      </c>
      <c r="AA29" s="64" t="str">
        <f>IF(ISNUMBER(Y29),INDEX(Y29:Y106,MATCH(TRUE,INDEX(Y29:Y106&lt;&gt;Y29,),0)),"")</f>
        <v/>
      </c>
      <c r="AB29" s="64" t="str">
        <f t="shared" si="39"/>
        <v/>
      </c>
      <c r="AC29" s="64" t="str">
        <f t="shared" si="40"/>
        <v/>
      </c>
      <c r="AD29" s="64" t="e">
        <f>IF(ISTEXT(AB29),INDEX(AB29:AB106,MATCH(TRUE,INDEX(AB29:AB106&lt;&gt;AB29,),0)),"")</f>
        <v>#N/A</v>
      </c>
      <c r="AE29" s="11" t="str">
        <f t="shared" si="42"/>
        <v/>
      </c>
      <c r="AF29" s="11" t="str">
        <f t="shared" si="2"/>
        <v/>
      </c>
      <c r="AG29" s="11" t="str">
        <f t="shared" si="3"/>
        <v/>
      </c>
      <c r="AH29" s="11" t="str">
        <f t="shared" si="43"/>
        <v/>
      </c>
      <c r="AI29" s="11" t="e">
        <f>IF(AND(ISNUMBER(AI28),ISNUMBER(S29)),(VLOOKUP(AD29,AB29:AC106,2,FALSE)),IF(ISNUMBER(S29),R29,NA()))</f>
        <v>#N/A</v>
      </c>
      <c r="AJ29" s="11" t="e">
        <f t="shared" si="4"/>
        <v>#N/A</v>
      </c>
      <c r="AK29" s="11" t="str">
        <f t="shared" si="5"/>
        <v/>
      </c>
      <c r="AL29" s="11" t="str">
        <f t="shared" si="6"/>
        <v/>
      </c>
      <c r="AN29" s="7"/>
      <c r="AO29" s="7"/>
      <c r="AP29" s="7"/>
      <c r="AQ29" s="7"/>
      <c r="AR29" s="9"/>
      <c r="AS29" s="74">
        <f t="shared" si="7"/>
        <v>10</v>
      </c>
      <c r="AT29" s="74">
        <f t="shared" si="8"/>
        <v>5</v>
      </c>
      <c r="AU29" s="74">
        <f t="shared" si="9"/>
        <v>10</v>
      </c>
      <c r="AV29" s="74">
        <f t="shared" si="0"/>
        <v>5</v>
      </c>
      <c r="AW29" s="102"/>
      <c r="AY29" s="9">
        <f t="shared" si="10"/>
        <v>10</v>
      </c>
      <c r="AZ29" s="11">
        <f t="shared" si="11"/>
        <v>3</v>
      </c>
      <c r="BA29" s="75">
        <f t="shared" si="12"/>
        <v>10</v>
      </c>
      <c r="BB29" s="11">
        <f t="shared" si="13"/>
        <v>3</v>
      </c>
      <c r="BD29" s="11">
        <f t="shared" si="14"/>
        <v>2</v>
      </c>
      <c r="BE29" s="9">
        <f t="shared" si="15"/>
        <v>0</v>
      </c>
      <c r="BF29" s="71">
        <f t="shared" si="16"/>
        <v>0</v>
      </c>
      <c r="BG29" s="11" t="str">
        <f t="shared" si="17"/>
        <v>MAX WSE</v>
      </c>
      <c r="BH29" s="132">
        <f t="shared" si="45"/>
        <v>5</v>
      </c>
      <c r="BJ29" s="71">
        <f t="shared" si="18"/>
        <v>2</v>
      </c>
      <c r="BL29" s="9">
        <f t="shared" si="49"/>
        <v>0</v>
      </c>
      <c r="BM29" s="9"/>
      <c r="BN29" s="9">
        <f t="shared" si="20"/>
        <v>10</v>
      </c>
      <c r="BO29" s="9" t="str">
        <f>IF(BP29="Left",IF(ISNA(VLOOKUP(BN29,XS_AnalyzerSummary!$A$21:$B$25,2,TRUE)),"",VLOOKUP(BN29,XS_AnalyzerSummary!$A$21:$B$25,2,TRUE)),IF(ISNA(VLOOKUP(-BN29,XS_AnalyzerSummary!$A$28:$B$32,2,TRUE)),"",VLOOKUP(-BN29,XS_AnalyzerSummary!$A$28:$B$32,2,TRUE)))</f>
        <v>Right Bank</v>
      </c>
      <c r="BP29" s="9" t="str">
        <f>IF(AU29&lt;XS_AnalyzerSummary!$B$7,"Left",IF(AU29&gt;XS_AnalyzerSummary!$B$7,"Right","Thalweg"))</f>
        <v>Right</v>
      </c>
      <c r="BQ29" s="9">
        <f t="shared" si="21"/>
        <v>0</v>
      </c>
      <c r="BR29" s="9">
        <f t="shared" si="22"/>
        <v>0</v>
      </c>
      <c r="BS29" s="9">
        <f t="shared" si="23"/>
        <v>0</v>
      </c>
      <c r="BT29" s="9">
        <f t="shared" si="24"/>
        <v>0</v>
      </c>
      <c r="BU29" s="9">
        <f t="shared" si="25"/>
        <v>2</v>
      </c>
      <c r="BV29" s="9">
        <f t="shared" si="26"/>
        <v>0</v>
      </c>
      <c r="BX29" s="9">
        <f>IF(AND(ISNUMBER($BN29),$BO29="Left 2nd Stage",SUM($BX$5:BX28)=0),$BN29,0)</f>
        <v>0</v>
      </c>
      <c r="BY29" s="9">
        <f t="shared" si="46"/>
        <v>0</v>
      </c>
      <c r="BZ29" s="9">
        <f>IF(AND(ISNUMBER($BN29),$BO29="Right 2nd Stage",SUM($BZ$5:$BZ28)=0),$BN28,0)</f>
        <v>0</v>
      </c>
      <c r="CA29" s="9">
        <f t="shared" si="47"/>
        <v>0</v>
      </c>
    </row>
    <row r="30" spans="1:79" ht="15">
      <c r="A30" s="9">
        <v>26</v>
      </c>
      <c r="B30" s="166" t="e">
        <f>IF(ISNUMBER(XS_Analyzer!B30),XS_Analyzer!B30,NA())</f>
        <v>#N/A</v>
      </c>
      <c r="C30" s="88" t="e">
        <f>IF(ISNUMBER(XS_Analyzer!C30),XS_Analyzer!C30,NA())</f>
        <v>#N/A</v>
      </c>
      <c r="D30" s="88" t="str">
        <f>IF(ISNUMBER(XS_Analyzer!E30),XS_Analyzer!E30,"")</f>
        <v/>
      </c>
      <c r="E30" s="9" t="str">
        <f t="shared" si="28"/>
        <v/>
      </c>
      <c r="F30" s="88" t="e">
        <f>IF(AND(ISTEXT(XS_Analyzer!D30),XS_Analyzer!D30&lt;&gt;""),VLOOKUP(XS_Analyzer!D30,$K$12:$L$21,2,FALSE),"")</f>
        <v>#N/A</v>
      </c>
      <c r="G30" s="132" t="str">
        <f t="shared" si="29"/>
        <v/>
      </c>
      <c r="M30" s="10"/>
      <c r="N30" s="9"/>
      <c r="O30" s="9"/>
      <c r="P30" s="9"/>
      <c r="Q30" s="5" t="str">
        <f t="shared" si="30"/>
        <v>N</v>
      </c>
      <c r="R30" s="5" t="str">
        <f t="shared" si="31"/>
        <v/>
      </c>
      <c r="S30" s="5" t="str">
        <f t="shared" si="32"/>
        <v/>
      </c>
      <c r="T30" s="5" t="str">
        <f t="shared" si="33"/>
        <v/>
      </c>
      <c r="U30" s="5" t="str">
        <f t="shared" si="34"/>
        <v/>
      </c>
      <c r="V30" s="62" t="str">
        <f t="shared" si="35"/>
        <v/>
      </c>
      <c r="W30" s="62" t="e">
        <f t="shared" si="48"/>
        <v>#N/A</v>
      </c>
      <c r="X30" s="9" t="e">
        <f t="shared" si="1"/>
        <v>#N/A</v>
      </c>
      <c r="Y30" s="64" t="str">
        <f t="shared" si="36"/>
        <v/>
      </c>
      <c r="Z30" s="174" t="str">
        <f t="shared" si="37"/>
        <v/>
      </c>
      <c r="AA30" s="64" t="str">
        <f>IF(ISNUMBER(Y30),INDEX(Y30:Y106,MATCH(TRUE,INDEX(Y30:Y106&lt;&gt;Y30,),0)),"")</f>
        <v/>
      </c>
      <c r="AB30" s="64" t="str">
        <f t="shared" si="39"/>
        <v/>
      </c>
      <c r="AC30" s="64" t="str">
        <f t="shared" si="40"/>
        <v/>
      </c>
      <c r="AD30" s="64" t="e">
        <f>IF(ISTEXT(AB30),INDEX(AB30:AB106,MATCH(TRUE,INDEX(AB30:AB106&lt;&gt;AB30,),0)),"")</f>
        <v>#N/A</v>
      </c>
      <c r="AE30" s="11" t="str">
        <f t="shared" si="42"/>
        <v/>
      </c>
      <c r="AF30" s="11" t="str">
        <f t="shared" si="2"/>
        <v/>
      </c>
      <c r="AG30" s="11" t="str">
        <f t="shared" si="3"/>
        <v/>
      </c>
      <c r="AH30" s="11" t="str">
        <f t="shared" si="43"/>
        <v/>
      </c>
      <c r="AI30" s="11" t="e">
        <f>IF(AND(ISNUMBER(AI29),ISNUMBER(S30)),(VLOOKUP(AD30,AB30:AC106,2,FALSE)),IF(ISNUMBER(S30),R30,NA()))</f>
        <v>#N/A</v>
      </c>
      <c r="AJ30" s="11" t="e">
        <f t="shared" si="4"/>
        <v>#N/A</v>
      </c>
      <c r="AK30" s="11" t="str">
        <f t="shared" si="5"/>
        <v/>
      </c>
      <c r="AL30" s="11" t="str">
        <f t="shared" si="6"/>
        <v/>
      </c>
      <c r="AN30" s="7"/>
      <c r="AO30" s="7"/>
      <c r="AP30" s="7"/>
      <c r="AQ30" s="7"/>
      <c r="AR30" s="9"/>
      <c r="AS30" s="74">
        <f t="shared" si="7"/>
        <v>10</v>
      </c>
      <c r="AT30" s="74">
        <f t="shared" si="8"/>
        <v>5</v>
      </c>
      <c r="AU30" s="74">
        <f t="shared" si="9"/>
        <v>10</v>
      </c>
      <c r="AV30" s="74">
        <f t="shared" si="0"/>
        <v>5</v>
      </c>
      <c r="AW30" s="102"/>
      <c r="AY30" s="9">
        <f t="shared" si="10"/>
        <v>10</v>
      </c>
      <c r="AZ30" s="11">
        <f t="shared" si="11"/>
        <v>3</v>
      </c>
      <c r="BA30" s="75">
        <f t="shared" si="12"/>
        <v>10</v>
      </c>
      <c r="BB30" s="11">
        <f t="shared" si="13"/>
        <v>3</v>
      </c>
      <c r="BD30" s="11">
        <f t="shared" si="14"/>
        <v>2</v>
      </c>
      <c r="BE30" s="9">
        <f t="shared" si="15"/>
        <v>0</v>
      </c>
      <c r="BF30" s="71">
        <f t="shared" si="16"/>
        <v>0</v>
      </c>
      <c r="BG30" s="11" t="str">
        <f t="shared" si="17"/>
        <v>MAX WSE</v>
      </c>
      <c r="BH30" s="132">
        <f t="shared" si="45"/>
        <v>5</v>
      </c>
      <c r="BJ30" s="71">
        <f t="shared" si="18"/>
        <v>2</v>
      </c>
      <c r="BL30" s="9">
        <f t="shared" si="49"/>
        <v>0</v>
      </c>
      <c r="BM30" s="9"/>
      <c r="BN30" s="9">
        <f t="shared" si="20"/>
        <v>10</v>
      </c>
      <c r="BO30" s="9" t="str">
        <f>IF(BP30="Left",IF(ISNA(VLOOKUP(BN30,XS_AnalyzerSummary!$A$21:$B$25,2,TRUE)),"",VLOOKUP(BN30,XS_AnalyzerSummary!$A$21:$B$25,2,TRUE)),IF(ISNA(VLOOKUP(-BN30,XS_AnalyzerSummary!$A$28:$B$32,2,TRUE)),"",VLOOKUP(-BN30,XS_AnalyzerSummary!$A$28:$B$32,2,TRUE)))</f>
        <v>Right Bank</v>
      </c>
      <c r="BP30" s="9" t="str">
        <f>IF(AU30&lt;XS_AnalyzerSummary!$B$7,"Left",IF(AU30&gt;XS_AnalyzerSummary!$B$7,"Right","Thalweg"))</f>
        <v>Right</v>
      </c>
      <c r="BQ30" s="9">
        <f t="shared" si="21"/>
        <v>0</v>
      </c>
      <c r="BR30" s="9">
        <f t="shared" si="22"/>
        <v>0</v>
      </c>
      <c r="BS30" s="9">
        <f t="shared" si="23"/>
        <v>0</v>
      </c>
      <c r="BT30" s="9">
        <f t="shared" si="24"/>
        <v>0</v>
      </c>
      <c r="BU30" s="9">
        <f t="shared" si="25"/>
        <v>2</v>
      </c>
      <c r="BV30" s="9">
        <f t="shared" si="26"/>
        <v>0</v>
      </c>
      <c r="BX30" s="9">
        <f>IF(AND(ISNUMBER($BN30),$BO30="Left 2nd Stage",SUM($BX$5:BX29)=0),$BN30,0)</f>
        <v>0</v>
      </c>
      <c r="BY30" s="9">
        <f t="shared" si="46"/>
        <v>0</v>
      </c>
      <c r="BZ30" s="9">
        <f>IF(AND(ISNUMBER($BN30),$BO30="Right 2nd Stage",SUM($BZ$5:$BZ29)=0),$BN29,0)</f>
        <v>0</v>
      </c>
      <c r="CA30" s="9">
        <f t="shared" si="47"/>
        <v>0</v>
      </c>
    </row>
    <row r="31" spans="1:79" ht="15">
      <c r="A31" s="9">
        <v>27</v>
      </c>
      <c r="B31" s="166" t="e">
        <f>IF(ISNUMBER(XS_Analyzer!B31),XS_Analyzer!B31,NA())</f>
        <v>#N/A</v>
      </c>
      <c r="C31" s="88" t="e">
        <f>IF(ISNUMBER(XS_Analyzer!C31),XS_Analyzer!C31,NA())</f>
        <v>#N/A</v>
      </c>
      <c r="D31" s="88" t="str">
        <f>IF(ISNUMBER(XS_Analyzer!E31),XS_Analyzer!E31,"")</f>
        <v/>
      </c>
      <c r="E31" s="9" t="str">
        <f t="shared" si="28"/>
        <v/>
      </c>
      <c r="F31" s="88" t="e">
        <f>IF(AND(ISTEXT(XS_Analyzer!D31),XS_Analyzer!D31&lt;&gt;""),VLOOKUP(XS_Analyzer!D31,$K$12:$L$21,2,FALSE),"")</f>
        <v>#N/A</v>
      </c>
      <c r="G31" s="132" t="str">
        <f t="shared" si="29"/>
        <v/>
      </c>
      <c r="M31" s="10"/>
      <c r="N31" s="9"/>
      <c r="P31" s="9"/>
      <c r="Q31" s="5" t="str">
        <f t="shared" si="30"/>
        <v>N</v>
      </c>
      <c r="R31" s="5" t="str">
        <f t="shared" si="31"/>
        <v/>
      </c>
      <c r="S31" s="5" t="str">
        <f t="shared" si="32"/>
        <v/>
      </c>
      <c r="T31" s="5" t="str">
        <f t="shared" si="33"/>
        <v/>
      </c>
      <c r="U31" s="5" t="str">
        <f t="shared" si="34"/>
        <v/>
      </c>
      <c r="V31" s="62" t="str">
        <f t="shared" si="35"/>
        <v/>
      </c>
      <c r="W31" s="62" t="e">
        <f t="shared" si="48"/>
        <v>#N/A</v>
      </c>
      <c r="X31" s="9" t="e">
        <f t="shared" si="1"/>
        <v>#N/A</v>
      </c>
      <c r="Y31" s="64" t="str">
        <f t="shared" si="36"/>
        <v/>
      </c>
      <c r="Z31" s="174" t="str">
        <f t="shared" si="37"/>
        <v/>
      </c>
      <c r="AA31" s="64" t="str">
        <f>IF(ISNUMBER(Y31),INDEX(Y31:Y106,MATCH(TRUE,INDEX(Y31:Y106&lt;&gt;Y31,),0)),"")</f>
        <v/>
      </c>
      <c r="AB31" s="64" t="str">
        <f t="shared" si="39"/>
        <v/>
      </c>
      <c r="AC31" s="64" t="str">
        <f t="shared" si="40"/>
        <v/>
      </c>
      <c r="AD31" s="64" t="e">
        <f>IF(ISTEXT(AB31),INDEX(AB31:AB106,MATCH(TRUE,INDEX(AB31:AB106&lt;&gt;AB31,),0)),"")</f>
        <v>#N/A</v>
      </c>
      <c r="AE31" s="11" t="str">
        <f t="shared" si="42"/>
        <v/>
      </c>
      <c r="AF31" s="11" t="str">
        <f t="shared" si="2"/>
        <v/>
      </c>
      <c r="AG31" s="11" t="str">
        <f t="shared" si="3"/>
        <v/>
      </c>
      <c r="AH31" s="11" t="str">
        <f t="shared" si="43"/>
        <v/>
      </c>
      <c r="AI31" s="11" t="e">
        <f>IF(AND(ISNUMBER(AI30),ISNUMBER(S31)),(VLOOKUP(AD31,AB31:AC106,2,FALSE)),IF(ISNUMBER(S31),R31,NA()))</f>
        <v>#N/A</v>
      </c>
      <c r="AJ31" s="11" t="e">
        <f t="shared" si="4"/>
        <v>#N/A</v>
      </c>
      <c r="AK31" s="11" t="str">
        <f t="shared" si="5"/>
        <v/>
      </c>
      <c r="AL31" s="11" t="str">
        <f t="shared" si="6"/>
        <v/>
      </c>
      <c r="AN31" s="7"/>
      <c r="AO31" s="7"/>
      <c r="AP31" s="7"/>
      <c r="AQ31" s="7"/>
      <c r="AS31" s="74">
        <f t="shared" si="7"/>
        <v>10</v>
      </c>
      <c r="AT31" s="74">
        <f t="shared" si="8"/>
        <v>5</v>
      </c>
      <c r="AU31" s="74">
        <f t="shared" si="9"/>
        <v>10</v>
      </c>
      <c r="AV31" s="74">
        <f t="shared" si="0"/>
        <v>5</v>
      </c>
      <c r="AW31" s="102"/>
      <c r="AY31" s="9">
        <f t="shared" si="10"/>
        <v>10</v>
      </c>
      <c r="AZ31" s="11">
        <f t="shared" si="11"/>
        <v>3</v>
      </c>
      <c r="BA31" s="75">
        <f t="shared" si="12"/>
        <v>10</v>
      </c>
      <c r="BB31" s="11">
        <f t="shared" si="13"/>
        <v>3</v>
      </c>
      <c r="BD31" s="11">
        <f t="shared" si="14"/>
        <v>2</v>
      </c>
      <c r="BE31" s="9">
        <f t="shared" si="15"/>
        <v>0</v>
      </c>
      <c r="BF31" s="71">
        <f t="shared" si="16"/>
        <v>0</v>
      </c>
      <c r="BG31" s="11" t="str">
        <f t="shared" si="17"/>
        <v>MAX WSE</v>
      </c>
      <c r="BH31" s="132">
        <f t="shared" si="45"/>
        <v>5</v>
      </c>
      <c r="BJ31" s="71">
        <f t="shared" si="18"/>
        <v>2</v>
      </c>
      <c r="BL31" s="9">
        <f t="shared" si="49"/>
        <v>0</v>
      </c>
      <c r="BM31" s="9"/>
      <c r="BN31" s="9">
        <f t="shared" si="20"/>
        <v>10</v>
      </c>
      <c r="BO31" s="9" t="str">
        <f>IF(BP31="Left",IF(ISNA(VLOOKUP(BN31,XS_AnalyzerSummary!$A$21:$B$25,2,TRUE)),"",VLOOKUP(BN31,XS_AnalyzerSummary!$A$21:$B$25,2,TRUE)),IF(ISNA(VLOOKUP(-BN31,XS_AnalyzerSummary!$A$28:$B$32,2,TRUE)),"",VLOOKUP(-BN31,XS_AnalyzerSummary!$A$28:$B$32,2,TRUE)))</f>
        <v>Right Bank</v>
      </c>
      <c r="BP31" s="9" t="str">
        <f>IF(AU31&lt;XS_AnalyzerSummary!$B$7,"Left",IF(AU31&gt;XS_AnalyzerSummary!$B$7,"Right","Thalweg"))</f>
        <v>Right</v>
      </c>
      <c r="BQ31" s="9">
        <f t="shared" si="21"/>
        <v>0</v>
      </c>
      <c r="BR31" s="9">
        <f t="shared" si="22"/>
        <v>0</v>
      </c>
      <c r="BS31" s="9">
        <f t="shared" si="23"/>
        <v>0</v>
      </c>
      <c r="BT31" s="9">
        <f t="shared" si="24"/>
        <v>0</v>
      </c>
      <c r="BU31" s="9">
        <f t="shared" si="25"/>
        <v>2</v>
      </c>
      <c r="BV31" s="9">
        <f t="shared" si="26"/>
        <v>0</v>
      </c>
      <c r="BX31" s="9">
        <f>IF(AND(ISNUMBER($BN31),$BO31="Left 2nd Stage",SUM($BX$5:BX30)=0),$BN31,0)</f>
        <v>0</v>
      </c>
      <c r="BY31" s="9">
        <f t="shared" si="46"/>
        <v>0</v>
      </c>
      <c r="BZ31" s="9">
        <f>IF(AND(ISNUMBER($BN31),$BO31="Right 2nd Stage",SUM($BZ$5:$BZ30)=0),$BN30,0)</f>
        <v>0</v>
      </c>
      <c r="CA31" s="9">
        <f t="shared" si="47"/>
        <v>0</v>
      </c>
    </row>
    <row r="32" spans="1:79" ht="15">
      <c r="A32" s="9">
        <v>28</v>
      </c>
      <c r="B32" s="166" t="e">
        <f>IF(ISNUMBER(XS_Analyzer!B32),XS_Analyzer!B32,NA())</f>
        <v>#N/A</v>
      </c>
      <c r="C32" s="88" t="e">
        <f>IF(ISNUMBER(XS_Analyzer!C32),XS_Analyzer!C32,NA())</f>
        <v>#N/A</v>
      </c>
      <c r="D32" s="88" t="str">
        <f>IF(ISNUMBER(XS_Analyzer!E32),XS_Analyzer!E32,"")</f>
        <v/>
      </c>
      <c r="E32" s="9" t="str">
        <f t="shared" si="28"/>
        <v/>
      </c>
      <c r="F32" s="88" t="e">
        <f>IF(AND(ISTEXT(XS_Analyzer!D32),XS_Analyzer!D32&lt;&gt;""),VLOOKUP(XS_Analyzer!D32,$K$12:$L$21,2,FALSE),"")</f>
        <v>#N/A</v>
      </c>
      <c r="G32" s="132" t="str">
        <f t="shared" si="29"/>
        <v/>
      </c>
      <c r="M32" s="10"/>
      <c r="N32" s="9"/>
      <c r="P32" s="9"/>
      <c r="Q32" s="5" t="str">
        <f t="shared" si="30"/>
        <v>N</v>
      </c>
      <c r="R32" s="5" t="str">
        <f t="shared" si="31"/>
        <v/>
      </c>
      <c r="S32" s="5" t="str">
        <f t="shared" si="32"/>
        <v/>
      </c>
      <c r="T32" s="5" t="str">
        <f t="shared" si="33"/>
        <v/>
      </c>
      <c r="U32" s="5" t="str">
        <f t="shared" si="34"/>
        <v/>
      </c>
      <c r="V32" s="62" t="str">
        <f t="shared" si="35"/>
        <v/>
      </c>
      <c r="W32" s="62" t="e">
        <f t="shared" si="48"/>
        <v>#N/A</v>
      </c>
      <c r="X32" s="9" t="e">
        <f t="shared" si="1"/>
        <v>#N/A</v>
      </c>
      <c r="Y32" s="64" t="str">
        <f t="shared" si="36"/>
        <v/>
      </c>
      <c r="Z32" s="174" t="str">
        <f t="shared" si="37"/>
        <v/>
      </c>
      <c r="AA32" s="64" t="str">
        <f>IF(ISNUMBER(Y32),INDEX(Y32:Y106,MATCH(TRUE,INDEX(Y32:Y106&lt;&gt;Y32,),0)),"")</f>
        <v/>
      </c>
      <c r="AB32" s="64" t="str">
        <f t="shared" si="39"/>
        <v/>
      </c>
      <c r="AC32" s="64" t="str">
        <f t="shared" si="40"/>
        <v/>
      </c>
      <c r="AD32" s="64" t="e">
        <f>IF(ISTEXT(AB32),INDEX(AB32:AB106,MATCH(TRUE,INDEX(AB32:AB106&lt;&gt;AB32,),0)),"")</f>
        <v>#N/A</v>
      </c>
      <c r="AE32" s="11" t="str">
        <f t="shared" si="42"/>
        <v/>
      </c>
      <c r="AF32" s="11" t="str">
        <f t="shared" si="2"/>
        <v/>
      </c>
      <c r="AG32" s="11" t="str">
        <f t="shared" si="3"/>
        <v/>
      </c>
      <c r="AH32" s="11" t="str">
        <f t="shared" si="43"/>
        <v/>
      </c>
      <c r="AI32" s="11" t="e">
        <f>IF(AND(ISNUMBER(AI31),ISNUMBER(S32)),(VLOOKUP(AD32,AB32:AC106,2,FALSE)),IF(ISNUMBER(S32),R32,NA()))</f>
        <v>#N/A</v>
      </c>
      <c r="AJ32" s="11" t="e">
        <f t="shared" si="4"/>
        <v>#N/A</v>
      </c>
      <c r="AK32" s="11" t="str">
        <f t="shared" si="5"/>
        <v/>
      </c>
      <c r="AL32" s="11" t="str">
        <f t="shared" si="6"/>
        <v/>
      </c>
      <c r="AN32" s="7"/>
      <c r="AO32" s="7"/>
      <c r="AP32" s="7"/>
      <c r="AQ32" s="7"/>
      <c r="AS32" s="74">
        <f t="shared" si="7"/>
        <v>10</v>
      </c>
      <c r="AT32" s="74">
        <f t="shared" si="8"/>
        <v>5</v>
      </c>
      <c r="AU32" s="74">
        <f t="shared" si="9"/>
        <v>10</v>
      </c>
      <c r="AV32" s="74">
        <f t="shared" si="0"/>
        <v>5</v>
      </c>
      <c r="AW32" s="102"/>
      <c r="AY32" s="9">
        <f t="shared" si="10"/>
        <v>10</v>
      </c>
      <c r="AZ32" s="11">
        <f t="shared" si="11"/>
        <v>3</v>
      </c>
      <c r="BA32" s="75">
        <f t="shared" si="12"/>
        <v>10</v>
      </c>
      <c r="BB32" s="11">
        <f t="shared" si="13"/>
        <v>3</v>
      </c>
      <c r="BD32" s="11">
        <f t="shared" si="14"/>
        <v>2</v>
      </c>
      <c r="BE32" s="9">
        <f t="shared" si="15"/>
        <v>0</v>
      </c>
      <c r="BF32" s="71">
        <f t="shared" si="16"/>
        <v>0</v>
      </c>
      <c r="BG32" s="11" t="str">
        <f t="shared" si="17"/>
        <v>MAX WSE</v>
      </c>
      <c r="BH32" s="132">
        <f t="shared" si="45"/>
        <v>5</v>
      </c>
      <c r="BJ32" s="71">
        <f t="shared" si="18"/>
        <v>2</v>
      </c>
      <c r="BL32" s="9">
        <f t="shared" si="49"/>
        <v>0</v>
      </c>
      <c r="BM32" s="9"/>
      <c r="BN32" s="9">
        <f t="shared" si="20"/>
        <v>10</v>
      </c>
      <c r="BO32" s="9" t="str">
        <f>IF(BP32="Left",IF(ISNA(VLOOKUP(BN32,XS_AnalyzerSummary!$A$21:$B$25,2,TRUE)),"",VLOOKUP(BN32,XS_AnalyzerSummary!$A$21:$B$25,2,TRUE)),IF(ISNA(VLOOKUP(-BN32,XS_AnalyzerSummary!$A$28:$B$32,2,TRUE)),"",VLOOKUP(-BN32,XS_AnalyzerSummary!$A$28:$B$32,2,TRUE)))</f>
        <v>Right Bank</v>
      </c>
      <c r="BP32" s="9" t="str">
        <f>IF(AU32&lt;XS_AnalyzerSummary!$B$7,"Left",IF(AU32&gt;XS_AnalyzerSummary!$B$7,"Right","Thalweg"))</f>
        <v>Right</v>
      </c>
      <c r="BQ32" s="9">
        <f t="shared" si="21"/>
        <v>0</v>
      </c>
      <c r="BR32" s="9">
        <f t="shared" si="22"/>
        <v>0</v>
      </c>
      <c r="BS32" s="9">
        <f t="shared" si="23"/>
        <v>0</v>
      </c>
      <c r="BT32" s="9">
        <f t="shared" si="24"/>
        <v>0</v>
      </c>
      <c r="BU32" s="9">
        <f t="shared" si="25"/>
        <v>2</v>
      </c>
      <c r="BV32" s="9">
        <f t="shared" si="26"/>
        <v>0</v>
      </c>
      <c r="BX32" s="9">
        <f>IF(AND(ISNUMBER($BN32),$BO32="Left 2nd Stage",SUM($BX$5:BX31)=0),$BN32,0)</f>
        <v>0</v>
      </c>
      <c r="BY32" s="9">
        <f t="shared" si="46"/>
        <v>0</v>
      </c>
      <c r="BZ32" s="9">
        <f>IF(AND(ISNUMBER($BN32),$BO32="Right 2nd Stage",SUM($BZ$5:$BZ31)=0),$BN31,0)</f>
        <v>0</v>
      </c>
      <c r="CA32" s="9">
        <f t="shared" si="47"/>
        <v>0</v>
      </c>
    </row>
    <row r="33" spans="1:79">
      <c r="A33" s="9">
        <v>29</v>
      </c>
      <c r="B33" s="166" t="e">
        <f>IF(ISNUMBER(XS_Analyzer!B33),XS_Analyzer!B33,NA())</f>
        <v>#N/A</v>
      </c>
      <c r="C33" s="88" t="e">
        <f>IF(ISNUMBER(XS_Analyzer!C33),XS_Analyzer!C33,NA())</f>
        <v>#N/A</v>
      </c>
      <c r="D33" s="88" t="str">
        <f>IF(ISNUMBER(XS_Analyzer!E33),XS_Analyzer!E33,"")</f>
        <v/>
      </c>
      <c r="E33" s="9" t="str">
        <f t="shared" si="28"/>
        <v/>
      </c>
      <c r="F33" s="88" t="e">
        <f>IF(AND(ISTEXT(XS_Analyzer!D33),XS_Analyzer!D33&lt;&gt;""),VLOOKUP(XS_Analyzer!D33,$K$12:$L$21,2,FALSE),"")</f>
        <v>#N/A</v>
      </c>
      <c r="G33" s="132" t="str">
        <f t="shared" si="29"/>
        <v/>
      </c>
      <c r="M33" s="10"/>
      <c r="Q33" s="5" t="str">
        <f t="shared" si="30"/>
        <v>N</v>
      </c>
      <c r="R33" s="5" t="str">
        <f t="shared" si="31"/>
        <v/>
      </c>
      <c r="S33" s="5" t="str">
        <f t="shared" si="32"/>
        <v/>
      </c>
      <c r="T33" s="5" t="str">
        <f t="shared" si="33"/>
        <v/>
      </c>
      <c r="U33" s="5" t="str">
        <f t="shared" si="34"/>
        <v/>
      </c>
      <c r="V33" s="62" t="str">
        <f t="shared" si="35"/>
        <v/>
      </c>
      <c r="W33" s="62" t="e">
        <f t="shared" si="48"/>
        <v>#N/A</v>
      </c>
      <c r="X33" s="9" t="e">
        <f t="shared" si="1"/>
        <v>#N/A</v>
      </c>
      <c r="Y33" s="64" t="str">
        <f t="shared" si="36"/>
        <v/>
      </c>
      <c r="Z33" s="174" t="str">
        <f t="shared" si="37"/>
        <v/>
      </c>
      <c r="AA33" s="64" t="str">
        <f>IF(ISNUMBER(Y33),INDEX(Y33:Y106,MATCH(TRUE,INDEX(Y33:Y106&lt;&gt;Y33,),0)),"")</f>
        <v/>
      </c>
      <c r="AB33" s="64" t="str">
        <f t="shared" si="39"/>
        <v/>
      </c>
      <c r="AC33" s="64" t="str">
        <f t="shared" si="40"/>
        <v/>
      </c>
      <c r="AD33" s="64" t="e">
        <f>IF(ISTEXT(AB33),INDEX(AB33:AB106,MATCH(TRUE,INDEX(AB33:AB106&lt;&gt;AB33,),0)),"")</f>
        <v>#N/A</v>
      </c>
      <c r="AE33" s="11" t="str">
        <f t="shared" si="42"/>
        <v/>
      </c>
      <c r="AF33" s="11" t="str">
        <f t="shared" si="2"/>
        <v/>
      </c>
      <c r="AG33" s="11" t="str">
        <f t="shared" si="3"/>
        <v/>
      </c>
      <c r="AH33" s="11" t="str">
        <f t="shared" si="43"/>
        <v/>
      </c>
      <c r="AI33" s="11" t="e">
        <f>IF(AND(ISNUMBER(AI32),ISNUMBER(S33)),(VLOOKUP(AD33,AB33:AC106,2,FALSE)),IF(ISNUMBER(S33),R33,NA()))</f>
        <v>#N/A</v>
      </c>
      <c r="AJ33" s="11" t="e">
        <f t="shared" si="4"/>
        <v>#N/A</v>
      </c>
      <c r="AK33" s="11" t="str">
        <f t="shared" si="5"/>
        <v/>
      </c>
      <c r="AL33" s="11" t="str">
        <f t="shared" si="6"/>
        <v/>
      </c>
      <c r="AQ33" s="11" t="str">
        <f>IF(ISNUMBER(AG92),AG92,IF(ISNUMBER(AF92),AH91,""))</f>
        <v/>
      </c>
      <c r="AS33" s="74">
        <f t="shared" si="7"/>
        <v>10</v>
      </c>
      <c r="AT33" s="74">
        <f t="shared" si="8"/>
        <v>5</v>
      </c>
      <c r="AU33" s="74">
        <f t="shared" si="9"/>
        <v>10</v>
      </c>
      <c r="AV33" s="74">
        <f t="shared" si="0"/>
        <v>5</v>
      </c>
      <c r="AW33" s="102"/>
      <c r="AY33" s="9">
        <f t="shared" si="10"/>
        <v>10</v>
      </c>
      <c r="AZ33" s="11">
        <f t="shared" si="11"/>
        <v>3</v>
      </c>
      <c r="BA33" s="75">
        <f t="shared" si="12"/>
        <v>10</v>
      </c>
      <c r="BB33" s="11">
        <f t="shared" si="13"/>
        <v>3</v>
      </c>
      <c r="BD33" s="11">
        <f t="shared" si="14"/>
        <v>2</v>
      </c>
      <c r="BE33" s="9">
        <f t="shared" si="15"/>
        <v>0</v>
      </c>
      <c r="BF33" s="71">
        <f t="shared" si="16"/>
        <v>0</v>
      </c>
      <c r="BG33" s="11" t="str">
        <f t="shared" si="17"/>
        <v>MAX WSE</v>
      </c>
      <c r="BH33" s="132">
        <f t="shared" si="45"/>
        <v>5</v>
      </c>
      <c r="BJ33" s="71">
        <f t="shared" si="18"/>
        <v>2</v>
      </c>
      <c r="BL33" s="9">
        <f t="shared" si="49"/>
        <v>0</v>
      </c>
      <c r="BM33" s="9"/>
      <c r="BN33" s="9">
        <f t="shared" si="20"/>
        <v>10</v>
      </c>
      <c r="BO33" s="9" t="str">
        <f>IF(BP33="Left",IF(ISNA(VLOOKUP(BN33,XS_AnalyzerSummary!$A$21:$B$25,2,TRUE)),"",VLOOKUP(BN33,XS_AnalyzerSummary!$A$21:$B$25,2,TRUE)),IF(ISNA(VLOOKUP(-BN33,XS_AnalyzerSummary!$A$28:$B$32,2,TRUE)),"",VLOOKUP(-BN33,XS_AnalyzerSummary!$A$28:$B$32,2,TRUE)))</f>
        <v>Right Bank</v>
      </c>
      <c r="BP33" s="9" t="str">
        <f>IF(AU33&lt;XS_AnalyzerSummary!$B$7,"Left",IF(AU33&gt;XS_AnalyzerSummary!$B$7,"Right","Thalweg"))</f>
        <v>Right</v>
      </c>
      <c r="BQ33" s="9">
        <f t="shared" si="21"/>
        <v>0</v>
      </c>
      <c r="BR33" s="9">
        <f t="shared" si="22"/>
        <v>0</v>
      </c>
      <c r="BS33" s="9">
        <f t="shared" si="23"/>
        <v>0</v>
      </c>
      <c r="BT33" s="9">
        <f t="shared" si="24"/>
        <v>0</v>
      </c>
      <c r="BU33" s="9">
        <f t="shared" si="25"/>
        <v>2</v>
      </c>
      <c r="BV33" s="9">
        <f t="shared" si="26"/>
        <v>0</v>
      </c>
      <c r="BX33" s="9">
        <f>IF(AND(ISNUMBER($BN33),$BO33="Left 2nd Stage",SUM($BX$5:BX32)=0),$BN33,0)</f>
        <v>0</v>
      </c>
      <c r="BY33" s="9">
        <f t="shared" si="46"/>
        <v>0</v>
      </c>
      <c r="BZ33" s="9">
        <f>IF(AND(ISNUMBER($BN33),$BO33="Right 2nd Stage",SUM($BZ$5:$BZ32)=0),$BN32,0)</f>
        <v>0</v>
      </c>
      <c r="CA33" s="9">
        <f t="shared" si="47"/>
        <v>0</v>
      </c>
    </row>
    <row r="34" spans="1:79">
      <c r="A34" s="9">
        <v>30</v>
      </c>
      <c r="B34" s="166" t="e">
        <f>IF(ISNUMBER(XS_Analyzer!B34),XS_Analyzer!B34,NA())</f>
        <v>#N/A</v>
      </c>
      <c r="C34" s="88" t="e">
        <f>IF(ISNUMBER(XS_Analyzer!C34),XS_Analyzer!C34,NA())</f>
        <v>#N/A</v>
      </c>
      <c r="D34" s="88" t="str">
        <f>IF(ISNUMBER(XS_Analyzer!E34),XS_Analyzer!E34,"")</f>
        <v/>
      </c>
      <c r="E34" s="9" t="str">
        <f t="shared" si="28"/>
        <v/>
      </c>
      <c r="F34" s="88" t="e">
        <f>IF(AND(ISTEXT(XS_Analyzer!D34),XS_Analyzer!D34&lt;&gt;""),VLOOKUP(XS_Analyzer!D34,$K$12:$L$21,2,FALSE),"")</f>
        <v>#N/A</v>
      </c>
      <c r="G34" s="132" t="str">
        <f t="shared" si="29"/>
        <v/>
      </c>
      <c r="M34" s="10"/>
      <c r="Q34" s="5" t="str">
        <f t="shared" si="30"/>
        <v>N</v>
      </c>
      <c r="R34" s="5" t="str">
        <f t="shared" si="31"/>
        <v/>
      </c>
      <c r="S34" s="5" t="str">
        <f t="shared" si="32"/>
        <v/>
      </c>
      <c r="T34" s="5" t="str">
        <f t="shared" si="33"/>
        <v/>
      </c>
      <c r="U34" s="5" t="str">
        <f t="shared" si="34"/>
        <v/>
      </c>
      <c r="V34" s="62" t="str">
        <f t="shared" si="35"/>
        <v/>
      </c>
      <c r="W34" s="62" t="e">
        <f t="shared" si="48"/>
        <v>#N/A</v>
      </c>
      <c r="X34" s="9" t="e">
        <f t="shared" si="1"/>
        <v>#N/A</v>
      </c>
      <c r="Y34" s="64" t="str">
        <f t="shared" si="36"/>
        <v/>
      </c>
      <c r="Z34" s="174" t="str">
        <f t="shared" si="37"/>
        <v/>
      </c>
      <c r="AA34" s="64" t="str">
        <f>IF(ISNUMBER(Y34),INDEX(Y34:Y106,MATCH(TRUE,INDEX(Y34:Y106&lt;&gt;Y34,),0)),"")</f>
        <v/>
      </c>
      <c r="AB34" s="64" t="str">
        <f t="shared" si="39"/>
        <v/>
      </c>
      <c r="AC34" s="64" t="str">
        <f t="shared" si="40"/>
        <v/>
      </c>
      <c r="AD34" s="64" t="e">
        <f>IF(ISTEXT(AB34),INDEX(AB34:AB106,MATCH(TRUE,INDEX(AB34:AB106&lt;&gt;AB34,),0)),"")</f>
        <v>#N/A</v>
      </c>
      <c r="AE34" s="11" t="str">
        <f t="shared" si="42"/>
        <v/>
      </c>
      <c r="AF34" s="11" t="str">
        <f t="shared" si="2"/>
        <v/>
      </c>
      <c r="AG34" s="11" t="str">
        <f t="shared" si="3"/>
        <v/>
      </c>
      <c r="AH34" s="11" t="str">
        <f t="shared" si="43"/>
        <v/>
      </c>
      <c r="AI34" s="11" t="e">
        <f>IF(AND(ISNUMBER(AI33),ISNUMBER(S34)),(VLOOKUP(AD34,AB34:AC106,2,FALSE)),IF(ISNUMBER(S34),R34,NA()))</f>
        <v>#N/A</v>
      </c>
      <c r="AJ34" s="11" t="e">
        <f t="shared" si="4"/>
        <v>#N/A</v>
      </c>
      <c r="AK34" s="11" t="str">
        <f t="shared" si="5"/>
        <v/>
      </c>
      <c r="AL34" s="11" t="str">
        <f t="shared" si="6"/>
        <v/>
      </c>
      <c r="AS34" s="74">
        <f t="shared" si="7"/>
        <v>10</v>
      </c>
      <c r="AT34" s="74">
        <f t="shared" si="8"/>
        <v>5</v>
      </c>
      <c r="AU34" s="74">
        <f t="shared" si="9"/>
        <v>10</v>
      </c>
      <c r="AV34" s="74">
        <f t="shared" si="0"/>
        <v>5</v>
      </c>
      <c r="AW34" s="102"/>
      <c r="AY34" s="9">
        <f t="shared" si="10"/>
        <v>10</v>
      </c>
      <c r="AZ34" s="11">
        <f t="shared" si="11"/>
        <v>3</v>
      </c>
      <c r="BA34" s="75">
        <f t="shared" si="12"/>
        <v>10</v>
      </c>
      <c r="BB34" s="11">
        <f t="shared" si="13"/>
        <v>3</v>
      </c>
      <c r="BD34" s="11">
        <f t="shared" si="14"/>
        <v>2</v>
      </c>
      <c r="BE34" s="9">
        <f t="shared" si="15"/>
        <v>0</v>
      </c>
      <c r="BF34" s="71">
        <f t="shared" si="16"/>
        <v>0</v>
      </c>
      <c r="BG34" s="11" t="str">
        <f t="shared" si="17"/>
        <v>MAX WSE</v>
      </c>
      <c r="BH34" s="132">
        <f t="shared" si="45"/>
        <v>5</v>
      </c>
      <c r="BJ34" s="71">
        <f t="shared" si="18"/>
        <v>2</v>
      </c>
      <c r="BL34" s="9">
        <f t="shared" si="49"/>
        <v>0</v>
      </c>
      <c r="BM34" s="9"/>
      <c r="BN34" s="9">
        <f t="shared" si="20"/>
        <v>10</v>
      </c>
      <c r="BO34" s="9" t="str">
        <f>IF(BP34="Left",IF(ISNA(VLOOKUP(BN34,XS_AnalyzerSummary!$A$21:$B$25,2,TRUE)),"",VLOOKUP(BN34,XS_AnalyzerSummary!$A$21:$B$25,2,TRUE)),IF(ISNA(VLOOKUP(-BN34,XS_AnalyzerSummary!$A$28:$B$32,2,TRUE)),"",VLOOKUP(-BN34,XS_AnalyzerSummary!$A$28:$B$32,2,TRUE)))</f>
        <v>Right Bank</v>
      </c>
      <c r="BP34" s="9" t="str">
        <f>IF(AU34&lt;XS_AnalyzerSummary!$B$7,"Left",IF(AU34&gt;XS_AnalyzerSummary!$B$7,"Right","Thalweg"))</f>
        <v>Right</v>
      </c>
      <c r="BQ34" s="9">
        <f t="shared" si="21"/>
        <v>0</v>
      </c>
      <c r="BR34" s="9">
        <f t="shared" si="22"/>
        <v>0</v>
      </c>
      <c r="BS34" s="9">
        <f t="shared" si="23"/>
        <v>0</v>
      </c>
      <c r="BT34" s="9">
        <f t="shared" si="24"/>
        <v>0</v>
      </c>
      <c r="BU34" s="9">
        <f t="shared" si="25"/>
        <v>2</v>
      </c>
      <c r="BV34" s="9">
        <f t="shared" si="26"/>
        <v>0</v>
      </c>
      <c r="BX34" s="9">
        <f>IF(AND(ISNUMBER($BN34),$BO34="Left 2nd Stage",SUM($BX$5:BX33)=0),$BN34,0)</f>
        <v>0</v>
      </c>
      <c r="BY34" s="9">
        <f t="shared" si="46"/>
        <v>0</v>
      </c>
      <c r="BZ34" s="9">
        <f>IF(AND(ISNUMBER($BN34),$BO34="Right 2nd Stage",SUM($BZ$5:$BZ33)=0),$BN33,0)</f>
        <v>0</v>
      </c>
      <c r="CA34" s="9">
        <f t="shared" si="47"/>
        <v>0</v>
      </c>
    </row>
    <row r="35" spans="1:79">
      <c r="A35" s="9">
        <v>31</v>
      </c>
      <c r="B35" s="166" t="e">
        <f>IF(ISNUMBER(XS_Analyzer!B35),XS_Analyzer!B35,NA())</f>
        <v>#N/A</v>
      </c>
      <c r="C35" s="88" t="e">
        <f>IF(ISNUMBER(XS_Analyzer!C35),XS_Analyzer!C35,NA())</f>
        <v>#N/A</v>
      </c>
      <c r="D35" s="88" t="str">
        <f>IF(ISNUMBER(XS_Analyzer!E35),XS_Analyzer!E35,"")</f>
        <v/>
      </c>
      <c r="E35" s="9" t="str">
        <f t="shared" si="28"/>
        <v/>
      </c>
      <c r="F35" s="88" t="e">
        <f>IF(AND(ISTEXT(XS_Analyzer!D35),XS_Analyzer!D35&lt;&gt;""),VLOOKUP(XS_Analyzer!D35,$K$12:$L$21,2,FALSE),"")</f>
        <v>#N/A</v>
      </c>
      <c r="G35" s="132" t="str">
        <f t="shared" si="29"/>
        <v/>
      </c>
      <c r="M35" s="10"/>
      <c r="Q35" s="5" t="str">
        <f t="shared" si="30"/>
        <v>N</v>
      </c>
      <c r="R35" s="5" t="str">
        <f t="shared" si="31"/>
        <v/>
      </c>
      <c r="S35" s="5" t="str">
        <f t="shared" si="32"/>
        <v/>
      </c>
      <c r="T35" s="5" t="str">
        <f t="shared" si="33"/>
        <v/>
      </c>
      <c r="U35" s="5" t="str">
        <f t="shared" si="34"/>
        <v/>
      </c>
      <c r="V35" s="62" t="str">
        <f t="shared" si="35"/>
        <v/>
      </c>
      <c r="W35" s="62" t="e">
        <f t="shared" si="48"/>
        <v>#N/A</v>
      </c>
      <c r="X35" s="9" t="e">
        <f t="shared" si="1"/>
        <v>#N/A</v>
      </c>
      <c r="Y35" s="64" t="str">
        <f t="shared" si="36"/>
        <v/>
      </c>
      <c r="Z35" s="174" t="str">
        <f t="shared" si="37"/>
        <v/>
      </c>
      <c r="AA35" s="64" t="str">
        <f>IF(ISNUMBER(Y35),INDEX(Y35:Y106,MATCH(TRUE,INDEX(Y35:Y106&lt;&gt;Y35,),0)),"")</f>
        <v/>
      </c>
      <c r="AB35" s="64" t="str">
        <f t="shared" si="39"/>
        <v/>
      </c>
      <c r="AC35" s="64" t="str">
        <f t="shared" si="40"/>
        <v/>
      </c>
      <c r="AD35" s="64" t="e">
        <f>IF(ISTEXT(AB35),INDEX(AB35:AB106,MATCH(TRUE,INDEX(AB35:AB106&lt;&gt;AB35,),0)),"")</f>
        <v>#N/A</v>
      </c>
      <c r="AE35" s="11" t="str">
        <f t="shared" si="42"/>
        <v/>
      </c>
      <c r="AF35" s="11" t="str">
        <f t="shared" si="2"/>
        <v/>
      </c>
      <c r="AG35" s="11" t="str">
        <f t="shared" si="3"/>
        <v/>
      </c>
      <c r="AH35" s="11" t="str">
        <f t="shared" si="43"/>
        <v/>
      </c>
      <c r="AI35" s="11" t="e">
        <f>IF(AND(ISNUMBER(AI34),ISNUMBER(S35)),(VLOOKUP(AD35,AB35:AC106,2,FALSE)),IF(ISNUMBER(S35),R35,NA()))</f>
        <v>#N/A</v>
      </c>
      <c r="AJ35" s="11" t="e">
        <f t="shared" si="4"/>
        <v>#N/A</v>
      </c>
      <c r="AK35" s="11" t="str">
        <f t="shared" si="5"/>
        <v/>
      </c>
      <c r="AL35" s="11" t="str">
        <f t="shared" si="6"/>
        <v/>
      </c>
      <c r="AS35" s="74">
        <f t="shared" si="7"/>
        <v>10</v>
      </c>
      <c r="AT35" s="74">
        <f t="shared" si="8"/>
        <v>5</v>
      </c>
      <c r="AU35" s="74">
        <f t="shared" si="9"/>
        <v>10</v>
      </c>
      <c r="AV35" s="74">
        <f t="shared" si="0"/>
        <v>5</v>
      </c>
      <c r="AW35" s="102"/>
      <c r="AY35" s="9">
        <f t="shared" si="10"/>
        <v>10</v>
      </c>
      <c r="AZ35" s="11">
        <f t="shared" si="11"/>
        <v>3</v>
      </c>
      <c r="BA35" s="75">
        <f t="shared" si="12"/>
        <v>10</v>
      </c>
      <c r="BB35" s="11">
        <f t="shared" si="13"/>
        <v>3</v>
      </c>
      <c r="BD35" s="11">
        <f t="shared" si="14"/>
        <v>2</v>
      </c>
      <c r="BE35" s="9">
        <f t="shared" si="15"/>
        <v>0</v>
      </c>
      <c r="BF35" s="71">
        <f t="shared" si="16"/>
        <v>0</v>
      </c>
      <c r="BG35" s="11" t="str">
        <f t="shared" si="17"/>
        <v>MAX WSE</v>
      </c>
      <c r="BH35" s="132">
        <f t="shared" si="45"/>
        <v>5</v>
      </c>
      <c r="BJ35" s="71">
        <f t="shared" si="18"/>
        <v>2</v>
      </c>
      <c r="BL35" s="9">
        <f t="shared" si="49"/>
        <v>0</v>
      </c>
      <c r="BM35" s="9"/>
      <c r="BN35" s="9">
        <f t="shared" si="20"/>
        <v>10</v>
      </c>
      <c r="BO35" s="9" t="str">
        <f>IF(BP35="Left",IF(ISNA(VLOOKUP(BN35,XS_AnalyzerSummary!$A$21:$B$25,2,TRUE)),"",VLOOKUP(BN35,XS_AnalyzerSummary!$A$21:$B$25,2,TRUE)),IF(ISNA(VLOOKUP(-BN35,XS_AnalyzerSummary!$A$28:$B$32,2,TRUE)),"",VLOOKUP(-BN35,XS_AnalyzerSummary!$A$28:$B$32,2,TRUE)))</f>
        <v>Right Bank</v>
      </c>
      <c r="BP35" s="9" t="str">
        <f>IF(AU35&lt;XS_AnalyzerSummary!$B$7,"Left",IF(AU35&gt;XS_AnalyzerSummary!$B$7,"Right","Thalweg"))</f>
        <v>Right</v>
      </c>
      <c r="BQ35" s="9">
        <f t="shared" si="21"/>
        <v>0</v>
      </c>
      <c r="BR35" s="9">
        <f t="shared" si="22"/>
        <v>0</v>
      </c>
      <c r="BS35" s="9">
        <f t="shared" si="23"/>
        <v>0</v>
      </c>
      <c r="BT35" s="9">
        <f t="shared" si="24"/>
        <v>0</v>
      </c>
      <c r="BU35" s="9">
        <f t="shared" si="25"/>
        <v>2</v>
      </c>
      <c r="BV35" s="9">
        <f t="shared" si="26"/>
        <v>0</v>
      </c>
      <c r="BX35" s="9">
        <f>IF(AND(ISNUMBER($BN35),$BO35="Left 2nd Stage",SUM($BX$5:BX34)=0),$BN35,0)</f>
        <v>0</v>
      </c>
      <c r="BY35" s="9">
        <f t="shared" si="46"/>
        <v>0</v>
      </c>
      <c r="BZ35" s="9">
        <f>IF(AND(ISNUMBER($BN35),$BO35="Right 2nd Stage",SUM($BZ$5:$BZ34)=0),$BN34,0)</f>
        <v>0</v>
      </c>
      <c r="CA35" s="9">
        <f t="shared" si="47"/>
        <v>0</v>
      </c>
    </row>
    <row r="36" spans="1:79">
      <c r="A36" s="9">
        <v>32</v>
      </c>
      <c r="B36" s="166" t="e">
        <f>IF(ISNUMBER(XS_Analyzer!B36),XS_Analyzer!B36,NA())</f>
        <v>#N/A</v>
      </c>
      <c r="C36" s="88" t="e">
        <f>IF(ISNUMBER(XS_Analyzer!C36),XS_Analyzer!C36,NA())</f>
        <v>#N/A</v>
      </c>
      <c r="D36" s="88" t="str">
        <f>IF(ISNUMBER(XS_Analyzer!E36),XS_Analyzer!E36,"")</f>
        <v/>
      </c>
      <c r="E36" s="9" t="str">
        <f t="shared" si="28"/>
        <v/>
      </c>
      <c r="F36" s="88" t="e">
        <f>IF(AND(ISTEXT(XS_Analyzer!D36),XS_Analyzer!D36&lt;&gt;""),VLOOKUP(XS_Analyzer!D36,$K$12:$L$21,2,FALSE),"")</f>
        <v>#N/A</v>
      </c>
      <c r="G36" s="132" t="str">
        <f t="shared" si="29"/>
        <v/>
      </c>
      <c r="M36" s="10"/>
      <c r="Q36" s="5" t="str">
        <f t="shared" si="30"/>
        <v>N</v>
      </c>
      <c r="R36" s="5" t="str">
        <f t="shared" si="31"/>
        <v/>
      </c>
      <c r="S36" s="5" t="str">
        <f t="shared" si="32"/>
        <v/>
      </c>
      <c r="T36" s="5" t="str">
        <f t="shared" si="33"/>
        <v/>
      </c>
      <c r="U36" s="5" t="str">
        <f t="shared" si="34"/>
        <v/>
      </c>
      <c r="V36" s="62" t="str">
        <f t="shared" si="35"/>
        <v/>
      </c>
      <c r="W36" s="62" t="e">
        <f t="shared" si="48"/>
        <v>#N/A</v>
      </c>
      <c r="X36" s="9" t="e">
        <f t="shared" si="1"/>
        <v>#N/A</v>
      </c>
      <c r="Y36" s="64" t="str">
        <f t="shared" si="36"/>
        <v/>
      </c>
      <c r="Z36" s="174" t="str">
        <f t="shared" si="37"/>
        <v/>
      </c>
      <c r="AA36" s="64" t="str">
        <f>IF(ISNUMBER(Y36),INDEX(Y36:Y106,MATCH(TRUE,INDEX(Y36:Y106&lt;&gt;Y36,),0)),"")</f>
        <v/>
      </c>
      <c r="AB36" s="64" t="str">
        <f t="shared" si="39"/>
        <v/>
      </c>
      <c r="AC36" s="64" t="str">
        <f t="shared" si="40"/>
        <v/>
      </c>
      <c r="AD36" s="64" t="e">
        <f>IF(ISTEXT(AB36),INDEX(AB36:AB106,MATCH(TRUE,INDEX(AB36:AB106&lt;&gt;AB36,),0)),"")</f>
        <v>#N/A</v>
      </c>
      <c r="AE36" s="11" t="str">
        <f t="shared" si="42"/>
        <v/>
      </c>
      <c r="AF36" s="11" t="str">
        <f t="shared" si="2"/>
        <v/>
      </c>
      <c r="AG36" s="11" t="str">
        <f t="shared" si="3"/>
        <v/>
      </c>
      <c r="AH36" s="11" t="str">
        <f t="shared" si="43"/>
        <v/>
      </c>
      <c r="AI36" s="11" t="e">
        <f>IF(AND(ISNUMBER(AI35),ISNUMBER(S36)),(VLOOKUP(AD36,AB36:AC106,2,FALSE)),IF(ISNUMBER(S36),R36,NA()))</f>
        <v>#N/A</v>
      </c>
      <c r="AJ36" s="11" t="e">
        <f t="shared" si="4"/>
        <v>#N/A</v>
      </c>
      <c r="AK36" s="11" t="str">
        <f t="shared" si="5"/>
        <v/>
      </c>
      <c r="AL36" s="11" t="str">
        <f t="shared" si="6"/>
        <v/>
      </c>
      <c r="AQ36" s="11" t="str">
        <f>IF(ISNUMBER(AG93),AG93,IF(ISNUMBER(AF93),AQ33,""))</f>
        <v/>
      </c>
      <c r="AS36" s="74">
        <f t="shared" si="7"/>
        <v>10</v>
      </c>
      <c r="AT36" s="74">
        <f t="shared" si="8"/>
        <v>5</v>
      </c>
      <c r="AU36" s="74">
        <f t="shared" si="9"/>
        <v>10</v>
      </c>
      <c r="AV36" s="74">
        <f t="shared" si="0"/>
        <v>5</v>
      </c>
      <c r="AW36" s="102"/>
      <c r="AY36" s="9">
        <f t="shared" si="10"/>
        <v>10</v>
      </c>
      <c r="AZ36" s="11">
        <f t="shared" si="11"/>
        <v>3</v>
      </c>
      <c r="BA36" s="75">
        <f t="shared" si="12"/>
        <v>10</v>
      </c>
      <c r="BB36" s="11">
        <f t="shared" si="13"/>
        <v>3</v>
      </c>
      <c r="BD36" s="11">
        <f t="shared" si="14"/>
        <v>2</v>
      </c>
      <c r="BE36" s="9">
        <f t="shared" si="15"/>
        <v>0</v>
      </c>
      <c r="BF36" s="71">
        <f t="shared" si="16"/>
        <v>0</v>
      </c>
      <c r="BG36" s="11" t="str">
        <f t="shared" si="17"/>
        <v>MAX WSE</v>
      </c>
      <c r="BH36" s="132">
        <f t="shared" si="45"/>
        <v>5</v>
      </c>
      <c r="BJ36" s="71">
        <f t="shared" si="18"/>
        <v>2</v>
      </c>
      <c r="BL36" s="9">
        <f t="shared" si="49"/>
        <v>0</v>
      </c>
      <c r="BM36" s="9"/>
      <c r="BN36" s="9">
        <f t="shared" si="20"/>
        <v>10</v>
      </c>
      <c r="BO36" s="9" t="str">
        <f>IF(BP36="Left",IF(ISNA(VLOOKUP(BN36,XS_AnalyzerSummary!$A$21:$B$25,2,TRUE)),"",VLOOKUP(BN36,XS_AnalyzerSummary!$A$21:$B$25,2,TRUE)),IF(ISNA(VLOOKUP(-BN36,XS_AnalyzerSummary!$A$28:$B$32,2,TRUE)),"",VLOOKUP(-BN36,XS_AnalyzerSummary!$A$28:$B$32,2,TRUE)))</f>
        <v>Right Bank</v>
      </c>
      <c r="BP36" s="9" t="str">
        <f>IF(AU36&lt;XS_AnalyzerSummary!$B$7,"Left",IF(AU36&gt;XS_AnalyzerSummary!$B$7,"Right","Thalweg"))</f>
        <v>Right</v>
      </c>
      <c r="BQ36" s="9">
        <f t="shared" si="21"/>
        <v>0</v>
      </c>
      <c r="BR36" s="9">
        <f t="shared" si="22"/>
        <v>0</v>
      </c>
      <c r="BS36" s="9">
        <f t="shared" si="23"/>
        <v>0</v>
      </c>
      <c r="BT36" s="9">
        <f t="shared" si="24"/>
        <v>0</v>
      </c>
      <c r="BU36" s="9">
        <f t="shared" si="25"/>
        <v>2</v>
      </c>
      <c r="BV36" s="9">
        <f t="shared" si="26"/>
        <v>0</v>
      </c>
      <c r="BX36" s="9">
        <f>IF(AND(ISNUMBER($BN36),$BO36="Left 2nd Stage",SUM($BX$5:BX35)=0),$BN36,0)</f>
        <v>0</v>
      </c>
      <c r="BY36" s="9">
        <f t="shared" si="46"/>
        <v>0</v>
      </c>
      <c r="BZ36" s="9">
        <f>IF(AND(ISNUMBER($BN36),$BO36="Right 2nd Stage",SUM($BZ$5:$BZ35)=0),$BN35,0)</f>
        <v>0</v>
      </c>
      <c r="CA36" s="9">
        <f t="shared" si="47"/>
        <v>0</v>
      </c>
    </row>
    <row r="37" spans="1:79">
      <c r="A37" s="9">
        <v>33</v>
      </c>
      <c r="B37" s="166" t="e">
        <f>IF(ISNUMBER(XS_Analyzer!B37),XS_Analyzer!B37,NA())</f>
        <v>#N/A</v>
      </c>
      <c r="C37" s="88" t="e">
        <f>IF(ISNUMBER(XS_Analyzer!C37),XS_Analyzer!C37,NA())</f>
        <v>#N/A</v>
      </c>
      <c r="D37" s="88" t="str">
        <f>IF(ISNUMBER(XS_Analyzer!E37),XS_Analyzer!E37,"")</f>
        <v/>
      </c>
      <c r="E37" s="9" t="str">
        <f t="shared" si="28"/>
        <v/>
      </c>
      <c r="F37" s="88" t="e">
        <f>IF(AND(ISTEXT(XS_Analyzer!D37),XS_Analyzer!D37&lt;&gt;""),VLOOKUP(XS_Analyzer!D37,$K$12:$L$21,2,FALSE),"")</f>
        <v>#N/A</v>
      </c>
      <c r="G37" s="132" t="str">
        <f t="shared" si="29"/>
        <v/>
      </c>
      <c r="M37" s="10"/>
      <c r="N37" s="5"/>
      <c r="O37" s="5"/>
      <c r="P37" s="5"/>
      <c r="Q37" s="5" t="str">
        <f t="shared" si="30"/>
        <v>N</v>
      </c>
      <c r="R37" s="5" t="str">
        <f t="shared" si="31"/>
        <v/>
      </c>
      <c r="S37" s="5" t="str">
        <f t="shared" si="32"/>
        <v/>
      </c>
      <c r="T37" s="5" t="str">
        <f t="shared" si="33"/>
        <v/>
      </c>
      <c r="U37" s="5" t="str">
        <f t="shared" si="34"/>
        <v/>
      </c>
      <c r="V37" s="62" t="str">
        <f t="shared" si="35"/>
        <v/>
      </c>
      <c r="W37" s="62" t="e">
        <f t="shared" si="48"/>
        <v>#N/A</v>
      </c>
      <c r="X37" s="9" t="e">
        <f t="shared" si="1"/>
        <v>#N/A</v>
      </c>
      <c r="Y37" s="64" t="str">
        <f t="shared" si="36"/>
        <v/>
      </c>
      <c r="Z37" s="174" t="str">
        <f t="shared" si="37"/>
        <v/>
      </c>
      <c r="AA37" s="64" t="str">
        <f>IF(ISNUMBER(Y37),INDEX(Y37:Y106,MATCH(TRUE,INDEX(Y37:Y106&lt;&gt;Y37,),0)),"")</f>
        <v/>
      </c>
      <c r="AB37" s="64" t="str">
        <f t="shared" si="39"/>
        <v/>
      </c>
      <c r="AC37" s="64" t="str">
        <f t="shared" si="40"/>
        <v/>
      </c>
      <c r="AD37" s="64" t="e">
        <f>IF(ISTEXT(AB37),INDEX(AB37:AB106,MATCH(TRUE,INDEX(AB37:AB106&lt;&gt;AB37,),0)),"")</f>
        <v>#N/A</v>
      </c>
      <c r="AE37" s="11" t="str">
        <f t="shared" si="42"/>
        <v/>
      </c>
      <c r="AF37" s="11" t="str">
        <f t="shared" si="2"/>
        <v/>
      </c>
      <c r="AG37" s="11" t="str">
        <f t="shared" si="3"/>
        <v/>
      </c>
      <c r="AH37" s="11" t="str">
        <f t="shared" si="43"/>
        <v/>
      </c>
      <c r="AI37" s="11" t="e">
        <f>IF(AND(ISNUMBER(AI36),ISNUMBER(S37)),(VLOOKUP(AD37,AB37:AC106,2,FALSE)),IF(ISNUMBER(S37),R37,NA()))</f>
        <v>#N/A</v>
      </c>
      <c r="AJ37" s="11" t="e">
        <f t="shared" si="4"/>
        <v>#N/A</v>
      </c>
      <c r="AK37" s="11" t="str">
        <f t="shared" si="5"/>
        <v/>
      </c>
      <c r="AL37" s="11" t="str">
        <f t="shared" si="6"/>
        <v/>
      </c>
      <c r="AQ37" s="11" t="str">
        <f t="shared" ref="AQ37:AQ48" si="50">IF(ISNUMBER(AG94),AG94,IF(ISNUMBER(AF94),AQ36,""))</f>
        <v/>
      </c>
      <c r="AS37" s="74">
        <f t="shared" si="7"/>
        <v>10</v>
      </c>
      <c r="AT37" s="74">
        <f t="shared" si="8"/>
        <v>5</v>
      </c>
      <c r="AU37" s="74">
        <f t="shared" si="9"/>
        <v>10</v>
      </c>
      <c r="AV37" s="74">
        <f t="shared" si="0"/>
        <v>5</v>
      </c>
      <c r="AW37" s="102"/>
      <c r="AY37" s="9">
        <f t="shared" si="10"/>
        <v>10</v>
      </c>
      <c r="AZ37" s="11">
        <f t="shared" si="11"/>
        <v>3</v>
      </c>
      <c r="BA37" s="75">
        <f t="shared" si="12"/>
        <v>10</v>
      </c>
      <c r="BB37" s="11">
        <f t="shared" si="13"/>
        <v>3</v>
      </c>
      <c r="BD37" s="11">
        <f t="shared" si="14"/>
        <v>2</v>
      </c>
      <c r="BE37" s="9">
        <f t="shared" si="15"/>
        <v>0</v>
      </c>
      <c r="BF37" s="71">
        <f t="shared" si="16"/>
        <v>0</v>
      </c>
      <c r="BG37" s="11" t="str">
        <f t="shared" si="17"/>
        <v>MAX WSE</v>
      </c>
      <c r="BH37" s="132">
        <f t="shared" si="45"/>
        <v>5</v>
      </c>
      <c r="BJ37" s="71">
        <f t="shared" si="18"/>
        <v>2</v>
      </c>
      <c r="BL37" s="9">
        <f t="shared" si="49"/>
        <v>0</v>
      </c>
      <c r="BM37" s="9"/>
      <c r="BN37" s="9">
        <f t="shared" si="20"/>
        <v>10</v>
      </c>
      <c r="BO37" s="9" t="str">
        <f>IF(BP37="Left",IF(ISNA(VLOOKUP(BN37,XS_AnalyzerSummary!$A$21:$B$25,2,TRUE)),"",VLOOKUP(BN37,XS_AnalyzerSummary!$A$21:$B$25,2,TRUE)),IF(ISNA(VLOOKUP(-BN37,XS_AnalyzerSummary!$A$28:$B$32,2,TRUE)),"",VLOOKUP(-BN37,XS_AnalyzerSummary!$A$28:$B$32,2,TRUE)))</f>
        <v>Right Bank</v>
      </c>
      <c r="BP37" s="9" t="str">
        <f>IF(AU37&lt;XS_AnalyzerSummary!$B$7,"Left",IF(AU37&gt;XS_AnalyzerSummary!$B$7,"Right","Thalweg"))</f>
        <v>Right</v>
      </c>
      <c r="BQ37" s="9">
        <f t="shared" si="21"/>
        <v>0</v>
      </c>
      <c r="BR37" s="9">
        <f t="shared" si="22"/>
        <v>0</v>
      </c>
      <c r="BS37" s="9">
        <f t="shared" si="23"/>
        <v>0</v>
      </c>
      <c r="BT37" s="9">
        <f t="shared" si="24"/>
        <v>0</v>
      </c>
      <c r="BU37" s="9">
        <f t="shared" si="25"/>
        <v>2</v>
      </c>
      <c r="BV37" s="9">
        <f t="shared" si="26"/>
        <v>0</v>
      </c>
      <c r="BX37" s="9">
        <f>IF(AND(ISNUMBER($BN37),$BO37="Left 2nd Stage",SUM($BX$5:BX36)=0),$BN37,0)</f>
        <v>0</v>
      </c>
      <c r="BY37" s="9">
        <f t="shared" si="46"/>
        <v>0</v>
      </c>
      <c r="BZ37" s="9">
        <f>IF(AND(ISNUMBER($BN37),$BO37="Right 2nd Stage",SUM($BZ$5:$BZ36)=0),$BN36,0)</f>
        <v>0</v>
      </c>
      <c r="CA37" s="9">
        <f t="shared" si="47"/>
        <v>0</v>
      </c>
    </row>
    <row r="38" spans="1:79">
      <c r="A38" s="9">
        <v>34</v>
      </c>
      <c r="B38" s="166" t="e">
        <f>IF(ISNUMBER(XS_Analyzer!B38),XS_Analyzer!B38,NA())</f>
        <v>#N/A</v>
      </c>
      <c r="C38" s="88" t="e">
        <f>IF(ISNUMBER(XS_Analyzer!C38),XS_Analyzer!C38,NA())</f>
        <v>#N/A</v>
      </c>
      <c r="D38" s="88" t="str">
        <f>IF(ISNUMBER(XS_Analyzer!E38),XS_Analyzer!E38,"")</f>
        <v/>
      </c>
      <c r="E38" s="9" t="str">
        <f t="shared" si="28"/>
        <v/>
      </c>
      <c r="F38" s="88" t="e">
        <f>IF(AND(ISTEXT(XS_Analyzer!D38),XS_Analyzer!D38&lt;&gt;""),VLOOKUP(XS_Analyzer!D38,$K$12:$L$21,2,FALSE),"")</f>
        <v>#N/A</v>
      </c>
      <c r="G38" s="132" t="str">
        <f t="shared" si="29"/>
        <v/>
      </c>
      <c r="M38" s="10"/>
      <c r="N38" s="9"/>
      <c r="O38" s="9"/>
      <c r="P38" s="9"/>
      <c r="Q38" s="5" t="str">
        <f t="shared" si="30"/>
        <v>N</v>
      </c>
      <c r="R38" s="5" t="str">
        <f t="shared" si="31"/>
        <v/>
      </c>
      <c r="S38" s="5" t="str">
        <f t="shared" si="32"/>
        <v/>
      </c>
      <c r="T38" s="5" t="str">
        <f t="shared" si="33"/>
        <v/>
      </c>
      <c r="U38" s="5" t="str">
        <f t="shared" si="34"/>
        <v/>
      </c>
      <c r="V38" s="62" t="str">
        <f t="shared" si="35"/>
        <v/>
      </c>
      <c r="W38" s="62" t="e">
        <f t="shared" si="48"/>
        <v>#N/A</v>
      </c>
      <c r="X38" s="9" t="e">
        <f t="shared" si="1"/>
        <v>#N/A</v>
      </c>
      <c r="Y38" s="64" t="str">
        <f t="shared" si="36"/>
        <v/>
      </c>
      <c r="Z38" s="174" t="str">
        <f t="shared" si="37"/>
        <v/>
      </c>
      <c r="AA38" s="64" t="str">
        <f>IF(ISNUMBER(Y38),INDEX(Y38:Y106,MATCH(TRUE,INDEX(Y38:Y106&lt;&gt;Y38,),0)),"")</f>
        <v/>
      </c>
      <c r="AB38" s="64" t="str">
        <f t="shared" si="39"/>
        <v/>
      </c>
      <c r="AC38" s="64" t="str">
        <f t="shared" si="40"/>
        <v/>
      </c>
      <c r="AD38" s="64" t="e">
        <f>IF(ISTEXT(AB38),INDEX(AB38:AB106,MATCH(TRUE,INDEX(AB38:AB106&lt;&gt;AB38,),0)),"")</f>
        <v>#N/A</v>
      </c>
      <c r="AE38" s="11" t="str">
        <f t="shared" si="42"/>
        <v/>
      </c>
      <c r="AF38" s="11" t="str">
        <f t="shared" si="2"/>
        <v/>
      </c>
      <c r="AG38" s="11" t="str">
        <f t="shared" si="3"/>
        <v/>
      </c>
      <c r="AH38" s="11" t="str">
        <f t="shared" si="43"/>
        <v/>
      </c>
      <c r="AI38" s="11" t="e">
        <f>IF(AND(ISNUMBER(AI37),ISNUMBER(S38)),(VLOOKUP(AD38,AB38:AC106,2,FALSE)),IF(ISNUMBER(S38),R38,NA()))</f>
        <v>#N/A</v>
      </c>
      <c r="AJ38" s="11" t="e">
        <f t="shared" si="4"/>
        <v>#N/A</v>
      </c>
      <c r="AK38" s="11" t="str">
        <f t="shared" si="5"/>
        <v/>
      </c>
      <c r="AL38" s="11" t="str">
        <f t="shared" si="6"/>
        <v/>
      </c>
      <c r="AQ38" s="11" t="str">
        <f t="shared" si="50"/>
        <v/>
      </c>
      <c r="AS38" s="74">
        <f t="shared" si="7"/>
        <v>10</v>
      </c>
      <c r="AT38" s="74">
        <f t="shared" si="8"/>
        <v>5</v>
      </c>
      <c r="AU38" s="74">
        <f t="shared" si="9"/>
        <v>10</v>
      </c>
      <c r="AV38" s="74">
        <f t="shared" si="0"/>
        <v>5</v>
      </c>
      <c r="AW38" s="102"/>
      <c r="AY38" s="9">
        <f t="shared" si="10"/>
        <v>10</v>
      </c>
      <c r="AZ38" s="11">
        <f t="shared" si="11"/>
        <v>3</v>
      </c>
      <c r="BA38" s="75">
        <f t="shared" si="12"/>
        <v>10</v>
      </c>
      <c r="BB38" s="11">
        <f t="shared" si="13"/>
        <v>3</v>
      </c>
      <c r="BD38" s="11">
        <f t="shared" si="14"/>
        <v>2</v>
      </c>
      <c r="BE38" s="9">
        <f t="shared" si="15"/>
        <v>0</v>
      </c>
      <c r="BF38" s="71">
        <f t="shared" si="16"/>
        <v>0</v>
      </c>
      <c r="BG38" s="11" t="str">
        <f t="shared" si="17"/>
        <v>MAX WSE</v>
      </c>
      <c r="BH38" s="132">
        <f t="shared" si="45"/>
        <v>5</v>
      </c>
      <c r="BJ38" s="71">
        <f t="shared" si="18"/>
        <v>2</v>
      </c>
      <c r="BL38" s="9">
        <f t="shared" si="49"/>
        <v>0</v>
      </c>
      <c r="BM38" s="9"/>
      <c r="BN38" s="9">
        <f t="shared" si="20"/>
        <v>10</v>
      </c>
      <c r="BO38" s="9" t="str">
        <f>IF(BP38="Left",IF(ISNA(VLOOKUP(BN38,XS_AnalyzerSummary!$A$21:$B$25,2,TRUE)),"",VLOOKUP(BN38,XS_AnalyzerSummary!$A$21:$B$25,2,TRUE)),IF(ISNA(VLOOKUP(-BN38,XS_AnalyzerSummary!$A$28:$B$32,2,TRUE)),"",VLOOKUP(-BN38,XS_AnalyzerSummary!$A$28:$B$32,2,TRUE)))</f>
        <v>Right Bank</v>
      </c>
      <c r="BP38" s="9" t="str">
        <f>IF(AU38&lt;XS_AnalyzerSummary!$B$7,"Left",IF(AU38&gt;XS_AnalyzerSummary!$B$7,"Right","Thalweg"))</f>
        <v>Right</v>
      </c>
      <c r="BQ38" s="9">
        <f t="shared" si="21"/>
        <v>0</v>
      </c>
      <c r="BR38" s="9">
        <f t="shared" si="22"/>
        <v>0</v>
      </c>
      <c r="BS38" s="9">
        <f t="shared" si="23"/>
        <v>0</v>
      </c>
      <c r="BT38" s="9">
        <f t="shared" si="24"/>
        <v>0</v>
      </c>
      <c r="BU38" s="9">
        <f t="shared" si="25"/>
        <v>2</v>
      </c>
      <c r="BV38" s="9">
        <f t="shared" si="26"/>
        <v>0</v>
      </c>
      <c r="BX38" s="9">
        <f>IF(AND(ISNUMBER($BN38),$BO38="Left 2nd Stage",SUM($BX$5:BX37)=0),$BN38,0)</f>
        <v>0</v>
      </c>
      <c r="BY38" s="9">
        <f t="shared" si="46"/>
        <v>0</v>
      </c>
      <c r="BZ38" s="9">
        <f>IF(AND(ISNUMBER($BN38),$BO38="Right 2nd Stage",SUM($BZ$5:$BZ37)=0),$BN37,0)</f>
        <v>0</v>
      </c>
      <c r="CA38" s="9">
        <f t="shared" si="47"/>
        <v>0</v>
      </c>
    </row>
    <row r="39" spans="1:79">
      <c r="A39" s="9">
        <v>35</v>
      </c>
      <c r="B39" s="166" t="e">
        <f>IF(ISNUMBER(XS_Analyzer!B39),XS_Analyzer!B39,NA())</f>
        <v>#N/A</v>
      </c>
      <c r="C39" s="88" t="e">
        <f>IF(ISNUMBER(XS_Analyzer!C39),XS_Analyzer!C39,NA())</f>
        <v>#N/A</v>
      </c>
      <c r="D39" s="88" t="str">
        <f>IF(ISNUMBER(XS_Analyzer!E39),XS_Analyzer!E39,"")</f>
        <v/>
      </c>
      <c r="E39" s="9" t="str">
        <f t="shared" si="28"/>
        <v/>
      </c>
      <c r="F39" s="88" t="e">
        <f>IF(AND(ISTEXT(XS_Analyzer!D39),XS_Analyzer!D39&lt;&gt;""),VLOOKUP(XS_Analyzer!D39,$K$12:$L$21,2,FALSE),"")</f>
        <v>#N/A</v>
      </c>
      <c r="G39" s="132" t="str">
        <f t="shared" si="29"/>
        <v/>
      </c>
      <c r="M39" s="10"/>
      <c r="N39" s="9"/>
      <c r="O39" s="9"/>
      <c r="P39" s="9"/>
      <c r="Q39" s="5" t="str">
        <f t="shared" si="30"/>
        <v>N</v>
      </c>
      <c r="R39" s="5" t="str">
        <f t="shared" si="31"/>
        <v/>
      </c>
      <c r="S39" s="5" t="str">
        <f t="shared" si="32"/>
        <v/>
      </c>
      <c r="T39" s="5" t="str">
        <f t="shared" si="33"/>
        <v/>
      </c>
      <c r="U39" s="5" t="str">
        <f t="shared" si="34"/>
        <v/>
      </c>
      <c r="V39" s="62" t="str">
        <f t="shared" si="35"/>
        <v/>
      </c>
      <c r="W39" s="62" t="e">
        <f t="shared" si="48"/>
        <v>#N/A</v>
      </c>
      <c r="X39" s="9" t="e">
        <f t="shared" si="1"/>
        <v>#N/A</v>
      </c>
      <c r="Y39" s="64" t="str">
        <f t="shared" si="36"/>
        <v/>
      </c>
      <c r="Z39" s="174" t="str">
        <f t="shared" si="37"/>
        <v/>
      </c>
      <c r="AA39" s="64" t="str">
        <f>IF(ISNUMBER(Y39),INDEX(Y39:Y106,MATCH(TRUE,INDEX(Y39:Y106&lt;&gt;Y39,),0)),"")</f>
        <v/>
      </c>
      <c r="AB39" s="64" t="str">
        <f t="shared" si="39"/>
        <v/>
      </c>
      <c r="AC39" s="64" t="str">
        <f t="shared" si="40"/>
        <v/>
      </c>
      <c r="AD39" s="64" t="e">
        <f>IF(ISTEXT(AB39),INDEX(AB39:AB106,MATCH(TRUE,INDEX(AB39:AB106&lt;&gt;AB39,),0)),"")</f>
        <v>#N/A</v>
      </c>
      <c r="AE39" s="11" t="str">
        <f t="shared" si="42"/>
        <v/>
      </c>
      <c r="AF39" s="11" t="str">
        <f t="shared" si="2"/>
        <v/>
      </c>
      <c r="AG39" s="11" t="str">
        <f t="shared" si="3"/>
        <v/>
      </c>
      <c r="AH39" s="11" t="str">
        <f t="shared" si="43"/>
        <v/>
      </c>
      <c r="AI39" s="11" t="e">
        <f>IF(AND(ISNUMBER(AI38),ISNUMBER(S39)),(VLOOKUP(AD39,AB39:AC106,2,FALSE)),IF(ISNUMBER(S39),R39,NA()))</f>
        <v>#N/A</v>
      </c>
      <c r="AJ39" s="11" t="e">
        <f t="shared" si="4"/>
        <v>#N/A</v>
      </c>
      <c r="AK39" s="11" t="str">
        <f t="shared" si="5"/>
        <v/>
      </c>
      <c r="AL39" s="11" t="str">
        <f t="shared" si="6"/>
        <v/>
      </c>
      <c r="AQ39" s="11" t="str">
        <f t="shared" si="50"/>
        <v/>
      </c>
      <c r="AS39" s="74">
        <f t="shared" si="7"/>
        <v>10</v>
      </c>
      <c r="AT39" s="74">
        <f t="shared" si="8"/>
        <v>5</v>
      </c>
      <c r="AU39" s="74">
        <f t="shared" si="9"/>
        <v>10</v>
      </c>
      <c r="AV39" s="74">
        <f t="shared" si="0"/>
        <v>5</v>
      </c>
      <c r="AW39" s="102"/>
      <c r="AY39" s="9">
        <f t="shared" si="10"/>
        <v>10</v>
      </c>
      <c r="AZ39" s="11">
        <f t="shared" si="11"/>
        <v>3</v>
      </c>
      <c r="BA39" s="75">
        <f t="shared" si="12"/>
        <v>10</v>
      </c>
      <c r="BB39" s="11">
        <f t="shared" si="13"/>
        <v>3</v>
      </c>
      <c r="BD39" s="11">
        <f t="shared" si="14"/>
        <v>2</v>
      </c>
      <c r="BE39" s="9">
        <f t="shared" si="15"/>
        <v>0</v>
      </c>
      <c r="BF39" s="71">
        <f t="shared" si="16"/>
        <v>0</v>
      </c>
      <c r="BG39" s="11" t="str">
        <f t="shared" si="17"/>
        <v>MAX WSE</v>
      </c>
      <c r="BH39" s="132">
        <f t="shared" si="45"/>
        <v>5</v>
      </c>
      <c r="BJ39" s="71">
        <f t="shared" si="18"/>
        <v>2</v>
      </c>
      <c r="BL39" s="9">
        <f t="shared" si="49"/>
        <v>0</v>
      </c>
      <c r="BM39" s="9"/>
      <c r="BN39" s="9">
        <f t="shared" si="20"/>
        <v>10</v>
      </c>
      <c r="BO39" s="9" t="str">
        <f>IF(BP39="Left",IF(ISNA(VLOOKUP(BN39,XS_AnalyzerSummary!$A$21:$B$25,2,TRUE)),"",VLOOKUP(BN39,XS_AnalyzerSummary!$A$21:$B$25,2,TRUE)),IF(ISNA(VLOOKUP(-BN39,XS_AnalyzerSummary!$A$28:$B$32,2,TRUE)),"",VLOOKUP(-BN39,XS_AnalyzerSummary!$A$28:$B$32,2,TRUE)))</f>
        <v>Right Bank</v>
      </c>
      <c r="BP39" s="9" t="str">
        <f>IF(AU39&lt;XS_AnalyzerSummary!$B$7,"Left",IF(AU39&gt;XS_AnalyzerSummary!$B$7,"Right","Thalweg"))</f>
        <v>Right</v>
      </c>
      <c r="BQ39" s="9">
        <f t="shared" si="21"/>
        <v>0</v>
      </c>
      <c r="BR39" s="9">
        <f t="shared" si="22"/>
        <v>0</v>
      </c>
      <c r="BS39" s="9">
        <f t="shared" si="23"/>
        <v>0</v>
      </c>
      <c r="BT39" s="9">
        <f t="shared" si="24"/>
        <v>0</v>
      </c>
      <c r="BU39" s="9">
        <f t="shared" si="25"/>
        <v>2</v>
      </c>
      <c r="BV39" s="9">
        <f t="shared" si="26"/>
        <v>0</v>
      </c>
      <c r="BX39" s="9">
        <f>IF(AND(ISNUMBER($BN39),$BO39="Left 2nd Stage",SUM($BX$5:BX38)=0),$BN39,0)</f>
        <v>0</v>
      </c>
      <c r="BY39" s="9">
        <f t="shared" si="46"/>
        <v>0</v>
      </c>
      <c r="BZ39" s="9">
        <f>IF(AND(ISNUMBER($BN39),$BO39="Right 2nd Stage",SUM($BZ$5:$BZ38)=0),$BN38,0)</f>
        <v>0</v>
      </c>
      <c r="CA39" s="9">
        <f t="shared" si="47"/>
        <v>0</v>
      </c>
    </row>
    <row r="40" spans="1:79">
      <c r="A40" s="9">
        <v>36</v>
      </c>
      <c r="B40" s="166" t="e">
        <f>IF(ISNUMBER(XS_Analyzer!B40),XS_Analyzer!B40,NA())</f>
        <v>#N/A</v>
      </c>
      <c r="C40" s="88" t="e">
        <f>IF(ISNUMBER(XS_Analyzer!C40),XS_Analyzer!C40,NA())</f>
        <v>#N/A</v>
      </c>
      <c r="D40" s="88" t="str">
        <f>IF(ISNUMBER(XS_Analyzer!E40),XS_Analyzer!E40,"")</f>
        <v/>
      </c>
      <c r="E40" s="9" t="str">
        <f t="shared" si="28"/>
        <v/>
      </c>
      <c r="F40" s="88" t="e">
        <f>IF(AND(ISTEXT(XS_Analyzer!D40),XS_Analyzer!D40&lt;&gt;""),VLOOKUP(XS_Analyzer!D40,$K$12:$L$21,2,FALSE),"")</f>
        <v>#N/A</v>
      </c>
      <c r="G40" s="132" t="str">
        <f t="shared" si="29"/>
        <v/>
      </c>
      <c r="M40" s="10"/>
      <c r="N40" s="9"/>
      <c r="O40" s="9"/>
      <c r="P40" s="9"/>
      <c r="Q40" s="5" t="str">
        <f t="shared" si="30"/>
        <v>N</v>
      </c>
      <c r="R40" s="5" t="str">
        <f t="shared" si="31"/>
        <v/>
      </c>
      <c r="S40" s="5" t="str">
        <f t="shared" si="32"/>
        <v/>
      </c>
      <c r="T40" s="5" t="str">
        <f t="shared" si="33"/>
        <v/>
      </c>
      <c r="U40" s="5" t="str">
        <f t="shared" si="34"/>
        <v/>
      </c>
      <c r="V40" s="62" t="str">
        <f t="shared" si="35"/>
        <v/>
      </c>
      <c r="W40" s="62" t="e">
        <f t="shared" si="48"/>
        <v>#N/A</v>
      </c>
      <c r="X40" s="9" t="e">
        <f t="shared" si="1"/>
        <v>#N/A</v>
      </c>
      <c r="Y40" s="64" t="str">
        <f t="shared" si="36"/>
        <v/>
      </c>
      <c r="Z40" s="174" t="str">
        <f t="shared" si="37"/>
        <v/>
      </c>
      <c r="AA40" s="64" t="str">
        <f>IF(ISNUMBER(Y40),INDEX(Y40:Y106,MATCH(TRUE,INDEX(Y40:Y106&lt;&gt;Y40,),0)),"")</f>
        <v/>
      </c>
      <c r="AB40" s="64" t="str">
        <f t="shared" si="39"/>
        <v/>
      </c>
      <c r="AC40" s="64" t="str">
        <f t="shared" si="40"/>
        <v/>
      </c>
      <c r="AD40" s="64" t="e">
        <f>IF(ISTEXT(AB40),INDEX(AB40:AB106,MATCH(TRUE,INDEX(AB40:AB106&lt;&gt;AB40,),0)),"")</f>
        <v>#N/A</v>
      </c>
      <c r="AE40" s="11" t="str">
        <f t="shared" si="42"/>
        <v/>
      </c>
      <c r="AF40" s="11" t="str">
        <f t="shared" si="2"/>
        <v/>
      </c>
      <c r="AG40" s="11" t="str">
        <f t="shared" si="3"/>
        <v/>
      </c>
      <c r="AH40" s="11" t="str">
        <f t="shared" si="43"/>
        <v/>
      </c>
      <c r="AI40" s="11" t="e">
        <f>IF(AND(ISNUMBER(AI39),ISNUMBER(S40)),(VLOOKUP(AD40,AB40:AC106,2,FALSE)),IF(ISNUMBER(S40),R40,NA()))</f>
        <v>#N/A</v>
      </c>
      <c r="AJ40" s="11" t="e">
        <f t="shared" si="4"/>
        <v>#N/A</v>
      </c>
      <c r="AK40" s="11" t="str">
        <f t="shared" si="5"/>
        <v/>
      </c>
      <c r="AL40" s="11" t="str">
        <f t="shared" si="6"/>
        <v/>
      </c>
      <c r="AQ40" s="11" t="str">
        <f t="shared" si="50"/>
        <v/>
      </c>
      <c r="AS40" s="74">
        <f t="shared" si="7"/>
        <v>10</v>
      </c>
      <c r="AT40" s="74">
        <f t="shared" si="8"/>
        <v>5</v>
      </c>
      <c r="AU40" s="74">
        <f t="shared" si="9"/>
        <v>10</v>
      </c>
      <c r="AV40" s="74">
        <f t="shared" si="0"/>
        <v>5</v>
      </c>
      <c r="AW40" s="102"/>
      <c r="AY40" s="9">
        <f t="shared" si="10"/>
        <v>10</v>
      </c>
      <c r="AZ40" s="11">
        <f t="shared" si="11"/>
        <v>3</v>
      </c>
      <c r="BA40" s="75">
        <f t="shared" si="12"/>
        <v>10</v>
      </c>
      <c r="BB40" s="11">
        <f t="shared" si="13"/>
        <v>3</v>
      </c>
      <c r="BD40" s="11">
        <f t="shared" si="14"/>
        <v>2</v>
      </c>
      <c r="BE40" s="9">
        <f t="shared" si="15"/>
        <v>0</v>
      </c>
      <c r="BF40" s="71">
        <f t="shared" si="16"/>
        <v>0</v>
      </c>
      <c r="BG40" s="11" t="str">
        <f t="shared" si="17"/>
        <v>MAX WSE</v>
      </c>
      <c r="BH40" s="132">
        <f t="shared" si="45"/>
        <v>5</v>
      </c>
      <c r="BJ40" s="71">
        <f t="shared" si="18"/>
        <v>2</v>
      </c>
      <c r="BL40" s="9">
        <f t="shared" si="49"/>
        <v>0</v>
      </c>
      <c r="BM40" s="9"/>
      <c r="BN40" s="9">
        <f t="shared" si="20"/>
        <v>10</v>
      </c>
      <c r="BO40" s="9" t="str">
        <f>IF(BP40="Left",IF(ISNA(VLOOKUP(BN40,XS_AnalyzerSummary!$A$21:$B$25,2,TRUE)),"",VLOOKUP(BN40,XS_AnalyzerSummary!$A$21:$B$25,2,TRUE)),IF(ISNA(VLOOKUP(-BN40,XS_AnalyzerSummary!$A$28:$B$32,2,TRUE)),"",VLOOKUP(-BN40,XS_AnalyzerSummary!$A$28:$B$32,2,TRUE)))</f>
        <v>Right Bank</v>
      </c>
      <c r="BP40" s="9" t="str">
        <f>IF(AU40&lt;XS_AnalyzerSummary!$B$7,"Left",IF(AU40&gt;XS_AnalyzerSummary!$B$7,"Right","Thalweg"))</f>
        <v>Right</v>
      </c>
      <c r="BQ40" s="9">
        <f t="shared" si="21"/>
        <v>0</v>
      </c>
      <c r="BR40" s="9">
        <f t="shared" si="22"/>
        <v>0</v>
      </c>
      <c r="BS40" s="9">
        <f t="shared" si="23"/>
        <v>0</v>
      </c>
      <c r="BT40" s="9">
        <f t="shared" si="24"/>
        <v>0</v>
      </c>
      <c r="BU40" s="9">
        <f t="shared" si="25"/>
        <v>2</v>
      </c>
      <c r="BV40" s="9">
        <f t="shared" si="26"/>
        <v>0</v>
      </c>
      <c r="BX40" s="9">
        <f>IF(AND(ISNUMBER($BN40),$BO40="Left 2nd Stage",SUM($BX$5:BX39)=0),$BN40,0)</f>
        <v>0</v>
      </c>
      <c r="BY40" s="9">
        <f t="shared" si="46"/>
        <v>0</v>
      </c>
      <c r="BZ40" s="9">
        <f>IF(AND(ISNUMBER($BN40),$BO40="Right 2nd Stage",SUM($BZ$5:$BZ39)=0),$BN39,0)</f>
        <v>0</v>
      </c>
      <c r="CA40" s="9">
        <f t="shared" si="47"/>
        <v>0</v>
      </c>
    </row>
    <row r="41" spans="1:79">
      <c r="A41" s="9">
        <v>37</v>
      </c>
      <c r="B41" s="166" t="e">
        <f>IF(ISNUMBER(XS_Analyzer!B41),XS_Analyzer!B41,NA())</f>
        <v>#N/A</v>
      </c>
      <c r="C41" s="88" t="e">
        <f>IF(ISNUMBER(XS_Analyzer!C41),XS_Analyzer!C41,NA())</f>
        <v>#N/A</v>
      </c>
      <c r="D41" s="88" t="str">
        <f>IF(ISNUMBER(XS_Analyzer!E41),XS_Analyzer!E41,"")</f>
        <v/>
      </c>
      <c r="E41" s="9" t="str">
        <f t="shared" si="28"/>
        <v/>
      </c>
      <c r="F41" s="88" t="e">
        <f>IF(AND(ISTEXT(XS_Analyzer!D41),XS_Analyzer!D41&lt;&gt;""),VLOOKUP(XS_Analyzer!D41,$K$12:$L$21,2,FALSE),"")</f>
        <v>#N/A</v>
      </c>
      <c r="G41" s="132" t="str">
        <f t="shared" si="29"/>
        <v/>
      </c>
      <c r="M41" s="10"/>
      <c r="N41" s="9"/>
      <c r="O41" s="9"/>
      <c r="P41" s="9"/>
      <c r="Q41" s="5" t="str">
        <f t="shared" si="30"/>
        <v>N</v>
      </c>
      <c r="R41" s="5" t="str">
        <f t="shared" si="31"/>
        <v/>
      </c>
      <c r="S41" s="5" t="str">
        <f t="shared" si="32"/>
        <v/>
      </c>
      <c r="T41" s="5" t="str">
        <f t="shared" si="33"/>
        <v/>
      </c>
      <c r="U41" s="5" t="str">
        <f t="shared" si="34"/>
        <v/>
      </c>
      <c r="V41" s="62" t="str">
        <f t="shared" si="35"/>
        <v/>
      </c>
      <c r="W41" s="62" t="e">
        <f t="shared" si="48"/>
        <v>#N/A</v>
      </c>
      <c r="X41" s="9" t="e">
        <f t="shared" si="1"/>
        <v>#N/A</v>
      </c>
      <c r="Y41" s="64" t="str">
        <f t="shared" si="36"/>
        <v/>
      </c>
      <c r="Z41" s="174" t="str">
        <f t="shared" si="37"/>
        <v/>
      </c>
      <c r="AA41" s="64" t="str">
        <f>IF(ISNUMBER(Y41),INDEX(Y41:Y106,MATCH(TRUE,INDEX(Y41:Y106&lt;&gt;Y41,),0)),"")</f>
        <v/>
      </c>
      <c r="AB41" s="64" t="str">
        <f t="shared" si="39"/>
        <v/>
      </c>
      <c r="AC41" s="64" t="str">
        <f t="shared" si="40"/>
        <v/>
      </c>
      <c r="AD41" s="64" t="e">
        <f>IF(ISTEXT(AB41),INDEX(AB41:AB106,MATCH(TRUE,INDEX(AB41:AB106&lt;&gt;AB41,),0)),"")</f>
        <v>#N/A</v>
      </c>
      <c r="AE41" s="11" t="str">
        <f t="shared" si="42"/>
        <v/>
      </c>
      <c r="AF41" s="11" t="str">
        <f t="shared" si="2"/>
        <v/>
      </c>
      <c r="AG41" s="11" t="str">
        <f t="shared" si="3"/>
        <v/>
      </c>
      <c r="AH41" s="11" t="str">
        <f t="shared" si="43"/>
        <v/>
      </c>
      <c r="AI41" s="11" t="e">
        <f>IF(AND(ISNUMBER(AI40),ISNUMBER(S41)),(VLOOKUP(AD41,AB41:AC106,2,FALSE)),IF(ISNUMBER(S41),R41,NA()))</f>
        <v>#N/A</v>
      </c>
      <c r="AJ41" s="11" t="e">
        <f t="shared" si="4"/>
        <v>#N/A</v>
      </c>
      <c r="AK41" s="11" t="str">
        <f t="shared" si="5"/>
        <v/>
      </c>
      <c r="AL41" s="11" t="str">
        <f t="shared" si="6"/>
        <v/>
      </c>
      <c r="AQ41" s="11" t="str">
        <f t="shared" si="50"/>
        <v/>
      </c>
      <c r="AS41" s="74">
        <f t="shared" si="7"/>
        <v>10</v>
      </c>
      <c r="AT41" s="74">
        <f t="shared" si="8"/>
        <v>5</v>
      </c>
      <c r="AU41" s="74">
        <f t="shared" si="9"/>
        <v>10</v>
      </c>
      <c r="AV41" s="74">
        <f t="shared" si="0"/>
        <v>5</v>
      </c>
      <c r="AW41" s="102"/>
      <c r="AY41" s="9">
        <f t="shared" si="10"/>
        <v>10</v>
      </c>
      <c r="AZ41" s="11">
        <f t="shared" si="11"/>
        <v>3</v>
      </c>
      <c r="BA41" s="75">
        <f t="shared" si="12"/>
        <v>10</v>
      </c>
      <c r="BB41" s="11">
        <f t="shared" si="13"/>
        <v>3</v>
      </c>
      <c r="BD41" s="11">
        <f t="shared" si="14"/>
        <v>2</v>
      </c>
      <c r="BE41" s="9">
        <f t="shared" si="15"/>
        <v>0</v>
      </c>
      <c r="BF41" s="71">
        <f t="shared" si="16"/>
        <v>0</v>
      </c>
      <c r="BG41" s="11" t="str">
        <f t="shared" si="17"/>
        <v>MAX WSE</v>
      </c>
      <c r="BH41" s="132">
        <f t="shared" si="45"/>
        <v>5</v>
      </c>
      <c r="BJ41" s="71">
        <f t="shared" si="18"/>
        <v>2</v>
      </c>
      <c r="BL41" s="9">
        <f t="shared" si="49"/>
        <v>0</v>
      </c>
      <c r="BM41" s="9"/>
      <c r="BN41" s="9">
        <f t="shared" si="20"/>
        <v>10</v>
      </c>
      <c r="BO41" s="9" t="str">
        <f>IF(BP41="Left",IF(ISNA(VLOOKUP(BN41,XS_AnalyzerSummary!$A$21:$B$25,2,TRUE)),"",VLOOKUP(BN41,XS_AnalyzerSummary!$A$21:$B$25,2,TRUE)),IF(ISNA(VLOOKUP(-BN41,XS_AnalyzerSummary!$A$28:$B$32,2,TRUE)),"",VLOOKUP(-BN41,XS_AnalyzerSummary!$A$28:$B$32,2,TRUE)))</f>
        <v>Right Bank</v>
      </c>
      <c r="BP41" s="9" t="str">
        <f>IF(AU41&lt;XS_AnalyzerSummary!$B$7,"Left",IF(AU41&gt;XS_AnalyzerSummary!$B$7,"Right","Thalweg"))</f>
        <v>Right</v>
      </c>
      <c r="BQ41" s="9">
        <f t="shared" si="21"/>
        <v>0</v>
      </c>
      <c r="BR41" s="9">
        <f t="shared" si="22"/>
        <v>0</v>
      </c>
      <c r="BS41" s="9">
        <f t="shared" si="23"/>
        <v>0</v>
      </c>
      <c r="BT41" s="9">
        <f t="shared" si="24"/>
        <v>0</v>
      </c>
      <c r="BU41" s="9">
        <f t="shared" si="25"/>
        <v>2</v>
      </c>
      <c r="BV41" s="9">
        <f t="shared" si="26"/>
        <v>0</v>
      </c>
      <c r="BX41" s="9">
        <f>IF(AND(ISNUMBER($BN41),$BO41="Left 2nd Stage",SUM($BX$5:BX40)=0),$BN41,0)</f>
        <v>0</v>
      </c>
      <c r="BY41" s="9">
        <f t="shared" si="46"/>
        <v>0</v>
      </c>
      <c r="BZ41" s="9">
        <f>IF(AND(ISNUMBER($BN41),$BO41="Right 2nd Stage",SUM($BZ$5:$BZ40)=0),$BN40,0)</f>
        <v>0</v>
      </c>
      <c r="CA41" s="9">
        <f t="shared" si="47"/>
        <v>0</v>
      </c>
    </row>
    <row r="42" spans="1:79">
      <c r="A42" s="9">
        <v>38</v>
      </c>
      <c r="B42" s="166" t="e">
        <f>IF(ISNUMBER(XS_Analyzer!B42),XS_Analyzer!B42,NA())</f>
        <v>#N/A</v>
      </c>
      <c r="C42" s="88" t="e">
        <f>IF(ISNUMBER(XS_Analyzer!C42),XS_Analyzer!C42,NA())</f>
        <v>#N/A</v>
      </c>
      <c r="D42" s="88" t="str">
        <f>IF(ISNUMBER(XS_Analyzer!E42),XS_Analyzer!E42,"")</f>
        <v/>
      </c>
      <c r="E42" s="9" t="str">
        <f t="shared" si="28"/>
        <v/>
      </c>
      <c r="F42" s="88" t="e">
        <f>IF(AND(ISTEXT(XS_Analyzer!D42),XS_Analyzer!D42&lt;&gt;""),VLOOKUP(XS_Analyzer!D42,$K$12:$L$21,2,FALSE),"")</f>
        <v>#N/A</v>
      </c>
      <c r="G42" s="132" t="str">
        <f t="shared" si="29"/>
        <v/>
      </c>
      <c r="M42" s="10"/>
      <c r="N42" s="9"/>
      <c r="O42" s="9"/>
      <c r="P42" s="9"/>
      <c r="Q42" s="5" t="str">
        <f t="shared" si="30"/>
        <v>N</v>
      </c>
      <c r="R42" s="5" t="str">
        <f t="shared" si="31"/>
        <v/>
      </c>
      <c r="S42" s="5" t="str">
        <f t="shared" si="32"/>
        <v/>
      </c>
      <c r="T42" s="5" t="str">
        <f t="shared" si="33"/>
        <v/>
      </c>
      <c r="U42" s="5" t="str">
        <f t="shared" si="34"/>
        <v/>
      </c>
      <c r="V42" s="62" t="str">
        <f t="shared" si="35"/>
        <v/>
      </c>
      <c r="W42" s="62" t="e">
        <f t="shared" si="48"/>
        <v>#N/A</v>
      </c>
      <c r="X42" s="9" t="e">
        <f t="shared" si="1"/>
        <v>#N/A</v>
      </c>
      <c r="Y42" s="64" t="str">
        <f t="shared" si="36"/>
        <v/>
      </c>
      <c r="Z42" s="174" t="str">
        <f t="shared" si="37"/>
        <v/>
      </c>
      <c r="AA42" s="64" t="str">
        <f>IF(ISNUMBER(Y42),INDEX(Y42:Y106,MATCH(TRUE,INDEX(Y42:Y106&lt;&gt;Y42,),0)),"")</f>
        <v/>
      </c>
      <c r="AB42" s="64" t="str">
        <f t="shared" si="39"/>
        <v/>
      </c>
      <c r="AC42" s="64" t="str">
        <f t="shared" si="40"/>
        <v/>
      </c>
      <c r="AD42" s="64" t="e">
        <f>IF(ISTEXT(AB42),INDEX(AB42:AB106,MATCH(TRUE,INDEX(AB42:AB106&lt;&gt;AB42,),0)),"")</f>
        <v>#N/A</v>
      </c>
      <c r="AE42" s="11" t="str">
        <f t="shared" si="42"/>
        <v/>
      </c>
      <c r="AF42" s="11" t="str">
        <f t="shared" si="2"/>
        <v/>
      </c>
      <c r="AG42" s="11" t="str">
        <f t="shared" si="3"/>
        <v/>
      </c>
      <c r="AH42" s="11" t="str">
        <f t="shared" si="43"/>
        <v/>
      </c>
      <c r="AI42" s="11" t="e">
        <f>IF(AND(ISNUMBER(AI41),ISNUMBER(S42)),(VLOOKUP(AD42,AB42:AC106,2,FALSE)),IF(ISNUMBER(S42),R42,NA()))</f>
        <v>#N/A</v>
      </c>
      <c r="AJ42" s="11" t="e">
        <f t="shared" si="4"/>
        <v>#N/A</v>
      </c>
      <c r="AK42" s="11" t="str">
        <f t="shared" si="5"/>
        <v/>
      </c>
      <c r="AL42" s="11" t="str">
        <f t="shared" si="6"/>
        <v/>
      </c>
      <c r="AQ42" s="11" t="str">
        <f t="shared" si="50"/>
        <v/>
      </c>
      <c r="AS42" s="74">
        <f t="shared" si="7"/>
        <v>10</v>
      </c>
      <c r="AT42" s="74">
        <f t="shared" si="8"/>
        <v>5</v>
      </c>
      <c r="AU42" s="74">
        <f t="shared" si="9"/>
        <v>10</v>
      </c>
      <c r="AV42" s="74">
        <f t="shared" si="0"/>
        <v>5</v>
      </c>
      <c r="AW42" s="102"/>
      <c r="AY42" s="9">
        <f t="shared" si="10"/>
        <v>10</v>
      </c>
      <c r="AZ42" s="11">
        <f t="shared" si="11"/>
        <v>3</v>
      </c>
      <c r="BA42" s="75">
        <f t="shared" si="12"/>
        <v>10</v>
      </c>
      <c r="BB42" s="11">
        <f t="shared" si="13"/>
        <v>3</v>
      </c>
      <c r="BD42" s="11">
        <f t="shared" si="14"/>
        <v>2</v>
      </c>
      <c r="BE42" s="9">
        <f t="shared" si="15"/>
        <v>0</v>
      </c>
      <c r="BF42" s="71">
        <f t="shared" si="16"/>
        <v>0</v>
      </c>
      <c r="BG42" s="11" t="str">
        <f t="shared" si="17"/>
        <v>MAX WSE</v>
      </c>
      <c r="BH42" s="132">
        <f t="shared" si="45"/>
        <v>5</v>
      </c>
      <c r="BJ42" s="71">
        <f t="shared" si="18"/>
        <v>2</v>
      </c>
      <c r="BL42" s="9">
        <f t="shared" si="49"/>
        <v>0</v>
      </c>
      <c r="BM42" s="9"/>
      <c r="BN42" s="9">
        <f t="shared" si="20"/>
        <v>10</v>
      </c>
      <c r="BO42" s="9" t="str">
        <f>IF(BP42="Left",IF(ISNA(VLOOKUP(BN42,XS_AnalyzerSummary!$A$21:$B$25,2,TRUE)),"",VLOOKUP(BN42,XS_AnalyzerSummary!$A$21:$B$25,2,TRUE)),IF(ISNA(VLOOKUP(-BN42,XS_AnalyzerSummary!$A$28:$B$32,2,TRUE)),"",VLOOKUP(-BN42,XS_AnalyzerSummary!$A$28:$B$32,2,TRUE)))</f>
        <v>Right Bank</v>
      </c>
      <c r="BP42" s="9" t="str">
        <f>IF(AU42&lt;XS_AnalyzerSummary!$B$7,"Left",IF(AU42&gt;XS_AnalyzerSummary!$B$7,"Right","Thalweg"))</f>
        <v>Right</v>
      </c>
      <c r="BQ42" s="9">
        <f t="shared" si="21"/>
        <v>0</v>
      </c>
      <c r="BR42" s="9">
        <f t="shared" si="22"/>
        <v>0</v>
      </c>
      <c r="BS42" s="9">
        <f t="shared" si="23"/>
        <v>0</v>
      </c>
      <c r="BT42" s="9">
        <f t="shared" si="24"/>
        <v>0</v>
      </c>
      <c r="BU42" s="9">
        <f t="shared" si="25"/>
        <v>2</v>
      </c>
      <c r="BV42" s="9">
        <f t="shared" si="26"/>
        <v>0</v>
      </c>
      <c r="BX42" s="9">
        <f>IF(AND(ISNUMBER($BN42),$BO42="Left 2nd Stage",SUM($BX$5:BX41)=0),$BN42,0)</f>
        <v>0</v>
      </c>
      <c r="BY42" s="9">
        <f t="shared" si="46"/>
        <v>0</v>
      </c>
      <c r="BZ42" s="9">
        <f>IF(AND(ISNUMBER($BN42),$BO42="Right 2nd Stage",SUM($BZ$5:$BZ41)=0),$BN41,0)</f>
        <v>0</v>
      </c>
      <c r="CA42" s="9">
        <f t="shared" si="47"/>
        <v>0</v>
      </c>
    </row>
    <row r="43" spans="1:79">
      <c r="A43" s="9">
        <v>39</v>
      </c>
      <c r="B43" s="166" t="e">
        <f>IF(ISNUMBER(XS_Analyzer!B43),XS_Analyzer!B43,NA())</f>
        <v>#N/A</v>
      </c>
      <c r="C43" s="88" t="e">
        <f>IF(ISNUMBER(XS_Analyzer!C43),XS_Analyzer!C43,NA())</f>
        <v>#N/A</v>
      </c>
      <c r="D43" s="88" t="str">
        <f>IF(ISNUMBER(XS_Analyzer!E43),XS_Analyzer!E43,"")</f>
        <v/>
      </c>
      <c r="E43" s="9" t="str">
        <f t="shared" si="28"/>
        <v/>
      </c>
      <c r="F43" s="88" t="e">
        <f>IF(AND(ISTEXT(XS_Analyzer!D43),XS_Analyzer!D43&lt;&gt;""),VLOOKUP(XS_Analyzer!D43,$K$12:$L$21,2,FALSE),"")</f>
        <v>#N/A</v>
      </c>
      <c r="G43" s="132" t="str">
        <f t="shared" si="29"/>
        <v/>
      </c>
      <c r="M43" s="10"/>
      <c r="N43" s="9"/>
      <c r="O43" s="9"/>
      <c r="P43" s="9"/>
      <c r="Q43" s="5" t="str">
        <f t="shared" si="30"/>
        <v>N</v>
      </c>
      <c r="R43" s="5" t="str">
        <f t="shared" si="31"/>
        <v/>
      </c>
      <c r="S43" s="5" t="str">
        <f t="shared" si="32"/>
        <v/>
      </c>
      <c r="T43" s="5" t="str">
        <f t="shared" si="33"/>
        <v/>
      </c>
      <c r="U43" s="5" t="str">
        <f t="shared" si="34"/>
        <v/>
      </c>
      <c r="V43" s="62" t="str">
        <f t="shared" si="35"/>
        <v/>
      </c>
      <c r="W43" s="62" t="e">
        <f t="shared" si="48"/>
        <v>#N/A</v>
      </c>
      <c r="X43" s="9" t="e">
        <f t="shared" si="1"/>
        <v>#N/A</v>
      </c>
      <c r="Y43" s="64" t="str">
        <f t="shared" si="36"/>
        <v/>
      </c>
      <c r="Z43" s="174" t="str">
        <f t="shared" si="37"/>
        <v/>
      </c>
      <c r="AA43" s="64" t="str">
        <f>IF(ISNUMBER(Y43),INDEX(Y43:Y106,MATCH(TRUE,INDEX(Y43:Y106&lt;&gt;Y43,),0)),"")</f>
        <v/>
      </c>
      <c r="AB43" s="64" t="str">
        <f t="shared" si="39"/>
        <v/>
      </c>
      <c r="AC43" s="64" t="str">
        <f t="shared" si="40"/>
        <v/>
      </c>
      <c r="AD43" s="64" t="e">
        <f>IF(ISTEXT(AB43),INDEX(AB43:AB106,MATCH(TRUE,INDEX(AB43:AB106&lt;&gt;AB43,),0)),"")</f>
        <v>#N/A</v>
      </c>
      <c r="AE43" s="11" t="str">
        <f t="shared" si="42"/>
        <v/>
      </c>
      <c r="AF43" s="11" t="str">
        <f t="shared" si="2"/>
        <v/>
      </c>
      <c r="AG43" s="11" t="str">
        <f t="shared" si="3"/>
        <v/>
      </c>
      <c r="AH43" s="11" t="str">
        <f t="shared" si="43"/>
        <v/>
      </c>
      <c r="AI43" s="11" t="e">
        <f>IF(AND(ISNUMBER(AI42),ISNUMBER(S43)),(VLOOKUP(AD43,AB43:AC106,2,FALSE)),IF(ISNUMBER(S43),R43,NA()))</f>
        <v>#N/A</v>
      </c>
      <c r="AJ43" s="11" t="e">
        <f t="shared" si="4"/>
        <v>#N/A</v>
      </c>
      <c r="AK43" s="11" t="str">
        <f t="shared" si="5"/>
        <v/>
      </c>
      <c r="AL43" s="11" t="str">
        <f t="shared" si="6"/>
        <v/>
      </c>
      <c r="AQ43" s="11" t="str">
        <f t="shared" si="50"/>
        <v/>
      </c>
      <c r="AS43" s="74">
        <f t="shared" si="7"/>
        <v>10</v>
      </c>
      <c r="AT43" s="74">
        <f t="shared" si="8"/>
        <v>5</v>
      </c>
      <c r="AU43" s="74">
        <f t="shared" si="9"/>
        <v>10</v>
      </c>
      <c r="AV43" s="74">
        <f t="shared" si="0"/>
        <v>5</v>
      </c>
      <c r="AW43" s="102"/>
      <c r="AY43" s="9">
        <f t="shared" si="10"/>
        <v>10</v>
      </c>
      <c r="AZ43" s="11">
        <f t="shared" si="11"/>
        <v>3</v>
      </c>
      <c r="BA43" s="75">
        <f t="shared" si="12"/>
        <v>10</v>
      </c>
      <c r="BB43" s="11">
        <f t="shared" si="13"/>
        <v>3</v>
      </c>
      <c r="BD43" s="11">
        <f t="shared" si="14"/>
        <v>2</v>
      </c>
      <c r="BE43" s="9">
        <f t="shared" si="15"/>
        <v>0</v>
      </c>
      <c r="BF43" s="71">
        <f t="shared" si="16"/>
        <v>0</v>
      </c>
      <c r="BG43" s="11" t="str">
        <f t="shared" si="17"/>
        <v>MAX WSE</v>
      </c>
      <c r="BH43" s="132">
        <f t="shared" si="45"/>
        <v>5</v>
      </c>
      <c r="BJ43" s="71">
        <f t="shared" si="18"/>
        <v>2</v>
      </c>
      <c r="BL43" s="9">
        <f t="shared" si="49"/>
        <v>0</v>
      </c>
      <c r="BM43" s="9"/>
      <c r="BN43" s="9">
        <f t="shared" si="20"/>
        <v>10</v>
      </c>
      <c r="BO43" s="9" t="str">
        <f>IF(BP43="Left",IF(ISNA(VLOOKUP(BN43,XS_AnalyzerSummary!$A$21:$B$25,2,TRUE)),"",VLOOKUP(BN43,XS_AnalyzerSummary!$A$21:$B$25,2,TRUE)),IF(ISNA(VLOOKUP(-BN43,XS_AnalyzerSummary!$A$28:$B$32,2,TRUE)),"",VLOOKUP(-BN43,XS_AnalyzerSummary!$A$28:$B$32,2,TRUE)))</f>
        <v>Right Bank</v>
      </c>
      <c r="BP43" s="9" t="str">
        <f>IF(AU43&lt;XS_AnalyzerSummary!$B$7,"Left",IF(AU43&gt;XS_AnalyzerSummary!$B$7,"Right","Thalweg"))</f>
        <v>Right</v>
      </c>
      <c r="BQ43" s="9">
        <f t="shared" si="21"/>
        <v>0</v>
      </c>
      <c r="BR43" s="9">
        <f t="shared" si="22"/>
        <v>0</v>
      </c>
      <c r="BS43" s="9">
        <f t="shared" si="23"/>
        <v>0</v>
      </c>
      <c r="BT43" s="9">
        <f t="shared" si="24"/>
        <v>0</v>
      </c>
      <c r="BU43" s="9">
        <f t="shared" si="25"/>
        <v>2</v>
      </c>
      <c r="BV43" s="9">
        <f t="shared" si="26"/>
        <v>0</v>
      </c>
      <c r="BX43" s="9">
        <f>IF(AND(ISNUMBER($BN43),$BO43="Left 2nd Stage",SUM($BX$5:BX42)=0),$BN43,0)</f>
        <v>0</v>
      </c>
      <c r="BY43" s="9">
        <f t="shared" si="46"/>
        <v>0</v>
      </c>
      <c r="BZ43" s="9">
        <f>IF(AND(ISNUMBER($BN43),$BO43="Right 2nd Stage",SUM($BZ$5:$BZ42)=0),$BN42,0)</f>
        <v>0</v>
      </c>
      <c r="CA43" s="9">
        <f t="shared" si="47"/>
        <v>0</v>
      </c>
    </row>
    <row r="44" spans="1:79">
      <c r="A44" s="9">
        <v>40</v>
      </c>
      <c r="B44" s="166" t="e">
        <f>IF(ISNUMBER(XS_Analyzer!B44),XS_Analyzer!B44,NA())</f>
        <v>#N/A</v>
      </c>
      <c r="C44" s="88" t="e">
        <f>IF(ISNUMBER(XS_Analyzer!C44),XS_Analyzer!C44,NA())</f>
        <v>#N/A</v>
      </c>
      <c r="D44" s="88" t="str">
        <f>IF(ISNUMBER(XS_Analyzer!E44),XS_Analyzer!E44,"")</f>
        <v/>
      </c>
      <c r="E44" s="9" t="str">
        <f t="shared" si="28"/>
        <v/>
      </c>
      <c r="F44" s="88" t="e">
        <f>IF(AND(ISTEXT(XS_Analyzer!D44),XS_Analyzer!D44&lt;&gt;""),VLOOKUP(XS_Analyzer!D44,$K$12:$L$21,2,FALSE),"")</f>
        <v>#N/A</v>
      </c>
      <c r="G44" s="132" t="str">
        <f t="shared" si="29"/>
        <v/>
      </c>
      <c r="M44" s="10"/>
      <c r="N44" s="5"/>
      <c r="O44" s="5"/>
      <c r="P44" s="5"/>
      <c r="Q44" s="5" t="str">
        <f t="shared" si="30"/>
        <v>N</v>
      </c>
      <c r="R44" s="5" t="str">
        <f t="shared" si="31"/>
        <v/>
      </c>
      <c r="S44" s="5" t="str">
        <f t="shared" si="32"/>
        <v/>
      </c>
      <c r="T44" s="5" t="str">
        <f t="shared" si="33"/>
        <v/>
      </c>
      <c r="U44" s="5" t="str">
        <f t="shared" si="34"/>
        <v/>
      </c>
      <c r="V44" s="62" t="str">
        <f t="shared" si="35"/>
        <v/>
      </c>
      <c r="W44" s="62" t="e">
        <f t="shared" si="48"/>
        <v>#N/A</v>
      </c>
      <c r="X44" s="9" t="e">
        <f t="shared" si="1"/>
        <v>#N/A</v>
      </c>
      <c r="Y44" s="64" t="str">
        <f t="shared" si="36"/>
        <v/>
      </c>
      <c r="Z44" s="174" t="str">
        <f t="shared" si="37"/>
        <v/>
      </c>
      <c r="AA44" s="64" t="str">
        <f>IF(ISNUMBER(Y44),INDEX(Y44:Y106,MATCH(TRUE,INDEX(Y44:Y106&lt;&gt;Y44,),0)),"")</f>
        <v/>
      </c>
      <c r="AB44" s="64" t="str">
        <f t="shared" si="39"/>
        <v/>
      </c>
      <c r="AC44" s="64" t="str">
        <f t="shared" si="40"/>
        <v/>
      </c>
      <c r="AD44" s="64" t="e">
        <f>IF(ISTEXT(AB44),INDEX(AB44:AB106,MATCH(TRUE,INDEX(AB44:AB106&lt;&gt;AB44,),0)),"")</f>
        <v>#N/A</v>
      </c>
      <c r="AE44" s="11" t="str">
        <f t="shared" si="42"/>
        <v/>
      </c>
      <c r="AF44" s="11" t="str">
        <f t="shared" si="2"/>
        <v/>
      </c>
      <c r="AG44" s="11" t="str">
        <f t="shared" si="3"/>
        <v/>
      </c>
      <c r="AH44" s="11" t="str">
        <f t="shared" si="43"/>
        <v/>
      </c>
      <c r="AI44" s="11" t="e">
        <f>IF(AND(ISNUMBER(AI43),ISNUMBER(S44)),(VLOOKUP(AD44,AB44:AC106,2,FALSE)),IF(ISNUMBER(S44),R44,NA()))</f>
        <v>#N/A</v>
      </c>
      <c r="AJ44" s="11" t="e">
        <f t="shared" si="4"/>
        <v>#N/A</v>
      </c>
      <c r="AK44" s="11" t="str">
        <f t="shared" si="5"/>
        <v/>
      </c>
      <c r="AL44" s="11" t="str">
        <f t="shared" si="6"/>
        <v/>
      </c>
      <c r="AQ44" s="11" t="str">
        <f t="shared" si="50"/>
        <v/>
      </c>
      <c r="AS44" s="74">
        <f t="shared" si="7"/>
        <v>10</v>
      </c>
      <c r="AT44" s="74">
        <f t="shared" si="8"/>
        <v>5</v>
      </c>
      <c r="AU44" s="74">
        <f t="shared" si="9"/>
        <v>10</v>
      </c>
      <c r="AV44" s="74">
        <f t="shared" si="0"/>
        <v>5</v>
      </c>
      <c r="AW44" s="102"/>
      <c r="AY44" s="9">
        <f t="shared" si="10"/>
        <v>10</v>
      </c>
      <c r="AZ44" s="11">
        <f t="shared" si="11"/>
        <v>3</v>
      </c>
      <c r="BA44" s="75">
        <f t="shared" si="12"/>
        <v>10</v>
      </c>
      <c r="BB44" s="11">
        <f t="shared" si="13"/>
        <v>3</v>
      </c>
      <c r="BD44" s="11">
        <f t="shared" si="14"/>
        <v>2</v>
      </c>
      <c r="BE44" s="9">
        <f t="shared" si="15"/>
        <v>0</v>
      </c>
      <c r="BF44" s="71">
        <f t="shared" si="16"/>
        <v>0</v>
      </c>
      <c r="BG44" s="11" t="str">
        <f t="shared" si="17"/>
        <v>MAX WSE</v>
      </c>
      <c r="BH44" s="132">
        <f t="shared" si="45"/>
        <v>5</v>
      </c>
      <c r="BJ44" s="71">
        <f t="shared" si="18"/>
        <v>2</v>
      </c>
      <c r="BL44" s="9">
        <f t="shared" si="49"/>
        <v>0</v>
      </c>
      <c r="BM44" s="9"/>
      <c r="BN44" s="9">
        <f t="shared" si="20"/>
        <v>10</v>
      </c>
      <c r="BO44" s="9" t="str">
        <f>IF(BP44="Left",IF(ISNA(VLOOKUP(BN44,XS_AnalyzerSummary!$A$21:$B$25,2,TRUE)),"",VLOOKUP(BN44,XS_AnalyzerSummary!$A$21:$B$25,2,TRUE)),IF(ISNA(VLOOKUP(-BN44,XS_AnalyzerSummary!$A$28:$B$32,2,TRUE)),"",VLOOKUP(-BN44,XS_AnalyzerSummary!$A$28:$B$32,2,TRUE)))</f>
        <v>Right Bank</v>
      </c>
      <c r="BP44" s="9" t="str">
        <f>IF(AU44&lt;XS_AnalyzerSummary!$B$7,"Left",IF(AU44&gt;XS_AnalyzerSummary!$B$7,"Right","Thalweg"))</f>
        <v>Right</v>
      </c>
      <c r="BQ44" s="9">
        <f t="shared" si="21"/>
        <v>0</v>
      </c>
      <c r="BR44" s="9">
        <f t="shared" si="22"/>
        <v>0</v>
      </c>
      <c r="BS44" s="9">
        <f t="shared" si="23"/>
        <v>0</v>
      </c>
      <c r="BT44" s="9">
        <f t="shared" si="24"/>
        <v>0</v>
      </c>
      <c r="BU44" s="9">
        <f t="shared" si="25"/>
        <v>2</v>
      </c>
      <c r="BV44" s="9">
        <f t="shared" si="26"/>
        <v>0</v>
      </c>
      <c r="BX44" s="9">
        <f>IF(AND(ISNUMBER($BN44),$BO44="Left 2nd Stage",SUM($BX$5:BX43)=0),$BN44,0)</f>
        <v>0</v>
      </c>
      <c r="BY44" s="9">
        <f t="shared" si="46"/>
        <v>0</v>
      </c>
      <c r="BZ44" s="9">
        <f>IF(AND(ISNUMBER($BN44),$BO44="Right 2nd Stage",SUM($BZ$5:$BZ43)=0),$BN43,0)</f>
        <v>0</v>
      </c>
      <c r="CA44" s="9">
        <f t="shared" si="47"/>
        <v>0</v>
      </c>
    </row>
    <row r="45" spans="1:79">
      <c r="A45" s="9">
        <v>41</v>
      </c>
      <c r="B45" s="166" t="e">
        <f>IF(ISNUMBER(XS_Analyzer!B45),XS_Analyzer!B45,NA())</f>
        <v>#N/A</v>
      </c>
      <c r="C45" s="88" t="e">
        <f>IF(ISNUMBER(XS_Analyzer!C45),XS_Analyzer!C45,NA())</f>
        <v>#N/A</v>
      </c>
      <c r="D45" s="88" t="str">
        <f>IF(ISNUMBER(XS_Analyzer!E45),XS_Analyzer!E45,"")</f>
        <v/>
      </c>
      <c r="E45" s="9" t="str">
        <f t="shared" si="28"/>
        <v/>
      </c>
      <c r="F45" s="88" t="e">
        <f>IF(AND(ISTEXT(XS_Analyzer!D45),XS_Analyzer!D45&lt;&gt;""),VLOOKUP(XS_Analyzer!D45,$K$12:$L$21,2,FALSE),"")</f>
        <v>#N/A</v>
      </c>
      <c r="G45" s="132" t="str">
        <f t="shared" si="29"/>
        <v/>
      </c>
      <c r="M45" s="10"/>
      <c r="N45" s="5"/>
      <c r="O45" s="5"/>
      <c r="P45" s="5"/>
      <c r="Q45" s="5" t="str">
        <f t="shared" si="30"/>
        <v>N</v>
      </c>
      <c r="R45" s="5" t="str">
        <f t="shared" si="31"/>
        <v/>
      </c>
      <c r="S45" s="5" t="str">
        <f t="shared" si="32"/>
        <v/>
      </c>
      <c r="T45" s="5" t="str">
        <f t="shared" si="33"/>
        <v/>
      </c>
      <c r="U45" s="5" t="str">
        <f t="shared" si="34"/>
        <v/>
      </c>
      <c r="V45" s="62" t="str">
        <f t="shared" si="35"/>
        <v/>
      </c>
      <c r="W45" s="62" t="e">
        <f t="shared" si="48"/>
        <v>#N/A</v>
      </c>
      <c r="X45" s="9" t="e">
        <f t="shared" si="1"/>
        <v>#N/A</v>
      </c>
      <c r="Y45" s="64" t="str">
        <f t="shared" si="36"/>
        <v/>
      </c>
      <c r="Z45" s="174" t="str">
        <f t="shared" si="37"/>
        <v/>
      </c>
      <c r="AA45" s="64" t="str">
        <f>IF(ISNUMBER(Y45),INDEX(Y45:Y106,MATCH(TRUE,INDEX(Y45:Y106&lt;&gt;Y45,),0)),"")</f>
        <v/>
      </c>
      <c r="AB45" s="64" t="str">
        <f t="shared" si="39"/>
        <v/>
      </c>
      <c r="AC45" s="64" t="str">
        <f t="shared" si="40"/>
        <v/>
      </c>
      <c r="AD45" s="64" t="e">
        <f>IF(ISTEXT(AB45),INDEX(AB45:AB106,MATCH(TRUE,INDEX(AB45:AB106&lt;&gt;AB45,),0)),"")</f>
        <v>#N/A</v>
      </c>
      <c r="AE45" s="11" t="str">
        <f t="shared" si="42"/>
        <v/>
      </c>
      <c r="AF45" s="11" t="str">
        <f t="shared" si="2"/>
        <v/>
      </c>
      <c r="AG45" s="11" t="str">
        <f t="shared" si="3"/>
        <v/>
      </c>
      <c r="AH45" s="11" t="str">
        <f t="shared" si="43"/>
        <v/>
      </c>
      <c r="AI45" s="11" t="e">
        <f>IF(AND(ISNUMBER(AI44),ISNUMBER(S45)),(VLOOKUP(AD45,AB45:AC106,2,FALSE)),IF(ISNUMBER(S45),R45,NA()))</f>
        <v>#N/A</v>
      </c>
      <c r="AJ45" s="11" t="e">
        <f t="shared" si="4"/>
        <v>#N/A</v>
      </c>
      <c r="AK45" s="11" t="str">
        <f t="shared" si="5"/>
        <v/>
      </c>
      <c r="AL45" s="11" t="str">
        <f t="shared" si="6"/>
        <v/>
      </c>
      <c r="AQ45" s="11" t="str">
        <f t="shared" si="50"/>
        <v/>
      </c>
      <c r="AS45" s="74">
        <f t="shared" si="7"/>
        <v>10</v>
      </c>
      <c r="AT45" s="74">
        <f t="shared" si="8"/>
        <v>5</v>
      </c>
      <c r="AU45" s="74">
        <f t="shared" si="9"/>
        <v>10</v>
      </c>
      <c r="AV45" s="74">
        <f t="shared" si="0"/>
        <v>5</v>
      </c>
      <c r="AW45" s="102"/>
      <c r="AY45" s="9">
        <f t="shared" si="10"/>
        <v>10</v>
      </c>
      <c r="AZ45" s="11">
        <f t="shared" si="11"/>
        <v>3</v>
      </c>
      <c r="BA45" s="75">
        <f t="shared" si="12"/>
        <v>10</v>
      </c>
      <c r="BB45" s="11">
        <f t="shared" si="13"/>
        <v>3</v>
      </c>
      <c r="BD45" s="11">
        <f t="shared" si="14"/>
        <v>2</v>
      </c>
      <c r="BE45" s="9">
        <f t="shared" si="15"/>
        <v>0</v>
      </c>
      <c r="BF45" s="71">
        <f t="shared" si="16"/>
        <v>0</v>
      </c>
      <c r="BG45" s="11" t="str">
        <f t="shared" si="17"/>
        <v>MAX WSE</v>
      </c>
      <c r="BH45" s="132">
        <f t="shared" si="45"/>
        <v>5</v>
      </c>
      <c r="BJ45" s="71">
        <f t="shared" si="18"/>
        <v>2</v>
      </c>
      <c r="BL45" s="9">
        <f t="shared" si="49"/>
        <v>0</v>
      </c>
      <c r="BM45" s="9"/>
      <c r="BN45" s="9">
        <f t="shared" si="20"/>
        <v>10</v>
      </c>
      <c r="BO45" s="9" t="str">
        <f>IF(BP45="Left",IF(ISNA(VLOOKUP(BN45,XS_AnalyzerSummary!$A$21:$B$25,2,TRUE)),"",VLOOKUP(BN45,XS_AnalyzerSummary!$A$21:$B$25,2,TRUE)),IF(ISNA(VLOOKUP(-BN45,XS_AnalyzerSummary!$A$28:$B$32,2,TRUE)),"",VLOOKUP(-BN45,XS_AnalyzerSummary!$A$28:$B$32,2,TRUE)))</f>
        <v>Right Bank</v>
      </c>
      <c r="BP45" s="9" t="str">
        <f>IF(AU45&lt;XS_AnalyzerSummary!$B$7,"Left",IF(AU45&gt;XS_AnalyzerSummary!$B$7,"Right","Thalweg"))</f>
        <v>Right</v>
      </c>
      <c r="BQ45" s="9">
        <f t="shared" si="21"/>
        <v>0</v>
      </c>
      <c r="BR45" s="9">
        <f t="shared" si="22"/>
        <v>0</v>
      </c>
      <c r="BS45" s="9">
        <f t="shared" si="23"/>
        <v>0</v>
      </c>
      <c r="BT45" s="9">
        <f t="shared" si="24"/>
        <v>0</v>
      </c>
      <c r="BU45" s="9">
        <f t="shared" si="25"/>
        <v>2</v>
      </c>
      <c r="BV45" s="9">
        <f t="shared" si="26"/>
        <v>0</v>
      </c>
      <c r="BX45" s="9">
        <f>IF(AND(ISNUMBER($BN45),$BO45="Left 2nd Stage",SUM($BX$5:BX44)=0),$BN45,0)</f>
        <v>0</v>
      </c>
      <c r="BY45" s="9">
        <f t="shared" si="46"/>
        <v>0</v>
      </c>
      <c r="BZ45" s="9">
        <f>IF(AND(ISNUMBER($BN45),$BO45="Right 2nd Stage",SUM($BZ$5:$BZ44)=0),$BN44,0)</f>
        <v>0</v>
      </c>
      <c r="CA45" s="9">
        <f t="shared" si="47"/>
        <v>0</v>
      </c>
    </row>
    <row r="46" spans="1:79">
      <c r="A46" s="9">
        <v>42</v>
      </c>
      <c r="B46" s="166" t="e">
        <f>IF(ISNUMBER(XS_Analyzer!B46),XS_Analyzer!B46,NA())</f>
        <v>#N/A</v>
      </c>
      <c r="C46" s="88" t="e">
        <f>IF(ISNUMBER(XS_Analyzer!C46),XS_Analyzer!C46,NA())</f>
        <v>#N/A</v>
      </c>
      <c r="D46" s="88" t="str">
        <f>IF(ISNUMBER(XS_Analyzer!E46),XS_Analyzer!E46,"")</f>
        <v/>
      </c>
      <c r="E46" s="9" t="str">
        <f t="shared" si="28"/>
        <v/>
      </c>
      <c r="F46" s="88" t="e">
        <f>IF(AND(ISTEXT(XS_Analyzer!D46),XS_Analyzer!D46&lt;&gt;""),VLOOKUP(XS_Analyzer!D46,$K$12:$L$21,2,FALSE),"")</f>
        <v>#N/A</v>
      </c>
      <c r="G46" s="132" t="str">
        <f t="shared" si="29"/>
        <v/>
      </c>
      <c r="I46" s="191"/>
      <c r="M46" s="10"/>
      <c r="Q46" s="5" t="str">
        <f t="shared" si="30"/>
        <v>N</v>
      </c>
      <c r="R46" s="5" t="str">
        <f t="shared" si="31"/>
        <v/>
      </c>
      <c r="S46" s="5" t="str">
        <f t="shared" si="32"/>
        <v/>
      </c>
      <c r="T46" s="5" t="str">
        <f t="shared" si="33"/>
        <v/>
      </c>
      <c r="U46" s="5" t="str">
        <f t="shared" si="34"/>
        <v/>
      </c>
      <c r="V46" s="62" t="str">
        <f t="shared" si="35"/>
        <v/>
      </c>
      <c r="W46" s="62" t="e">
        <f t="shared" si="48"/>
        <v>#N/A</v>
      </c>
      <c r="X46" s="9" t="e">
        <f t="shared" si="1"/>
        <v>#N/A</v>
      </c>
      <c r="Y46" s="64" t="str">
        <f t="shared" si="36"/>
        <v/>
      </c>
      <c r="Z46" s="174" t="str">
        <f t="shared" si="37"/>
        <v/>
      </c>
      <c r="AA46" s="64" t="str">
        <f>IF(ISNUMBER(Y46),INDEX(Y46:Y106,MATCH(TRUE,INDEX(Y46:Y106&lt;&gt;Y46,),0)),"")</f>
        <v/>
      </c>
      <c r="AB46" s="64" t="str">
        <f t="shared" si="39"/>
        <v/>
      </c>
      <c r="AC46" s="64" t="str">
        <f t="shared" si="40"/>
        <v/>
      </c>
      <c r="AD46" s="64" t="e">
        <f>IF(ISTEXT(AB46),INDEX(AB46:AB106,MATCH(TRUE,INDEX(AB46:AB106&lt;&gt;AB46,),0)),"")</f>
        <v>#N/A</v>
      </c>
      <c r="AE46" s="11" t="str">
        <f t="shared" si="42"/>
        <v/>
      </c>
      <c r="AF46" s="11" t="str">
        <f t="shared" si="2"/>
        <v/>
      </c>
      <c r="AG46" s="11" t="str">
        <f t="shared" si="3"/>
        <v/>
      </c>
      <c r="AH46" s="11" t="str">
        <f t="shared" si="43"/>
        <v/>
      </c>
      <c r="AI46" s="11" t="e">
        <f>IF(AND(ISNUMBER(AI45),ISNUMBER(S46)),(VLOOKUP(AD46,AB46:AC106,2,FALSE)),IF(ISNUMBER(S46),R46,NA()))</f>
        <v>#N/A</v>
      </c>
      <c r="AJ46" s="11" t="e">
        <f t="shared" si="4"/>
        <v>#N/A</v>
      </c>
      <c r="AK46" s="11" t="str">
        <f t="shared" si="5"/>
        <v/>
      </c>
      <c r="AL46" s="11" t="str">
        <f t="shared" si="6"/>
        <v/>
      </c>
      <c r="AQ46" s="11" t="str">
        <f t="shared" si="50"/>
        <v/>
      </c>
      <c r="AR46" s="5"/>
      <c r="AS46" s="74">
        <f t="shared" si="7"/>
        <v>10</v>
      </c>
      <c r="AT46" s="74">
        <f t="shared" si="8"/>
        <v>5</v>
      </c>
      <c r="AU46" s="74">
        <f t="shared" si="9"/>
        <v>10</v>
      </c>
      <c r="AV46" s="74">
        <f t="shared" si="0"/>
        <v>5</v>
      </c>
      <c r="AW46" s="102"/>
      <c r="AY46" s="9">
        <f t="shared" si="10"/>
        <v>10</v>
      </c>
      <c r="AZ46" s="11">
        <f t="shared" si="11"/>
        <v>3</v>
      </c>
      <c r="BA46" s="75">
        <f t="shared" si="12"/>
        <v>10</v>
      </c>
      <c r="BB46" s="11">
        <f t="shared" si="13"/>
        <v>3</v>
      </c>
      <c r="BD46" s="11">
        <f t="shared" si="14"/>
        <v>2</v>
      </c>
      <c r="BE46" s="9">
        <f t="shared" si="15"/>
        <v>0</v>
      </c>
      <c r="BF46" s="71">
        <f t="shared" si="16"/>
        <v>0</v>
      </c>
      <c r="BG46" s="11" t="str">
        <f t="shared" si="17"/>
        <v>MAX WSE</v>
      </c>
      <c r="BH46" s="132">
        <f t="shared" si="45"/>
        <v>5</v>
      </c>
      <c r="BJ46" s="71">
        <f t="shared" si="18"/>
        <v>2</v>
      </c>
      <c r="BL46" s="9">
        <f t="shared" si="49"/>
        <v>0</v>
      </c>
      <c r="BM46" s="9"/>
      <c r="BN46" s="9">
        <f t="shared" si="20"/>
        <v>10</v>
      </c>
      <c r="BO46" s="9" t="str">
        <f>IF(BP46="Left",IF(ISNA(VLOOKUP(BN46,XS_AnalyzerSummary!$A$21:$B$25,2,TRUE)),"",VLOOKUP(BN46,XS_AnalyzerSummary!$A$21:$B$25,2,TRUE)),IF(ISNA(VLOOKUP(-BN46,XS_AnalyzerSummary!$A$28:$B$32,2,TRUE)),"",VLOOKUP(-BN46,XS_AnalyzerSummary!$A$28:$B$32,2,TRUE)))</f>
        <v>Right Bank</v>
      </c>
      <c r="BP46" s="9" t="str">
        <f>IF(AU46&lt;XS_AnalyzerSummary!$B$7,"Left",IF(AU46&gt;XS_AnalyzerSummary!$B$7,"Right","Thalweg"))</f>
        <v>Right</v>
      </c>
      <c r="BQ46" s="9">
        <f t="shared" si="21"/>
        <v>0</v>
      </c>
      <c r="BR46" s="9">
        <f t="shared" si="22"/>
        <v>0</v>
      </c>
      <c r="BS46" s="9">
        <f t="shared" si="23"/>
        <v>0</v>
      </c>
      <c r="BT46" s="9">
        <f t="shared" si="24"/>
        <v>0</v>
      </c>
      <c r="BU46" s="9">
        <f t="shared" si="25"/>
        <v>2</v>
      </c>
      <c r="BV46" s="9">
        <f t="shared" si="26"/>
        <v>0</v>
      </c>
      <c r="BX46" s="9">
        <f>IF(AND(ISNUMBER($BN46),$BO46="Left 2nd Stage",SUM($BX$5:BX45)=0),$BN46,0)</f>
        <v>0</v>
      </c>
      <c r="BY46" s="9">
        <f t="shared" si="46"/>
        <v>0</v>
      </c>
      <c r="BZ46" s="9">
        <f>IF(AND(ISNUMBER($BN46),$BO46="Right 2nd Stage",SUM($BZ$5:$BZ45)=0),$BN45,0)</f>
        <v>0</v>
      </c>
      <c r="CA46" s="9">
        <f t="shared" si="47"/>
        <v>0</v>
      </c>
    </row>
    <row r="47" spans="1:79">
      <c r="A47" s="9">
        <v>43</v>
      </c>
      <c r="B47" s="166" t="e">
        <f>IF(ISNUMBER(XS_Analyzer!B47),XS_Analyzer!B47,NA())</f>
        <v>#N/A</v>
      </c>
      <c r="C47" s="88" t="e">
        <f>IF(ISNUMBER(XS_Analyzer!C47),XS_Analyzer!C47,NA())</f>
        <v>#N/A</v>
      </c>
      <c r="D47" s="88" t="str">
        <f>IF(ISNUMBER(XS_Analyzer!E47),XS_Analyzer!E47,"")</f>
        <v/>
      </c>
      <c r="E47" s="9" t="str">
        <f t="shared" si="28"/>
        <v/>
      </c>
      <c r="F47" s="88" t="e">
        <f>IF(AND(ISTEXT(XS_Analyzer!D47),XS_Analyzer!D47&lt;&gt;""),VLOOKUP(XS_Analyzer!D47,$K$12:$L$21,2,FALSE),"")</f>
        <v>#N/A</v>
      </c>
      <c r="G47" s="132" t="str">
        <f t="shared" si="29"/>
        <v/>
      </c>
      <c r="I47" s="191"/>
      <c r="M47" s="10"/>
      <c r="Q47" s="5" t="str">
        <f t="shared" si="30"/>
        <v>N</v>
      </c>
      <c r="R47" s="5" t="str">
        <f t="shared" si="31"/>
        <v/>
      </c>
      <c r="S47" s="5" t="str">
        <f t="shared" si="32"/>
        <v/>
      </c>
      <c r="T47" s="5" t="str">
        <f t="shared" si="33"/>
        <v/>
      </c>
      <c r="U47" s="5" t="str">
        <f t="shared" si="34"/>
        <v/>
      </c>
      <c r="V47" s="62" t="str">
        <f t="shared" si="35"/>
        <v/>
      </c>
      <c r="W47" s="62" t="e">
        <f t="shared" si="48"/>
        <v>#N/A</v>
      </c>
      <c r="X47" s="9" t="e">
        <f t="shared" si="1"/>
        <v>#N/A</v>
      </c>
      <c r="Y47" s="64" t="str">
        <f t="shared" si="36"/>
        <v/>
      </c>
      <c r="Z47" s="174" t="str">
        <f t="shared" si="37"/>
        <v/>
      </c>
      <c r="AA47" s="64" t="str">
        <f>IF(ISNUMBER(Y47),INDEX(Y47:Y106,MATCH(TRUE,INDEX(Y47:Y106&lt;&gt;Y47,),0)),"")</f>
        <v/>
      </c>
      <c r="AB47" s="64" t="str">
        <f t="shared" si="39"/>
        <v/>
      </c>
      <c r="AC47" s="64" t="str">
        <f t="shared" si="40"/>
        <v/>
      </c>
      <c r="AD47" s="64" t="e">
        <f>IF(ISTEXT(AB47),INDEX(AB47:AB106,MATCH(TRUE,INDEX(AB47:AB106&lt;&gt;AB47,),0)),"")</f>
        <v>#N/A</v>
      </c>
      <c r="AE47" s="11" t="str">
        <f t="shared" si="42"/>
        <v/>
      </c>
      <c r="AF47" s="11" t="str">
        <f t="shared" si="2"/>
        <v/>
      </c>
      <c r="AG47" s="11" t="str">
        <f t="shared" si="3"/>
        <v/>
      </c>
      <c r="AH47" s="11" t="str">
        <f t="shared" si="43"/>
        <v/>
      </c>
      <c r="AI47" s="11" t="e">
        <f>IF(AND(ISNUMBER(AI46),ISNUMBER(S47)),(VLOOKUP(AD47,AB47:AC106,2,FALSE)),IF(ISNUMBER(S47),R47,NA()))</f>
        <v>#N/A</v>
      </c>
      <c r="AJ47" s="11" t="e">
        <f t="shared" si="4"/>
        <v>#N/A</v>
      </c>
      <c r="AK47" s="11" t="str">
        <f t="shared" si="5"/>
        <v/>
      </c>
      <c r="AL47" s="11" t="str">
        <f t="shared" si="6"/>
        <v/>
      </c>
      <c r="AQ47" s="11" t="str">
        <f t="shared" si="50"/>
        <v/>
      </c>
      <c r="AR47" s="5"/>
      <c r="AS47" s="74">
        <f t="shared" si="7"/>
        <v>10</v>
      </c>
      <c r="AT47" s="74">
        <f t="shared" si="8"/>
        <v>5</v>
      </c>
      <c r="AU47" s="74">
        <f t="shared" si="9"/>
        <v>10</v>
      </c>
      <c r="AV47" s="74">
        <f t="shared" si="0"/>
        <v>5</v>
      </c>
      <c r="AW47" s="102"/>
      <c r="AY47" s="9">
        <f t="shared" si="10"/>
        <v>10</v>
      </c>
      <c r="AZ47" s="11">
        <f t="shared" si="11"/>
        <v>3</v>
      </c>
      <c r="BA47" s="75">
        <f t="shared" si="12"/>
        <v>10</v>
      </c>
      <c r="BB47" s="11">
        <f t="shared" si="13"/>
        <v>3</v>
      </c>
      <c r="BD47" s="11">
        <f t="shared" si="14"/>
        <v>2</v>
      </c>
      <c r="BE47" s="9">
        <f t="shared" si="15"/>
        <v>0</v>
      </c>
      <c r="BF47" s="71">
        <f t="shared" si="16"/>
        <v>0</v>
      </c>
      <c r="BG47" s="11" t="str">
        <f t="shared" si="17"/>
        <v>MAX WSE</v>
      </c>
      <c r="BH47" s="132">
        <f t="shared" si="45"/>
        <v>5</v>
      </c>
      <c r="BJ47" s="71">
        <f t="shared" si="18"/>
        <v>2</v>
      </c>
      <c r="BL47" s="9">
        <f t="shared" si="49"/>
        <v>0</v>
      </c>
      <c r="BM47" s="9"/>
      <c r="BN47" s="9">
        <f t="shared" si="20"/>
        <v>10</v>
      </c>
      <c r="BO47" s="9" t="str">
        <f>IF(BP47="Left",IF(ISNA(VLOOKUP(BN47,XS_AnalyzerSummary!$A$21:$B$25,2,TRUE)),"",VLOOKUP(BN47,XS_AnalyzerSummary!$A$21:$B$25,2,TRUE)),IF(ISNA(VLOOKUP(-BN47,XS_AnalyzerSummary!$A$28:$B$32,2,TRUE)),"",VLOOKUP(-BN47,XS_AnalyzerSummary!$A$28:$B$32,2,TRUE)))</f>
        <v>Right Bank</v>
      </c>
      <c r="BP47" s="9" t="str">
        <f>IF(AU47&lt;XS_AnalyzerSummary!$B$7,"Left",IF(AU47&gt;XS_AnalyzerSummary!$B$7,"Right","Thalweg"))</f>
        <v>Right</v>
      </c>
      <c r="BQ47" s="9">
        <f t="shared" si="21"/>
        <v>0</v>
      </c>
      <c r="BR47" s="9">
        <f t="shared" si="22"/>
        <v>0</v>
      </c>
      <c r="BS47" s="9">
        <f t="shared" si="23"/>
        <v>0</v>
      </c>
      <c r="BT47" s="9">
        <f t="shared" si="24"/>
        <v>0</v>
      </c>
      <c r="BU47" s="9">
        <f t="shared" si="25"/>
        <v>2</v>
      </c>
      <c r="BV47" s="9">
        <f t="shared" si="26"/>
        <v>0</v>
      </c>
      <c r="BX47" s="9">
        <f>IF(AND(ISNUMBER($BN47),$BO47="Left 2nd Stage",SUM($BX$5:BX46)=0),$BN47,0)</f>
        <v>0</v>
      </c>
      <c r="BY47" s="9">
        <f t="shared" si="46"/>
        <v>0</v>
      </c>
      <c r="BZ47" s="9">
        <f>IF(AND(ISNUMBER($BN47),$BO47="Right 2nd Stage",SUM($BZ$5:$BZ46)=0),$BN46,0)</f>
        <v>0</v>
      </c>
      <c r="CA47" s="9">
        <f t="shared" si="47"/>
        <v>0</v>
      </c>
    </row>
    <row r="48" spans="1:79">
      <c r="A48" s="9">
        <v>44</v>
      </c>
      <c r="B48" s="166" t="e">
        <f>IF(ISNUMBER(XS_Analyzer!B48),XS_Analyzer!B48,NA())</f>
        <v>#N/A</v>
      </c>
      <c r="C48" s="88" t="e">
        <f>IF(ISNUMBER(XS_Analyzer!C48),XS_Analyzer!C48,NA())</f>
        <v>#N/A</v>
      </c>
      <c r="D48" s="88" t="str">
        <f>IF(ISNUMBER(XS_Analyzer!E48),XS_Analyzer!E48,"")</f>
        <v/>
      </c>
      <c r="E48" s="9" t="str">
        <f t="shared" si="28"/>
        <v/>
      </c>
      <c r="F48" s="88" t="e">
        <f>IF(AND(ISTEXT(XS_Analyzer!D48),XS_Analyzer!D48&lt;&gt;""),VLOOKUP(XS_Analyzer!D48,$K$12:$L$21,2,FALSE),"")</f>
        <v>#N/A</v>
      </c>
      <c r="G48" s="132" t="str">
        <f t="shared" si="29"/>
        <v/>
      </c>
      <c r="H48" s="132"/>
      <c r="Q48" s="5" t="str">
        <f t="shared" si="30"/>
        <v>N</v>
      </c>
      <c r="R48" s="5" t="str">
        <f t="shared" si="31"/>
        <v/>
      </c>
      <c r="S48" s="5" t="str">
        <f t="shared" si="32"/>
        <v/>
      </c>
      <c r="T48" s="5" t="str">
        <f t="shared" si="33"/>
        <v/>
      </c>
      <c r="U48" s="5" t="str">
        <f t="shared" si="34"/>
        <v/>
      </c>
      <c r="V48" s="62" t="str">
        <f t="shared" si="35"/>
        <v/>
      </c>
      <c r="W48" s="62" t="e">
        <f t="shared" si="48"/>
        <v>#N/A</v>
      </c>
      <c r="X48" s="9" t="e">
        <f t="shared" si="1"/>
        <v>#N/A</v>
      </c>
      <c r="Y48" s="64" t="str">
        <f t="shared" si="36"/>
        <v/>
      </c>
      <c r="Z48" s="174" t="str">
        <f t="shared" si="37"/>
        <v/>
      </c>
      <c r="AA48" s="64" t="str">
        <f>IF(ISNUMBER(Y48),INDEX(Y48:Y106,MATCH(TRUE,INDEX(Y48:Y106&lt;&gt;Y48,),0)),"")</f>
        <v/>
      </c>
      <c r="AB48" s="64" t="str">
        <f t="shared" si="39"/>
        <v/>
      </c>
      <c r="AC48" s="64" t="str">
        <f t="shared" si="40"/>
        <v/>
      </c>
      <c r="AD48" s="64" t="e">
        <f>IF(ISTEXT(AB48),INDEX(AB48:AB106,MATCH(TRUE,INDEX(AB48:AB106&lt;&gt;AB48,),0)),"")</f>
        <v>#N/A</v>
      </c>
      <c r="AE48" s="11" t="str">
        <f t="shared" si="42"/>
        <v/>
      </c>
      <c r="AF48" s="11" t="str">
        <f t="shared" si="2"/>
        <v/>
      </c>
      <c r="AG48" s="11" t="str">
        <f t="shared" si="3"/>
        <v/>
      </c>
      <c r="AH48" s="11" t="str">
        <f t="shared" si="43"/>
        <v/>
      </c>
      <c r="AI48" s="11" t="e">
        <f>IF(AND(ISNUMBER(AI47),ISNUMBER(S48)),(VLOOKUP(AD48,AB48:AC106,2,FALSE)),IF(ISNUMBER(S48),R48,NA()))</f>
        <v>#N/A</v>
      </c>
      <c r="AJ48" s="11" t="e">
        <f t="shared" si="4"/>
        <v>#N/A</v>
      </c>
      <c r="AK48" s="11" t="str">
        <f t="shared" si="5"/>
        <v/>
      </c>
      <c r="AL48" s="11" t="str">
        <f t="shared" si="6"/>
        <v/>
      </c>
      <c r="AQ48" s="11" t="str">
        <f t="shared" si="50"/>
        <v/>
      </c>
      <c r="AS48" s="74">
        <f t="shared" si="7"/>
        <v>10</v>
      </c>
      <c r="AT48" s="74">
        <f t="shared" si="8"/>
        <v>5</v>
      </c>
      <c r="AU48" s="74">
        <f t="shared" si="9"/>
        <v>10</v>
      </c>
      <c r="AV48" s="74">
        <f t="shared" si="0"/>
        <v>5</v>
      </c>
      <c r="AW48" s="102"/>
      <c r="AY48" s="9">
        <f t="shared" si="10"/>
        <v>10</v>
      </c>
      <c r="AZ48" s="11">
        <f t="shared" si="11"/>
        <v>3</v>
      </c>
      <c r="BA48" s="75">
        <f t="shared" si="12"/>
        <v>10</v>
      </c>
      <c r="BB48" s="11">
        <f t="shared" si="13"/>
        <v>3</v>
      </c>
      <c r="BD48" s="11">
        <f t="shared" si="14"/>
        <v>2</v>
      </c>
      <c r="BE48" s="9">
        <f t="shared" si="15"/>
        <v>0</v>
      </c>
      <c r="BF48" s="71">
        <f t="shared" si="16"/>
        <v>0</v>
      </c>
      <c r="BG48" s="11" t="str">
        <f t="shared" si="17"/>
        <v>MAX WSE</v>
      </c>
      <c r="BH48" s="132">
        <f t="shared" si="45"/>
        <v>5</v>
      </c>
      <c r="BJ48" s="71">
        <f t="shared" si="18"/>
        <v>2</v>
      </c>
      <c r="BL48" s="9">
        <f t="shared" si="49"/>
        <v>0</v>
      </c>
      <c r="BM48" s="9"/>
      <c r="BN48" s="9">
        <f t="shared" si="20"/>
        <v>10</v>
      </c>
      <c r="BO48" s="9" t="str">
        <f>IF(BP48="Left",IF(ISNA(VLOOKUP(BN48,XS_AnalyzerSummary!$A$21:$B$25,2,TRUE)),"",VLOOKUP(BN48,XS_AnalyzerSummary!$A$21:$B$25,2,TRUE)),IF(ISNA(VLOOKUP(-BN48,XS_AnalyzerSummary!$A$28:$B$32,2,TRUE)),"",VLOOKUP(-BN48,XS_AnalyzerSummary!$A$28:$B$32,2,TRUE)))</f>
        <v>Right Bank</v>
      </c>
      <c r="BP48" s="9" t="str">
        <f>IF(AU48&lt;XS_AnalyzerSummary!$B$7,"Left",IF(AU48&gt;XS_AnalyzerSummary!$B$7,"Right","Thalweg"))</f>
        <v>Right</v>
      </c>
      <c r="BQ48" s="9">
        <f t="shared" si="21"/>
        <v>0</v>
      </c>
      <c r="BR48" s="9">
        <f t="shared" si="22"/>
        <v>0</v>
      </c>
      <c r="BS48" s="9">
        <f t="shared" si="23"/>
        <v>0</v>
      </c>
      <c r="BT48" s="9">
        <f t="shared" si="24"/>
        <v>0</v>
      </c>
      <c r="BU48" s="9">
        <f t="shared" si="25"/>
        <v>2</v>
      </c>
      <c r="BV48" s="9">
        <f t="shared" si="26"/>
        <v>0</v>
      </c>
      <c r="BX48" s="9">
        <f>IF(AND(ISNUMBER($BN48),$BO48="Left 2nd Stage",SUM($BX$5:BX47)=0),$BN48,0)</f>
        <v>0</v>
      </c>
      <c r="BY48" s="9">
        <f t="shared" si="46"/>
        <v>0</v>
      </c>
      <c r="BZ48" s="9">
        <f>IF(AND(ISNUMBER($BN48),$BO48="Right 2nd Stage",SUM($BZ$5:$BZ47)=0),$BN47,0)</f>
        <v>0</v>
      </c>
      <c r="CA48" s="9">
        <f t="shared" si="47"/>
        <v>0</v>
      </c>
    </row>
    <row r="49" spans="1:79">
      <c r="A49" s="9">
        <v>45</v>
      </c>
      <c r="B49" s="166" t="e">
        <f>IF(ISNUMBER(XS_Analyzer!B49),XS_Analyzer!B49,NA())</f>
        <v>#N/A</v>
      </c>
      <c r="C49" s="88" t="e">
        <f>IF(ISNUMBER(XS_Analyzer!C49),XS_Analyzer!C49,NA())</f>
        <v>#N/A</v>
      </c>
      <c r="D49" s="88" t="str">
        <f>IF(ISNUMBER(XS_Analyzer!E49),XS_Analyzer!E49,"")</f>
        <v/>
      </c>
      <c r="E49" s="9" t="str">
        <f t="shared" si="28"/>
        <v/>
      </c>
      <c r="F49" s="88" t="e">
        <f>IF(AND(ISTEXT(XS_Analyzer!D49),XS_Analyzer!D49&lt;&gt;""),VLOOKUP(XS_Analyzer!D49,$K$12:$L$21,2,FALSE),"")</f>
        <v>#N/A</v>
      </c>
      <c r="G49" s="132" t="str">
        <f t="shared" si="29"/>
        <v/>
      </c>
      <c r="H49" s="132"/>
      <c r="Q49" s="5" t="str">
        <f t="shared" si="30"/>
        <v>N</v>
      </c>
      <c r="R49" s="5" t="str">
        <f t="shared" si="31"/>
        <v/>
      </c>
      <c r="S49" s="5" t="str">
        <f t="shared" si="32"/>
        <v/>
      </c>
      <c r="T49" s="5" t="str">
        <f t="shared" si="33"/>
        <v/>
      </c>
      <c r="U49" s="5" t="str">
        <f t="shared" si="34"/>
        <v/>
      </c>
      <c r="V49" s="62" t="str">
        <f t="shared" si="35"/>
        <v/>
      </c>
      <c r="W49" s="62" t="e">
        <f t="shared" si="48"/>
        <v>#N/A</v>
      </c>
      <c r="X49" s="9" t="e">
        <f t="shared" si="1"/>
        <v>#N/A</v>
      </c>
      <c r="Y49" s="64" t="str">
        <f t="shared" si="36"/>
        <v/>
      </c>
      <c r="Z49" s="174" t="str">
        <f t="shared" si="37"/>
        <v/>
      </c>
      <c r="AA49" s="64" t="str">
        <f>IF(ISNUMBER(Y49),INDEX(Y49:Y106,MATCH(TRUE,INDEX(Y49:Y106&lt;&gt;Y49,),0)),"")</f>
        <v/>
      </c>
      <c r="AB49" s="64" t="str">
        <f t="shared" si="39"/>
        <v/>
      </c>
      <c r="AC49" s="64" t="str">
        <f t="shared" si="40"/>
        <v/>
      </c>
      <c r="AD49" s="64" t="e">
        <f>IF(ISTEXT(AB49),INDEX(AB49:AB106,MATCH(TRUE,INDEX(AB49:AB106&lt;&gt;AB49,),0)),"")</f>
        <v>#N/A</v>
      </c>
      <c r="AE49" s="11" t="str">
        <f t="shared" si="42"/>
        <v/>
      </c>
      <c r="AF49" s="11" t="str">
        <f t="shared" si="2"/>
        <v/>
      </c>
      <c r="AG49" s="11" t="str">
        <f t="shared" si="3"/>
        <v/>
      </c>
      <c r="AH49" s="11" t="str">
        <f t="shared" si="43"/>
        <v/>
      </c>
      <c r="AI49" s="11" t="e">
        <f>IF(AND(ISNUMBER(AI48),ISNUMBER(S49)),(VLOOKUP(AD49,AB49:AC106,2,FALSE)),IF(ISNUMBER(S49),R49,NA()))</f>
        <v>#N/A</v>
      </c>
      <c r="AJ49" s="11" t="e">
        <f t="shared" si="4"/>
        <v>#N/A</v>
      </c>
      <c r="AK49" s="11" t="str">
        <f t="shared" si="5"/>
        <v/>
      </c>
      <c r="AL49" s="11" t="str">
        <f t="shared" si="6"/>
        <v/>
      </c>
      <c r="AS49" s="74">
        <f t="shared" si="7"/>
        <v>10</v>
      </c>
      <c r="AT49" s="74">
        <f t="shared" si="8"/>
        <v>5</v>
      </c>
      <c r="AU49" s="74">
        <f t="shared" si="9"/>
        <v>10</v>
      </c>
      <c r="AV49" s="74">
        <f t="shared" si="0"/>
        <v>5</v>
      </c>
      <c r="AW49" s="102"/>
      <c r="AY49" s="9">
        <f t="shared" si="10"/>
        <v>10</v>
      </c>
      <c r="AZ49" s="11">
        <f t="shared" si="11"/>
        <v>3</v>
      </c>
      <c r="BA49" s="75">
        <f t="shared" si="12"/>
        <v>10</v>
      </c>
      <c r="BB49" s="11">
        <f t="shared" si="13"/>
        <v>3</v>
      </c>
      <c r="BD49" s="11">
        <f t="shared" si="14"/>
        <v>2</v>
      </c>
      <c r="BE49" s="9">
        <f t="shared" si="15"/>
        <v>0</v>
      </c>
      <c r="BF49" s="71">
        <f t="shared" si="16"/>
        <v>0</v>
      </c>
      <c r="BG49" s="11" t="str">
        <f t="shared" si="17"/>
        <v>MAX WSE</v>
      </c>
      <c r="BH49" s="132">
        <f t="shared" si="45"/>
        <v>5</v>
      </c>
      <c r="BJ49" s="71">
        <f t="shared" si="18"/>
        <v>2</v>
      </c>
      <c r="BL49" s="9">
        <f t="shared" si="49"/>
        <v>0</v>
      </c>
      <c r="BM49" s="9"/>
      <c r="BN49" s="9">
        <f t="shared" si="20"/>
        <v>10</v>
      </c>
      <c r="BO49" s="9" t="str">
        <f>IF(BP49="Left",IF(ISNA(VLOOKUP(BN49,XS_AnalyzerSummary!$A$21:$B$25,2,TRUE)),"",VLOOKUP(BN49,XS_AnalyzerSummary!$A$21:$B$25,2,TRUE)),IF(ISNA(VLOOKUP(-BN49,XS_AnalyzerSummary!$A$28:$B$32,2,TRUE)),"",VLOOKUP(-BN49,XS_AnalyzerSummary!$A$28:$B$32,2,TRUE)))</f>
        <v>Right Bank</v>
      </c>
      <c r="BP49" s="9" t="str">
        <f>IF(AU49&lt;XS_AnalyzerSummary!$B$7,"Left",IF(AU49&gt;XS_AnalyzerSummary!$B$7,"Right","Thalweg"))</f>
        <v>Right</v>
      </c>
      <c r="BQ49" s="9">
        <f t="shared" si="21"/>
        <v>0</v>
      </c>
      <c r="BR49" s="9">
        <f t="shared" si="22"/>
        <v>0</v>
      </c>
      <c r="BS49" s="9">
        <f t="shared" si="23"/>
        <v>0</v>
      </c>
      <c r="BT49" s="9">
        <f t="shared" si="24"/>
        <v>0</v>
      </c>
      <c r="BU49" s="9">
        <f t="shared" si="25"/>
        <v>2</v>
      </c>
      <c r="BV49" s="9">
        <f t="shared" si="26"/>
        <v>0</v>
      </c>
      <c r="BX49" s="9">
        <f>IF(AND(ISNUMBER($BN49),$BO49="Left 2nd Stage",SUM($BX$5:BX48)=0),$BN49,0)</f>
        <v>0</v>
      </c>
      <c r="BY49" s="9">
        <f t="shared" si="46"/>
        <v>0</v>
      </c>
      <c r="BZ49" s="9">
        <f>IF(AND(ISNUMBER($BN49),$BO49="Right 2nd Stage",SUM($BZ$5:$BZ48)=0),$BN48,0)</f>
        <v>0</v>
      </c>
      <c r="CA49" s="9">
        <f t="shared" si="47"/>
        <v>0</v>
      </c>
    </row>
    <row r="50" spans="1:79">
      <c r="A50" s="9">
        <v>46</v>
      </c>
      <c r="B50" s="166" t="e">
        <f>IF(ISNUMBER(XS_Analyzer!B50),XS_Analyzer!B50,NA())</f>
        <v>#N/A</v>
      </c>
      <c r="C50" s="88" t="e">
        <f>IF(ISNUMBER(XS_Analyzer!C50),XS_Analyzer!C50,NA())</f>
        <v>#N/A</v>
      </c>
      <c r="D50" s="88" t="str">
        <f>IF(ISNUMBER(XS_Analyzer!E50),XS_Analyzer!E50,"")</f>
        <v/>
      </c>
      <c r="E50" s="9" t="str">
        <f t="shared" si="28"/>
        <v/>
      </c>
      <c r="F50" s="88" t="e">
        <f>IF(AND(ISTEXT(XS_Analyzer!D50),XS_Analyzer!D50&lt;&gt;""),VLOOKUP(XS_Analyzer!D50,$K$12:$L$21,2,FALSE),"")</f>
        <v>#N/A</v>
      </c>
      <c r="G50" s="132" t="str">
        <f t="shared" si="29"/>
        <v/>
      </c>
      <c r="H50" s="132"/>
      <c r="Q50" s="5" t="str">
        <f t="shared" si="30"/>
        <v>N</v>
      </c>
      <c r="R50" s="5" t="str">
        <f t="shared" si="31"/>
        <v/>
      </c>
      <c r="S50" s="5" t="str">
        <f t="shared" si="32"/>
        <v/>
      </c>
      <c r="T50" s="5" t="str">
        <f t="shared" si="33"/>
        <v/>
      </c>
      <c r="U50" s="5" t="str">
        <f t="shared" si="34"/>
        <v/>
      </c>
      <c r="V50" s="62" t="str">
        <f t="shared" si="35"/>
        <v/>
      </c>
      <c r="W50" s="62" t="e">
        <f t="shared" si="48"/>
        <v>#N/A</v>
      </c>
      <c r="X50" s="9" t="e">
        <f t="shared" si="1"/>
        <v>#N/A</v>
      </c>
      <c r="Y50" s="64" t="str">
        <f t="shared" si="36"/>
        <v/>
      </c>
      <c r="Z50" s="174" t="str">
        <f t="shared" si="37"/>
        <v/>
      </c>
      <c r="AA50" s="64" t="str">
        <f>IF(ISNUMBER(Y50),INDEX(Y50:Y106,MATCH(TRUE,INDEX(Y50:Y106&lt;&gt;Y50,),0)),"")</f>
        <v/>
      </c>
      <c r="AB50" s="64" t="str">
        <f t="shared" si="39"/>
        <v/>
      </c>
      <c r="AC50" s="64" t="str">
        <f t="shared" si="40"/>
        <v/>
      </c>
      <c r="AD50" s="64" t="e">
        <f>IF(ISTEXT(AB50),INDEX(AB50:AB106,MATCH(TRUE,INDEX(AB50:AB106&lt;&gt;AB50,),0)),"")</f>
        <v>#N/A</v>
      </c>
      <c r="AE50" s="11" t="str">
        <f t="shared" si="42"/>
        <v/>
      </c>
      <c r="AF50" s="11" t="str">
        <f t="shared" si="2"/>
        <v/>
      </c>
      <c r="AG50" s="11" t="str">
        <f t="shared" si="3"/>
        <v/>
      </c>
      <c r="AH50" s="11" t="str">
        <f t="shared" si="43"/>
        <v/>
      </c>
      <c r="AI50" s="11" t="e">
        <f>IF(AND(ISNUMBER(AI49),ISNUMBER(S50)),(VLOOKUP(AD50,AB50:AC106,2,FALSE)),IF(ISNUMBER(S50),R50,NA()))</f>
        <v>#N/A</v>
      </c>
      <c r="AJ50" s="11" t="e">
        <f t="shared" si="4"/>
        <v>#N/A</v>
      </c>
      <c r="AK50" s="11" t="str">
        <f t="shared" si="5"/>
        <v/>
      </c>
      <c r="AL50" s="11" t="str">
        <f t="shared" si="6"/>
        <v/>
      </c>
      <c r="AS50" s="74">
        <f t="shared" si="7"/>
        <v>10</v>
      </c>
      <c r="AT50" s="74">
        <f t="shared" si="8"/>
        <v>5</v>
      </c>
      <c r="AU50" s="74">
        <f t="shared" si="9"/>
        <v>10</v>
      </c>
      <c r="AV50" s="74">
        <f t="shared" si="0"/>
        <v>5</v>
      </c>
      <c r="AW50" s="102"/>
      <c r="AY50" s="9">
        <f t="shared" si="10"/>
        <v>10</v>
      </c>
      <c r="AZ50" s="11">
        <f t="shared" si="11"/>
        <v>3</v>
      </c>
      <c r="BA50" s="75">
        <f t="shared" si="12"/>
        <v>10</v>
      </c>
      <c r="BB50" s="11">
        <f t="shared" si="13"/>
        <v>3</v>
      </c>
      <c r="BD50" s="11">
        <f t="shared" si="14"/>
        <v>2</v>
      </c>
      <c r="BE50" s="9">
        <f t="shared" si="15"/>
        <v>0</v>
      </c>
      <c r="BF50" s="71">
        <f t="shared" si="16"/>
        <v>0</v>
      </c>
      <c r="BG50" s="11" t="str">
        <f t="shared" si="17"/>
        <v>MAX WSE</v>
      </c>
      <c r="BH50" s="132">
        <f t="shared" si="45"/>
        <v>5</v>
      </c>
      <c r="BJ50" s="71">
        <f t="shared" si="18"/>
        <v>2</v>
      </c>
      <c r="BL50" s="9">
        <f t="shared" si="49"/>
        <v>0</v>
      </c>
      <c r="BM50" s="9"/>
      <c r="BN50" s="9">
        <f t="shared" si="20"/>
        <v>10</v>
      </c>
      <c r="BO50" s="9" t="str">
        <f>IF(BP50="Left",IF(ISNA(VLOOKUP(BN50,XS_AnalyzerSummary!$A$21:$B$25,2,TRUE)),"",VLOOKUP(BN50,XS_AnalyzerSummary!$A$21:$B$25,2,TRUE)),IF(ISNA(VLOOKUP(-BN50,XS_AnalyzerSummary!$A$28:$B$32,2,TRUE)),"",VLOOKUP(-BN50,XS_AnalyzerSummary!$A$28:$B$32,2,TRUE)))</f>
        <v>Right Bank</v>
      </c>
      <c r="BP50" s="9" t="str">
        <f>IF(AU50&lt;XS_AnalyzerSummary!$B$7,"Left",IF(AU50&gt;XS_AnalyzerSummary!$B$7,"Right","Thalweg"))</f>
        <v>Right</v>
      </c>
      <c r="BQ50" s="9">
        <f t="shared" si="21"/>
        <v>0</v>
      </c>
      <c r="BR50" s="9">
        <f t="shared" si="22"/>
        <v>0</v>
      </c>
      <c r="BS50" s="9">
        <f t="shared" si="23"/>
        <v>0</v>
      </c>
      <c r="BT50" s="9">
        <f t="shared" si="24"/>
        <v>0</v>
      </c>
      <c r="BU50" s="9">
        <f t="shared" si="25"/>
        <v>2</v>
      </c>
      <c r="BV50" s="9">
        <f t="shared" si="26"/>
        <v>0</v>
      </c>
      <c r="BX50" s="9">
        <f>IF(AND(ISNUMBER($BN50),$BO50="Left 2nd Stage",SUM($BX$5:BX49)=0),$BN50,0)</f>
        <v>0</v>
      </c>
      <c r="BY50" s="9">
        <f t="shared" si="46"/>
        <v>0</v>
      </c>
      <c r="BZ50" s="9">
        <f>IF(AND(ISNUMBER($BN50),$BO50="Right 2nd Stage",SUM($BZ$5:$BZ49)=0),$BN49,0)</f>
        <v>0</v>
      </c>
      <c r="CA50" s="9">
        <f t="shared" si="47"/>
        <v>0</v>
      </c>
    </row>
    <row r="51" spans="1:79">
      <c r="A51" s="9">
        <v>47</v>
      </c>
      <c r="B51" s="166" t="e">
        <f>IF(ISNUMBER(XS_Analyzer!B51),XS_Analyzer!B51,NA())</f>
        <v>#N/A</v>
      </c>
      <c r="C51" s="88" t="e">
        <f>IF(ISNUMBER(XS_Analyzer!C51),XS_Analyzer!C51,NA())</f>
        <v>#N/A</v>
      </c>
      <c r="D51" s="88" t="str">
        <f>IF(ISNUMBER(XS_Analyzer!E51),XS_Analyzer!E51,"")</f>
        <v/>
      </c>
      <c r="E51" s="9" t="str">
        <f t="shared" si="28"/>
        <v/>
      </c>
      <c r="F51" s="88" t="e">
        <f>IF(AND(ISTEXT(XS_Analyzer!D51),XS_Analyzer!D51&lt;&gt;""),VLOOKUP(XS_Analyzer!D51,$K$12:$L$21,2,FALSE),"")</f>
        <v>#N/A</v>
      </c>
      <c r="G51" s="132" t="str">
        <f t="shared" si="29"/>
        <v/>
      </c>
      <c r="H51" s="132"/>
      <c r="Q51" s="5" t="str">
        <f t="shared" si="30"/>
        <v>N</v>
      </c>
      <c r="R51" s="5" t="str">
        <f t="shared" si="31"/>
        <v/>
      </c>
      <c r="S51" s="5" t="str">
        <f t="shared" si="32"/>
        <v/>
      </c>
      <c r="T51" s="5" t="str">
        <f t="shared" si="33"/>
        <v/>
      </c>
      <c r="U51" s="5" t="str">
        <f t="shared" si="34"/>
        <v/>
      </c>
      <c r="V51" s="62" t="str">
        <f t="shared" si="35"/>
        <v/>
      </c>
      <c r="W51" s="62" t="e">
        <f t="shared" si="48"/>
        <v>#N/A</v>
      </c>
      <c r="X51" s="9" t="e">
        <f t="shared" si="1"/>
        <v>#N/A</v>
      </c>
      <c r="Y51" s="64" t="str">
        <f t="shared" si="36"/>
        <v/>
      </c>
      <c r="Z51" s="174" t="str">
        <f t="shared" si="37"/>
        <v/>
      </c>
      <c r="AA51" s="64" t="str">
        <f>IF(ISNUMBER(Y51),INDEX(Y51:Y106,MATCH(TRUE,INDEX(Y51:Y106&lt;&gt;Y51,),0)),"")</f>
        <v/>
      </c>
      <c r="AB51" s="64" t="str">
        <f t="shared" si="39"/>
        <v/>
      </c>
      <c r="AC51" s="64" t="str">
        <f t="shared" si="40"/>
        <v/>
      </c>
      <c r="AD51" s="64" t="e">
        <f>IF(ISTEXT(AB51),INDEX(AB51:AB106,MATCH(TRUE,INDEX(AB51:AB106&lt;&gt;AB51,),0)),"")</f>
        <v>#N/A</v>
      </c>
      <c r="AE51" s="11" t="str">
        <f t="shared" si="42"/>
        <v/>
      </c>
      <c r="AF51" s="11" t="str">
        <f t="shared" si="2"/>
        <v/>
      </c>
      <c r="AG51" s="11" t="str">
        <f t="shared" si="3"/>
        <v/>
      </c>
      <c r="AH51" s="11" t="str">
        <f t="shared" si="43"/>
        <v/>
      </c>
      <c r="AI51" s="11" t="e">
        <f>IF(AND(ISNUMBER(AI50),ISNUMBER(S51)),(VLOOKUP(AD51,AB51:AC106,2,FALSE)),IF(ISNUMBER(S51),R51,NA()))</f>
        <v>#N/A</v>
      </c>
      <c r="AJ51" s="11" t="e">
        <f t="shared" si="4"/>
        <v>#N/A</v>
      </c>
      <c r="AK51" s="11" t="str">
        <f t="shared" si="5"/>
        <v/>
      </c>
      <c r="AL51" s="11" t="str">
        <f t="shared" si="6"/>
        <v/>
      </c>
      <c r="AS51" s="74">
        <f t="shared" si="7"/>
        <v>10</v>
      </c>
      <c r="AT51" s="74">
        <f t="shared" si="8"/>
        <v>5</v>
      </c>
      <c r="AU51" s="74">
        <f t="shared" si="9"/>
        <v>10</v>
      </c>
      <c r="AV51" s="74">
        <f t="shared" si="0"/>
        <v>5</v>
      </c>
      <c r="AW51" s="102"/>
      <c r="AY51" s="9">
        <f t="shared" si="10"/>
        <v>10</v>
      </c>
      <c r="AZ51" s="11">
        <f t="shared" si="11"/>
        <v>3</v>
      </c>
      <c r="BA51" s="75">
        <f t="shared" si="12"/>
        <v>10</v>
      </c>
      <c r="BB51" s="11">
        <f t="shared" si="13"/>
        <v>3</v>
      </c>
      <c r="BD51" s="11">
        <f t="shared" si="14"/>
        <v>2</v>
      </c>
      <c r="BE51" s="9">
        <f t="shared" si="15"/>
        <v>0</v>
      </c>
      <c r="BF51" s="71">
        <f t="shared" si="16"/>
        <v>0</v>
      </c>
      <c r="BG51" s="11" t="str">
        <f t="shared" si="17"/>
        <v>MAX WSE</v>
      </c>
      <c r="BH51" s="132">
        <f t="shared" si="45"/>
        <v>5</v>
      </c>
      <c r="BJ51" s="71">
        <f t="shared" si="18"/>
        <v>2</v>
      </c>
      <c r="BL51" s="9">
        <f t="shared" si="49"/>
        <v>0</v>
      </c>
      <c r="BM51" s="9"/>
      <c r="BN51" s="9">
        <f t="shared" si="20"/>
        <v>10</v>
      </c>
      <c r="BO51" s="9" t="str">
        <f>IF(BP51="Left",IF(ISNA(VLOOKUP(BN51,XS_AnalyzerSummary!$A$21:$B$25,2,TRUE)),"",VLOOKUP(BN51,XS_AnalyzerSummary!$A$21:$B$25,2,TRUE)),IF(ISNA(VLOOKUP(-BN51,XS_AnalyzerSummary!$A$28:$B$32,2,TRUE)),"",VLOOKUP(-BN51,XS_AnalyzerSummary!$A$28:$B$32,2,TRUE)))</f>
        <v>Right Bank</v>
      </c>
      <c r="BP51" s="9" t="str">
        <f>IF(AU51&lt;XS_AnalyzerSummary!$B$7,"Left",IF(AU51&gt;XS_AnalyzerSummary!$B$7,"Right","Thalweg"))</f>
        <v>Right</v>
      </c>
      <c r="BQ51" s="9">
        <f t="shared" si="21"/>
        <v>0</v>
      </c>
      <c r="BR51" s="9">
        <f t="shared" si="22"/>
        <v>0</v>
      </c>
      <c r="BS51" s="9">
        <f t="shared" si="23"/>
        <v>0</v>
      </c>
      <c r="BT51" s="9">
        <f t="shared" si="24"/>
        <v>0</v>
      </c>
      <c r="BU51" s="9">
        <f t="shared" si="25"/>
        <v>2</v>
      </c>
      <c r="BV51" s="9">
        <f t="shared" si="26"/>
        <v>0</v>
      </c>
      <c r="BX51" s="9">
        <f>IF(AND(ISNUMBER($BN51),$BO51="Left 2nd Stage",SUM($BX$5:BX50)=0),$BN51,0)</f>
        <v>0</v>
      </c>
      <c r="BY51" s="9">
        <f t="shared" si="46"/>
        <v>0</v>
      </c>
      <c r="BZ51" s="9">
        <f>IF(AND(ISNUMBER($BN51),$BO51="Right 2nd Stage",SUM($BZ$5:$BZ50)=0),$BN50,0)</f>
        <v>0</v>
      </c>
      <c r="CA51" s="9">
        <f t="shared" si="47"/>
        <v>0</v>
      </c>
    </row>
    <row r="52" spans="1:79">
      <c r="A52" s="9">
        <v>48</v>
      </c>
      <c r="B52" s="166" t="e">
        <f>IF(ISNUMBER(XS_Analyzer!B52),XS_Analyzer!B52,NA())</f>
        <v>#N/A</v>
      </c>
      <c r="C52" s="88" t="e">
        <f>IF(ISNUMBER(XS_Analyzer!C52),XS_Analyzer!C52,NA())</f>
        <v>#N/A</v>
      </c>
      <c r="D52" s="88" t="str">
        <f>IF(ISNUMBER(XS_Analyzer!E52),XS_Analyzer!E52,"")</f>
        <v/>
      </c>
      <c r="E52" s="9" t="str">
        <f t="shared" si="28"/>
        <v/>
      </c>
      <c r="F52" s="88" t="e">
        <f>IF(AND(ISTEXT(XS_Analyzer!D52),XS_Analyzer!D52&lt;&gt;""),VLOOKUP(XS_Analyzer!D52,$K$12:$L$21,2,FALSE),"")</f>
        <v>#N/A</v>
      </c>
      <c r="G52" s="132" t="str">
        <f t="shared" si="29"/>
        <v/>
      </c>
      <c r="H52" s="132"/>
      <c r="Q52" s="5" t="str">
        <f t="shared" si="30"/>
        <v>N</v>
      </c>
      <c r="R52" s="5" t="str">
        <f t="shared" si="31"/>
        <v/>
      </c>
      <c r="S52" s="5" t="str">
        <f t="shared" si="32"/>
        <v/>
      </c>
      <c r="T52" s="5" t="str">
        <f t="shared" si="33"/>
        <v/>
      </c>
      <c r="U52" s="5" t="str">
        <f t="shared" si="34"/>
        <v/>
      </c>
      <c r="V52" s="62" t="str">
        <f t="shared" si="35"/>
        <v/>
      </c>
      <c r="W52" s="62" t="e">
        <f t="shared" si="48"/>
        <v>#N/A</v>
      </c>
      <c r="X52" s="9" t="e">
        <f t="shared" si="1"/>
        <v>#N/A</v>
      </c>
      <c r="Y52" s="64" t="str">
        <f t="shared" si="36"/>
        <v/>
      </c>
      <c r="Z52" s="174" t="str">
        <f t="shared" si="37"/>
        <v/>
      </c>
      <c r="AA52" s="64" t="str">
        <f>IF(ISNUMBER(Y52),INDEX(Y52:Y106,MATCH(TRUE,INDEX(Y52:Y106&lt;&gt;Y52,),0)),"")</f>
        <v/>
      </c>
      <c r="AB52" s="64" t="str">
        <f t="shared" si="39"/>
        <v/>
      </c>
      <c r="AC52" s="64" t="str">
        <f t="shared" si="40"/>
        <v/>
      </c>
      <c r="AD52" s="64" t="e">
        <f>IF(ISTEXT(AB52),INDEX(AB52:AB106,MATCH(TRUE,INDEX(AB52:AB106&lt;&gt;AB52,),0)),"")</f>
        <v>#N/A</v>
      </c>
      <c r="AE52" s="11" t="str">
        <f t="shared" si="42"/>
        <v/>
      </c>
      <c r="AF52" s="11" t="str">
        <f t="shared" si="2"/>
        <v/>
      </c>
      <c r="AG52" s="11" t="str">
        <f t="shared" si="3"/>
        <v/>
      </c>
      <c r="AH52" s="11" t="str">
        <f t="shared" si="43"/>
        <v/>
      </c>
      <c r="AI52" s="11" t="e">
        <f>IF(AND(ISNUMBER(AI51),ISNUMBER(S52)),(VLOOKUP(AD52,AB52:AC106,2,FALSE)),IF(ISNUMBER(S52),R52,NA()))</f>
        <v>#N/A</v>
      </c>
      <c r="AJ52" s="11" t="e">
        <f t="shared" si="4"/>
        <v>#N/A</v>
      </c>
      <c r="AK52" s="11" t="str">
        <f t="shared" si="5"/>
        <v/>
      </c>
      <c r="AL52" s="11" t="str">
        <f t="shared" si="6"/>
        <v/>
      </c>
      <c r="AS52" s="74">
        <f t="shared" si="7"/>
        <v>10</v>
      </c>
      <c r="AT52" s="74">
        <f t="shared" si="8"/>
        <v>5</v>
      </c>
      <c r="AU52" s="74">
        <f t="shared" si="9"/>
        <v>10</v>
      </c>
      <c r="AV52" s="74">
        <f t="shared" si="0"/>
        <v>5</v>
      </c>
      <c r="AW52" s="102"/>
      <c r="AY52" s="9">
        <f t="shared" si="10"/>
        <v>10</v>
      </c>
      <c r="AZ52" s="11">
        <f t="shared" si="11"/>
        <v>3</v>
      </c>
      <c r="BA52" s="75">
        <f t="shared" si="12"/>
        <v>10</v>
      </c>
      <c r="BB52" s="11">
        <f t="shared" si="13"/>
        <v>3</v>
      </c>
      <c r="BD52" s="11">
        <f t="shared" si="14"/>
        <v>2</v>
      </c>
      <c r="BE52" s="9">
        <f t="shared" si="15"/>
        <v>0</v>
      </c>
      <c r="BF52" s="71">
        <f t="shared" si="16"/>
        <v>0</v>
      </c>
      <c r="BG52" s="11" t="str">
        <f t="shared" si="17"/>
        <v>MAX WSE</v>
      </c>
      <c r="BH52" s="132">
        <f t="shared" si="45"/>
        <v>5</v>
      </c>
      <c r="BJ52" s="71">
        <f t="shared" si="18"/>
        <v>2</v>
      </c>
      <c r="BL52" s="9">
        <f t="shared" si="49"/>
        <v>0</v>
      </c>
      <c r="BM52" s="9"/>
      <c r="BN52" s="9">
        <f t="shared" si="20"/>
        <v>10</v>
      </c>
      <c r="BO52" s="9" t="str">
        <f>IF(BP52="Left",IF(ISNA(VLOOKUP(BN52,XS_AnalyzerSummary!$A$21:$B$25,2,TRUE)),"",VLOOKUP(BN52,XS_AnalyzerSummary!$A$21:$B$25,2,TRUE)),IF(ISNA(VLOOKUP(-BN52,XS_AnalyzerSummary!$A$28:$B$32,2,TRUE)),"",VLOOKUP(-BN52,XS_AnalyzerSummary!$A$28:$B$32,2,TRUE)))</f>
        <v>Right Bank</v>
      </c>
      <c r="BP52" s="9" t="str">
        <f>IF(AU52&lt;XS_AnalyzerSummary!$B$7,"Left",IF(AU52&gt;XS_AnalyzerSummary!$B$7,"Right","Thalweg"))</f>
        <v>Right</v>
      </c>
      <c r="BQ52" s="9">
        <f t="shared" si="21"/>
        <v>0</v>
      </c>
      <c r="BR52" s="9">
        <f t="shared" si="22"/>
        <v>0</v>
      </c>
      <c r="BS52" s="9">
        <f t="shared" si="23"/>
        <v>0</v>
      </c>
      <c r="BT52" s="9">
        <f t="shared" si="24"/>
        <v>0</v>
      </c>
      <c r="BU52" s="9">
        <f t="shared" si="25"/>
        <v>2</v>
      </c>
      <c r="BV52" s="9">
        <f t="shared" si="26"/>
        <v>0</v>
      </c>
      <c r="BX52" s="9">
        <f>IF(AND(ISNUMBER($BN52),$BO52="Left 2nd Stage",SUM($BX$5:BX51)=0),$BN52,0)</f>
        <v>0</v>
      </c>
      <c r="BY52" s="9">
        <f t="shared" si="46"/>
        <v>0</v>
      </c>
      <c r="BZ52" s="9">
        <f>IF(AND(ISNUMBER($BN52),$BO52="Right 2nd Stage",SUM($BZ$5:$BZ51)=0),$BN51,0)</f>
        <v>0</v>
      </c>
      <c r="CA52" s="9">
        <f t="shared" si="47"/>
        <v>0</v>
      </c>
    </row>
    <row r="53" spans="1:79">
      <c r="A53" s="9">
        <v>49</v>
      </c>
      <c r="B53" s="166" t="e">
        <f>IF(ISNUMBER(XS_Analyzer!B53),XS_Analyzer!B53,NA())</f>
        <v>#N/A</v>
      </c>
      <c r="C53" s="88" t="e">
        <f>IF(ISNUMBER(XS_Analyzer!C53),XS_Analyzer!C53,NA())</f>
        <v>#N/A</v>
      </c>
      <c r="D53" s="88" t="str">
        <f>IF(ISNUMBER(XS_Analyzer!E53),XS_Analyzer!E53,"")</f>
        <v/>
      </c>
      <c r="E53" s="9" t="str">
        <f t="shared" si="28"/>
        <v/>
      </c>
      <c r="F53" s="88" t="e">
        <f>IF(AND(ISTEXT(XS_Analyzer!D53),XS_Analyzer!D53&lt;&gt;""),VLOOKUP(XS_Analyzer!D53,$K$12:$L$21,2,FALSE),"")</f>
        <v>#N/A</v>
      </c>
      <c r="G53" s="132" t="str">
        <f t="shared" si="29"/>
        <v/>
      </c>
      <c r="H53" s="132"/>
      <c r="Q53" s="5" t="str">
        <f t="shared" si="30"/>
        <v>N</v>
      </c>
      <c r="R53" s="5" t="str">
        <f t="shared" si="31"/>
        <v/>
      </c>
      <c r="S53" s="5" t="str">
        <f t="shared" si="32"/>
        <v/>
      </c>
      <c r="T53" s="5" t="str">
        <f t="shared" si="33"/>
        <v/>
      </c>
      <c r="U53" s="5" t="str">
        <f t="shared" si="34"/>
        <v/>
      </c>
      <c r="V53" s="62" t="str">
        <f t="shared" si="35"/>
        <v/>
      </c>
      <c r="W53" s="62" t="e">
        <f t="shared" si="48"/>
        <v>#N/A</v>
      </c>
      <c r="X53" s="9" t="e">
        <f t="shared" si="1"/>
        <v>#N/A</v>
      </c>
      <c r="Y53" s="64" t="str">
        <f t="shared" si="36"/>
        <v/>
      </c>
      <c r="Z53" s="174" t="str">
        <f t="shared" si="37"/>
        <v/>
      </c>
      <c r="AA53" s="64" t="str">
        <f>IF(ISNUMBER(Y53),INDEX(Y53:Y106,MATCH(TRUE,INDEX(Y53:Y106&lt;&gt;Y53,),0)),"")</f>
        <v/>
      </c>
      <c r="AB53" s="64" t="str">
        <f t="shared" si="39"/>
        <v/>
      </c>
      <c r="AC53" s="64" t="str">
        <f t="shared" si="40"/>
        <v/>
      </c>
      <c r="AD53" s="64" t="e">
        <f>IF(ISTEXT(AB53),INDEX(AB53:AB106,MATCH(TRUE,INDEX(AB53:AB106&lt;&gt;AB53,),0)),"")</f>
        <v>#N/A</v>
      </c>
      <c r="AE53" s="11" t="str">
        <f t="shared" si="42"/>
        <v/>
      </c>
      <c r="AF53" s="11" t="str">
        <f t="shared" si="2"/>
        <v/>
      </c>
      <c r="AG53" s="11" t="str">
        <f t="shared" si="3"/>
        <v/>
      </c>
      <c r="AH53" s="11" t="str">
        <f t="shared" si="43"/>
        <v/>
      </c>
      <c r="AI53" s="11" t="e">
        <f>IF(AND(ISNUMBER(AI52),ISNUMBER(S53)),(VLOOKUP(AD53,AB53:AC106,2,FALSE)),IF(ISNUMBER(S53),R53,NA()))</f>
        <v>#N/A</v>
      </c>
      <c r="AJ53" s="11" t="e">
        <f t="shared" si="4"/>
        <v>#N/A</v>
      </c>
      <c r="AK53" s="11" t="str">
        <f t="shared" si="5"/>
        <v/>
      </c>
      <c r="AL53" s="11" t="str">
        <f t="shared" si="6"/>
        <v/>
      </c>
      <c r="AS53" s="74">
        <f t="shared" si="7"/>
        <v>10</v>
      </c>
      <c r="AT53" s="74">
        <f t="shared" si="8"/>
        <v>5</v>
      </c>
      <c r="AU53" s="74">
        <f t="shared" si="9"/>
        <v>10</v>
      </c>
      <c r="AV53" s="74">
        <f t="shared" si="0"/>
        <v>5</v>
      </c>
      <c r="AW53" s="102"/>
      <c r="AY53" s="9">
        <f t="shared" si="10"/>
        <v>10</v>
      </c>
      <c r="AZ53" s="11">
        <f t="shared" si="11"/>
        <v>3</v>
      </c>
      <c r="BA53" s="75">
        <f t="shared" si="12"/>
        <v>10</v>
      </c>
      <c r="BB53" s="11">
        <f t="shared" si="13"/>
        <v>3</v>
      </c>
      <c r="BD53" s="11">
        <f t="shared" si="14"/>
        <v>2</v>
      </c>
      <c r="BE53" s="9">
        <f t="shared" si="15"/>
        <v>0</v>
      </c>
      <c r="BF53" s="71">
        <f t="shared" si="16"/>
        <v>0</v>
      </c>
      <c r="BG53" s="11" t="str">
        <f t="shared" si="17"/>
        <v>MAX WSE</v>
      </c>
      <c r="BH53" s="132">
        <f t="shared" si="45"/>
        <v>5</v>
      </c>
      <c r="BJ53" s="71">
        <f t="shared" si="18"/>
        <v>2</v>
      </c>
      <c r="BL53" s="9">
        <f t="shared" si="49"/>
        <v>0</v>
      </c>
      <c r="BM53" s="9"/>
      <c r="BN53" s="9">
        <f t="shared" si="20"/>
        <v>10</v>
      </c>
      <c r="BO53" s="9" t="str">
        <f>IF(BP53="Left",IF(ISNA(VLOOKUP(BN53,XS_AnalyzerSummary!$A$21:$B$25,2,TRUE)),"",VLOOKUP(BN53,XS_AnalyzerSummary!$A$21:$B$25,2,TRUE)),IF(ISNA(VLOOKUP(-BN53,XS_AnalyzerSummary!$A$28:$B$32,2,TRUE)),"",VLOOKUP(-BN53,XS_AnalyzerSummary!$A$28:$B$32,2,TRUE)))</f>
        <v>Right Bank</v>
      </c>
      <c r="BP53" s="9" t="str">
        <f>IF(AU53&lt;XS_AnalyzerSummary!$B$7,"Left",IF(AU53&gt;XS_AnalyzerSummary!$B$7,"Right","Thalweg"))</f>
        <v>Right</v>
      </c>
      <c r="BQ53" s="9">
        <f t="shared" si="21"/>
        <v>0</v>
      </c>
      <c r="BR53" s="9">
        <f t="shared" si="22"/>
        <v>0</v>
      </c>
      <c r="BS53" s="9">
        <f t="shared" si="23"/>
        <v>0</v>
      </c>
      <c r="BT53" s="9">
        <f t="shared" si="24"/>
        <v>0</v>
      </c>
      <c r="BU53" s="9">
        <f t="shared" si="25"/>
        <v>2</v>
      </c>
      <c r="BV53" s="9">
        <f t="shared" si="26"/>
        <v>0</v>
      </c>
      <c r="BX53" s="9">
        <f>IF(AND(ISNUMBER($BN53),$BO53="Left 2nd Stage",SUM($BX$5:BX52)=0),$BN53,0)</f>
        <v>0</v>
      </c>
      <c r="BY53" s="9">
        <f t="shared" si="46"/>
        <v>0</v>
      </c>
      <c r="BZ53" s="9">
        <f>IF(AND(ISNUMBER($BN53),$BO53="Right 2nd Stage",SUM($BZ$5:$BZ52)=0),$BN52,0)</f>
        <v>0</v>
      </c>
      <c r="CA53" s="9">
        <f t="shared" si="47"/>
        <v>0</v>
      </c>
    </row>
    <row r="54" spans="1:79">
      <c r="A54" s="9">
        <v>50</v>
      </c>
      <c r="B54" s="166" t="e">
        <f>IF(ISNUMBER(XS_Analyzer!B54),XS_Analyzer!B54,NA())</f>
        <v>#N/A</v>
      </c>
      <c r="C54" s="88" t="e">
        <f>IF(ISNUMBER(XS_Analyzer!C54),XS_Analyzer!C54,NA())</f>
        <v>#N/A</v>
      </c>
      <c r="D54" s="88" t="str">
        <f>IF(ISNUMBER(XS_Analyzer!E54),XS_Analyzer!E54,"")</f>
        <v/>
      </c>
      <c r="E54" s="9" t="str">
        <f t="shared" si="28"/>
        <v/>
      </c>
      <c r="F54" s="88" t="e">
        <f>IF(AND(ISTEXT(XS_Analyzer!D54),XS_Analyzer!D54&lt;&gt;""),VLOOKUP(XS_Analyzer!D54,$K$12:$L$21,2,FALSE),"")</f>
        <v>#N/A</v>
      </c>
      <c r="G54" s="132" t="str">
        <f t="shared" si="29"/>
        <v/>
      </c>
      <c r="H54" s="132"/>
      <c r="Q54" s="5" t="str">
        <f t="shared" si="30"/>
        <v>N</v>
      </c>
      <c r="R54" s="5" t="str">
        <f t="shared" si="31"/>
        <v/>
      </c>
      <c r="S54" s="5" t="str">
        <f t="shared" si="32"/>
        <v/>
      </c>
      <c r="T54" s="5" t="str">
        <f t="shared" si="33"/>
        <v/>
      </c>
      <c r="U54" s="5" t="str">
        <f t="shared" si="34"/>
        <v/>
      </c>
      <c r="V54" s="62" t="str">
        <f t="shared" si="35"/>
        <v/>
      </c>
      <c r="W54" s="62" t="e">
        <f t="shared" si="48"/>
        <v>#N/A</v>
      </c>
      <c r="X54" s="9" t="e">
        <f t="shared" si="1"/>
        <v>#N/A</v>
      </c>
      <c r="Y54" s="64" t="str">
        <f t="shared" si="36"/>
        <v/>
      </c>
      <c r="Z54" s="174" t="str">
        <f t="shared" si="37"/>
        <v/>
      </c>
      <c r="AA54" s="64" t="str">
        <f>IF(ISNUMBER(Y54),INDEX(Y54:Y106,MATCH(TRUE,INDEX(Y54:Y106&lt;&gt;Y54,),0)),"")</f>
        <v/>
      </c>
      <c r="AB54" s="64" t="str">
        <f t="shared" si="39"/>
        <v/>
      </c>
      <c r="AC54" s="64" t="str">
        <f t="shared" si="40"/>
        <v/>
      </c>
      <c r="AD54" s="64" t="e">
        <f>IF(ISTEXT(AB54),INDEX(AB54:AB106,MATCH(TRUE,INDEX(AB54:AB106&lt;&gt;AB54,),0)),"")</f>
        <v>#N/A</v>
      </c>
      <c r="AE54" s="11" t="str">
        <f t="shared" si="42"/>
        <v/>
      </c>
      <c r="AF54" s="11" t="str">
        <f t="shared" si="2"/>
        <v/>
      </c>
      <c r="AG54" s="11" t="str">
        <f t="shared" si="3"/>
        <v/>
      </c>
      <c r="AH54" s="11" t="str">
        <f t="shared" si="43"/>
        <v/>
      </c>
      <c r="AI54" s="11" t="e">
        <f>IF(AND(ISNUMBER(AI53),ISNUMBER(S54)),(VLOOKUP(AD54,AB54:AC106,2,FALSE)),IF(ISNUMBER(S54),R54,NA()))</f>
        <v>#N/A</v>
      </c>
      <c r="AJ54" s="11" t="e">
        <f t="shared" si="4"/>
        <v>#N/A</v>
      </c>
      <c r="AK54" s="11" t="str">
        <f t="shared" si="5"/>
        <v/>
      </c>
      <c r="AL54" s="11" t="str">
        <f t="shared" si="6"/>
        <v/>
      </c>
      <c r="AM54" s="10"/>
      <c r="AN54" s="10"/>
      <c r="AO54" s="10"/>
      <c r="AS54" s="74">
        <f t="shared" si="7"/>
        <v>10</v>
      </c>
      <c r="AT54" s="74">
        <f t="shared" si="8"/>
        <v>5</v>
      </c>
      <c r="AU54" s="74">
        <f t="shared" si="9"/>
        <v>10</v>
      </c>
      <c r="AV54" s="74">
        <f t="shared" si="0"/>
        <v>5</v>
      </c>
      <c r="AW54" s="102"/>
      <c r="AY54" s="9">
        <f t="shared" si="10"/>
        <v>10</v>
      </c>
      <c r="AZ54" s="11">
        <f t="shared" si="11"/>
        <v>3</v>
      </c>
      <c r="BA54" s="75">
        <f t="shared" si="12"/>
        <v>10</v>
      </c>
      <c r="BB54" s="11">
        <f t="shared" si="13"/>
        <v>3</v>
      </c>
      <c r="BD54" s="11">
        <f t="shared" si="14"/>
        <v>2</v>
      </c>
      <c r="BE54" s="9">
        <f t="shared" si="15"/>
        <v>0</v>
      </c>
      <c r="BF54" s="71">
        <f t="shared" si="16"/>
        <v>0</v>
      </c>
      <c r="BG54" s="11" t="str">
        <f t="shared" si="17"/>
        <v>MAX WSE</v>
      </c>
      <c r="BH54" s="132">
        <f t="shared" si="45"/>
        <v>5</v>
      </c>
      <c r="BJ54" s="71">
        <f t="shared" si="18"/>
        <v>2</v>
      </c>
      <c r="BL54" s="9">
        <f t="shared" si="49"/>
        <v>0</v>
      </c>
      <c r="BM54" s="9"/>
      <c r="BN54" s="9">
        <f t="shared" si="20"/>
        <v>10</v>
      </c>
      <c r="BO54" s="9" t="str">
        <f>IF(BP54="Left",IF(ISNA(VLOOKUP(BN54,XS_AnalyzerSummary!$A$21:$B$25,2,TRUE)),"",VLOOKUP(BN54,XS_AnalyzerSummary!$A$21:$B$25,2,TRUE)),IF(ISNA(VLOOKUP(-BN54,XS_AnalyzerSummary!$A$28:$B$32,2,TRUE)),"",VLOOKUP(-BN54,XS_AnalyzerSummary!$A$28:$B$32,2,TRUE)))</f>
        <v>Right Bank</v>
      </c>
      <c r="BP54" s="9" t="str">
        <f>IF(AU54&lt;XS_AnalyzerSummary!$B$7,"Left",IF(AU54&gt;XS_AnalyzerSummary!$B$7,"Right","Thalweg"))</f>
        <v>Right</v>
      </c>
      <c r="BQ54" s="9">
        <f t="shared" si="21"/>
        <v>0</v>
      </c>
      <c r="BR54" s="9">
        <f t="shared" si="22"/>
        <v>0</v>
      </c>
      <c r="BS54" s="9">
        <f t="shared" si="23"/>
        <v>0</v>
      </c>
      <c r="BT54" s="9">
        <f t="shared" si="24"/>
        <v>0</v>
      </c>
      <c r="BU54" s="9">
        <f t="shared" si="25"/>
        <v>2</v>
      </c>
      <c r="BV54" s="9">
        <f t="shared" si="26"/>
        <v>0</v>
      </c>
      <c r="BX54" s="9">
        <f>IF(AND(ISNUMBER($BN54),$BO54="Left 2nd Stage",SUM($BX$5:BX53)=0),$BN54,0)</f>
        <v>0</v>
      </c>
      <c r="BY54" s="9">
        <f t="shared" si="46"/>
        <v>0</v>
      </c>
      <c r="BZ54" s="9">
        <f>IF(AND(ISNUMBER($BN54),$BO54="Right 2nd Stage",SUM($BZ$5:$BZ53)=0),$BN53,0)</f>
        <v>0</v>
      </c>
      <c r="CA54" s="9">
        <f t="shared" si="47"/>
        <v>0</v>
      </c>
    </row>
    <row r="55" spans="1:79">
      <c r="A55" s="9">
        <v>51</v>
      </c>
      <c r="B55" s="166" t="e">
        <f>IF(ISNUMBER(XS_Analyzer!B55),XS_Analyzer!B55,NA())</f>
        <v>#N/A</v>
      </c>
      <c r="C55" s="88" t="e">
        <f>IF(ISNUMBER(XS_Analyzer!C55),XS_Analyzer!C55,NA())</f>
        <v>#N/A</v>
      </c>
      <c r="D55" s="88" t="str">
        <f>IF(ISNUMBER(XS_Analyzer!E55),XS_Analyzer!E55,"")</f>
        <v/>
      </c>
      <c r="E55" s="9" t="str">
        <f t="shared" si="28"/>
        <v/>
      </c>
      <c r="F55" s="88" t="e">
        <f>IF(AND(ISTEXT(XS_Analyzer!D55),XS_Analyzer!D55&lt;&gt;""),VLOOKUP(XS_Analyzer!D55,$K$12:$L$21,2,FALSE),"")</f>
        <v>#N/A</v>
      </c>
      <c r="G55" s="132" t="str">
        <f t="shared" si="29"/>
        <v/>
      </c>
      <c r="H55" s="132"/>
      <c r="Q55" s="5" t="str">
        <f t="shared" si="30"/>
        <v>N</v>
      </c>
      <c r="R55" s="5" t="str">
        <f t="shared" si="31"/>
        <v/>
      </c>
      <c r="S55" s="5" t="str">
        <f t="shared" si="32"/>
        <v/>
      </c>
      <c r="T55" s="5" t="str">
        <f t="shared" si="33"/>
        <v/>
      </c>
      <c r="U55" s="5" t="str">
        <f t="shared" si="34"/>
        <v/>
      </c>
      <c r="V55" s="62" t="str">
        <f t="shared" si="35"/>
        <v/>
      </c>
      <c r="W55" s="62" t="e">
        <f t="shared" si="48"/>
        <v>#N/A</v>
      </c>
      <c r="X55" s="9" t="e">
        <f t="shared" si="1"/>
        <v>#N/A</v>
      </c>
      <c r="Y55" s="64" t="str">
        <f t="shared" si="36"/>
        <v/>
      </c>
      <c r="Z55" s="174" t="str">
        <f t="shared" si="37"/>
        <v/>
      </c>
      <c r="AA55" s="64" t="str">
        <f>IF(ISNUMBER(Y55),INDEX(Y55:Y106,MATCH(TRUE,INDEX(Y55:Y106&lt;&gt;Y55,),0)),"")</f>
        <v/>
      </c>
      <c r="AB55" s="64" t="str">
        <f t="shared" si="39"/>
        <v/>
      </c>
      <c r="AC55" s="64" t="str">
        <f t="shared" si="40"/>
        <v/>
      </c>
      <c r="AD55" s="64" t="e">
        <f>IF(ISTEXT(AB55),INDEX(AB55:AB106,MATCH(TRUE,INDEX(AB55:AB106&lt;&gt;AB55,),0)),"")</f>
        <v>#N/A</v>
      </c>
      <c r="AE55" s="11" t="str">
        <f t="shared" si="42"/>
        <v/>
      </c>
      <c r="AF55" s="11" t="str">
        <f t="shared" si="2"/>
        <v/>
      </c>
      <c r="AG55" s="11" t="str">
        <f t="shared" si="3"/>
        <v/>
      </c>
      <c r="AH55" s="11" t="str">
        <f t="shared" si="43"/>
        <v/>
      </c>
      <c r="AI55" s="11" t="e">
        <f>IF(AND(ISNUMBER(AI54),ISNUMBER(S55)),(VLOOKUP(AD55,AB55:AC106,2,FALSE)),IF(ISNUMBER(S55),R55,NA()))</f>
        <v>#N/A</v>
      </c>
      <c r="AJ55" s="11" t="e">
        <f t="shared" si="4"/>
        <v>#N/A</v>
      </c>
      <c r="AK55" s="11" t="str">
        <f t="shared" si="5"/>
        <v/>
      </c>
      <c r="AL55" s="11" t="str">
        <f t="shared" si="6"/>
        <v/>
      </c>
      <c r="AS55" s="74">
        <f t="shared" si="7"/>
        <v>10</v>
      </c>
      <c r="AT55" s="74">
        <f t="shared" si="8"/>
        <v>5</v>
      </c>
      <c r="AU55" s="74">
        <f t="shared" si="9"/>
        <v>10</v>
      </c>
      <c r="AV55" s="74">
        <f t="shared" si="0"/>
        <v>5</v>
      </c>
      <c r="AW55" s="102"/>
      <c r="AY55" s="9">
        <f t="shared" si="10"/>
        <v>10</v>
      </c>
      <c r="AZ55" s="11">
        <f t="shared" si="11"/>
        <v>3</v>
      </c>
      <c r="BA55" s="75">
        <f t="shared" si="12"/>
        <v>10</v>
      </c>
      <c r="BB55" s="11">
        <f t="shared" si="13"/>
        <v>3</v>
      </c>
      <c r="BD55" s="11">
        <f t="shared" si="14"/>
        <v>2</v>
      </c>
      <c r="BE55" s="9">
        <f t="shared" si="15"/>
        <v>0</v>
      </c>
      <c r="BF55" s="71">
        <f t="shared" si="16"/>
        <v>0</v>
      </c>
      <c r="BG55" s="11" t="str">
        <f t="shared" si="17"/>
        <v>MAX WSE</v>
      </c>
      <c r="BH55" s="132">
        <f t="shared" si="45"/>
        <v>5</v>
      </c>
      <c r="BJ55" s="71">
        <f t="shared" si="18"/>
        <v>2</v>
      </c>
      <c r="BL55" s="9">
        <f t="shared" si="49"/>
        <v>0</v>
      </c>
      <c r="BM55" s="9"/>
      <c r="BN55" s="9">
        <f t="shared" si="20"/>
        <v>10</v>
      </c>
      <c r="BO55" s="9" t="str">
        <f>IF(BP55="Left",IF(ISNA(VLOOKUP(BN55,XS_AnalyzerSummary!$A$21:$B$25,2,TRUE)),"",VLOOKUP(BN55,XS_AnalyzerSummary!$A$21:$B$25,2,TRUE)),IF(ISNA(VLOOKUP(-BN55,XS_AnalyzerSummary!$A$28:$B$32,2,TRUE)),"",VLOOKUP(-BN55,XS_AnalyzerSummary!$A$28:$B$32,2,TRUE)))</f>
        <v>Right Bank</v>
      </c>
      <c r="BP55" s="9" t="str">
        <f>IF(AU55&lt;XS_AnalyzerSummary!$B$7,"Left",IF(AU55&gt;XS_AnalyzerSummary!$B$7,"Right","Thalweg"))</f>
        <v>Right</v>
      </c>
      <c r="BQ55" s="9">
        <f t="shared" si="21"/>
        <v>0</v>
      </c>
      <c r="BR55" s="9">
        <f t="shared" si="22"/>
        <v>0</v>
      </c>
      <c r="BS55" s="9">
        <f t="shared" si="23"/>
        <v>0</v>
      </c>
      <c r="BT55" s="9">
        <f t="shared" si="24"/>
        <v>0</v>
      </c>
      <c r="BU55" s="9">
        <f t="shared" si="25"/>
        <v>2</v>
      </c>
      <c r="BV55" s="9">
        <f t="shared" si="26"/>
        <v>0</v>
      </c>
      <c r="BX55" s="9">
        <f>IF(AND(ISNUMBER($BN55),$BO55="Left 2nd Stage",SUM($BX$5:BX54)=0),$BN55,0)</f>
        <v>0</v>
      </c>
      <c r="BY55" s="9">
        <f t="shared" si="46"/>
        <v>0</v>
      </c>
      <c r="BZ55" s="9">
        <f>IF(AND(ISNUMBER($BN55),$BO55="Right 2nd Stage",SUM($BZ$5:$BZ54)=0),$BN54,0)</f>
        <v>0</v>
      </c>
      <c r="CA55" s="9">
        <f t="shared" si="47"/>
        <v>0</v>
      </c>
    </row>
    <row r="56" spans="1:79">
      <c r="A56" s="9">
        <v>52</v>
      </c>
      <c r="B56" s="166" t="e">
        <f>IF(ISNUMBER(XS_Analyzer!B56),XS_Analyzer!B56,NA())</f>
        <v>#N/A</v>
      </c>
      <c r="C56" s="88" t="e">
        <f>IF(ISNUMBER(XS_Analyzer!C56),XS_Analyzer!C56,NA())</f>
        <v>#N/A</v>
      </c>
      <c r="D56" s="88" t="str">
        <f>IF(ISNUMBER(XS_Analyzer!E56),XS_Analyzer!E56,"")</f>
        <v/>
      </c>
      <c r="E56" s="9" t="str">
        <f t="shared" si="28"/>
        <v/>
      </c>
      <c r="F56" s="88" t="e">
        <f>IF(AND(ISTEXT(XS_Analyzer!D56),XS_Analyzer!D56&lt;&gt;""),VLOOKUP(XS_Analyzer!D56,$K$12:$L$21,2,FALSE),"")</f>
        <v>#N/A</v>
      </c>
      <c r="G56" s="132" t="str">
        <f t="shared" si="29"/>
        <v/>
      </c>
      <c r="H56" s="132"/>
      <c r="Q56" s="5" t="str">
        <f t="shared" si="30"/>
        <v>N</v>
      </c>
      <c r="R56" s="5" t="str">
        <f t="shared" si="31"/>
        <v/>
      </c>
      <c r="S56" s="5" t="str">
        <f t="shared" si="32"/>
        <v/>
      </c>
      <c r="T56" s="5" t="str">
        <f t="shared" si="33"/>
        <v/>
      </c>
      <c r="U56" s="5" t="str">
        <f t="shared" si="34"/>
        <v/>
      </c>
      <c r="V56" s="62" t="str">
        <f t="shared" si="35"/>
        <v/>
      </c>
      <c r="W56" s="62" t="e">
        <f t="shared" si="48"/>
        <v>#N/A</v>
      </c>
      <c r="X56" s="9" t="e">
        <f t="shared" si="1"/>
        <v>#N/A</v>
      </c>
      <c r="Y56" s="64" t="str">
        <f t="shared" si="36"/>
        <v/>
      </c>
      <c r="Z56" s="174" t="str">
        <f t="shared" si="37"/>
        <v/>
      </c>
      <c r="AA56" s="64" t="str">
        <f>IF(ISNUMBER(Y56),INDEX(Y56:Y106,MATCH(TRUE,INDEX(Y56:Y106&lt;&gt;Y56,),0)),"")</f>
        <v/>
      </c>
      <c r="AB56" s="64" t="str">
        <f t="shared" si="39"/>
        <v/>
      </c>
      <c r="AC56" s="64" t="str">
        <f t="shared" si="40"/>
        <v/>
      </c>
      <c r="AD56" s="64" t="e">
        <f>IF(ISTEXT(AB56),INDEX(AB56:AB106,MATCH(TRUE,INDEX(AB56:AB106&lt;&gt;AB56,),0)),"")</f>
        <v>#N/A</v>
      </c>
      <c r="AE56" s="11" t="str">
        <f t="shared" si="42"/>
        <v/>
      </c>
      <c r="AF56" s="11" t="str">
        <f t="shared" si="2"/>
        <v/>
      </c>
      <c r="AG56" s="11" t="str">
        <f t="shared" si="3"/>
        <v/>
      </c>
      <c r="AH56" s="11" t="str">
        <f t="shared" si="43"/>
        <v/>
      </c>
      <c r="AI56" s="11" t="e">
        <f>IF(AND(ISNUMBER(AI55),ISNUMBER(S56)),(VLOOKUP(AD56,AB56:AC106,2,FALSE)),IF(ISNUMBER(S56),R56,NA()))</f>
        <v>#N/A</v>
      </c>
      <c r="AJ56" s="11" t="e">
        <f t="shared" si="4"/>
        <v>#N/A</v>
      </c>
      <c r="AK56" s="11" t="str">
        <f t="shared" si="5"/>
        <v/>
      </c>
      <c r="AL56" s="11" t="str">
        <f t="shared" si="6"/>
        <v/>
      </c>
      <c r="AM56" s="10"/>
      <c r="AN56" s="10"/>
      <c r="AO56" s="10"/>
      <c r="AP56" s="10"/>
      <c r="AS56" s="74">
        <f t="shared" si="7"/>
        <v>10</v>
      </c>
      <c r="AT56" s="74">
        <f t="shared" si="8"/>
        <v>5</v>
      </c>
      <c r="AU56" s="74">
        <f t="shared" si="9"/>
        <v>10</v>
      </c>
      <c r="AV56" s="74">
        <f t="shared" si="0"/>
        <v>5</v>
      </c>
      <c r="AW56" s="102"/>
      <c r="AY56" s="9">
        <f t="shared" si="10"/>
        <v>10</v>
      </c>
      <c r="AZ56" s="11">
        <f t="shared" si="11"/>
        <v>3</v>
      </c>
      <c r="BA56" s="75">
        <f t="shared" si="12"/>
        <v>10</v>
      </c>
      <c r="BB56" s="11">
        <f t="shared" si="13"/>
        <v>3</v>
      </c>
      <c r="BD56" s="11">
        <f t="shared" si="14"/>
        <v>2</v>
      </c>
      <c r="BE56" s="9">
        <f t="shared" si="15"/>
        <v>0</v>
      </c>
      <c r="BF56" s="71">
        <f t="shared" si="16"/>
        <v>0</v>
      </c>
      <c r="BG56" s="11" t="str">
        <f t="shared" si="17"/>
        <v>MAX WSE</v>
      </c>
      <c r="BH56" s="132">
        <f t="shared" si="45"/>
        <v>5</v>
      </c>
      <c r="BJ56" s="71">
        <f t="shared" si="18"/>
        <v>2</v>
      </c>
      <c r="BL56" s="9">
        <f t="shared" si="49"/>
        <v>0</v>
      </c>
      <c r="BM56" s="9"/>
      <c r="BN56" s="9">
        <f t="shared" si="20"/>
        <v>10</v>
      </c>
      <c r="BO56" s="9" t="str">
        <f>IF(BP56="Left",IF(ISNA(VLOOKUP(BN56,XS_AnalyzerSummary!$A$21:$B$25,2,TRUE)),"",VLOOKUP(BN56,XS_AnalyzerSummary!$A$21:$B$25,2,TRUE)),IF(ISNA(VLOOKUP(-BN56,XS_AnalyzerSummary!$A$28:$B$32,2,TRUE)),"",VLOOKUP(-BN56,XS_AnalyzerSummary!$A$28:$B$32,2,TRUE)))</f>
        <v>Right Bank</v>
      </c>
      <c r="BP56" s="9" t="str">
        <f>IF(AU56&lt;XS_AnalyzerSummary!$B$7,"Left",IF(AU56&gt;XS_AnalyzerSummary!$B$7,"Right","Thalweg"))</f>
        <v>Right</v>
      </c>
      <c r="BQ56" s="9">
        <f t="shared" si="21"/>
        <v>0</v>
      </c>
      <c r="BR56" s="9">
        <f t="shared" si="22"/>
        <v>0</v>
      </c>
      <c r="BS56" s="9">
        <f t="shared" si="23"/>
        <v>0</v>
      </c>
      <c r="BT56" s="9">
        <f t="shared" si="24"/>
        <v>0</v>
      </c>
      <c r="BU56" s="9">
        <f t="shared" si="25"/>
        <v>2</v>
      </c>
      <c r="BV56" s="9">
        <f t="shared" si="26"/>
        <v>0</v>
      </c>
      <c r="BX56" s="9">
        <f>IF(AND(ISNUMBER($BN56),$BO56="Left 2nd Stage",SUM($BX$5:BX55)=0),$BN56,0)</f>
        <v>0</v>
      </c>
      <c r="BY56" s="9">
        <f t="shared" si="46"/>
        <v>0</v>
      </c>
      <c r="BZ56" s="9">
        <f>IF(AND(ISNUMBER($BN56),$BO56="Right 2nd Stage",SUM($BZ$5:$BZ55)=0),$BN55,0)</f>
        <v>0</v>
      </c>
      <c r="CA56" s="9">
        <f t="shared" si="47"/>
        <v>0</v>
      </c>
    </row>
    <row r="57" spans="1:79">
      <c r="A57" s="9">
        <v>53</v>
      </c>
      <c r="B57" s="166" t="e">
        <f>IF(ISNUMBER(XS_Analyzer!B57),XS_Analyzer!B57,NA())</f>
        <v>#N/A</v>
      </c>
      <c r="C57" s="88" t="e">
        <f>IF(ISNUMBER(XS_Analyzer!C57),XS_Analyzer!C57,NA())</f>
        <v>#N/A</v>
      </c>
      <c r="D57" s="88" t="str">
        <f>IF(ISNUMBER(XS_Analyzer!E57),XS_Analyzer!E57,"")</f>
        <v/>
      </c>
      <c r="E57" s="9" t="str">
        <f t="shared" si="28"/>
        <v/>
      </c>
      <c r="F57" s="88" t="e">
        <f>IF(AND(ISTEXT(XS_Analyzer!D57),XS_Analyzer!D57&lt;&gt;""),VLOOKUP(XS_Analyzer!D57,$K$12:$L$21,2,FALSE),"")</f>
        <v>#N/A</v>
      </c>
      <c r="G57" s="132" t="str">
        <f t="shared" si="29"/>
        <v/>
      </c>
      <c r="H57" s="132"/>
      <c r="Q57" s="5" t="str">
        <f t="shared" si="30"/>
        <v>N</v>
      </c>
      <c r="R57" s="5" t="str">
        <f t="shared" si="31"/>
        <v/>
      </c>
      <c r="S57" s="5" t="str">
        <f t="shared" si="32"/>
        <v/>
      </c>
      <c r="T57" s="5" t="str">
        <f t="shared" si="33"/>
        <v/>
      </c>
      <c r="U57" s="5" t="str">
        <f t="shared" si="34"/>
        <v/>
      </c>
      <c r="V57" s="62" t="str">
        <f t="shared" si="35"/>
        <v/>
      </c>
      <c r="W57" s="62" t="e">
        <f t="shared" si="48"/>
        <v>#N/A</v>
      </c>
      <c r="X57" s="9" t="e">
        <f t="shared" si="1"/>
        <v>#N/A</v>
      </c>
      <c r="Y57" s="64" t="str">
        <f t="shared" si="36"/>
        <v/>
      </c>
      <c r="Z57" s="174" t="str">
        <f t="shared" si="37"/>
        <v/>
      </c>
      <c r="AA57" s="64" t="str">
        <f>IF(ISNUMBER(Y57),INDEX(Y57:Y106,MATCH(TRUE,INDEX(Y57:Y106&lt;&gt;Y57,),0)),"")</f>
        <v/>
      </c>
      <c r="AB57" s="64" t="str">
        <f t="shared" si="39"/>
        <v/>
      </c>
      <c r="AC57" s="64" t="str">
        <f t="shared" si="40"/>
        <v/>
      </c>
      <c r="AD57" s="64" t="e">
        <f>IF(ISTEXT(AB57),INDEX(AB57:AB106,MATCH(TRUE,INDEX(AB57:AB106&lt;&gt;AB57,),0)),"")</f>
        <v>#N/A</v>
      </c>
      <c r="AE57" s="11" t="str">
        <f t="shared" si="42"/>
        <v/>
      </c>
      <c r="AF57" s="11" t="str">
        <f t="shared" si="2"/>
        <v/>
      </c>
      <c r="AG57" s="11" t="str">
        <f t="shared" si="3"/>
        <v/>
      </c>
      <c r="AH57" s="11" t="str">
        <f t="shared" si="43"/>
        <v/>
      </c>
      <c r="AI57" s="11" t="e">
        <f>IF(AND(ISNUMBER(AI56),ISNUMBER(S57)),(VLOOKUP(AD57,AB57:AC106,2,FALSE)),IF(ISNUMBER(S57),R57,NA()))</f>
        <v>#N/A</v>
      </c>
      <c r="AJ57" s="11" t="e">
        <f t="shared" si="4"/>
        <v>#N/A</v>
      </c>
      <c r="AK57" s="11" t="str">
        <f t="shared" si="5"/>
        <v/>
      </c>
      <c r="AL57" s="11" t="str">
        <f t="shared" si="6"/>
        <v/>
      </c>
      <c r="AS57" s="74">
        <f t="shared" si="7"/>
        <v>10</v>
      </c>
      <c r="AT57" s="74">
        <f t="shared" si="8"/>
        <v>5</v>
      </c>
      <c r="AU57" s="74">
        <f t="shared" si="9"/>
        <v>10</v>
      </c>
      <c r="AV57" s="74">
        <f t="shared" si="0"/>
        <v>5</v>
      </c>
      <c r="AW57" s="102"/>
      <c r="AY57" s="9">
        <f t="shared" si="10"/>
        <v>10</v>
      </c>
      <c r="AZ57" s="11">
        <f t="shared" si="11"/>
        <v>3</v>
      </c>
      <c r="BA57" s="75">
        <f t="shared" si="12"/>
        <v>10</v>
      </c>
      <c r="BB57" s="11">
        <f t="shared" si="13"/>
        <v>3</v>
      </c>
      <c r="BD57" s="11">
        <f t="shared" si="14"/>
        <v>2</v>
      </c>
      <c r="BE57" s="9">
        <f t="shared" si="15"/>
        <v>0</v>
      </c>
      <c r="BF57" s="71">
        <f t="shared" si="16"/>
        <v>0</v>
      </c>
      <c r="BG57" s="11" t="str">
        <f t="shared" si="17"/>
        <v>MAX WSE</v>
      </c>
      <c r="BH57" s="132">
        <f t="shared" si="45"/>
        <v>5</v>
      </c>
      <c r="BJ57" s="71">
        <f t="shared" si="18"/>
        <v>2</v>
      </c>
      <c r="BL57" s="9">
        <f t="shared" si="49"/>
        <v>0</v>
      </c>
      <c r="BM57" s="9"/>
      <c r="BN57" s="9">
        <f t="shared" si="20"/>
        <v>10</v>
      </c>
      <c r="BO57" s="9" t="str">
        <f>IF(BP57="Left",IF(ISNA(VLOOKUP(BN57,XS_AnalyzerSummary!$A$21:$B$25,2,TRUE)),"",VLOOKUP(BN57,XS_AnalyzerSummary!$A$21:$B$25,2,TRUE)),IF(ISNA(VLOOKUP(-BN57,XS_AnalyzerSummary!$A$28:$B$32,2,TRUE)),"",VLOOKUP(-BN57,XS_AnalyzerSummary!$A$28:$B$32,2,TRUE)))</f>
        <v>Right Bank</v>
      </c>
      <c r="BP57" s="9" t="str">
        <f>IF(AU57&lt;XS_AnalyzerSummary!$B$7,"Left",IF(AU57&gt;XS_AnalyzerSummary!$B$7,"Right","Thalweg"))</f>
        <v>Right</v>
      </c>
      <c r="BQ57" s="9">
        <f t="shared" si="21"/>
        <v>0</v>
      </c>
      <c r="BR57" s="9">
        <f t="shared" si="22"/>
        <v>0</v>
      </c>
      <c r="BS57" s="9">
        <f t="shared" si="23"/>
        <v>0</v>
      </c>
      <c r="BT57" s="9">
        <f t="shared" si="24"/>
        <v>0</v>
      </c>
      <c r="BU57" s="9">
        <f t="shared" si="25"/>
        <v>2</v>
      </c>
      <c r="BV57" s="9">
        <f t="shared" si="26"/>
        <v>0</v>
      </c>
      <c r="BX57" s="9">
        <f>IF(AND(ISNUMBER($BN57),$BO57="Left 2nd Stage",SUM($BX$5:BX56)=0),$BN57,0)</f>
        <v>0</v>
      </c>
      <c r="BY57" s="9">
        <f t="shared" si="46"/>
        <v>0</v>
      </c>
      <c r="BZ57" s="9">
        <f>IF(AND(ISNUMBER($BN57),$BO57="Right 2nd Stage",SUM($BZ$5:$BZ56)=0),$BN56,0)</f>
        <v>0</v>
      </c>
      <c r="CA57" s="9">
        <f t="shared" si="47"/>
        <v>0</v>
      </c>
    </row>
    <row r="58" spans="1:79">
      <c r="A58" s="9">
        <v>54</v>
      </c>
      <c r="B58" s="166" t="e">
        <f>IF(ISNUMBER(XS_Analyzer!B58),XS_Analyzer!B58,NA())</f>
        <v>#N/A</v>
      </c>
      <c r="C58" s="88" t="e">
        <f>IF(ISNUMBER(XS_Analyzer!C58),XS_Analyzer!C58,NA())</f>
        <v>#N/A</v>
      </c>
      <c r="D58" s="88" t="str">
        <f>IF(ISNUMBER(XS_Analyzer!E58),XS_Analyzer!E58,"")</f>
        <v/>
      </c>
      <c r="E58" s="9" t="str">
        <f t="shared" si="28"/>
        <v/>
      </c>
      <c r="F58" s="88" t="e">
        <f>IF(AND(ISTEXT(XS_Analyzer!D58),XS_Analyzer!D58&lt;&gt;""),VLOOKUP(XS_Analyzer!D58,$K$12:$L$21,2,FALSE),"")</f>
        <v>#N/A</v>
      </c>
      <c r="G58" s="132" t="str">
        <f t="shared" si="29"/>
        <v/>
      </c>
      <c r="H58" s="132"/>
      <c r="Q58" s="5" t="str">
        <f t="shared" si="30"/>
        <v>N</v>
      </c>
      <c r="R58" s="5" t="str">
        <f t="shared" si="31"/>
        <v/>
      </c>
      <c r="S58" s="5" t="str">
        <f t="shared" si="32"/>
        <v/>
      </c>
      <c r="T58" s="5" t="str">
        <f t="shared" si="33"/>
        <v/>
      </c>
      <c r="U58" s="5" t="str">
        <f t="shared" si="34"/>
        <v/>
      </c>
      <c r="V58" s="62" t="str">
        <f t="shared" si="35"/>
        <v/>
      </c>
      <c r="W58" s="62" t="e">
        <f t="shared" si="48"/>
        <v>#N/A</v>
      </c>
      <c r="X58" s="9" t="e">
        <f t="shared" si="1"/>
        <v>#N/A</v>
      </c>
      <c r="Y58" s="64" t="str">
        <f t="shared" si="36"/>
        <v/>
      </c>
      <c r="Z58" s="174" t="str">
        <f t="shared" si="37"/>
        <v/>
      </c>
      <c r="AA58" s="64" t="str">
        <f>IF(ISNUMBER(Y58),INDEX(Y58:Y106,MATCH(TRUE,INDEX(Y58:Y106&lt;&gt;Y58,),0)),"")</f>
        <v/>
      </c>
      <c r="AB58" s="64" t="str">
        <f t="shared" si="39"/>
        <v/>
      </c>
      <c r="AC58" s="64" t="str">
        <f t="shared" si="40"/>
        <v/>
      </c>
      <c r="AD58" s="64" t="e">
        <f>IF(ISTEXT(AB58),INDEX(AB58:AB106,MATCH(TRUE,INDEX(AB58:AB106&lt;&gt;AB58,),0)),"")</f>
        <v>#N/A</v>
      </c>
      <c r="AE58" s="11" t="str">
        <f t="shared" si="42"/>
        <v/>
      </c>
      <c r="AF58" s="11" t="str">
        <f t="shared" si="2"/>
        <v/>
      </c>
      <c r="AG58" s="11" t="str">
        <f t="shared" si="3"/>
        <v/>
      </c>
      <c r="AH58" s="11" t="str">
        <f t="shared" si="43"/>
        <v/>
      </c>
      <c r="AI58" s="11" t="e">
        <f>IF(AND(ISNUMBER(AI57),ISNUMBER(S58)),(VLOOKUP(AD58,AB58:AC106,2,FALSE)),IF(ISNUMBER(S58),R58,NA()))</f>
        <v>#N/A</v>
      </c>
      <c r="AJ58" s="11" t="e">
        <f t="shared" si="4"/>
        <v>#N/A</v>
      </c>
      <c r="AK58" s="11" t="str">
        <f t="shared" si="5"/>
        <v/>
      </c>
      <c r="AL58" s="11" t="str">
        <f t="shared" si="6"/>
        <v/>
      </c>
      <c r="AP58" s="10"/>
      <c r="AS58" s="74">
        <f t="shared" si="7"/>
        <v>10</v>
      </c>
      <c r="AT58" s="74">
        <f t="shared" si="8"/>
        <v>5</v>
      </c>
      <c r="AU58" s="74">
        <f t="shared" si="9"/>
        <v>10</v>
      </c>
      <c r="AV58" s="74">
        <f t="shared" si="0"/>
        <v>5</v>
      </c>
      <c r="AW58" s="102"/>
      <c r="AY58" s="9">
        <f t="shared" si="10"/>
        <v>10</v>
      </c>
      <c r="AZ58" s="11">
        <f t="shared" si="11"/>
        <v>3</v>
      </c>
      <c r="BA58" s="75">
        <f t="shared" si="12"/>
        <v>10</v>
      </c>
      <c r="BB58" s="11">
        <f t="shared" si="13"/>
        <v>3</v>
      </c>
      <c r="BD58" s="11">
        <f t="shared" si="14"/>
        <v>2</v>
      </c>
      <c r="BE58" s="9">
        <f t="shared" si="15"/>
        <v>0</v>
      </c>
      <c r="BF58" s="71">
        <f t="shared" si="16"/>
        <v>0</v>
      </c>
      <c r="BG58" s="11" t="str">
        <f t="shared" si="17"/>
        <v>MAX WSE</v>
      </c>
      <c r="BH58" s="132">
        <f t="shared" si="45"/>
        <v>5</v>
      </c>
      <c r="BJ58" s="71">
        <f t="shared" si="18"/>
        <v>2</v>
      </c>
      <c r="BL58" s="9">
        <f t="shared" si="49"/>
        <v>0</v>
      </c>
      <c r="BM58" s="9"/>
      <c r="BN58" s="9">
        <f t="shared" si="20"/>
        <v>10</v>
      </c>
      <c r="BO58" s="9" t="str">
        <f>IF(BP58="Left",IF(ISNA(VLOOKUP(BN58,XS_AnalyzerSummary!$A$21:$B$25,2,TRUE)),"",VLOOKUP(BN58,XS_AnalyzerSummary!$A$21:$B$25,2,TRUE)),IF(ISNA(VLOOKUP(-BN58,XS_AnalyzerSummary!$A$28:$B$32,2,TRUE)),"",VLOOKUP(-BN58,XS_AnalyzerSummary!$A$28:$B$32,2,TRUE)))</f>
        <v>Right Bank</v>
      </c>
      <c r="BP58" s="9" t="str">
        <f>IF(AU58&lt;XS_AnalyzerSummary!$B$7,"Left",IF(AU58&gt;XS_AnalyzerSummary!$B$7,"Right","Thalweg"))</f>
        <v>Right</v>
      </c>
      <c r="BQ58" s="9">
        <f t="shared" si="21"/>
        <v>0</v>
      </c>
      <c r="BR58" s="9">
        <f t="shared" si="22"/>
        <v>0</v>
      </c>
      <c r="BS58" s="9">
        <f t="shared" si="23"/>
        <v>0</v>
      </c>
      <c r="BT58" s="9">
        <f t="shared" si="24"/>
        <v>0</v>
      </c>
      <c r="BU58" s="9">
        <f t="shared" si="25"/>
        <v>2</v>
      </c>
      <c r="BV58" s="9">
        <f t="shared" si="26"/>
        <v>0</v>
      </c>
      <c r="BX58" s="9">
        <f>IF(AND(ISNUMBER($BN58),$BO58="Left 2nd Stage",SUM($BX$5:BX57)=0),$BN58,0)</f>
        <v>0</v>
      </c>
      <c r="BY58" s="9">
        <f t="shared" si="46"/>
        <v>0</v>
      </c>
      <c r="BZ58" s="9">
        <f>IF(AND(ISNUMBER($BN58),$BO58="Right 2nd Stage",SUM($BZ$5:$BZ57)=0),$BN57,0)</f>
        <v>0</v>
      </c>
      <c r="CA58" s="9">
        <f t="shared" si="47"/>
        <v>0</v>
      </c>
    </row>
    <row r="59" spans="1:79">
      <c r="A59" s="9">
        <v>55</v>
      </c>
      <c r="B59" s="166" t="e">
        <f>IF(ISNUMBER(XS_Analyzer!B59),XS_Analyzer!B59,NA())</f>
        <v>#N/A</v>
      </c>
      <c r="C59" s="88" t="e">
        <f>IF(ISNUMBER(XS_Analyzer!C59),XS_Analyzer!C59,NA())</f>
        <v>#N/A</v>
      </c>
      <c r="D59" s="88" t="str">
        <f>IF(ISNUMBER(XS_Analyzer!E59),XS_Analyzer!E59,"")</f>
        <v/>
      </c>
      <c r="E59" s="9" t="str">
        <f t="shared" si="28"/>
        <v/>
      </c>
      <c r="F59" s="88" t="e">
        <f>IF(AND(ISTEXT(XS_Analyzer!D59),XS_Analyzer!D59&lt;&gt;""),VLOOKUP(XS_Analyzer!D59,$K$12:$L$21,2,FALSE),"")</f>
        <v>#N/A</v>
      </c>
      <c r="G59" s="132" t="str">
        <f t="shared" si="29"/>
        <v/>
      </c>
      <c r="H59" s="132"/>
      <c r="Q59" s="5" t="str">
        <f t="shared" si="30"/>
        <v>N</v>
      </c>
      <c r="R59" s="5" t="str">
        <f t="shared" si="31"/>
        <v/>
      </c>
      <c r="S59" s="5" t="str">
        <f t="shared" si="32"/>
        <v/>
      </c>
      <c r="T59" s="5" t="str">
        <f t="shared" si="33"/>
        <v/>
      </c>
      <c r="U59" s="5" t="str">
        <f t="shared" si="34"/>
        <v/>
      </c>
      <c r="V59" s="62" t="str">
        <f t="shared" si="35"/>
        <v/>
      </c>
      <c r="W59" s="62" t="e">
        <f t="shared" si="48"/>
        <v>#N/A</v>
      </c>
      <c r="X59" s="9" t="e">
        <f t="shared" si="1"/>
        <v>#N/A</v>
      </c>
      <c r="Y59" s="64" t="str">
        <f t="shared" si="36"/>
        <v/>
      </c>
      <c r="Z59" s="174" t="str">
        <f t="shared" si="37"/>
        <v/>
      </c>
      <c r="AA59" s="64" t="str">
        <f>IF(ISNUMBER(Y59),INDEX(Y59:Y106,MATCH(TRUE,INDEX(Y59:Y106&lt;&gt;Y59,),0)),"")</f>
        <v/>
      </c>
      <c r="AB59" s="64" t="str">
        <f t="shared" si="39"/>
        <v/>
      </c>
      <c r="AC59" s="64" t="str">
        <f t="shared" si="40"/>
        <v/>
      </c>
      <c r="AD59" s="64" t="e">
        <f>IF(ISTEXT(AB59),INDEX(AB59:AB106,MATCH(TRUE,INDEX(AB59:AB106&lt;&gt;AB59,),0)),"")</f>
        <v>#N/A</v>
      </c>
      <c r="AE59" s="11" t="str">
        <f t="shared" si="42"/>
        <v/>
      </c>
      <c r="AF59" s="11" t="str">
        <f t="shared" si="2"/>
        <v/>
      </c>
      <c r="AG59" s="11" t="str">
        <f t="shared" si="3"/>
        <v/>
      </c>
      <c r="AH59" s="11" t="str">
        <f t="shared" si="43"/>
        <v/>
      </c>
      <c r="AI59" s="11" t="e">
        <f>IF(AND(ISNUMBER(AI58),ISNUMBER(S59)),(VLOOKUP(AD59,AB59:AC106,2,FALSE)),IF(ISNUMBER(S59),R59,NA()))</f>
        <v>#N/A</v>
      </c>
      <c r="AJ59" s="11" t="e">
        <f t="shared" si="4"/>
        <v>#N/A</v>
      </c>
      <c r="AK59" s="11" t="str">
        <f t="shared" si="5"/>
        <v/>
      </c>
      <c r="AL59" s="11" t="str">
        <f t="shared" si="6"/>
        <v/>
      </c>
      <c r="AS59" s="74">
        <f t="shared" si="7"/>
        <v>10</v>
      </c>
      <c r="AT59" s="74">
        <f t="shared" si="8"/>
        <v>5</v>
      </c>
      <c r="AU59" s="74">
        <f t="shared" si="9"/>
        <v>10</v>
      </c>
      <c r="AV59" s="74">
        <f t="shared" si="0"/>
        <v>5</v>
      </c>
      <c r="AW59" s="102"/>
      <c r="AY59" s="9">
        <f t="shared" si="10"/>
        <v>10</v>
      </c>
      <c r="AZ59" s="11">
        <f t="shared" si="11"/>
        <v>3</v>
      </c>
      <c r="BA59" s="75">
        <f t="shared" si="12"/>
        <v>10</v>
      </c>
      <c r="BB59" s="11">
        <f t="shared" si="13"/>
        <v>3</v>
      </c>
      <c r="BD59" s="11">
        <f t="shared" si="14"/>
        <v>2</v>
      </c>
      <c r="BE59" s="9">
        <f t="shared" si="15"/>
        <v>0</v>
      </c>
      <c r="BF59" s="71">
        <f t="shared" si="16"/>
        <v>0</v>
      </c>
      <c r="BG59" s="11" t="str">
        <f t="shared" si="17"/>
        <v>MAX WSE</v>
      </c>
      <c r="BH59" s="132">
        <f t="shared" si="45"/>
        <v>5</v>
      </c>
      <c r="BJ59" s="71">
        <f t="shared" si="18"/>
        <v>2</v>
      </c>
      <c r="BL59" s="9">
        <f t="shared" si="49"/>
        <v>0</v>
      </c>
      <c r="BM59" s="9"/>
      <c r="BN59" s="9">
        <f t="shared" si="20"/>
        <v>10</v>
      </c>
      <c r="BO59" s="9" t="str">
        <f>IF(BP59="Left",IF(ISNA(VLOOKUP(BN59,XS_AnalyzerSummary!$A$21:$B$25,2,TRUE)),"",VLOOKUP(BN59,XS_AnalyzerSummary!$A$21:$B$25,2,TRUE)),IF(ISNA(VLOOKUP(-BN59,XS_AnalyzerSummary!$A$28:$B$32,2,TRUE)),"",VLOOKUP(-BN59,XS_AnalyzerSummary!$A$28:$B$32,2,TRUE)))</f>
        <v>Right Bank</v>
      </c>
      <c r="BP59" s="9" t="str">
        <f>IF(AU59&lt;XS_AnalyzerSummary!$B$7,"Left",IF(AU59&gt;XS_AnalyzerSummary!$B$7,"Right","Thalweg"))</f>
        <v>Right</v>
      </c>
      <c r="BQ59" s="9">
        <f t="shared" si="21"/>
        <v>0</v>
      </c>
      <c r="BR59" s="9">
        <f t="shared" si="22"/>
        <v>0</v>
      </c>
      <c r="BS59" s="9">
        <f t="shared" si="23"/>
        <v>0</v>
      </c>
      <c r="BT59" s="9">
        <f t="shared" si="24"/>
        <v>0</v>
      </c>
      <c r="BU59" s="9">
        <f t="shared" si="25"/>
        <v>2</v>
      </c>
      <c r="BV59" s="9">
        <f t="shared" si="26"/>
        <v>0</v>
      </c>
      <c r="BX59" s="9">
        <f>IF(AND(ISNUMBER($BN59),$BO59="Left 2nd Stage",SUM($BX$5:BX58)=0),$BN59,0)</f>
        <v>0</v>
      </c>
      <c r="BY59" s="9">
        <f t="shared" si="46"/>
        <v>0</v>
      </c>
      <c r="BZ59" s="9">
        <f>IF(AND(ISNUMBER($BN59),$BO59="Right 2nd Stage",SUM($BZ$5:$BZ58)=0),$BN58,0)</f>
        <v>0</v>
      </c>
      <c r="CA59" s="9">
        <f t="shared" si="47"/>
        <v>0</v>
      </c>
    </row>
    <row r="60" spans="1:79">
      <c r="A60" s="9">
        <v>56</v>
      </c>
      <c r="B60" s="166" t="e">
        <f>IF(ISNUMBER(XS_Analyzer!B60),XS_Analyzer!B60,NA())</f>
        <v>#N/A</v>
      </c>
      <c r="C60" s="88" t="e">
        <f>IF(ISNUMBER(XS_Analyzer!C60),XS_Analyzer!C60,NA())</f>
        <v>#N/A</v>
      </c>
      <c r="D60" s="88" t="str">
        <f>IF(ISNUMBER(XS_Analyzer!E60),XS_Analyzer!E60,"")</f>
        <v/>
      </c>
      <c r="E60" s="9" t="str">
        <f t="shared" si="28"/>
        <v/>
      </c>
      <c r="F60" s="88" t="e">
        <f>IF(AND(ISTEXT(XS_Analyzer!D60),XS_Analyzer!D60&lt;&gt;""),VLOOKUP(XS_Analyzer!D60,$K$12:$L$21,2,FALSE),"")</f>
        <v>#N/A</v>
      </c>
      <c r="G60" s="132" t="str">
        <f t="shared" si="29"/>
        <v/>
      </c>
      <c r="H60" s="132"/>
      <c r="Q60" s="5" t="str">
        <f t="shared" si="30"/>
        <v>N</v>
      </c>
      <c r="R60" s="5" t="str">
        <f t="shared" si="31"/>
        <v/>
      </c>
      <c r="S60" s="5" t="str">
        <f t="shared" si="32"/>
        <v/>
      </c>
      <c r="T60" s="5" t="str">
        <f t="shared" si="33"/>
        <v/>
      </c>
      <c r="U60" s="5" t="str">
        <f t="shared" si="34"/>
        <v/>
      </c>
      <c r="V60" s="62" t="str">
        <f t="shared" si="35"/>
        <v/>
      </c>
      <c r="W60" s="62" t="e">
        <f t="shared" si="48"/>
        <v>#N/A</v>
      </c>
      <c r="X60" s="9" t="e">
        <f t="shared" si="1"/>
        <v>#N/A</v>
      </c>
      <c r="Y60" s="64" t="str">
        <f t="shared" si="36"/>
        <v/>
      </c>
      <c r="Z60" s="174" t="str">
        <f t="shared" si="37"/>
        <v/>
      </c>
      <c r="AA60" s="64" t="str">
        <f>IF(ISNUMBER(Y60),INDEX(Y60:Y106,MATCH(TRUE,INDEX(Y60:Y106&lt;&gt;Y60,),0)),"")</f>
        <v/>
      </c>
      <c r="AB60" s="64" t="str">
        <f t="shared" si="39"/>
        <v/>
      </c>
      <c r="AC60" s="64" t="str">
        <f t="shared" si="40"/>
        <v/>
      </c>
      <c r="AD60" s="64" t="e">
        <f>IF(ISTEXT(AB60),INDEX(AB60:AB106,MATCH(TRUE,INDEX(AB60:AB106&lt;&gt;AB60,),0)),"")</f>
        <v>#N/A</v>
      </c>
      <c r="AE60" s="11" t="str">
        <f t="shared" si="42"/>
        <v/>
      </c>
      <c r="AF60" s="11" t="str">
        <f t="shared" si="2"/>
        <v/>
      </c>
      <c r="AG60" s="11" t="str">
        <f t="shared" si="3"/>
        <v/>
      </c>
      <c r="AH60" s="11" t="str">
        <f t="shared" si="43"/>
        <v/>
      </c>
      <c r="AI60" s="11" t="e">
        <f>IF(AND(ISNUMBER(AI59),ISNUMBER(S60)),(VLOOKUP(AD60,AB60:AC106,2,FALSE)),IF(ISNUMBER(S60),R60,NA()))</f>
        <v>#N/A</v>
      </c>
      <c r="AJ60" s="11" t="e">
        <f t="shared" si="4"/>
        <v>#N/A</v>
      </c>
      <c r="AK60" s="11" t="str">
        <f t="shared" si="5"/>
        <v/>
      </c>
      <c r="AL60" s="11" t="str">
        <f t="shared" si="6"/>
        <v/>
      </c>
      <c r="AS60" s="74">
        <f t="shared" si="7"/>
        <v>10</v>
      </c>
      <c r="AT60" s="74">
        <f t="shared" si="8"/>
        <v>5</v>
      </c>
      <c r="AU60" s="74">
        <f t="shared" si="9"/>
        <v>10</v>
      </c>
      <c r="AV60" s="74">
        <f t="shared" si="0"/>
        <v>5</v>
      </c>
      <c r="AW60" s="102"/>
      <c r="AY60" s="9">
        <f t="shared" si="10"/>
        <v>10</v>
      </c>
      <c r="AZ60" s="11">
        <f t="shared" si="11"/>
        <v>3</v>
      </c>
      <c r="BA60" s="75">
        <f t="shared" si="12"/>
        <v>10</v>
      </c>
      <c r="BB60" s="11">
        <f t="shared" si="13"/>
        <v>3</v>
      </c>
      <c r="BD60" s="11">
        <f t="shared" si="14"/>
        <v>2</v>
      </c>
      <c r="BE60" s="9">
        <f t="shared" si="15"/>
        <v>0</v>
      </c>
      <c r="BF60" s="71">
        <f t="shared" si="16"/>
        <v>0</v>
      </c>
      <c r="BG60" s="11" t="str">
        <f t="shared" si="17"/>
        <v>MAX WSE</v>
      </c>
      <c r="BH60" s="132">
        <f t="shared" si="45"/>
        <v>5</v>
      </c>
      <c r="BJ60" s="71">
        <f t="shared" si="18"/>
        <v>2</v>
      </c>
      <c r="BL60" s="9">
        <f t="shared" si="49"/>
        <v>0</v>
      </c>
      <c r="BM60" s="9"/>
      <c r="BN60" s="9">
        <f t="shared" si="20"/>
        <v>10</v>
      </c>
      <c r="BO60" s="9" t="str">
        <f>IF(BP60="Left",IF(ISNA(VLOOKUP(BN60,XS_AnalyzerSummary!$A$21:$B$25,2,TRUE)),"",VLOOKUP(BN60,XS_AnalyzerSummary!$A$21:$B$25,2,TRUE)),IF(ISNA(VLOOKUP(-BN60,XS_AnalyzerSummary!$A$28:$B$32,2,TRUE)),"",VLOOKUP(-BN60,XS_AnalyzerSummary!$A$28:$B$32,2,TRUE)))</f>
        <v>Right Bank</v>
      </c>
      <c r="BP60" s="9" t="str">
        <f>IF(AU60&lt;XS_AnalyzerSummary!$B$7,"Left",IF(AU60&gt;XS_AnalyzerSummary!$B$7,"Right","Thalweg"))</f>
        <v>Right</v>
      </c>
      <c r="BQ60" s="9">
        <f t="shared" si="21"/>
        <v>0</v>
      </c>
      <c r="BR60" s="9">
        <f t="shared" si="22"/>
        <v>0</v>
      </c>
      <c r="BS60" s="9">
        <f t="shared" si="23"/>
        <v>0</v>
      </c>
      <c r="BT60" s="9">
        <f t="shared" si="24"/>
        <v>0</v>
      </c>
      <c r="BU60" s="9">
        <f t="shared" si="25"/>
        <v>2</v>
      </c>
      <c r="BV60" s="9">
        <f t="shared" si="26"/>
        <v>0</v>
      </c>
      <c r="BX60" s="9">
        <f>IF(AND(ISNUMBER($BN60),$BO60="Left 2nd Stage",SUM($BX$5:BX59)=0),$BN60,0)</f>
        <v>0</v>
      </c>
      <c r="BY60" s="9">
        <f t="shared" si="46"/>
        <v>0</v>
      </c>
      <c r="BZ60" s="9">
        <f>IF(AND(ISNUMBER($BN60),$BO60="Right 2nd Stage",SUM($BZ$5:$BZ59)=0),$BN59,0)</f>
        <v>0</v>
      </c>
      <c r="CA60" s="9">
        <f t="shared" si="47"/>
        <v>0</v>
      </c>
    </row>
    <row r="61" spans="1:79">
      <c r="A61" s="9">
        <v>57</v>
      </c>
      <c r="B61" s="166" t="e">
        <f>IF(ISNUMBER(XS_Analyzer!B61),XS_Analyzer!B61,NA())</f>
        <v>#N/A</v>
      </c>
      <c r="C61" s="88" t="e">
        <f>IF(ISNUMBER(XS_Analyzer!C61),XS_Analyzer!C61,NA())</f>
        <v>#N/A</v>
      </c>
      <c r="D61" s="88" t="str">
        <f>IF(ISNUMBER(XS_Analyzer!E61),XS_Analyzer!E61,"")</f>
        <v/>
      </c>
      <c r="E61" s="9" t="str">
        <f t="shared" si="28"/>
        <v/>
      </c>
      <c r="F61" s="88" t="e">
        <f>IF(AND(ISTEXT(XS_Analyzer!D61),XS_Analyzer!D61&lt;&gt;""),VLOOKUP(XS_Analyzer!D61,$K$12:$L$21,2,FALSE),"")</f>
        <v>#N/A</v>
      </c>
      <c r="G61" s="132" t="str">
        <f t="shared" si="29"/>
        <v/>
      </c>
      <c r="H61" s="132"/>
      <c r="Q61" s="5" t="str">
        <f t="shared" si="30"/>
        <v>N</v>
      </c>
      <c r="R61" s="5" t="str">
        <f t="shared" si="31"/>
        <v/>
      </c>
      <c r="S61" s="5" t="str">
        <f t="shared" si="32"/>
        <v/>
      </c>
      <c r="T61" s="5" t="str">
        <f t="shared" si="33"/>
        <v/>
      </c>
      <c r="U61" s="5" t="str">
        <f t="shared" si="34"/>
        <v/>
      </c>
      <c r="V61" s="62" t="str">
        <f t="shared" si="35"/>
        <v/>
      </c>
      <c r="W61" s="62" t="e">
        <f t="shared" si="48"/>
        <v>#N/A</v>
      </c>
      <c r="X61" s="9" t="e">
        <f t="shared" si="1"/>
        <v>#N/A</v>
      </c>
      <c r="Y61" s="64" t="str">
        <f t="shared" si="36"/>
        <v/>
      </c>
      <c r="Z61" s="174" t="str">
        <f t="shared" si="37"/>
        <v/>
      </c>
      <c r="AA61" s="64" t="str">
        <f>IF(ISNUMBER(Y61),INDEX(Y61:Y106,MATCH(TRUE,INDEX(Y61:Y106&lt;&gt;Y61,),0)),"")</f>
        <v/>
      </c>
      <c r="AB61" s="64" t="str">
        <f t="shared" si="39"/>
        <v/>
      </c>
      <c r="AC61" s="64" t="str">
        <f t="shared" si="40"/>
        <v/>
      </c>
      <c r="AD61" s="64" t="e">
        <f>IF(ISTEXT(AB61),INDEX(AB61:AB106,MATCH(TRUE,INDEX(AB61:AB106&lt;&gt;AB61,),0)),"")</f>
        <v>#N/A</v>
      </c>
      <c r="AE61" s="11" t="str">
        <f t="shared" si="42"/>
        <v/>
      </c>
      <c r="AF61" s="11" t="str">
        <f t="shared" si="2"/>
        <v/>
      </c>
      <c r="AG61" s="11" t="str">
        <f t="shared" si="3"/>
        <v/>
      </c>
      <c r="AH61" s="11" t="str">
        <f t="shared" si="43"/>
        <v/>
      </c>
      <c r="AI61" s="11" t="e">
        <f>IF(AND(ISNUMBER(AI60),ISNUMBER(S61)),(VLOOKUP(AD61,AB61:AC106,2,FALSE)),IF(ISNUMBER(S61),R61,NA()))</f>
        <v>#N/A</v>
      </c>
      <c r="AJ61" s="11" t="e">
        <f t="shared" si="4"/>
        <v>#N/A</v>
      </c>
      <c r="AK61" s="11" t="str">
        <f t="shared" si="5"/>
        <v/>
      </c>
      <c r="AL61" s="11" t="str">
        <f t="shared" si="6"/>
        <v/>
      </c>
      <c r="AS61" s="74">
        <f t="shared" si="7"/>
        <v>10</v>
      </c>
      <c r="AT61" s="74">
        <f t="shared" si="8"/>
        <v>5</v>
      </c>
      <c r="AU61" s="74">
        <f t="shared" si="9"/>
        <v>10</v>
      </c>
      <c r="AV61" s="74">
        <f t="shared" si="0"/>
        <v>5</v>
      </c>
      <c r="AW61" s="102"/>
      <c r="AY61" s="9">
        <f t="shared" si="10"/>
        <v>10</v>
      </c>
      <c r="AZ61" s="11">
        <f t="shared" si="11"/>
        <v>3</v>
      </c>
      <c r="BA61" s="75">
        <f t="shared" si="12"/>
        <v>10</v>
      </c>
      <c r="BB61" s="11">
        <f t="shared" si="13"/>
        <v>3</v>
      </c>
      <c r="BD61" s="11">
        <f t="shared" si="14"/>
        <v>2</v>
      </c>
      <c r="BE61" s="9">
        <f t="shared" si="15"/>
        <v>0</v>
      </c>
      <c r="BF61" s="71">
        <f t="shared" si="16"/>
        <v>0</v>
      </c>
      <c r="BG61" s="11" t="str">
        <f t="shared" si="17"/>
        <v>MAX WSE</v>
      </c>
      <c r="BH61" s="132">
        <f t="shared" si="45"/>
        <v>5</v>
      </c>
      <c r="BJ61" s="71">
        <f t="shared" si="18"/>
        <v>2</v>
      </c>
      <c r="BL61" s="9">
        <f t="shared" si="49"/>
        <v>0</v>
      </c>
      <c r="BM61" s="9"/>
      <c r="BN61" s="9">
        <f t="shared" si="20"/>
        <v>10</v>
      </c>
      <c r="BO61" s="9" t="str">
        <f>IF(BP61="Left",IF(ISNA(VLOOKUP(BN61,XS_AnalyzerSummary!$A$21:$B$25,2,TRUE)),"",VLOOKUP(BN61,XS_AnalyzerSummary!$A$21:$B$25,2,TRUE)),IF(ISNA(VLOOKUP(-BN61,XS_AnalyzerSummary!$A$28:$B$32,2,TRUE)),"",VLOOKUP(-BN61,XS_AnalyzerSummary!$A$28:$B$32,2,TRUE)))</f>
        <v>Right Bank</v>
      </c>
      <c r="BP61" s="9" t="str">
        <f>IF(AU61&lt;XS_AnalyzerSummary!$B$7,"Left",IF(AU61&gt;XS_AnalyzerSummary!$B$7,"Right","Thalweg"))</f>
        <v>Right</v>
      </c>
      <c r="BQ61" s="9">
        <f t="shared" si="21"/>
        <v>0</v>
      </c>
      <c r="BR61" s="9">
        <f t="shared" si="22"/>
        <v>0</v>
      </c>
      <c r="BS61" s="9">
        <f t="shared" si="23"/>
        <v>0</v>
      </c>
      <c r="BT61" s="9">
        <f t="shared" si="24"/>
        <v>0</v>
      </c>
      <c r="BU61" s="9">
        <f t="shared" si="25"/>
        <v>2</v>
      </c>
      <c r="BV61" s="9">
        <f t="shared" si="26"/>
        <v>0</v>
      </c>
      <c r="BX61" s="9">
        <f>IF(AND(ISNUMBER($BN61),$BO61="Left 2nd Stage",SUM($BX$5:BX60)=0),$BN61,0)</f>
        <v>0</v>
      </c>
      <c r="BY61" s="9">
        <f t="shared" si="46"/>
        <v>0</v>
      </c>
      <c r="BZ61" s="9">
        <f>IF(AND(ISNUMBER($BN61),$BO61="Right 2nd Stage",SUM($BZ$5:$BZ60)=0),$BN60,0)</f>
        <v>0</v>
      </c>
      <c r="CA61" s="9">
        <f t="shared" si="47"/>
        <v>0</v>
      </c>
    </row>
    <row r="62" spans="1:79">
      <c r="A62" s="9">
        <v>58</v>
      </c>
      <c r="B62" s="166" t="e">
        <f>IF(ISNUMBER(XS_Analyzer!B62),XS_Analyzer!B62,NA())</f>
        <v>#N/A</v>
      </c>
      <c r="C62" s="88" t="e">
        <f>IF(ISNUMBER(XS_Analyzer!C62),XS_Analyzer!C62,NA())</f>
        <v>#N/A</v>
      </c>
      <c r="D62" s="88" t="str">
        <f>IF(ISNUMBER(XS_Analyzer!E62),XS_Analyzer!E62,"")</f>
        <v/>
      </c>
      <c r="E62" s="9" t="str">
        <f t="shared" si="28"/>
        <v/>
      </c>
      <c r="F62" s="88" t="e">
        <f>IF(AND(ISTEXT(XS_Analyzer!D62),XS_Analyzer!D62&lt;&gt;""),VLOOKUP(XS_Analyzer!D62,$K$12:$L$21,2,FALSE),"")</f>
        <v>#N/A</v>
      </c>
      <c r="G62" s="132" t="str">
        <f t="shared" si="29"/>
        <v/>
      </c>
      <c r="H62" s="132"/>
      <c r="Q62" s="5" t="str">
        <f t="shared" si="30"/>
        <v>N</v>
      </c>
      <c r="R62" s="5" t="str">
        <f t="shared" si="31"/>
        <v/>
      </c>
      <c r="S62" s="5" t="str">
        <f t="shared" si="32"/>
        <v/>
      </c>
      <c r="T62" s="5" t="str">
        <f t="shared" si="33"/>
        <v/>
      </c>
      <c r="U62" s="5" t="str">
        <f t="shared" si="34"/>
        <v/>
      </c>
      <c r="V62" s="62" t="str">
        <f t="shared" si="35"/>
        <v/>
      </c>
      <c r="W62" s="62" t="e">
        <f t="shared" si="48"/>
        <v>#N/A</v>
      </c>
      <c r="X62" s="9" t="e">
        <f t="shared" si="1"/>
        <v>#N/A</v>
      </c>
      <c r="Y62" s="64" t="str">
        <f t="shared" si="36"/>
        <v/>
      </c>
      <c r="Z62" s="174" t="str">
        <f t="shared" si="37"/>
        <v/>
      </c>
      <c r="AA62" s="64" t="str">
        <f>IF(ISNUMBER(Y62),INDEX(Y62:Y106,MATCH(TRUE,INDEX(Y62:Y106&lt;&gt;Y62,),0)),"")</f>
        <v/>
      </c>
      <c r="AB62" s="64" t="str">
        <f t="shared" si="39"/>
        <v/>
      </c>
      <c r="AC62" s="64" t="str">
        <f t="shared" si="40"/>
        <v/>
      </c>
      <c r="AD62" s="64" t="e">
        <f>IF(ISTEXT(AB62),INDEX(AB62:AB106,MATCH(TRUE,INDEX(AB62:AB106&lt;&gt;AB62,),0)),"")</f>
        <v>#N/A</v>
      </c>
      <c r="AE62" s="11" t="str">
        <f t="shared" si="42"/>
        <v/>
      </c>
      <c r="AF62" s="11" t="str">
        <f t="shared" si="2"/>
        <v/>
      </c>
      <c r="AG62" s="11" t="str">
        <f t="shared" si="3"/>
        <v/>
      </c>
      <c r="AH62" s="11" t="str">
        <f t="shared" si="43"/>
        <v/>
      </c>
      <c r="AI62" s="11" t="e">
        <f>IF(AND(ISNUMBER(AI61),ISNUMBER(S62)),(VLOOKUP(AD62,AB62:AC106,2,FALSE)),IF(ISNUMBER(S62),R62,NA()))</f>
        <v>#N/A</v>
      </c>
      <c r="AJ62" s="11" t="e">
        <f t="shared" si="4"/>
        <v>#N/A</v>
      </c>
      <c r="AK62" s="11" t="str">
        <f t="shared" si="5"/>
        <v/>
      </c>
      <c r="AL62" s="11" t="str">
        <f t="shared" si="6"/>
        <v/>
      </c>
      <c r="AS62" s="74">
        <f t="shared" si="7"/>
        <v>10</v>
      </c>
      <c r="AT62" s="74">
        <f t="shared" si="8"/>
        <v>5</v>
      </c>
      <c r="AU62" s="74">
        <f t="shared" si="9"/>
        <v>10</v>
      </c>
      <c r="AV62" s="74">
        <f t="shared" si="0"/>
        <v>5</v>
      </c>
      <c r="AW62" s="102"/>
      <c r="AY62" s="9">
        <f t="shared" si="10"/>
        <v>10</v>
      </c>
      <c r="AZ62" s="11">
        <f t="shared" si="11"/>
        <v>3</v>
      </c>
      <c r="BA62" s="75">
        <f t="shared" si="12"/>
        <v>10</v>
      </c>
      <c r="BB62" s="11">
        <f t="shared" si="13"/>
        <v>3</v>
      </c>
      <c r="BD62" s="11">
        <f t="shared" si="14"/>
        <v>2</v>
      </c>
      <c r="BE62" s="9">
        <f t="shared" si="15"/>
        <v>0</v>
      </c>
      <c r="BF62" s="71">
        <f t="shared" si="16"/>
        <v>0</v>
      </c>
      <c r="BG62" s="11" t="str">
        <f t="shared" si="17"/>
        <v>MAX WSE</v>
      </c>
      <c r="BH62" s="132">
        <f t="shared" si="45"/>
        <v>5</v>
      </c>
      <c r="BJ62" s="71">
        <f t="shared" si="18"/>
        <v>2</v>
      </c>
      <c r="BL62" s="9">
        <f t="shared" si="49"/>
        <v>0</v>
      </c>
      <c r="BM62" s="9"/>
      <c r="BN62" s="9">
        <f t="shared" si="20"/>
        <v>10</v>
      </c>
      <c r="BO62" s="9" t="str">
        <f>IF(BP62="Left",IF(ISNA(VLOOKUP(BN62,XS_AnalyzerSummary!$A$21:$B$25,2,TRUE)),"",VLOOKUP(BN62,XS_AnalyzerSummary!$A$21:$B$25,2,TRUE)),IF(ISNA(VLOOKUP(-BN62,XS_AnalyzerSummary!$A$28:$B$32,2,TRUE)),"",VLOOKUP(-BN62,XS_AnalyzerSummary!$A$28:$B$32,2,TRUE)))</f>
        <v>Right Bank</v>
      </c>
      <c r="BP62" s="9" t="str">
        <f>IF(AU62&lt;XS_AnalyzerSummary!$B$7,"Left",IF(AU62&gt;XS_AnalyzerSummary!$B$7,"Right","Thalweg"))</f>
        <v>Right</v>
      </c>
      <c r="BQ62" s="9">
        <f t="shared" si="21"/>
        <v>0</v>
      </c>
      <c r="BR62" s="9">
        <f t="shared" si="22"/>
        <v>0</v>
      </c>
      <c r="BS62" s="9">
        <f t="shared" si="23"/>
        <v>0</v>
      </c>
      <c r="BT62" s="9">
        <f t="shared" si="24"/>
        <v>0</v>
      </c>
      <c r="BU62" s="9">
        <f t="shared" si="25"/>
        <v>2</v>
      </c>
      <c r="BV62" s="9">
        <f t="shared" si="26"/>
        <v>0</v>
      </c>
      <c r="BX62" s="9">
        <f>IF(AND(ISNUMBER($BN62),$BO62="Left 2nd Stage",SUM($BX$5:BX61)=0),$BN62,0)</f>
        <v>0</v>
      </c>
      <c r="BY62" s="9">
        <f t="shared" si="46"/>
        <v>0</v>
      </c>
      <c r="BZ62" s="9">
        <f>IF(AND(ISNUMBER($BN62),$BO62="Right 2nd Stage",SUM($BZ$5:$BZ61)=0),$BN61,0)</f>
        <v>0</v>
      </c>
      <c r="CA62" s="9">
        <f t="shared" si="47"/>
        <v>0</v>
      </c>
    </row>
    <row r="63" spans="1:79">
      <c r="A63" s="9">
        <v>59</v>
      </c>
      <c r="B63" s="166" t="e">
        <f>IF(ISNUMBER(XS_Analyzer!B63),XS_Analyzer!B63,NA())</f>
        <v>#N/A</v>
      </c>
      <c r="C63" s="88" t="e">
        <f>IF(ISNUMBER(XS_Analyzer!C63),XS_Analyzer!C63,NA())</f>
        <v>#N/A</v>
      </c>
      <c r="D63" s="88" t="str">
        <f>IF(ISNUMBER(XS_Analyzer!E63),XS_Analyzer!E63,"")</f>
        <v/>
      </c>
      <c r="E63" s="9" t="str">
        <f t="shared" si="28"/>
        <v/>
      </c>
      <c r="F63" s="88" t="e">
        <f>IF(AND(ISTEXT(XS_Analyzer!D63),XS_Analyzer!D63&lt;&gt;""),VLOOKUP(XS_Analyzer!D63,$K$12:$L$21,2,FALSE),"")</f>
        <v>#N/A</v>
      </c>
      <c r="G63" s="132" t="str">
        <f t="shared" si="29"/>
        <v/>
      </c>
      <c r="H63" s="132"/>
      <c r="Q63" s="5" t="str">
        <f t="shared" si="30"/>
        <v>N</v>
      </c>
      <c r="R63" s="5" t="str">
        <f t="shared" si="31"/>
        <v/>
      </c>
      <c r="S63" s="5" t="str">
        <f t="shared" si="32"/>
        <v/>
      </c>
      <c r="T63" s="5" t="str">
        <f t="shared" si="33"/>
        <v/>
      </c>
      <c r="U63" s="5" t="str">
        <f t="shared" si="34"/>
        <v/>
      </c>
      <c r="V63" s="62" t="str">
        <f t="shared" si="35"/>
        <v/>
      </c>
      <c r="W63" s="62" t="e">
        <f t="shared" si="48"/>
        <v>#N/A</v>
      </c>
      <c r="X63" s="9" t="e">
        <f t="shared" si="1"/>
        <v>#N/A</v>
      </c>
      <c r="Y63" s="64" t="str">
        <f t="shared" si="36"/>
        <v/>
      </c>
      <c r="Z63" s="174" t="str">
        <f t="shared" si="37"/>
        <v/>
      </c>
      <c r="AA63" s="64" t="str">
        <f>IF(ISNUMBER(Y63),INDEX(Y63:Y106,MATCH(TRUE,INDEX(Y63:Y106&lt;&gt;Y63,),0)),"")</f>
        <v/>
      </c>
      <c r="AB63" s="64" t="str">
        <f t="shared" si="39"/>
        <v/>
      </c>
      <c r="AC63" s="64" t="str">
        <f t="shared" si="40"/>
        <v/>
      </c>
      <c r="AD63" s="64" t="e">
        <f>IF(ISTEXT(AB63),INDEX(AB63:AB106,MATCH(TRUE,INDEX(AB63:AB106&lt;&gt;AB63,),0)),"")</f>
        <v>#N/A</v>
      </c>
      <c r="AE63" s="11" t="str">
        <f t="shared" si="42"/>
        <v/>
      </c>
      <c r="AF63" s="11" t="str">
        <f t="shared" si="2"/>
        <v/>
      </c>
      <c r="AG63" s="11" t="str">
        <f t="shared" si="3"/>
        <v/>
      </c>
      <c r="AH63" s="11" t="str">
        <f t="shared" si="43"/>
        <v/>
      </c>
      <c r="AI63" s="11" t="e">
        <f>IF(AND(ISNUMBER(AI62),ISNUMBER(S63)),(VLOOKUP(AD63,AB63:AC106,2,FALSE)),IF(ISNUMBER(S63),R63,NA()))</f>
        <v>#N/A</v>
      </c>
      <c r="AJ63" s="11" t="e">
        <f t="shared" si="4"/>
        <v>#N/A</v>
      </c>
      <c r="AK63" s="11" t="str">
        <f t="shared" si="5"/>
        <v/>
      </c>
      <c r="AL63" s="11" t="str">
        <f t="shared" si="6"/>
        <v/>
      </c>
      <c r="AS63" s="74">
        <f t="shared" si="7"/>
        <v>10</v>
      </c>
      <c r="AT63" s="74">
        <f t="shared" si="8"/>
        <v>5</v>
      </c>
      <c r="AU63" s="74">
        <f t="shared" si="9"/>
        <v>10</v>
      </c>
      <c r="AV63" s="74">
        <f t="shared" si="0"/>
        <v>5</v>
      </c>
      <c r="AW63" s="102"/>
      <c r="AY63" s="9">
        <f t="shared" si="10"/>
        <v>10</v>
      </c>
      <c r="AZ63" s="11">
        <f t="shared" si="11"/>
        <v>3</v>
      </c>
      <c r="BA63" s="75">
        <f t="shared" si="12"/>
        <v>10</v>
      </c>
      <c r="BB63" s="11">
        <f t="shared" si="13"/>
        <v>3</v>
      </c>
      <c r="BD63" s="11">
        <f t="shared" si="14"/>
        <v>2</v>
      </c>
      <c r="BE63" s="9">
        <f t="shared" si="15"/>
        <v>0</v>
      </c>
      <c r="BF63" s="71">
        <f t="shared" si="16"/>
        <v>0</v>
      </c>
      <c r="BG63" s="11" t="str">
        <f t="shared" si="17"/>
        <v>MAX WSE</v>
      </c>
      <c r="BH63" s="132">
        <f t="shared" si="45"/>
        <v>5</v>
      </c>
      <c r="BJ63" s="71">
        <f t="shared" si="18"/>
        <v>2</v>
      </c>
      <c r="BL63" s="9">
        <f t="shared" si="49"/>
        <v>0</v>
      </c>
      <c r="BM63" s="9"/>
      <c r="BN63" s="9">
        <f t="shared" si="20"/>
        <v>10</v>
      </c>
      <c r="BO63" s="9" t="str">
        <f>IF(BP63="Left",IF(ISNA(VLOOKUP(BN63,XS_AnalyzerSummary!$A$21:$B$25,2,TRUE)),"",VLOOKUP(BN63,XS_AnalyzerSummary!$A$21:$B$25,2,TRUE)),IF(ISNA(VLOOKUP(-BN63,XS_AnalyzerSummary!$A$28:$B$32,2,TRUE)),"",VLOOKUP(-BN63,XS_AnalyzerSummary!$A$28:$B$32,2,TRUE)))</f>
        <v>Right Bank</v>
      </c>
      <c r="BP63" s="9" t="str">
        <f>IF(AU63&lt;XS_AnalyzerSummary!$B$7,"Left",IF(AU63&gt;XS_AnalyzerSummary!$B$7,"Right","Thalweg"))</f>
        <v>Right</v>
      </c>
      <c r="BQ63" s="9">
        <f t="shared" si="21"/>
        <v>0</v>
      </c>
      <c r="BR63" s="9">
        <f t="shared" si="22"/>
        <v>0</v>
      </c>
      <c r="BS63" s="9">
        <f t="shared" si="23"/>
        <v>0</v>
      </c>
      <c r="BT63" s="9">
        <f t="shared" si="24"/>
        <v>0</v>
      </c>
      <c r="BU63" s="9">
        <f t="shared" si="25"/>
        <v>2</v>
      </c>
      <c r="BV63" s="9">
        <f t="shared" si="26"/>
        <v>0</v>
      </c>
      <c r="BX63" s="9">
        <f>IF(AND(ISNUMBER($BN63),$BO63="Left 2nd Stage",SUM($BX$5:BX62)=0),$BN63,0)</f>
        <v>0</v>
      </c>
      <c r="BY63" s="9">
        <f t="shared" si="46"/>
        <v>0</v>
      </c>
      <c r="BZ63" s="9">
        <f>IF(AND(ISNUMBER($BN63),$BO63="Right 2nd Stage",SUM($BZ$5:$BZ62)=0),$BN62,0)</f>
        <v>0</v>
      </c>
      <c r="CA63" s="9">
        <f t="shared" si="47"/>
        <v>0</v>
      </c>
    </row>
    <row r="64" spans="1:79">
      <c r="A64" s="9">
        <v>60</v>
      </c>
      <c r="B64" s="166" t="e">
        <f>IF(ISNUMBER(XS_Analyzer!B64),XS_Analyzer!B64,NA())</f>
        <v>#N/A</v>
      </c>
      <c r="C64" s="88" t="e">
        <f>IF(ISNUMBER(XS_Analyzer!C64),XS_Analyzer!C64,NA())</f>
        <v>#N/A</v>
      </c>
      <c r="D64" s="88" t="str">
        <f>IF(ISNUMBER(XS_Analyzer!E64),XS_Analyzer!E64,"")</f>
        <v/>
      </c>
      <c r="E64" s="9" t="str">
        <f t="shared" si="28"/>
        <v/>
      </c>
      <c r="F64" s="88" t="e">
        <f>IF(AND(ISTEXT(XS_Analyzer!D64),XS_Analyzer!D64&lt;&gt;""),VLOOKUP(XS_Analyzer!D64,$K$12:$L$21,2,FALSE),"")</f>
        <v>#N/A</v>
      </c>
      <c r="G64" s="132" t="str">
        <f t="shared" si="29"/>
        <v/>
      </c>
      <c r="H64" s="132"/>
      <c r="Q64" s="5" t="str">
        <f t="shared" si="30"/>
        <v>N</v>
      </c>
      <c r="R64" s="5" t="str">
        <f t="shared" si="31"/>
        <v/>
      </c>
      <c r="S64" s="5" t="str">
        <f t="shared" si="32"/>
        <v/>
      </c>
      <c r="T64" s="5" t="str">
        <f t="shared" si="33"/>
        <v/>
      </c>
      <c r="U64" s="5" t="str">
        <f t="shared" si="34"/>
        <v/>
      </c>
      <c r="V64" s="62" t="str">
        <f t="shared" si="35"/>
        <v/>
      </c>
      <c r="W64" s="62" t="e">
        <f t="shared" si="48"/>
        <v>#N/A</v>
      </c>
      <c r="X64" s="9" t="e">
        <f t="shared" si="1"/>
        <v>#N/A</v>
      </c>
      <c r="Y64" s="64" t="str">
        <f t="shared" si="36"/>
        <v/>
      </c>
      <c r="Z64" s="174" t="str">
        <f t="shared" si="37"/>
        <v/>
      </c>
      <c r="AA64" s="64" t="str">
        <f>IF(ISNUMBER(Y64),INDEX(Y64:Y106,MATCH(TRUE,INDEX(Y64:Y106&lt;&gt;Y64,),0)),"")</f>
        <v/>
      </c>
      <c r="AB64" s="64" t="str">
        <f t="shared" si="39"/>
        <v/>
      </c>
      <c r="AC64" s="64" t="str">
        <f t="shared" si="40"/>
        <v/>
      </c>
      <c r="AD64" s="64" t="e">
        <f>IF(ISTEXT(AB64),INDEX(AB64:AB106,MATCH(TRUE,INDEX(AB64:AB106&lt;&gt;AB64,),0)),"")</f>
        <v>#N/A</v>
      </c>
      <c r="AE64" s="11" t="str">
        <f t="shared" si="42"/>
        <v/>
      </c>
      <c r="AF64" s="11" t="str">
        <f t="shared" si="2"/>
        <v/>
      </c>
      <c r="AG64" s="11" t="str">
        <f t="shared" si="3"/>
        <v/>
      </c>
      <c r="AH64" s="11" t="str">
        <f t="shared" si="43"/>
        <v/>
      </c>
      <c r="AI64" s="11" t="e">
        <f>IF(AND(ISNUMBER(AI63),ISNUMBER(S64)),(VLOOKUP(AD64,AB64:AC106,2,FALSE)),IF(ISNUMBER(S64),R64,NA()))</f>
        <v>#N/A</v>
      </c>
      <c r="AJ64" s="11" t="e">
        <f t="shared" si="4"/>
        <v>#N/A</v>
      </c>
      <c r="AK64" s="11" t="str">
        <f t="shared" si="5"/>
        <v/>
      </c>
      <c r="AL64" s="11" t="str">
        <f t="shared" si="6"/>
        <v/>
      </c>
      <c r="AS64" s="74">
        <f t="shared" si="7"/>
        <v>10</v>
      </c>
      <c r="AT64" s="74">
        <f t="shared" si="8"/>
        <v>5</v>
      </c>
      <c r="AU64" s="74">
        <f t="shared" si="9"/>
        <v>10</v>
      </c>
      <c r="AV64" s="74">
        <f t="shared" si="0"/>
        <v>5</v>
      </c>
      <c r="AW64" s="102"/>
      <c r="AY64" s="9">
        <f t="shared" si="10"/>
        <v>10</v>
      </c>
      <c r="AZ64" s="11">
        <f t="shared" si="11"/>
        <v>3</v>
      </c>
      <c r="BA64" s="75">
        <f t="shared" si="12"/>
        <v>10</v>
      </c>
      <c r="BB64" s="11">
        <f t="shared" si="13"/>
        <v>3</v>
      </c>
      <c r="BD64" s="11">
        <f t="shared" si="14"/>
        <v>2</v>
      </c>
      <c r="BE64" s="9">
        <f t="shared" si="15"/>
        <v>0</v>
      </c>
      <c r="BF64" s="71">
        <f t="shared" si="16"/>
        <v>0</v>
      </c>
      <c r="BG64" s="11" t="str">
        <f t="shared" si="17"/>
        <v>MAX WSE</v>
      </c>
      <c r="BH64" s="132">
        <f t="shared" si="45"/>
        <v>5</v>
      </c>
      <c r="BJ64" s="71">
        <f t="shared" si="18"/>
        <v>2</v>
      </c>
      <c r="BL64" s="9">
        <f t="shared" si="49"/>
        <v>0</v>
      </c>
      <c r="BM64" s="9"/>
      <c r="BN64" s="9">
        <f t="shared" si="20"/>
        <v>10</v>
      </c>
      <c r="BO64" s="9" t="str">
        <f>IF(BP64="Left",IF(ISNA(VLOOKUP(BN64,XS_AnalyzerSummary!$A$21:$B$25,2,TRUE)),"",VLOOKUP(BN64,XS_AnalyzerSummary!$A$21:$B$25,2,TRUE)),IF(ISNA(VLOOKUP(-BN64,XS_AnalyzerSummary!$A$28:$B$32,2,TRUE)),"",VLOOKUP(-BN64,XS_AnalyzerSummary!$A$28:$B$32,2,TRUE)))</f>
        <v>Right Bank</v>
      </c>
      <c r="BP64" s="9" t="str">
        <f>IF(AU64&lt;XS_AnalyzerSummary!$B$7,"Left",IF(AU64&gt;XS_AnalyzerSummary!$B$7,"Right","Thalweg"))</f>
        <v>Right</v>
      </c>
      <c r="BQ64" s="9">
        <f t="shared" si="21"/>
        <v>0</v>
      </c>
      <c r="BR64" s="9">
        <f t="shared" si="22"/>
        <v>0</v>
      </c>
      <c r="BS64" s="9">
        <f t="shared" si="23"/>
        <v>0</v>
      </c>
      <c r="BT64" s="9">
        <f t="shared" si="24"/>
        <v>0</v>
      </c>
      <c r="BU64" s="9">
        <f t="shared" si="25"/>
        <v>2</v>
      </c>
      <c r="BV64" s="9">
        <f t="shared" si="26"/>
        <v>0</v>
      </c>
      <c r="BX64" s="9">
        <f>IF(AND(ISNUMBER($BN64),$BO64="Left 2nd Stage",SUM($BX$5:BX63)=0),$BN64,0)</f>
        <v>0</v>
      </c>
      <c r="BY64" s="9">
        <f t="shared" si="46"/>
        <v>0</v>
      </c>
      <c r="BZ64" s="9">
        <f>IF(AND(ISNUMBER($BN64),$BO64="Right 2nd Stage",SUM($BZ$5:$BZ63)=0),$BN63,0)</f>
        <v>0</v>
      </c>
      <c r="CA64" s="9">
        <f t="shared" si="47"/>
        <v>0</v>
      </c>
    </row>
    <row r="65" spans="1:79">
      <c r="A65" s="9">
        <v>61</v>
      </c>
      <c r="B65" s="166" t="e">
        <f>IF(ISNUMBER(XS_Analyzer!B65),XS_Analyzer!B65,NA())</f>
        <v>#N/A</v>
      </c>
      <c r="C65" s="88" t="e">
        <f>IF(ISNUMBER(XS_Analyzer!C65),XS_Analyzer!C65,NA())</f>
        <v>#N/A</v>
      </c>
      <c r="D65" s="88" t="str">
        <f>IF(ISNUMBER(XS_Analyzer!E65),XS_Analyzer!E65,"")</f>
        <v/>
      </c>
      <c r="E65" s="9" t="str">
        <f t="shared" si="28"/>
        <v/>
      </c>
      <c r="F65" s="88" t="e">
        <f>IF(AND(ISTEXT(XS_Analyzer!D65),XS_Analyzer!D65&lt;&gt;""),VLOOKUP(XS_Analyzer!D65,$K$12:$L$21,2,FALSE),"")</f>
        <v>#N/A</v>
      </c>
      <c r="G65" s="132" t="str">
        <f t="shared" si="29"/>
        <v/>
      </c>
      <c r="H65" s="132"/>
      <c r="Q65" s="5" t="str">
        <f t="shared" si="30"/>
        <v>N</v>
      </c>
      <c r="R65" s="5" t="str">
        <f t="shared" si="31"/>
        <v/>
      </c>
      <c r="S65" s="5" t="str">
        <f t="shared" si="32"/>
        <v/>
      </c>
      <c r="T65" s="5" t="str">
        <f t="shared" si="33"/>
        <v/>
      </c>
      <c r="U65" s="5" t="str">
        <f t="shared" si="34"/>
        <v/>
      </c>
      <c r="V65" s="62" t="str">
        <f t="shared" si="35"/>
        <v/>
      </c>
      <c r="W65" s="62" t="e">
        <f t="shared" si="48"/>
        <v>#N/A</v>
      </c>
      <c r="X65" s="9" t="e">
        <f t="shared" si="1"/>
        <v>#N/A</v>
      </c>
      <c r="Y65" s="64" t="str">
        <f t="shared" si="36"/>
        <v/>
      </c>
      <c r="Z65" s="174" t="str">
        <f t="shared" si="37"/>
        <v/>
      </c>
      <c r="AA65" s="64" t="str">
        <f>IF(ISNUMBER(Y65),INDEX(Y65:Y106,MATCH(TRUE,INDEX(Y65:Y106&lt;&gt;Y65,),0)),"")</f>
        <v/>
      </c>
      <c r="AB65" s="64" t="str">
        <f t="shared" si="39"/>
        <v/>
      </c>
      <c r="AC65" s="64" t="str">
        <f t="shared" si="40"/>
        <v/>
      </c>
      <c r="AD65" s="64" t="e">
        <f>IF(ISTEXT(AB65),INDEX(AB65:AB106,MATCH(TRUE,INDEX(AB65:AB106&lt;&gt;AB65,),0)),"")</f>
        <v>#N/A</v>
      </c>
      <c r="AE65" s="11" t="str">
        <f t="shared" si="42"/>
        <v/>
      </c>
      <c r="AF65" s="11" t="str">
        <f t="shared" si="2"/>
        <v/>
      </c>
      <c r="AG65" s="11" t="str">
        <f t="shared" si="3"/>
        <v/>
      </c>
      <c r="AH65" s="11" t="str">
        <f t="shared" si="43"/>
        <v/>
      </c>
      <c r="AI65" s="11" t="e">
        <f>IF(AND(ISNUMBER(AI64),ISNUMBER(S65)),(VLOOKUP(AD65,AB65:AC106,2,FALSE)),IF(ISNUMBER(S65),R65,NA()))</f>
        <v>#N/A</v>
      </c>
      <c r="AJ65" s="11" t="e">
        <f t="shared" si="4"/>
        <v>#N/A</v>
      </c>
      <c r="AK65" s="11" t="str">
        <f t="shared" si="5"/>
        <v/>
      </c>
      <c r="AL65" s="11" t="str">
        <f t="shared" si="6"/>
        <v/>
      </c>
      <c r="AS65" s="74">
        <f t="shared" si="7"/>
        <v>10</v>
      </c>
      <c r="AT65" s="74">
        <f t="shared" si="8"/>
        <v>5</v>
      </c>
      <c r="AU65" s="74">
        <f t="shared" si="9"/>
        <v>10</v>
      </c>
      <c r="AV65" s="74">
        <f t="shared" si="0"/>
        <v>5</v>
      </c>
      <c r="AW65" s="102"/>
      <c r="AY65" s="9">
        <f t="shared" si="10"/>
        <v>10</v>
      </c>
      <c r="AZ65" s="11">
        <f t="shared" si="11"/>
        <v>3</v>
      </c>
      <c r="BA65" s="75">
        <f t="shared" si="12"/>
        <v>10</v>
      </c>
      <c r="BB65" s="11">
        <f t="shared" si="13"/>
        <v>3</v>
      </c>
      <c r="BD65" s="11">
        <f t="shared" si="14"/>
        <v>2</v>
      </c>
      <c r="BE65" s="9">
        <f t="shared" si="15"/>
        <v>0</v>
      </c>
      <c r="BF65" s="71">
        <f t="shared" si="16"/>
        <v>0</v>
      </c>
      <c r="BG65" s="11" t="str">
        <f t="shared" si="17"/>
        <v>MAX WSE</v>
      </c>
      <c r="BH65" s="132">
        <f t="shared" si="45"/>
        <v>5</v>
      </c>
      <c r="BJ65" s="71">
        <f t="shared" si="18"/>
        <v>2</v>
      </c>
      <c r="BL65" s="9">
        <f t="shared" si="49"/>
        <v>0</v>
      </c>
      <c r="BM65" s="9"/>
      <c r="BN65" s="9">
        <f t="shared" si="20"/>
        <v>10</v>
      </c>
      <c r="BO65" s="9" t="str">
        <f>IF(BP65="Left",IF(ISNA(VLOOKUP(BN65,XS_AnalyzerSummary!$A$21:$B$25,2,TRUE)),"",VLOOKUP(BN65,XS_AnalyzerSummary!$A$21:$B$25,2,TRUE)),IF(ISNA(VLOOKUP(-BN65,XS_AnalyzerSummary!$A$28:$B$32,2,TRUE)),"",VLOOKUP(-BN65,XS_AnalyzerSummary!$A$28:$B$32,2,TRUE)))</f>
        <v>Right Bank</v>
      </c>
      <c r="BP65" s="9" t="str">
        <f>IF(AU65&lt;XS_AnalyzerSummary!$B$7,"Left",IF(AU65&gt;XS_AnalyzerSummary!$B$7,"Right","Thalweg"))</f>
        <v>Right</v>
      </c>
      <c r="BQ65" s="9">
        <f t="shared" si="21"/>
        <v>0</v>
      </c>
      <c r="BR65" s="9">
        <f t="shared" si="22"/>
        <v>0</v>
      </c>
      <c r="BS65" s="9">
        <f t="shared" si="23"/>
        <v>0</v>
      </c>
      <c r="BT65" s="9">
        <f t="shared" si="24"/>
        <v>0</v>
      </c>
      <c r="BU65" s="9">
        <f t="shared" si="25"/>
        <v>2</v>
      </c>
      <c r="BV65" s="9">
        <f t="shared" si="26"/>
        <v>0</v>
      </c>
      <c r="BX65" s="9">
        <f>IF(AND(ISNUMBER($BN65),$BO65="Left 2nd Stage",SUM($BX$5:BX64)=0),$BN65,0)</f>
        <v>0</v>
      </c>
      <c r="BY65" s="9">
        <f t="shared" si="46"/>
        <v>0</v>
      </c>
      <c r="BZ65" s="9">
        <f>IF(AND(ISNUMBER($BN65),$BO65="Right 2nd Stage",SUM($BZ$5:$BZ64)=0),$BN64,0)</f>
        <v>0</v>
      </c>
      <c r="CA65" s="9">
        <f t="shared" si="47"/>
        <v>0</v>
      </c>
    </row>
    <row r="66" spans="1:79">
      <c r="A66" s="9">
        <v>62</v>
      </c>
      <c r="B66" s="166" t="e">
        <f>IF(ISNUMBER(XS_Analyzer!B66),XS_Analyzer!B66,NA())</f>
        <v>#N/A</v>
      </c>
      <c r="C66" s="88" t="e">
        <f>IF(ISNUMBER(XS_Analyzer!C66),XS_Analyzer!C66,NA())</f>
        <v>#N/A</v>
      </c>
      <c r="D66" s="88" t="str">
        <f>IF(ISNUMBER(XS_Analyzer!E66),XS_Analyzer!E66,"")</f>
        <v/>
      </c>
      <c r="E66" s="9" t="str">
        <f t="shared" si="28"/>
        <v/>
      </c>
      <c r="F66" s="88" t="e">
        <f>IF(AND(ISTEXT(XS_Analyzer!D66),XS_Analyzer!D66&lt;&gt;""),VLOOKUP(XS_Analyzer!D66,$K$12:$L$21,2,FALSE),"")</f>
        <v>#N/A</v>
      </c>
      <c r="G66" s="132" t="str">
        <f t="shared" si="29"/>
        <v/>
      </c>
      <c r="H66" s="132"/>
      <c r="Q66" s="5" t="str">
        <f t="shared" si="30"/>
        <v>N</v>
      </c>
      <c r="R66" s="5" t="str">
        <f t="shared" si="31"/>
        <v/>
      </c>
      <c r="S66" s="5" t="str">
        <f t="shared" si="32"/>
        <v/>
      </c>
      <c r="T66" s="5" t="str">
        <f t="shared" si="33"/>
        <v/>
      </c>
      <c r="U66" s="5" t="str">
        <f t="shared" si="34"/>
        <v/>
      </c>
      <c r="V66" s="62" t="str">
        <f t="shared" si="35"/>
        <v/>
      </c>
      <c r="W66" s="62" t="e">
        <f t="shared" si="48"/>
        <v>#N/A</v>
      </c>
      <c r="X66" s="9" t="e">
        <f t="shared" si="1"/>
        <v>#N/A</v>
      </c>
      <c r="Y66" s="64" t="str">
        <f t="shared" si="36"/>
        <v/>
      </c>
      <c r="Z66" s="174" t="str">
        <f t="shared" si="37"/>
        <v/>
      </c>
      <c r="AA66" s="64" t="str">
        <f>IF(ISNUMBER(Y66),INDEX(Y66:Y106,MATCH(TRUE,INDEX(Y66:Y106&lt;&gt;Y66,),0)),"")</f>
        <v/>
      </c>
      <c r="AB66" s="64" t="str">
        <f t="shared" si="39"/>
        <v/>
      </c>
      <c r="AC66" s="64" t="str">
        <f t="shared" si="40"/>
        <v/>
      </c>
      <c r="AD66" s="64" t="e">
        <f>IF(ISTEXT(AB66),INDEX(AB66:AB106,MATCH(TRUE,INDEX(AB66:AB106&lt;&gt;AB66,),0)),"")</f>
        <v>#N/A</v>
      </c>
      <c r="AE66" s="11" t="str">
        <f t="shared" si="42"/>
        <v/>
      </c>
      <c r="AF66" s="11" t="str">
        <f t="shared" si="2"/>
        <v/>
      </c>
      <c r="AG66" s="11" t="str">
        <f t="shared" si="3"/>
        <v/>
      </c>
      <c r="AH66" s="11" t="str">
        <f t="shared" si="43"/>
        <v/>
      </c>
      <c r="AI66" s="11" t="e">
        <f>IF(AND(ISNUMBER(AI65),ISNUMBER(S66)),(VLOOKUP(AD66,AB66:AC106,2,FALSE)),IF(ISNUMBER(S66),R66,NA()))</f>
        <v>#N/A</v>
      </c>
      <c r="AJ66" s="11" t="e">
        <f t="shared" si="4"/>
        <v>#N/A</v>
      </c>
      <c r="AK66" s="11" t="str">
        <f t="shared" si="5"/>
        <v/>
      </c>
      <c r="AL66" s="11" t="str">
        <f t="shared" si="6"/>
        <v/>
      </c>
      <c r="AS66" s="74">
        <f t="shared" si="7"/>
        <v>10</v>
      </c>
      <c r="AT66" s="74">
        <f t="shared" si="8"/>
        <v>5</v>
      </c>
      <c r="AU66" s="74">
        <f t="shared" si="9"/>
        <v>10</v>
      </c>
      <c r="AV66" s="74">
        <f t="shared" si="0"/>
        <v>5</v>
      </c>
      <c r="AW66" s="102"/>
      <c r="AY66" s="9">
        <f t="shared" si="10"/>
        <v>10</v>
      </c>
      <c r="AZ66" s="11">
        <f t="shared" si="11"/>
        <v>3</v>
      </c>
      <c r="BA66" s="75">
        <f t="shared" si="12"/>
        <v>10</v>
      </c>
      <c r="BB66" s="11">
        <f t="shared" si="13"/>
        <v>3</v>
      </c>
      <c r="BD66" s="11">
        <f t="shared" si="14"/>
        <v>2</v>
      </c>
      <c r="BE66" s="9">
        <f t="shared" si="15"/>
        <v>0</v>
      </c>
      <c r="BF66" s="71">
        <f t="shared" si="16"/>
        <v>0</v>
      </c>
      <c r="BG66" s="11" t="str">
        <f t="shared" si="17"/>
        <v>MAX WSE</v>
      </c>
      <c r="BH66" s="132">
        <f t="shared" si="45"/>
        <v>5</v>
      </c>
      <c r="BJ66" s="71">
        <f t="shared" si="18"/>
        <v>2</v>
      </c>
      <c r="BL66" s="9">
        <f t="shared" si="49"/>
        <v>0</v>
      </c>
      <c r="BM66" s="9"/>
      <c r="BN66" s="9">
        <f t="shared" si="20"/>
        <v>10</v>
      </c>
      <c r="BO66" s="9" t="str">
        <f>IF(BP66="Left",IF(ISNA(VLOOKUP(BN66,XS_AnalyzerSummary!$A$21:$B$25,2,TRUE)),"",VLOOKUP(BN66,XS_AnalyzerSummary!$A$21:$B$25,2,TRUE)),IF(ISNA(VLOOKUP(-BN66,XS_AnalyzerSummary!$A$28:$B$32,2,TRUE)),"",VLOOKUP(-BN66,XS_AnalyzerSummary!$A$28:$B$32,2,TRUE)))</f>
        <v>Right Bank</v>
      </c>
      <c r="BP66" s="9" t="str">
        <f>IF(AU66&lt;XS_AnalyzerSummary!$B$7,"Left",IF(AU66&gt;XS_AnalyzerSummary!$B$7,"Right","Thalweg"))</f>
        <v>Right</v>
      </c>
      <c r="BQ66" s="9">
        <f t="shared" si="21"/>
        <v>0</v>
      </c>
      <c r="BR66" s="9">
        <f t="shared" si="22"/>
        <v>0</v>
      </c>
      <c r="BS66" s="9">
        <f t="shared" si="23"/>
        <v>0</v>
      </c>
      <c r="BT66" s="9">
        <f t="shared" si="24"/>
        <v>0</v>
      </c>
      <c r="BU66" s="9">
        <f t="shared" si="25"/>
        <v>2</v>
      </c>
      <c r="BV66" s="9">
        <f t="shared" si="26"/>
        <v>0</v>
      </c>
      <c r="BX66" s="9">
        <f>IF(AND(ISNUMBER($BN66),$BO66="Left 2nd Stage",SUM($BX$5:BX65)=0),$BN66,0)</f>
        <v>0</v>
      </c>
      <c r="BY66" s="9">
        <f t="shared" si="46"/>
        <v>0</v>
      </c>
      <c r="BZ66" s="9">
        <f>IF(AND(ISNUMBER($BN66),$BO66="Right 2nd Stage",SUM($BZ$5:$BZ65)=0),$BN65,0)</f>
        <v>0</v>
      </c>
      <c r="CA66" s="9">
        <f t="shared" si="47"/>
        <v>0</v>
      </c>
    </row>
    <row r="67" spans="1:79">
      <c r="A67" s="9">
        <v>63</v>
      </c>
      <c r="B67" s="166" t="e">
        <f>IF(ISNUMBER(XS_Analyzer!B67),XS_Analyzer!B67,NA())</f>
        <v>#N/A</v>
      </c>
      <c r="C67" s="88" t="e">
        <f>IF(ISNUMBER(XS_Analyzer!C67),XS_Analyzer!C67,NA())</f>
        <v>#N/A</v>
      </c>
      <c r="D67" s="88" t="str">
        <f>IF(ISNUMBER(XS_Analyzer!E67),XS_Analyzer!E67,"")</f>
        <v/>
      </c>
      <c r="E67" s="9" t="str">
        <f t="shared" si="28"/>
        <v/>
      </c>
      <c r="F67" s="88" t="e">
        <f>IF(AND(ISTEXT(XS_Analyzer!D67),XS_Analyzer!D67&lt;&gt;""),VLOOKUP(XS_Analyzer!D67,$K$12:$L$21,2,FALSE),"")</f>
        <v>#N/A</v>
      </c>
      <c r="G67" s="132" t="str">
        <f t="shared" si="29"/>
        <v/>
      </c>
      <c r="H67" s="132"/>
      <c r="Q67" s="5" t="str">
        <f t="shared" si="30"/>
        <v>N</v>
      </c>
      <c r="R67" s="5" t="str">
        <f t="shared" si="31"/>
        <v/>
      </c>
      <c r="S67" s="5" t="str">
        <f t="shared" si="32"/>
        <v/>
      </c>
      <c r="T67" s="5" t="str">
        <f t="shared" si="33"/>
        <v/>
      </c>
      <c r="U67" s="5" t="str">
        <f t="shared" si="34"/>
        <v/>
      </c>
      <c r="V67" s="62" t="str">
        <f t="shared" si="35"/>
        <v/>
      </c>
      <c r="W67" s="62" t="e">
        <f t="shared" si="48"/>
        <v>#N/A</v>
      </c>
      <c r="X67" s="9" t="e">
        <f t="shared" si="1"/>
        <v>#N/A</v>
      </c>
      <c r="Y67" s="64" t="str">
        <f t="shared" si="36"/>
        <v/>
      </c>
      <c r="Z67" s="174" t="str">
        <f t="shared" si="37"/>
        <v/>
      </c>
      <c r="AA67" s="64" t="str">
        <f>IF(ISNUMBER(Y67),INDEX(Y67:Y106,MATCH(TRUE,INDEX(Y67:Y106&lt;&gt;Y67,),0)),"")</f>
        <v/>
      </c>
      <c r="AB67" s="64" t="str">
        <f t="shared" si="39"/>
        <v/>
      </c>
      <c r="AC67" s="64" t="str">
        <f t="shared" si="40"/>
        <v/>
      </c>
      <c r="AD67" s="64" t="e">
        <f>IF(ISTEXT(AB67),INDEX(AB67:AB106,MATCH(TRUE,INDEX(AB67:AB106&lt;&gt;AB67,),0)),"")</f>
        <v>#N/A</v>
      </c>
      <c r="AE67" s="11" t="str">
        <f t="shared" si="42"/>
        <v/>
      </c>
      <c r="AF67" s="11" t="str">
        <f t="shared" si="2"/>
        <v/>
      </c>
      <c r="AG67" s="11" t="str">
        <f t="shared" si="3"/>
        <v/>
      </c>
      <c r="AH67" s="11" t="str">
        <f t="shared" si="43"/>
        <v/>
      </c>
      <c r="AI67" s="11" t="e">
        <f>IF(AND(ISNUMBER(AI66),ISNUMBER(S67)),(VLOOKUP(AD67,AB67:AC106,2,FALSE)),IF(ISNUMBER(S67),R67,NA()))</f>
        <v>#N/A</v>
      </c>
      <c r="AJ67" s="11" t="e">
        <f t="shared" si="4"/>
        <v>#N/A</v>
      </c>
      <c r="AK67" s="11" t="str">
        <f t="shared" si="5"/>
        <v/>
      </c>
      <c r="AL67" s="11" t="str">
        <f t="shared" si="6"/>
        <v/>
      </c>
      <c r="AS67" s="74">
        <f t="shared" si="7"/>
        <v>10</v>
      </c>
      <c r="AT67" s="74">
        <f t="shared" si="8"/>
        <v>5</v>
      </c>
      <c r="AU67" s="74">
        <f t="shared" si="9"/>
        <v>10</v>
      </c>
      <c r="AV67" s="74">
        <f t="shared" si="0"/>
        <v>5</v>
      </c>
      <c r="AW67" s="102"/>
      <c r="AY67" s="9">
        <f t="shared" si="10"/>
        <v>10</v>
      </c>
      <c r="AZ67" s="11">
        <f t="shared" si="11"/>
        <v>3</v>
      </c>
      <c r="BA67" s="75">
        <f t="shared" si="12"/>
        <v>10</v>
      </c>
      <c r="BB67" s="11">
        <f t="shared" si="13"/>
        <v>3</v>
      </c>
      <c r="BD67" s="11">
        <f t="shared" si="14"/>
        <v>2</v>
      </c>
      <c r="BE67" s="9">
        <f t="shared" si="15"/>
        <v>0</v>
      </c>
      <c r="BF67" s="71">
        <f t="shared" si="16"/>
        <v>0</v>
      </c>
      <c r="BG67" s="11" t="str">
        <f t="shared" si="17"/>
        <v>MAX WSE</v>
      </c>
      <c r="BH67" s="132">
        <f t="shared" si="45"/>
        <v>5</v>
      </c>
      <c r="BJ67" s="71">
        <f t="shared" si="18"/>
        <v>2</v>
      </c>
      <c r="BL67" s="9">
        <f t="shared" si="49"/>
        <v>0</v>
      </c>
      <c r="BM67" s="9"/>
      <c r="BN67" s="9">
        <f t="shared" si="20"/>
        <v>10</v>
      </c>
      <c r="BO67" s="9" t="str">
        <f>IF(BP67="Left",IF(ISNA(VLOOKUP(BN67,XS_AnalyzerSummary!$A$21:$B$25,2,TRUE)),"",VLOOKUP(BN67,XS_AnalyzerSummary!$A$21:$B$25,2,TRUE)),IF(ISNA(VLOOKUP(-BN67,XS_AnalyzerSummary!$A$28:$B$32,2,TRUE)),"",VLOOKUP(-BN67,XS_AnalyzerSummary!$A$28:$B$32,2,TRUE)))</f>
        <v>Right Bank</v>
      </c>
      <c r="BP67" s="9" t="str">
        <f>IF(AU67&lt;XS_AnalyzerSummary!$B$7,"Left",IF(AU67&gt;XS_AnalyzerSummary!$B$7,"Right","Thalweg"))</f>
        <v>Right</v>
      </c>
      <c r="BQ67" s="9">
        <f t="shared" si="21"/>
        <v>0</v>
      </c>
      <c r="BR67" s="9">
        <f t="shared" si="22"/>
        <v>0</v>
      </c>
      <c r="BS67" s="9">
        <f t="shared" si="23"/>
        <v>0</v>
      </c>
      <c r="BT67" s="9">
        <f t="shared" si="24"/>
        <v>0</v>
      </c>
      <c r="BU67" s="9">
        <f t="shared" si="25"/>
        <v>2</v>
      </c>
      <c r="BV67" s="9">
        <f t="shared" si="26"/>
        <v>0</v>
      </c>
      <c r="BX67" s="9">
        <f>IF(AND(ISNUMBER($BN67),$BO67="Left 2nd Stage",SUM($BX$5:BX66)=0),$BN67,0)</f>
        <v>0</v>
      </c>
      <c r="BY67" s="9">
        <f t="shared" si="46"/>
        <v>0</v>
      </c>
      <c r="BZ67" s="9">
        <f>IF(AND(ISNUMBER($BN67),$BO67="Right 2nd Stage",SUM($BZ$5:$BZ66)=0),$BN66,0)</f>
        <v>0</v>
      </c>
      <c r="CA67" s="9">
        <f t="shared" si="47"/>
        <v>0</v>
      </c>
    </row>
    <row r="68" spans="1:79">
      <c r="A68" s="9">
        <v>64</v>
      </c>
      <c r="B68" s="166" t="e">
        <f>IF(ISNUMBER(XS_Analyzer!B68),XS_Analyzer!B68,NA())</f>
        <v>#N/A</v>
      </c>
      <c r="C68" s="88" t="e">
        <f>IF(ISNUMBER(XS_Analyzer!C68),XS_Analyzer!C68,NA())</f>
        <v>#N/A</v>
      </c>
      <c r="D68" s="88" t="str">
        <f>IF(ISNUMBER(XS_Analyzer!E68),XS_Analyzer!E68,"")</f>
        <v/>
      </c>
      <c r="E68" s="9" t="str">
        <f t="shared" si="28"/>
        <v/>
      </c>
      <c r="F68" s="88" t="e">
        <f>IF(AND(ISTEXT(XS_Analyzer!D68),XS_Analyzer!D68&lt;&gt;""),VLOOKUP(XS_Analyzer!D68,$K$12:$L$21,2,FALSE),"")</f>
        <v>#N/A</v>
      </c>
      <c r="G68" s="132" t="str">
        <f t="shared" si="29"/>
        <v/>
      </c>
      <c r="H68" s="132"/>
      <c r="Q68" s="5" t="str">
        <f t="shared" si="30"/>
        <v>N</v>
      </c>
      <c r="R68" s="5" t="str">
        <f t="shared" si="31"/>
        <v/>
      </c>
      <c r="S68" s="5" t="str">
        <f t="shared" si="32"/>
        <v/>
      </c>
      <c r="T68" s="5" t="str">
        <f t="shared" si="33"/>
        <v/>
      </c>
      <c r="U68" s="5" t="str">
        <f t="shared" si="34"/>
        <v/>
      </c>
      <c r="V68" s="62" t="str">
        <f t="shared" si="35"/>
        <v/>
      </c>
      <c r="W68" s="62" t="e">
        <f t="shared" si="48"/>
        <v>#N/A</v>
      </c>
      <c r="X68" s="9" t="e">
        <f t="shared" si="1"/>
        <v>#N/A</v>
      </c>
      <c r="Y68" s="64" t="str">
        <f t="shared" si="36"/>
        <v/>
      </c>
      <c r="Z68" s="174" t="str">
        <f t="shared" si="37"/>
        <v/>
      </c>
      <c r="AA68" s="64" t="str">
        <f>IF(ISNUMBER(Y68),INDEX(Y68:Y106,MATCH(TRUE,INDEX(Y68:Y106&lt;&gt;Y68,),0)),"")</f>
        <v/>
      </c>
      <c r="AB68" s="64" t="str">
        <f t="shared" si="39"/>
        <v/>
      </c>
      <c r="AC68" s="64" t="str">
        <f t="shared" si="40"/>
        <v/>
      </c>
      <c r="AD68" s="64" t="e">
        <f>IF(ISTEXT(AB68),INDEX(AB68:AB106,MATCH(TRUE,INDEX(AB68:AB106&lt;&gt;AB68,),0)),"")</f>
        <v>#N/A</v>
      </c>
      <c r="AE68" s="11" t="str">
        <f t="shared" si="42"/>
        <v/>
      </c>
      <c r="AF68" s="11" t="str">
        <f t="shared" si="2"/>
        <v/>
      </c>
      <c r="AG68" s="11" t="str">
        <f t="shared" si="3"/>
        <v/>
      </c>
      <c r="AH68" s="11" t="str">
        <f t="shared" si="43"/>
        <v/>
      </c>
      <c r="AI68" s="11" t="e">
        <f>IF(AND(ISNUMBER(AI67),ISNUMBER(S68)),(VLOOKUP(AD68,AB68:AC106,2,FALSE)),IF(ISNUMBER(S68),R68,NA()))</f>
        <v>#N/A</v>
      </c>
      <c r="AJ68" s="11" t="e">
        <f t="shared" si="4"/>
        <v>#N/A</v>
      </c>
      <c r="AK68" s="11" t="str">
        <f t="shared" si="5"/>
        <v/>
      </c>
      <c r="AL68" s="11" t="str">
        <f t="shared" si="6"/>
        <v/>
      </c>
      <c r="AS68" s="74">
        <f t="shared" si="7"/>
        <v>10</v>
      </c>
      <c r="AT68" s="74">
        <f t="shared" si="8"/>
        <v>5</v>
      </c>
      <c r="AU68" s="74">
        <f t="shared" si="9"/>
        <v>10</v>
      </c>
      <c r="AV68" s="74">
        <f t="shared" si="0"/>
        <v>5</v>
      </c>
      <c r="AW68" s="102"/>
      <c r="AY68" s="9">
        <f t="shared" si="10"/>
        <v>10</v>
      </c>
      <c r="AZ68" s="11">
        <f t="shared" si="11"/>
        <v>3</v>
      </c>
      <c r="BA68" s="75">
        <f t="shared" si="12"/>
        <v>10</v>
      </c>
      <c r="BB68" s="11">
        <f t="shared" si="13"/>
        <v>3</v>
      </c>
      <c r="BD68" s="11">
        <f t="shared" si="14"/>
        <v>2</v>
      </c>
      <c r="BE68" s="9">
        <f t="shared" si="15"/>
        <v>0</v>
      </c>
      <c r="BF68" s="71">
        <f t="shared" si="16"/>
        <v>0</v>
      </c>
      <c r="BG68" s="11" t="str">
        <f t="shared" si="17"/>
        <v>MAX WSE</v>
      </c>
      <c r="BH68" s="132">
        <f t="shared" si="45"/>
        <v>5</v>
      </c>
      <c r="BJ68" s="71">
        <f t="shared" si="18"/>
        <v>2</v>
      </c>
      <c r="BL68" s="9">
        <f t="shared" si="49"/>
        <v>0</v>
      </c>
      <c r="BM68" s="9"/>
      <c r="BN68" s="9">
        <f t="shared" si="20"/>
        <v>10</v>
      </c>
      <c r="BO68" s="9" t="str">
        <f>IF(BP68="Left",IF(ISNA(VLOOKUP(BN68,XS_AnalyzerSummary!$A$21:$B$25,2,TRUE)),"",VLOOKUP(BN68,XS_AnalyzerSummary!$A$21:$B$25,2,TRUE)),IF(ISNA(VLOOKUP(-BN68,XS_AnalyzerSummary!$A$28:$B$32,2,TRUE)),"",VLOOKUP(-BN68,XS_AnalyzerSummary!$A$28:$B$32,2,TRUE)))</f>
        <v>Right Bank</v>
      </c>
      <c r="BP68" s="9" t="str">
        <f>IF(AU68&lt;XS_AnalyzerSummary!$B$7,"Left",IF(AU68&gt;XS_AnalyzerSummary!$B$7,"Right","Thalweg"))</f>
        <v>Right</v>
      </c>
      <c r="BQ68" s="9">
        <f t="shared" si="21"/>
        <v>0</v>
      </c>
      <c r="BR68" s="9">
        <f t="shared" si="22"/>
        <v>0</v>
      </c>
      <c r="BS68" s="9">
        <f t="shared" si="23"/>
        <v>0</v>
      </c>
      <c r="BT68" s="9">
        <f t="shared" si="24"/>
        <v>0</v>
      </c>
      <c r="BU68" s="9">
        <f t="shared" si="25"/>
        <v>2</v>
      </c>
      <c r="BV68" s="9">
        <f t="shared" si="26"/>
        <v>0</v>
      </c>
      <c r="BX68" s="9">
        <f>IF(AND(ISNUMBER($BN68),$BO68="Left 2nd Stage",SUM($BX$5:BX67)=0),$BN68,0)</f>
        <v>0</v>
      </c>
      <c r="BY68" s="9">
        <f t="shared" si="46"/>
        <v>0</v>
      </c>
      <c r="BZ68" s="9">
        <f>IF(AND(ISNUMBER($BN68),$BO68="Right 2nd Stage",SUM($BZ$5:$BZ67)=0),$BN67,0)</f>
        <v>0</v>
      </c>
      <c r="CA68" s="9">
        <f t="shared" si="47"/>
        <v>0</v>
      </c>
    </row>
    <row r="69" spans="1:79">
      <c r="A69" s="9">
        <v>65</v>
      </c>
      <c r="B69" s="166" t="e">
        <f>IF(ISNUMBER(XS_Analyzer!B69),XS_Analyzer!B69,NA())</f>
        <v>#N/A</v>
      </c>
      <c r="C69" s="88" t="e">
        <f>IF(ISNUMBER(XS_Analyzer!C69),XS_Analyzer!C69,NA())</f>
        <v>#N/A</v>
      </c>
      <c r="D69" s="88" t="str">
        <f>IF(ISNUMBER(XS_Analyzer!E69),XS_Analyzer!E69,"")</f>
        <v/>
      </c>
      <c r="E69" s="9" t="str">
        <f t="shared" si="28"/>
        <v/>
      </c>
      <c r="F69" s="88" t="e">
        <f>IF(AND(ISTEXT(XS_Analyzer!D69),XS_Analyzer!D69&lt;&gt;""),VLOOKUP(XS_Analyzer!D69,$K$12:$L$21,2,FALSE),"")</f>
        <v>#N/A</v>
      </c>
      <c r="G69" s="132" t="str">
        <f t="shared" si="29"/>
        <v/>
      </c>
      <c r="H69" s="132"/>
      <c r="Q69" s="5" t="str">
        <f t="shared" si="30"/>
        <v>N</v>
      </c>
      <c r="R69" s="5" t="str">
        <f t="shared" si="31"/>
        <v/>
      </c>
      <c r="S69" s="5" t="str">
        <f t="shared" si="32"/>
        <v/>
      </c>
      <c r="T69" s="5" t="str">
        <f t="shared" si="33"/>
        <v/>
      </c>
      <c r="U69" s="5" t="str">
        <f t="shared" si="34"/>
        <v/>
      </c>
      <c r="V69" s="62" t="str">
        <f t="shared" si="35"/>
        <v/>
      </c>
      <c r="W69" s="62" t="e">
        <f t="shared" si="48"/>
        <v>#N/A</v>
      </c>
      <c r="X69" s="9" t="e">
        <f t="shared" si="1"/>
        <v>#N/A</v>
      </c>
      <c r="Y69" s="64" t="str">
        <f t="shared" si="36"/>
        <v/>
      </c>
      <c r="Z69" s="174" t="str">
        <f t="shared" si="37"/>
        <v/>
      </c>
      <c r="AA69" s="64" t="str">
        <f>IF(ISNUMBER(Y69),INDEX(Y69:Y106,MATCH(TRUE,INDEX(Y69:Y106&lt;&gt;Y69,),0)),"")</f>
        <v/>
      </c>
      <c r="AB69" s="64" t="str">
        <f t="shared" si="39"/>
        <v/>
      </c>
      <c r="AC69" s="64" t="str">
        <f t="shared" si="40"/>
        <v/>
      </c>
      <c r="AD69" s="64" t="e">
        <f>IF(ISTEXT(AB69),INDEX(AB69:AB106,MATCH(TRUE,INDEX(AB69:AB106&lt;&gt;AB69,),0)),"")</f>
        <v>#N/A</v>
      </c>
      <c r="AE69" s="11" t="str">
        <f t="shared" si="42"/>
        <v/>
      </c>
      <c r="AF69" s="11" t="str">
        <f t="shared" si="2"/>
        <v/>
      </c>
      <c r="AG69" s="11" t="str">
        <f t="shared" si="3"/>
        <v/>
      </c>
      <c r="AH69" s="11" t="str">
        <f t="shared" si="43"/>
        <v/>
      </c>
      <c r="AI69" s="11" t="e">
        <f>IF(AND(ISNUMBER(AI68),ISNUMBER(S69)),(VLOOKUP(AD69,AB69:AC106,2,FALSE)),IF(ISNUMBER(S69),R69,NA()))</f>
        <v>#N/A</v>
      </c>
      <c r="AJ69" s="11" t="e">
        <f t="shared" si="4"/>
        <v>#N/A</v>
      </c>
      <c r="AK69" s="11" t="str">
        <f t="shared" si="5"/>
        <v/>
      </c>
      <c r="AL69" s="11" t="str">
        <f t="shared" si="6"/>
        <v/>
      </c>
      <c r="AS69" s="74">
        <f t="shared" si="7"/>
        <v>10</v>
      </c>
      <c r="AT69" s="74">
        <f t="shared" si="8"/>
        <v>5</v>
      </c>
      <c r="AU69" s="74">
        <f t="shared" si="9"/>
        <v>10</v>
      </c>
      <c r="AV69" s="74">
        <f t="shared" si="0"/>
        <v>5</v>
      </c>
      <c r="AW69" s="102"/>
      <c r="AY69" s="9">
        <f t="shared" si="10"/>
        <v>10</v>
      </c>
      <c r="AZ69" s="11">
        <f t="shared" si="11"/>
        <v>3</v>
      </c>
      <c r="BA69" s="75">
        <f t="shared" si="12"/>
        <v>10</v>
      </c>
      <c r="BB69" s="11">
        <f t="shared" si="13"/>
        <v>3</v>
      </c>
      <c r="BD69" s="11">
        <f t="shared" si="14"/>
        <v>2</v>
      </c>
      <c r="BE69" s="9">
        <f t="shared" si="15"/>
        <v>0</v>
      </c>
      <c r="BF69" s="71">
        <f t="shared" si="16"/>
        <v>0</v>
      </c>
      <c r="BG69" s="11" t="str">
        <f t="shared" si="17"/>
        <v>MAX WSE</v>
      </c>
      <c r="BH69" s="132">
        <f t="shared" ref="BH69:BH104" si="51">AV69</f>
        <v>5</v>
      </c>
      <c r="BJ69" s="71">
        <f t="shared" si="18"/>
        <v>2</v>
      </c>
      <c r="BL69" s="9">
        <f t="shared" si="49"/>
        <v>0</v>
      </c>
      <c r="BM69" s="9"/>
      <c r="BN69" s="9">
        <f t="shared" si="20"/>
        <v>10</v>
      </c>
      <c r="BO69" s="9" t="str">
        <f>IF(BP69="Left",IF(ISNA(VLOOKUP(BN69,XS_AnalyzerSummary!$A$21:$B$25,2,TRUE)),"",VLOOKUP(BN69,XS_AnalyzerSummary!$A$21:$B$25,2,TRUE)),IF(ISNA(VLOOKUP(-BN69,XS_AnalyzerSummary!$A$28:$B$32,2,TRUE)),"",VLOOKUP(-BN69,XS_AnalyzerSummary!$A$28:$B$32,2,TRUE)))</f>
        <v>Right Bank</v>
      </c>
      <c r="BP69" s="9" t="str">
        <f>IF(AU69&lt;XS_AnalyzerSummary!$B$7,"Left",IF(AU69&gt;XS_AnalyzerSummary!$B$7,"Right","Thalweg"))</f>
        <v>Right</v>
      </c>
      <c r="BQ69" s="9">
        <f t="shared" si="21"/>
        <v>0</v>
      </c>
      <c r="BR69" s="9">
        <f t="shared" si="22"/>
        <v>0</v>
      </c>
      <c r="BS69" s="9">
        <f t="shared" si="23"/>
        <v>0</v>
      </c>
      <c r="BT69" s="9">
        <f t="shared" si="24"/>
        <v>0</v>
      </c>
      <c r="BU69" s="9">
        <f t="shared" si="25"/>
        <v>2</v>
      </c>
      <c r="BV69" s="9">
        <f t="shared" si="26"/>
        <v>0</v>
      </c>
      <c r="BX69" s="9">
        <f>IF(AND(ISNUMBER($BN69),$BO69="Left 2nd Stage",SUM($BX$5:BX68)=0),$BN69,0)</f>
        <v>0</v>
      </c>
      <c r="BY69" s="9">
        <f t="shared" ref="BY69:BY103" si="52">IF(AND(ISNUMBER($BN69),$BO69="Left Bank"),$BN69,0)</f>
        <v>0</v>
      </c>
      <c r="BZ69" s="9">
        <f>IF(AND(ISNUMBER($BN69),$BO69="Right 2nd Stage",SUM($BZ$5:$BZ68)=0),$BN68,0)</f>
        <v>0</v>
      </c>
      <c r="CA69" s="9">
        <f t="shared" si="47"/>
        <v>0</v>
      </c>
    </row>
    <row r="70" spans="1:79">
      <c r="A70" s="9">
        <v>66</v>
      </c>
      <c r="B70" s="166" t="e">
        <f>IF(ISNUMBER(XS_Analyzer!B70),XS_Analyzer!B70,NA())</f>
        <v>#N/A</v>
      </c>
      <c r="C70" s="88" t="e">
        <f>IF(ISNUMBER(XS_Analyzer!C70),XS_Analyzer!C70,NA())</f>
        <v>#N/A</v>
      </c>
      <c r="D70" s="88" t="str">
        <f>IF(ISNUMBER(XS_Analyzer!E70),XS_Analyzer!E70,"")</f>
        <v/>
      </c>
      <c r="E70" s="9" t="str">
        <f t="shared" si="28"/>
        <v/>
      </c>
      <c r="F70" s="88" t="e">
        <f>IF(AND(ISTEXT(XS_Analyzer!D70),XS_Analyzer!D70&lt;&gt;""),VLOOKUP(XS_Analyzer!D70,$K$12:$L$21,2,FALSE),"")</f>
        <v>#N/A</v>
      </c>
      <c r="G70" s="132" t="str">
        <f t="shared" si="29"/>
        <v/>
      </c>
      <c r="H70" s="132"/>
      <c r="Q70" s="5" t="str">
        <f t="shared" si="30"/>
        <v>N</v>
      </c>
      <c r="R70" s="5" t="str">
        <f t="shared" si="31"/>
        <v/>
      </c>
      <c r="S70" s="5" t="str">
        <f t="shared" si="32"/>
        <v/>
      </c>
      <c r="T70" s="5" t="str">
        <f t="shared" si="33"/>
        <v/>
      </c>
      <c r="U70" s="5" t="str">
        <f t="shared" si="34"/>
        <v/>
      </c>
      <c r="V70" s="62" t="str">
        <f t="shared" si="35"/>
        <v/>
      </c>
      <c r="W70" s="62" t="e">
        <f t="shared" ref="W70:W104" si="53">IF(ISNUMBER(AJ70),$C$3+$O$22,IF(ISNUMBER(AJ69),$C$3+$O$22,NA()))</f>
        <v>#N/A</v>
      </c>
      <c r="X70" s="9" t="e">
        <f t="shared" si="1"/>
        <v>#N/A</v>
      </c>
      <c r="Y70" s="64" t="str">
        <f t="shared" si="36"/>
        <v/>
      </c>
      <c r="Z70" s="174" t="str">
        <f t="shared" si="37"/>
        <v/>
      </c>
      <c r="AA70" s="64" t="str">
        <f>IF(ISNUMBER(Y70),INDEX(Y70:Y106,MATCH(TRUE,INDEX(Y70:Y106&lt;&gt;Y70,),0)),"")</f>
        <v/>
      </c>
      <c r="AB70" s="64" t="str">
        <f t="shared" si="39"/>
        <v/>
      </c>
      <c r="AC70" s="64" t="str">
        <f t="shared" si="40"/>
        <v/>
      </c>
      <c r="AD70" s="64" t="e">
        <f>IF(ISTEXT(AB70),INDEX(AB70:AB106,MATCH(TRUE,INDEX(AB70:AB106&lt;&gt;AB70,),0)),"")</f>
        <v>#N/A</v>
      </c>
      <c r="AE70" s="11" t="str">
        <f t="shared" si="42"/>
        <v/>
      </c>
      <c r="AF70" s="11" t="str">
        <f t="shared" si="2"/>
        <v/>
      </c>
      <c r="AG70" s="11" t="str">
        <f t="shared" si="3"/>
        <v/>
      </c>
      <c r="AH70" s="11" t="str">
        <f t="shared" si="43"/>
        <v/>
      </c>
      <c r="AI70" s="11" t="e">
        <f>IF(AND(ISNUMBER(AI69),ISNUMBER(S70)),(VLOOKUP(AD70,AB70:AC106,2,FALSE)),IF(ISNUMBER(S70),R70,NA()))</f>
        <v>#N/A</v>
      </c>
      <c r="AJ70" s="11" t="e">
        <f t="shared" si="4"/>
        <v>#N/A</v>
      </c>
      <c r="AK70" s="11" t="str">
        <f t="shared" si="5"/>
        <v/>
      </c>
      <c r="AL70" s="11" t="str">
        <f t="shared" si="6"/>
        <v/>
      </c>
      <c r="AS70" s="74">
        <f t="shared" si="7"/>
        <v>10</v>
      </c>
      <c r="AT70" s="74">
        <f t="shared" si="8"/>
        <v>5</v>
      </c>
      <c r="AU70" s="74">
        <f t="shared" si="9"/>
        <v>10</v>
      </c>
      <c r="AV70" s="74">
        <f t="shared" si="0"/>
        <v>5</v>
      </c>
      <c r="AW70" s="102"/>
      <c r="AY70" s="9">
        <f t="shared" si="10"/>
        <v>10</v>
      </c>
      <c r="AZ70" s="11">
        <f t="shared" si="11"/>
        <v>3</v>
      </c>
      <c r="BA70" s="75">
        <f t="shared" si="12"/>
        <v>10</v>
      </c>
      <c r="BB70" s="11">
        <f t="shared" si="13"/>
        <v>3</v>
      </c>
      <c r="BD70" s="11">
        <f t="shared" si="14"/>
        <v>2</v>
      </c>
      <c r="BE70" s="9">
        <f t="shared" si="15"/>
        <v>0</v>
      </c>
      <c r="BF70" s="71">
        <f t="shared" si="16"/>
        <v>0</v>
      </c>
      <c r="BG70" s="11" t="str">
        <f t="shared" si="17"/>
        <v>MAX WSE</v>
      </c>
      <c r="BH70" s="132">
        <f t="shared" si="51"/>
        <v>5</v>
      </c>
      <c r="BJ70" s="71">
        <f t="shared" si="18"/>
        <v>2</v>
      </c>
      <c r="BL70" s="9">
        <f t="shared" si="49"/>
        <v>0</v>
      </c>
      <c r="BM70" s="9"/>
      <c r="BN70" s="9">
        <f t="shared" si="20"/>
        <v>10</v>
      </c>
      <c r="BO70" s="9" t="str">
        <f>IF(BP70="Left",IF(ISNA(VLOOKUP(BN70,XS_AnalyzerSummary!$A$21:$B$25,2,TRUE)),"",VLOOKUP(BN70,XS_AnalyzerSummary!$A$21:$B$25,2,TRUE)),IF(ISNA(VLOOKUP(-BN70,XS_AnalyzerSummary!$A$28:$B$32,2,TRUE)),"",VLOOKUP(-BN70,XS_AnalyzerSummary!$A$28:$B$32,2,TRUE)))</f>
        <v>Right Bank</v>
      </c>
      <c r="BP70" s="9" t="str">
        <f>IF(AU70&lt;XS_AnalyzerSummary!$B$7,"Left",IF(AU70&gt;XS_AnalyzerSummary!$B$7,"Right","Thalweg"))</f>
        <v>Right</v>
      </c>
      <c r="BQ70" s="9">
        <f t="shared" si="21"/>
        <v>0</v>
      </c>
      <c r="BR70" s="9">
        <f t="shared" si="22"/>
        <v>0</v>
      </c>
      <c r="BS70" s="9">
        <f t="shared" si="23"/>
        <v>0</v>
      </c>
      <c r="BT70" s="9">
        <f t="shared" si="24"/>
        <v>0</v>
      </c>
      <c r="BU70" s="9">
        <f t="shared" si="25"/>
        <v>2</v>
      </c>
      <c r="BV70" s="9">
        <f t="shared" si="26"/>
        <v>0</v>
      </c>
      <c r="BX70" s="9">
        <f>IF(AND(ISNUMBER($BN70),$BO70="Left 2nd Stage",SUM($BX$5:BX69)=0),$BN70,0)</f>
        <v>0</v>
      </c>
      <c r="BY70" s="9">
        <f t="shared" si="52"/>
        <v>0</v>
      </c>
      <c r="BZ70" s="9">
        <f>IF(AND(ISNUMBER($BN70),$BO70="Right 2nd Stage",SUM($BZ$5:$BZ69)=0),$BN69,0)</f>
        <v>0</v>
      </c>
      <c r="CA70" s="9">
        <f t="shared" si="47"/>
        <v>0</v>
      </c>
    </row>
    <row r="71" spans="1:79">
      <c r="A71" s="9">
        <v>67</v>
      </c>
      <c r="B71" s="166" t="e">
        <f>IF(ISNUMBER(XS_Analyzer!B71),XS_Analyzer!B71,NA())</f>
        <v>#N/A</v>
      </c>
      <c r="C71" s="88" t="e">
        <f>IF(ISNUMBER(XS_Analyzer!C71),XS_Analyzer!C71,NA())</f>
        <v>#N/A</v>
      </c>
      <c r="D71" s="88" t="str">
        <f>IF(ISNUMBER(XS_Analyzer!E71),XS_Analyzer!E71,"")</f>
        <v/>
      </c>
      <c r="E71" s="9" t="str">
        <f t="shared" si="28"/>
        <v/>
      </c>
      <c r="F71" s="88" t="e">
        <f>IF(AND(ISTEXT(XS_Analyzer!D71),XS_Analyzer!D71&lt;&gt;""),VLOOKUP(XS_Analyzer!D71,$K$12:$L$21,2,FALSE),"")</f>
        <v>#N/A</v>
      </c>
      <c r="G71" s="132" t="str">
        <f t="shared" si="29"/>
        <v/>
      </c>
      <c r="H71" s="132"/>
      <c r="Q71" s="5" t="str">
        <f t="shared" si="30"/>
        <v>N</v>
      </c>
      <c r="R71" s="5" t="str">
        <f t="shared" si="31"/>
        <v/>
      </c>
      <c r="S71" s="5" t="str">
        <f t="shared" si="32"/>
        <v/>
      </c>
      <c r="T71" s="5" t="str">
        <f t="shared" si="33"/>
        <v/>
      </c>
      <c r="U71" s="5" t="str">
        <f t="shared" si="34"/>
        <v/>
      </c>
      <c r="V71" s="62" t="str">
        <f t="shared" si="35"/>
        <v/>
      </c>
      <c r="W71" s="62" t="e">
        <f t="shared" si="53"/>
        <v>#N/A</v>
      </c>
      <c r="X71" s="9" t="e">
        <f t="shared" si="1"/>
        <v>#N/A</v>
      </c>
      <c r="Y71" s="64" t="str">
        <f t="shared" si="36"/>
        <v/>
      </c>
      <c r="Z71" s="174" t="str">
        <f t="shared" si="37"/>
        <v/>
      </c>
      <c r="AA71" s="64" t="str">
        <f>IF(ISNUMBER(Y71),INDEX(Y71:Y106,MATCH(TRUE,INDEX(Y71:Y106&lt;&gt;Y71,),0)),"")</f>
        <v/>
      </c>
      <c r="AB71" s="64" t="str">
        <f t="shared" si="39"/>
        <v/>
      </c>
      <c r="AC71" s="64" t="str">
        <f t="shared" si="40"/>
        <v/>
      </c>
      <c r="AD71" s="64" t="e">
        <f>IF(ISTEXT(AB71),INDEX(AB71:AB106,MATCH(TRUE,INDEX(AB71:AB106&lt;&gt;AB71,),0)),"")</f>
        <v>#N/A</v>
      </c>
      <c r="AE71" s="11" t="str">
        <f t="shared" si="42"/>
        <v/>
      </c>
      <c r="AF71" s="11" t="str">
        <f t="shared" si="2"/>
        <v/>
      </c>
      <c r="AG71" s="11" t="str">
        <f t="shared" si="3"/>
        <v/>
      </c>
      <c r="AH71" s="11" t="str">
        <f t="shared" si="43"/>
        <v/>
      </c>
      <c r="AI71" s="11" t="e">
        <f>IF(AND(ISNUMBER(AI70),ISNUMBER(S71)),(VLOOKUP(AD71,AB71:AC106,2,FALSE)),IF(ISNUMBER(S71),R71,NA()))</f>
        <v>#N/A</v>
      </c>
      <c r="AJ71" s="11" t="e">
        <f t="shared" si="4"/>
        <v>#N/A</v>
      </c>
      <c r="AK71" s="11" t="str">
        <f t="shared" si="5"/>
        <v/>
      </c>
      <c r="AL71" s="11" t="str">
        <f t="shared" si="6"/>
        <v/>
      </c>
      <c r="AS71" s="74">
        <f t="shared" si="7"/>
        <v>10</v>
      </c>
      <c r="AT71" s="74">
        <f t="shared" si="8"/>
        <v>5</v>
      </c>
      <c r="AU71" s="74">
        <f t="shared" si="9"/>
        <v>10</v>
      </c>
      <c r="AV71" s="74">
        <f t="shared" si="0"/>
        <v>5</v>
      </c>
      <c r="AW71" s="102"/>
      <c r="AY71" s="9">
        <f t="shared" si="10"/>
        <v>10</v>
      </c>
      <c r="AZ71" s="11">
        <f t="shared" si="11"/>
        <v>3</v>
      </c>
      <c r="BA71" s="75">
        <f t="shared" si="12"/>
        <v>10</v>
      </c>
      <c r="BB71" s="11">
        <f t="shared" si="13"/>
        <v>3</v>
      </c>
      <c r="BD71" s="11">
        <f t="shared" si="14"/>
        <v>2</v>
      </c>
      <c r="BE71" s="9">
        <f t="shared" si="15"/>
        <v>0</v>
      </c>
      <c r="BF71" s="71">
        <f t="shared" si="16"/>
        <v>0</v>
      </c>
      <c r="BG71" s="11" t="str">
        <f t="shared" si="17"/>
        <v>MAX WSE</v>
      </c>
      <c r="BH71" s="132">
        <f t="shared" si="51"/>
        <v>5</v>
      </c>
      <c r="BJ71" s="71">
        <f t="shared" si="18"/>
        <v>2</v>
      </c>
      <c r="BL71" s="9">
        <f t="shared" si="49"/>
        <v>0</v>
      </c>
      <c r="BM71" s="9"/>
      <c r="BN71" s="9">
        <f t="shared" si="20"/>
        <v>10</v>
      </c>
      <c r="BO71" s="9" t="str">
        <f>IF(BP71="Left",IF(ISNA(VLOOKUP(BN71,XS_AnalyzerSummary!$A$21:$B$25,2,TRUE)),"",VLOOKUP(BN71,XS_AnalyzerSummary!$A$21:$B$25,2,TRUE)),IF(ISNA(VLOOKUP(-BN71,XS_AnalyzerSummary!$A$28:$B$32,2,TRUE)),"",VLOOKUP(-BN71,XS_AnalyzerSummary!$A$28:$B$32,2,TRUE)))</f>
        <v>Right Bank</v>
      </c>
      <c r="BP71" s="9" t="str">
        <f>IF(AU71&lt;XS_AnalyzerSummary!$B$7,"Left",IF(AU71&gt;XS_AnalyzerSummary!$B$7,"Right","Thalweg"))</f>
        <v>Right</v>
      </c>
      <c r="BQ71" s="9">
        <f t="shared" si="21"/>
        <v>0</v>
      </c>
      <c r="BR71" s="9">
        <f t="shared" si="22"/>
        <v>0</v>
      </c>
      <c r="BS71" s="9">
        <f t="shared" si="23"/>
        <v>0</v>
      </c>
      <c r="BT71" s="9">
        <f t="shared" si="24"/>
        <v>0</v>
      </c>
      <c r="BU71" s="9">
        <f t="shared" si="25"/>
        <v>2</v>
      </c>
      <c r="BV71" s="9">
        <f t="shared" si="26"/>
        <v>0</v>
      </c>
      <c r="BX71" s="9">
        <f>IF(AND(ISNUMBER($BN71),$BO71="Left 2nd Stage",SUM($BX$5:BX70)=0),$BN71,0)</f>
        <v>0</v>
      </c>
      <c r="BY71" s="9">
        <f t="shared" si="52"/>
        <v>0</v>
      </c>
      <c r="BZ71" s="9">
        <f>IF(AND(ISNUMBER($BN71),$BO71="Right 2nd Stage",SUM($BZ$5:$BZ70)=0),$BN70,0)</f>
        <v>0</v>
      </c>
      <c r="CA71" s="9">
        <f t="shared" si="47"/>
        <v>0</v>
      </c>
    </row>
    <row r="72" spans="1:79">
      <c r="A72" s="9">
        <v>68</v>
      </c>
      <c r="B72" s="166" t="e">
        <f>IF(ISNUMBER(XS_Analyzer!B72),XS_Analyzer!B72,NA())</f>
        <v>#N/A</v>
      </c>
      <c r="C72" s="88" t="e">
        <f>IF(ISNUMBER(XS_Analyzer!C72),XS_Analyzer!C72,NA())</f>
        <v>#N/A</v>
      </c>
      <c r="D72" s="88" t="str">
        <f>IF(ISNUMBER(XS_Analyzer!E72),XS_Analyzer!E72,"")</f>
        <v/>
      </c>
      <c r="E72" s="9" t="str">
        <f t="shared" si="28"/>
        <v/>
      </c>
      <c r="F72" s="88" t="e">
        <f>IF(AND(ISTEXT(XS_Analyzer!D72),XS_Analyzer!D72&lt;&gt;""),VLOOKUP(XS_Analyzer!D72,$K$12:$L$21,2,FALSE),"")</f>
        <v>#N/A</v>
      </c>
      <c r="G72" s="132" t="str">
        <f t="shared" si="29"/>
        <v/>
      </c>
      <c r="H72" s="132"/>
      <c r="Q72" s="5" t="str">
        <f t="shared" si="30"/>
        <v>N</v>
      </c>
      <c r="R72" s="5" t="str">
        <f t="shared" si="31"/>
        <v/>
      </c>
      <c r="S72" s="5" t="str">
        <f t="shared" si="32"/>
        <v/>
      </c>
      <c r="T72" s="5" t="str">
        <f t="shared" si="33"/>
        <v/>
      </c>
      <c r="U72" s="5" t="str">
        <f t="shared" si="34"/>
        <v/>
      </c>
      <c r="V72" s="62" t="str">
        <f t="shared" si="35"/>
        <v/>
      </c>
      <c r="W72" s="62" t="e">
        <f t="shared" si="53"/>
        <v>#N/A</v>
      </c>
      <c r="X72" s="9" t="e">
        <f t="shared" si="1"/>
        <v>#N/A</v>
      </c>
      <c r="Y72" s="64" t="str">
        <f t="shared" si="36"/>
        <v/>
      </c>
      <c r="Z72" s="174" t="str">
        <f t="shared" si="37"/>
        <v/>
      </c>
      <c r="AA72" s="64" t="str">
        <f>IF(ISNUMBER(Y72),INDEX(Y72:Y106,MATCH(TRUE,INDEX(Y72:Y106&lt;&gt;Y72,),0)),"")</f>
        <v/>
      </c>
      <c r="AB72" s="64" t="str">
        <f t="shared" si="39"/>
        <v/>
      </c>
      <c r="AC72" s="64" t="str">
        <f t="shared" si="40"/>
        <v/>
      </c>
      <c r="AD72" s="64" t="e">
        <f>IF(ISTEXT(AB72),INDEX(AB72:AB106,MATCH(TRUE,INDEX(AB72:AB106&lt;&gt;AB72,),0)),"")</f>
        <v>#N/A</v>
      </c>
      <c r="AE72" s="11" t="str">
        <f t="shared" si="42"/>
        <v/>
      </c>
      <c r="AF72" s="11" t="str">
        <f t="shared" si="2"/>
        <v/>
      </c>
      <c r="AG72" s="11" t="str">
        <f t="shared" si="3"/>
        <v/>
      </c>
      <c r="AH72" s="11" t="str">
        <f t="shared" si="43"/>
        <v/>
      </c>
      <c r="AI72" s="11" t="e">
        <f>IF(AND(ISNUMBER(AI71),ISNUMBER(S72)),(VLOOKUP(AD72,AB72:AC106,2,FALSE)),IF(ISNUMBER(S72),R72,NA()))</f>
        <v>#N/A</v>
      </c>
      <c r="AJ72" s="11" t="e">
        <f t="shared" si="4"/>
        <v>#N/A</v>
      </c>
      <c r="AK72" s="11" t="str">
        <f t="shared" si="5"/>
        <v/>
      </c>
      <c r="AL72" s="11" t="str">
        <f t="shared" si="6"/>
        <v/>
      </c>
      <c r="AS72" s="74">
        <f t="shared" si="7"/>
        <v>10</v>
      </c>
      <c r="AT72" s="74">
        <f t="shared" si="8"/>
        <v>5</v>
      </c>
      <c r="AU72" s="74">
        <f t="shared" si="9"/>
        <v>10</v>
      </c>
      <c r="AV72" s="74">
        <f t="shared" si="0"/>
        <v>5</v>
      </c>
      <c r="AW72" s="102"/>
      <c r="AY72" s="9">
        <f t="shared" si="10"/>
        <v>10</v>
      </c>
      <c r="AZ72" s="11">
        <f t="shared" si="11"/>
        <v>3</v>
      </c>
      <c r="BA72" s="75">
        <f t="shared" si="12"/>
        <v>10</v>
      </c>
      <c r="BB72" s="11">
        <f t="shared" si="13"/>
        <v>3</v>
      </c>
      <c r="BD72" s="11">
        <f t="shared" si="14"/>
        <v>2</v>
      </c>
      <c r="BE72" s="9">
        <f t="shared" si="15"/>
        <v>0</v>
      </c>
      <c r="BF72" s="71">
        <f t="shared" si="16"/>
        <v>0</v>
      </c>
      <c r="BG72" s="11" t="str">
        <f t="shared" si="17"/>
        <v>MAX WSE</v>
      </c>
      <c r="BH72" s="132">
        <f t="shared" si="51"/>
        <v>5</v>
      </c>
      <c r="BJ72" s="71">
        <f t="shared" si="18"/>
        <v>2</v>
      </c>
      <c r="BL72" s="9">
        <f t="shared" si="49"/>
        <v>0</v>
      </c>
      <c r="BM72" s="9"/>
      <c r="BN72" s="9">
        <f t="shared" si="20"/>
        <v>10</v>
      </c>
      <c r="BO72" s="9" t="str">
        <f>IF(BP72="Left",IF(ISNA(VLOOKUP(BN72,XS_AnalyzerSummary!$A$21:$B$25,2,TRUE)),"",VLOOKUP(BN72,XS_AnalyzerSummary!$A$21:$B$25,2,TRUE)),IF(ISNA(VLOOKUP(-BN72,XS_AnalyzerSummary!$A$28:$B$32,2,TRUE)),"",VLOOKUP(-BN72,XS_AnalyzerSummary!$A$28:$B$32,2,TRUE)))</f>
        <v>Right Bank</v>
      </c>
      <c r="BP72" s="9" t="str">
        <f>IF(AU72&lt;XS_AnalyzerSummary!$B$7,"Left",IF(AU72&gt;XS_AnalyzerSummary!$B$7,"Right","Thalweg"))</f>
        <v>Right</v>
      </c>
      <c r="BQ72" s="9">
        <f t="shared" si="21"/>
        <v>0</v>
      </c>
      <c r="BR72" s="9">
        <f t="shared" si="22"/>
        <v>0</v>
      </c>
      <c r="BS72" s="9">
        <f t="shared" si="23"/>
        <v>0</v>
      </c>
      <c r="BT72" s="9">
        <f t="shared" si="24"/>
        <v>0</v>
      </c>
      <c r="BU72" s="9">
        <f t="shared" si="25"/>
        <v>2</v>
      </c>
      <c r="BV72" s="9">
        <f t="shared" si="26"/>
        <v>0</v>
      </c>
      <c r="BX72" s="9">
        <f>IF(AND(ISNUMBER($BN72),$BO72="Left 2nd Stage",SUM($BX$5:BX71)=0),$BN72,0)</f>
        <v>0</v>
      </c>
      <c r="BY72" s="9">
        <f t="shared" si="52"/>
        <v>0</v>
      </c>
      <c r="BZ72" s="9">
        <f>IF(AND(ISNUMBER($BN72),$BO72="Right 2nd Stage",SUM($BZ$5:$BZ71)=0),$BN71,0)</f>
        <v>0</v>
      </c>
      <c r="CA72" s="9">
        <f t="shared" si="47"/>
        <v>0</v>
      </c>
    </row>
    <row r="73" spans="1:79">
      <c r="A73" s="9">
        <v>69</v>
      </c>
      <c r="B73" s="166" t="e">
        <f>IF(ISNUMBER(XS_Analyzer!B73),XS_Analyzer!B73,NA())</f>
        <v>#N/A</v>
      </c>
      <c r="C73" s="88" t="e">
        <f>IF(ISNUMBER(XS_Analyzer!C73),XS_Analyzer!C73,NA())</f>
        <v>#N/A</v>
      </c>
      <c r="D73" s="88" t="str">
        <f>IF(ISNUMBER(XS_Analyzer!E73),XS_Analyzer!E73,"")</f>
        <v/>
      </c>
      <c r="E73" s="9" t="str">
        <f t="shared" si="28"/>
        <v/>
      </c>
      <c r="F73" s="88" t="e">
        <f>IF(AND(ISTEXT(XS_Analyzer!D73),XS_Analyzer!D73&lt;&gt;""),VLOOKUP(XS_Analyzer!D73,$K$12:$L$21,2,FALSE),"")</f>
        <v>#N/A</v>
      </c>
      <c r="G73" s="132" t="str">
        <f t="shared" si="29"/>
        <v/>
      </c>
      <c r="H73" s="132"/>
      <c r="Q73" s="5" t="str">
        <f t="shared" si="30"/>
        <v>N</v>
      </c>
      <c r="R73" s="5" t="str">
        <f t="shared" si="31"/>
        <v/>
      </c>
      <c r="S73" s="5" t="str">
        <f t="shared" si="32"/>
        <v/>
      </c>
      <c r="T73" s="5" t="str">
        <f t="shared" si="33"/>
        <v/>
      </c>
      <c r="U73" s="5" t="str">
        <f t="shared" si="34"/>
        <v/>
      </c>
      <c r="V73" s="62" t="str">
        <f t="shared" si="35"/>
        <v/>
      </c>
      <c r="W73" s="62" t="e">
        <f t="shared" si="53"/>
        <v>#N/A</v>
      </c>
      <c r="X73" s="9" t="e">
        <f t="shared" si="1"/>
        <v>#N/A</v>
      </c>
      <c r="Y73" s="64" t="str">
        <f t="shared" si="36"/>
        <v/>
      </c>
      <c r="Z73" s="174" t="str">
        <f t="shared" si="37"/>
        <v/>
      </c>
      <c r="AA73" s="64" t="str">
        <f>IF(ISNUMBER(Y73),INDEX(Y73:Y106,MATCH(TRUE,INDEX(Y73:Y106&lt;&gt;Y73,),0)),"")</f>
        <v/>
      </c>
      <c r="AB73" s="64" t="str">
        <f t="shared" si="39"/>
        <v/>
      </c>
      <c r="AC73" s="64" t="str">
        <f t="shared" si="40"/>
        <v/>
      </c>
      <c r="AD73" s="64" t="e">
        <f>IF(ISTEXT(AB73),INDEX(AB73:AB106,MATCH(TRUE,INDEX(AB73:AB106&lt;&gt;AB73,),0)),"")</f>
        <v>#N/A</v>
      </c>
      <c r="AE73" s="11" t="str">
        <f t="shared" si="42"/>
        <v/>
      </c>
      <c r="AF73" s="11" t="str">
        <f t="shared" si="2"/>
        <v/>
      </c>
      <c r="AG73" s="11" t="str">
        <f t="shared" si="3"/>
        <v/>
      </c>
      <c r="AH73" s="11" t="str">
        <f t="shared" si="43"/>
        <v/>
      </c>
      <c r="AI73" s="11" t="e">
        <f>IF(AND(ISNUMBER(AI72),ISNUMBER(S73)),(VLOOKUP(AD73,AB73:AC106,2,FALSE)),IF(ISNUMBER(S73),R73,NA()))</f>
        <v>#N/A</v>
      </c>
      <c r="AJ73" s="11" t="e">
        <f t="shared" si="4"/>
        <v>#N/A</v>
      </c>
      <c r="AK73" s="11" t="str">
        <f t="shared" si="5"/>
        <v/>
      </c>
      <c r="AL73" s="11" t="str">
        <f t="shared" si="6"/>
        <v/>
      </c>
      <c r="AS73" s="74">
        <f t="shared" si="7"/>
        <v>10</v>
      </c>
      <c r="AT73" s="74">
        <f t="shared" si="8"/>
        <v>5</v>
      </c>
      <c r="AU73" s="74">
        <f t="shared" si="9"/>
        <v>10</v>
      </c>
      <c r="AV73" s="74">
        <f t="shared" si="0"/>
        <v>5</v>
      </c>
      <c r="AW73" s="102"/>
      <c r="AY73" s="9">
        <f t="shared" si="10"/>
        <v>10</v>
      </c>
      <c r="AZ73" s="11">
        <f t="shared" si="11"/>
        <v>3</v>
      </c>
      <c r="BA73" s="75">
        <f t="shared" si="12"/>
        <v>10</v>
      </c>
      <c r="BB73" s="11">
        <f t="shared" si="13"/>
        <v>3</v>
      </c>
      <c r="BD73" s="11">
        <f t="shared" si="14"/>
        <v>2</v>
      </c>
      <c r="BE73" s="9">
        <f t="shared" si="15"/>
        <v>0</v>
      </c>
      <c r="BF73" s="71">
        <f t="shared" si="16"/>
        <v>0</v>
      </c>
      <c r="BG73" s="11" t="str">
        <f t="shared" si="17"/>
        <v>MAX WSE</v>
      </c>
      <c r="BH73" s="132">
        <f t="shared" si="51"/>
        <v>5</v>
      </c>
      <c r="BJ73" s="71">
        <f t="shared" si="18"/>
        <v>2</v>
      </c>
      <c r="BL73" s="9">
        <f t="shared" si="49"/>
        <v>0</v>
      </c>
      <c r="BM73" s="9"/>
      <c r="BN73" s="9">
        <f t="shared" si="20"/>
        <v>10</v>
      </c>
      <c r="BO73" s="9" t="str">
        <f>IF(BP73="Left",IF(ISNA(VLOOKUP(BN73,XS_AnalyzerSummary!$A$21:$B$25,2,TRUE)),"",VLOOKUP(BN73,XS_AnalyzerSummary!$A$21:$B$25,2,TRUE)),IF(ISNA(VLOOKUP(-BN73,XS_AnalyzerSummary!$A$28:$B$32,2,TRUE)),"",VLOOKUP(-BN73,XS_AnalyzerSummary!$A$28:$B$32,2,TRUE)))</f>
        <v>Right Bank</v>
      </c>
      <c r="BP73" s="9" t="str">
        <f>IF(AU73&lt;XS_AnalyzerSummary!$B$7,"Left",IF(AU73&gt;XS_AnalyzerSummary!$B$7,"Right","Thalweg"))</f>
        <v>Right</v>
      </c>
      <c r="BQ73" s="9">
        <f t="shared" si="21"/>
        <v>0</v>
      </c>
      <c r="BR73" s="9">
        <f t="shared" si="22"/>
        <v>0</v>
      </c>
      <c r="BS73" s="9">
        <f t="shared" si="23"/>
        <v>0</v>
      </c>
      <c r="BT73" s="9">
        <f t="shared" si="24"/>
        <v>0</v>
      </c>
      <c r="BU73" s="9">
        <f t="shared" si="25"/>
        <v>2</v>
      </c>
      <c r="BV73" s="9">
        <f t="shared" si="26"/>
        <v>0</v>
      </c>
      <c r="BX73" s="9">
        <f>IF(AND(ISNUMBER($BN73),$BO73="Left 2nd Stage",SUM($BX$5:BX72)=0),$BN73,0)</f>
        <v>0</v>
      </c>
      <c r="BY73" s="9">
        <f t="shared" si="52"/>
        <v>0</v>
      </c>
      <c r="BZ73" s="9">
        <f>IF(AND(ISNUMBER($BN73),$BO73="Right 2nd Stage",SUM($BZ$5:$BZ72)=0),$BN72,0)</f>
        <v>0</v>
      </c>
      <c r="CA73" s="9">
        <f t="shared" si="47"/>
        <v>0</v>
      </c>
    </row>
    <row r="74" spans="1:79">
      <c r="A74" s="9">
        <v>70</v>
      </c>
      <c r="B74" s="166" t="e">
        <f>IF(ISNUMBER(XS_Analyzer!B74),XS_Analyzer!B74,NA())</f>
        <v>#N/A</v>
      </c>
      <c r="C74" s="88" t="e">
        <f>IF(ISNUMBER(XS_Analyzer!C74),XS_Analyzer!C74,NA())</f>
        <v>#N/A</v>
      </c>
      <c r="D74" s="88" t="str">
        <f>IF(ISNUMBER(XS_Analyzer!E74),XS_Analyzer!E74,"")</f>
        <v/>
      </c>
      <c r="E74" s="9" t="str">
        <f t="shared" si="28"/>
        <v/>
      </c>
      <c r="F74" s="88" t="e">
        <f>IF(AND(ISTEXT(XS_Analyzer!D74),XS_Analyzer!D74&lt;&gt;""),VLOOKUP(XS_Analyzer!D74,$K$12:$L$21,2,FALSE),"")</f>
        <v>#N/A</v>
      </c>
      <c r="G74" s="132" t="str">
        <f t="shared" si="29"/>
        <v/>
      </c>
      <c r="H74" s="132"/>
      <c r="Q74" s="5" t="str">
        <f t="shared" si="30"/>
        <v>N</v>
      </c>
      <c r="R74" s="5" t="str">
        <f t="shared" si="31"/>
        <v/>
      </c>
      <c r="S74" s="5" t="str">
        <f t="shared" si="32"/>
        <v/>
      </c>
      <c r="T74" s="5" t="str">
        <f t="shared" si="33"/>
        <v/>
      </c>
      <c r="U74" s="5" t="str">
        <f t="shared" si="34"/>
        <v/>
      </c>
      <c r="V74" s="62" t="str">
        <f t="shared" si="35"/>
        <v/>
      </c>
      <c r="W74" s="62" t="e">
        <f t="shared" si="53"/>
        <v>#N/A</v>
      </c>
      <c r="X74" s="9" t="e">
        <f t="shared" si="1"/>
        <v>#N/A</v>
      </c>
      <c r="Y74" s="64" t="str">
        <f t="shared" si="36"/>
        <v/>
      </c>
      <c r="Z74" s="174" t="str">
        <f t="shared" si="37"/>
        <v/>
      </c>
      <c r="AA74" s="64" t="str">
        <f>IF(ISNUMBER(Y74),INDEX(Y74:Y106,MATCH(TRUE,INDEX(Y74:Y106&lt;&gt;Y74,),0)),"")</f>
        <v/>
      </c>
      <c r="AB74" s="64" t="str">
        <f t="shared" si="39"/>
        <v/>
      </c>
      <c r="AC74" s="64" t="str">
        <f t="shared" si="40"/>
        <v/>
      </c>
      <c r="AD74" s="64" t="e">
        <f>IF(ISTEXT(AB74),INDEX(AB74:AB106,MATCH(TRUE,INDEX(AB74:AB106&lt;&gt;AB74,),0)),"")</f>
        <v>#N/A</v>
      </c>
      <c r="AE74" s="11" t="str">
        <f t="shared" si="42"/>
        <v/>
      </c>
      <c r="AF74" s="11" t="str">
        <f t="shared" si="2"/>
        <v/>
      </c>
      <c r="AG74" s="11" t="str">
        <f t="shared" si="3"/>
        <v/>
      </c>
      <c r="AH74" s="11" t="str">
        <f t="shared" si="43"/>
        <v/>
      </c>
      <c r="AI74" s="11" t="e">
        <f>IF(AND(ISNUMBER(AI73),ISNUMBER(S74)),(VLOOKUP(AD74,AB74:AC106,2,FALSE)),IF(ISNUMBER(S74),R74,NA()))</f>
        <v>#N/A</v>
      </c>
      <c r="AJ74" s="11" t="e">
        <f t="shared" si="4"/>
        <v>#N/A</v>
      </c>
      <c r="AK74" s="11" t="str">
        <f t="shared" si="5"/>
        <v/>
      </c>
      <c r="AL74" s="11" t="str">
        <f t="shared" si="6"/>
        <v/>
      </c>
      <c r="AS74" s="74">
        <f t="shared" si="7"/>
        <v>10</v>
      </c>
      <c r="AT74" s="74">
        <f t="shared" si="8"/>
        <v>5</v>
      </c>
      <c r="AU74" s="74">
        <f t="shared" si="9"/>
        <v>10</v>
      </c>
      <c r="AV74" s="74">
        <f t="shared" si="0"/>
        <v>5</v>
      </c>
      <c r="AW74" s="102"/>
      <c r="AY74" s="9">
        <f t="shared" si="10"/>
        <v>10</v>
      </c>
      <c r="AZ74" s="11">
        <f t="shared" si="11"/>
        <v>3</v>
      </c>
      <c r="BA74" s="75">
        <f t="shared" si="12"/>
        <v>10</v>
      </c>
      <c r="BB74" s="11">
        <f t="shared" si="13"/>
        <v>3</v>
      </c>
      <c r="BD74" s="11">
        <f t="shared" si="14"/>
        <v>2</v>
      </c>
      <c r="BE74" s="9">
        <f t="shared" si="15"/>
        <v>0</v>
      </c>
      <c r="BF74" s="71">
        <f t="shared" si="16"/>
        <v>0</v>
      </c>
      <c r="BG74" s="11" t="str">
        <f t="shared" si="17"/>
        <v>MAX WSE</v>
      </c>
      <c r="BH74" s="132">
        <f t="shared" si="51"/>
        <v>5</v>
      </c>
      <c r="BJ74" s="71">
        <f t="shared" si="18"/>
        <v>2</v>
      </c>
      <c r="BL74" s="9">
        <f t="shared" si="49"/>
        <v>0</v>
      </c>
      <c r="BM74" s="9"/>
      <c r="BN74" s="9">
        <f t="shared" si="20"/>
        <v>10</v>
      </c>
      <c r="BO74" s="9" t="str">
        <f>IF(BP74="Left",IF(ISNA(VLOOKUP(BN74,XS_AnalyzerSummary!$A$21:$B$25,2,TRUE)),"",VLOOKUP(BN74,XS_AnalyzerSummary!$A$21:$B$25,2,TRUE)),IF(ISNA(VLOOKUP(-BN74,XS_AnalyzerSummary!$A$28:$B$32,2,TRUE)),"",VLOOKUP(-BN74,XS_AnalyzerSummary!$A$28:$B$32,2,TRUE)))</f>
        <v>Right Bank</v>
      </c>
      <c r="BP74" s="9" t="str">
        <f>IF(AU74&lt;XS_AnalyzerSummary!$B$7,"Left",IF(AU74&gt;XS_AnalyzerSummary!$B$7,"Right","Thalweg"))</f>
        <v>Right</v>
      </c>
      <c r="BQ74" s="9">
        <f t="shared" si="21"/>
        <v>0</v>
      </c>
      <c r="BR74" s="9">
        <f t="shared" si="22"/>
        <v>0</v>
      </c>
      <c r="BS74" s="9">
        <f t="shared" si="23"/>
        <v>0</v>
      </c>
      <c r="BT74" s="9">
        <f t="shared" si="24"/>
        <v>0</v>
      </c>
      <c r="BU74" s="9">
        <f t="shared" si="25"/>
        <v>2</v>
      </c>
      <c r="BV74" s="9">
        <f t="shared" si="26"/>
        <v>0</v>
      </c>
      <c r="BX74" s="9">
        <f>IF(AND(ISNUMBER($BN74),$BO74="Left 2nd Stage",SUM($BX$5:BX73)=0),$BN74,0)</f>
        <v>0</v>
      </c>
      <c r="BY74" s="9">
        <f t="shared" si="52"/>
        <v>0</v>
      </c>
      <c r="BZ74" s="9">
        <f>IF(AND(ISNUMBER($BN74),$BO74="Right 2nd Stage",SUM($BZ$5:$BZ73)=0),$BN73,0)</f>
        <v>0</v>
      </c>
      <c r="CA74" s="9">
        <f t="shared" si="47"/>
        <v>0</v>
      </c>
    </row>
    <row r="75" spans="1:79">
      <c r="A75" s="9">
        <v>71</v>
      </c>
      <c r="B75" s="166" t="e">
        <f>IF(ISNUMBER(XS_Analyzer!B75),XS_Analyzer!B75,NA())</f>
        <v>#N/A</v>
      </c>
      <c r="C75" s="88" t="e">
        <f>IF(ISNUMBER(XS_Analyzer!C75),XS_Analyzer!C75,NA())</f>
        <v>#N/A</v>
      </c>
      <c r="D75" s="88" t="str">
        <f>IF(ISNUMBER(XS_Analyzer!E75),XS_Analyzer!E75,"")</f>
        <v/>
      </c>
      <c r="E75" s="9" t="str">
        <f t="shared" si="28"/>
        <v/>
      </c>
      <c r="F75" s="88" t="e">
        <f>IF(AND(ISTEXT(XS_Analyzer!D75),XS_Analyzer!D75&lt;&gt;""),VLOOKUP(XS_Analyzer!D75,$K$12:$L$21,2,FALSE),"")</f>
        <v>#N/A</v>
      </c>
      <c r="G75" s="132" t="str">
        <f t="shared" si="29"/>
        <v/>
      </c>
      <c r="H75" s="132"/>
      <c r="Q75" s="5" t="str">
        <f t="shared" si="30"/>
        <v>N</v>
      </c>
      <c r="R75" s="5" t="str">
        <f t="shared" si="31"/>
        <v/>
      </c>
      <c r="S75" s="5" t="str">
        <f t="shared" si="32"/>
        <v/>
      </c>
      <c r="T75" s="5" t="str">
        <f t="shared" si="33"/>
        <v/>
      </c>
      <c r="U75" s="5" t="str">
        <f t="shared" si="34"/>
        <v/>
      </c>
      <c r="V75" s="62" t="str">
        <f t="shared" si="35"/>
        <v/>
      </c>
      <c r="W75" s="62" t="e">
        <f t="shared" si="53"/>
        <v>#N/A</v>
      </c>
      <c r="X75" s="9" t="e">
        <f t="shared" si="1"/>
        <v>#N/A</v>
      </c>
      <c r="Y75" s="64" t="str">
        <f t="shared" si="36"/>
        <v/>
      </c>
      <c r="Z75" s="174" t="str">
        <f t="shared" si="37"/>
        <v/>
      </c>
      <c r="AA75" s="64" t="str">
        <f>IF(ISNUMBER(Y75),INDEX(Y75:Y106,MATCH(TRUE,INDEX(Y75:Y106&lt;&gt;Y75,),0)),"")</f>
        <v/>
      </c>
      <c r="AB75" s="64" t="str">
        <f t="shared" si="39"/>
        <v/>
      </c>
      <c r="AC75" s="64" t="str">
        <f t="shared" si="40"/>
        <v/>
      </c>
      <c r="AD75" s="64" t="e">
        <f>IF(ISTEXT(AB75),INDEX(AB75:AB106,MATCH(TRUE,INDEX(AB75:AB106&lt;&gt;AB75,),0)),"")</f>
        <v>#N/A</v>
      </c>
      <c r="AE75" s="11" t="str">
        <f t="shared" si="42"/>
        <v/>
      </c>
      <c r="AF75" s="11" t="str">
        <f t="shared" si="2"/>
        <v/>
      </c>
      <c r="AG75" s="11" t="str">
        <f t="shared" si="3"/>
        <v/>
      </c>
      <c r="AH75" s="11" t="str">
        <f t="shared" si="43"/>
        <v/>
      </c>
      <c r="AI75" s="11" t="e">
        <f>IF(AND(ISNUMBER(AI74),ISNUMBER(S75)),(VLOOKUP(AD75,AB75:AC106,2,FALSE)),IF(ISNUMBER(S75),R75,NA()))</f>
        <v>#N/A</v>
      </c>
      <c r="AJ75" s="11" t="e">
        <f t="shared" si="4"/>
        <v>#N/A</v>
      </c>
      <c r="AK75" s="11" t="str">
        <f t="shared" si="5"/>
        <v/>
      </c>
      <c r="AL75" s="11" t="str">
        <f t="shared" si="6"/>
        <v/>
      </c>
      <c r="AS75" s="74">
        <f t="shared" si="7"/>
        <v>10</v>
      </c>
      <c r="AT75" s="74">
        <f t="shared" si="8"/>
        <v>5</v>
      </c>
      <c r="AU75" s="74">
        <f t="shared" si="9"/>
        <v>10</v>
      </c>
      <c r="AV75" s="74">
        <f t="shared" si="0"/>
        <v>5</v>
      </c>
      <c r="AW75" s="102"/>
      <c r="AY75" s="9">
        <f t="shared" si="10"/>
        <v>10</v>
      </c>
      <c r="AZ75" s="11">
        <f t="shared" si="11"/>
        <v>3</v>
      </c>
      <c r="BA75" s="75">
        <f t="shared" si="12"/>
        <v>10</v>
      </c>
      <c r="BB75" s="11">
        <f t="shared" si="13"/>
        <v>3</v>
      </c>
      <c r="BD75" s="11">
        <f t="shared" si="14"/>
        <v>2</v>
      </c>
      <c r="BE75" s="9">
        <f t="shared" si="15"/>
        <v>0</v>
      </c>
      <c r="BF75" s="71">
        <f t="shared" si="16"/>
        <v>0</v>
      </c>
      <c r="BG75" s="11" t="str">
        <f t="shared" si="17"/>
        <v>MAX WSE</v>
      </c>
      <c r="BH75" s="132">
        <f t="shared" si="51"/>
        <v>5</v>
      </c>
      <c r="BJ75" s="71">
        <f t="shared" si="18"/>
        <v>2</v>
      </c>
      <c r="BL75" s="9">
        <f t="shared" si="49"/>
        <v>0</v>
      </c>
      <c r="BM75" s="9"/>
      <c r="BN75" s="9">
        <f t="shared" si="20"/>
        <v>10</v>
      </c>
      <c r="BO75" s="9" t="str">
        <f>IF(BP75="Left",IF(ISNA(VLOOKUP(BN75,XS_AnalyzerSummary!$A$21:$B$25,2,TRUE)),"",VLOOKUP(BN75,XS_AnalyzerSummary!$A$21:$B$25,2,TRUE)),IF(ISNA(VLOOKUP(-BN75,XS_AnalyzerSummary!$A$28:$B$32,2,TRUE)),"",VLOOKUP(-BN75,XS_AnalyzerSummary!$A$28:$B$32,2,TRUE)))</f>
        <v>Right Bank</v>
      </c>
      <c r="BP75" s="9" t="str">
        <f>IF(AU75&lt;XS_AnalyzerSummary!$B$7,"Left",IF(AU75&gt;XS_AnalyzerSummary!$B$7,"Right","Thalweg"))</f>
        <v>Right</v>
      </c>
      <c r="BQ75" s="9">
        <f t="shared" si="21"/>
        <v>0</v>
      </c>
      <c r="BR75" s="9">
        <f t="shared" si="22"/>
        <v>0</v>
      </c>
      <c r="BS75" s="9">
        <f t="shared" si="23"/>
        <v>0</v>
      </c>
      <c r="BT75" s="9">
        <f t="shared" si="24"/>
        <v>0</v>
      </c>
      <c r="BU75" s="9">
        <f t="shared" si="25"/>
        <v>2</v>
      </c>
      <c r="BV75" s="9">
        <f t="shared" si="26"/>
        <v>0</v>
      </c>
      <c r="BX75" s="9">
        <f>IF(AND(ISNUMBER($BN75),$BO75="Left 2nd Stage",SUM($BX$5:BX74)=0),$BN75,0)</f>
        <v>0</v>
      </c>
      <c r="BY75" s="9">
        <f t="shared" si="52"/>
        <v>0</v>
      </c>
      <c r="BZ75" s="9">
        <f>IF(AND(ISNUMBER($BN75),$BO75="Right 2nd Stage",SUM($BZ$5:$BZ74)=0),$BN74,0)</f>
        <v>0</v>
      </c>
      <c r="CA75" s="9">
        <f t="shared" si="47"/>
        <v>0</v>
      </c>
    </row>
    <row r="76" spans="1:79">
      <c r="A76" s="9">
        <v>72</v>
      </c>
      <c r="B76" s="166" t="e">
        <f>IF(ISNUMBER(XS_Analyzer!B76),XS_Analyzer!B76,NA())</f>
        <v>#N/A</v>
      </c>
      <c r="C76" s="88" t="e">
        <f>IF(ISNUMBER(XS_Analyzer!C76),XS_Analyzer!C76,NA())</f>
        <v>#N/A</v>
      </c>
      <c r="D76" s="88" t="str">
        <f>IF(ISNUMBER(XS_Analyzer!E76),XS_Analyzer!E76,"")</f>
        <v/>
      </c>
      <c r="E76" s="9" t="str">
        <f t="shared" si="28"/>
        <v/>
      </c>
      <c r="F76" s="88" t="e">
        <f>IF(AND(ISTEXT(XS_Analyzer!D76),XS_Analyzer!D76&lt;&gt;""),VLOOKUP(XS_Analyzer!D76,$K$12:$L$21,2,FALSE),"")</f>
        <v>#N/A</v>
      </c>
      <c r="G76" s="132" t="str">
        <f t="shared" si="29"/>
        <v/>
      </c>
      <c r="H76" s="132"/>
      <c r="Q76" s="5" t="str">
        <f t="shared" si="30"/>
        <v>N</v>
      </c>
      <c r="R76" s="5" t="str">
        <f t="shared" si="31"/>
        <v/>
      </c>
      <c r="S76" s="5" t="str">
        <f t="shared" si="32"/>
        <v/>
      </c>
      <c r="T76" s="5" t="str">
        <f t="shared" si="33"/>
        <v/>
      </c>
      <c r="U76" s="5" t="str">
        <f t="shared" si="34"/>
        <v/>
      </c>
      <c r="V76" s="62" t="str">
        <f t="shared" si="35"/>
        <v/>
      </c>
      <c r="W76" s="62" t="e">
        <f t="shared" si="53"/>
        <v>#N/A</v>
      </c>
      <c r="X76" s="9" t="e">
        <f t="shared" si="1"/>
        <v>#N/A</v>
      </c>
      <c r="Y76" s="64" t="str">
        <f t="shared" si="36"/>
        <v/>
      </c>
      <c r="Z76" s="174" t="str">
        <f t="shared" si="37"/>
        <v/>
      </c>
      <c r="AA76" s="64" t="str">
        <f>IF(ISNUMBER(Y76),INDEX(Y76:Y106,MATCH(TRUE,INDEX(Y76:Y106&lt;&gt;Y76,),0)),"")</f>
        <v/>
      </c>
      <c r="AB76" s="64" t="str">
        <f t="shared" si="39"/>
        <v/>
      </c>
      <c r="AC76" s="64" t="str">
        <f t="shared" si="40"/>
        <v/>
      </c>
      <c r="AD76" s="64" t="e">
        <f>IF(ISTEXT(AB76),INDEX(AB76:AB106,MATCH(TRUE,INDEX(AB76:AB106&lt;&gt;AB76,),0)),"")</f>
        <v>#N/A</v>
      </c>
      <c r="AE76" s="11" t="str">
        <f t="shared" si="42"/>
        <v/>
      </c>
      <c r="AF76" s="11" t="str">
        <f t="shared" si="2"/>
        <v/>
      </c>
      <c r="AG76" s="11" t="str">
        <f t="shared" si="3"/>
        <v/>
      </c>
      <c r="AH76" s="11" t="str">
        <f t="shared" si="43"/>
        <v/>
      </c>
      <c r="AI76" s="11" t="e">
        <f>IF(AND(ISNUMBER(AI75),ISNUMBER(S76)),(VLOOKUP(AD76,AB76:AC106,2,FALSE)),IF(ISNUMBER(S76),R76,NA()))</f>
        <v>#N/A</v>
      </c>
      <c r="AJ76" s="11" t="e">
        <f t="shared" si="4"/>
        <v>#N/A</v>
      </c>
      <c r="AK76" s="11" t="str">
        <f t="shared" si="5"/>
        <v/>
      </c>
      <c r="AL76" s="11" t="str">
        <f t="shared" si="6"/>
        <v/>
      </c>
      <c r="AS76" s="74">
        <f t="shared" si="7"/>
        <v>10</v>
      </c>
      <c r="AT76" s="74">
        <f t="shared" si="8"/>
        <v>5</v>
      </c>
      <c r="AU76" s="74">
        <f t="shared" si="9"/>
        <v>10</v>
      </c>
      <c r="AV76" s="74">
        <f t="shared" si="0"/>
        <v>5</v>
      </c>
      <c r="AW76" s="102"/>
      <c r="AY76" s="9">
        <f t="shared" si="10"/>
        <v>10</v>
      </c>
      <c r="AZ76" s="11">
        <f t="shared" si="11"/>
        <v>3</v>
      </c>
      <c r="BA76" s="75">
        <f t="shared" si="12"/>
        <v>10</v>
      </c>
      <c r="BB76" s="11">
        <f t="shared" si="13"/>
        <v>3</v>
      </c>
      <c r="BD76" s="11">
        <f t="shared" si="14"/>
        <v>2</v>
      </c>
      <c r="BE76" s="9">
        <f t="shared" si="15"/>
        <v>0</v>
      </c>
      <c r="BF76" s="71">
        <f t="shared" si="16"/>
        <v>0</v>
      </c>
      <c r="BG76" s="11" t="str">
        <f t="shared" si="17"/>
        <v>MAX WSE</v>
      </c>
      <c r="BH76" s="132">
        <f t="shared" si="51"/>
        <v>5</v>
      </c>
      <c r="BJ76" s="71">
        <f t="shared" si="18"/>
        <v>2</v>
      </c>
      <c r="BL76" s="9">
        <f t="shared" si="49"/>
        <v>0</v>
      </c>
      <c r="BM76" s="9"/>
      <c r="BN76" s="9">
        <f t="shared" si="20"/>
        <v>10</v>
      </c>
      <c r="BO76" s="9" t="str">
        <f>IF(BP76="Left",IF(ISNA(VLOOKUP(BN76,XS_AnalyzerSummary!$A$21:$B$25,2,TRUE)),"",VLOOKUP(BN76,XS_AnalyzerSummary!$A$21:$B$25,2,TRUE)),IF(ISNA(VLOOKUP(-BN76,XS_AnalyzerSummary!$A$28:$B$32,2,TRUE)),"",VLOOKUP(-BN76,XS_AnalyzerSummary!$A$28:$B$32,2,TRUE)))</f>
        <v>Right Bank</v>
      </c>
      <c r="BP76" s="9" t="str">
        <f>IF(AU76&lt;XS_AnalyzerSummary!$B$7,"Left",IF(AU76&gt;XS_AnalyzerSummary!$B$7,"Right","Thalweg"))</f>
        <v>Right</v>
      </c>
      <c r="BQ76" s="9">
        <f t="shared" si="21"/>
        <v>0</v>
      </c>
      <c r="BR76" s="9">
        <f t="shared" si="22"/>
        <v>0</v>
      </c>
      <c r="BS76" s="9">
        <f t="shared" si="23"/>
        <v>0</v>
      </c>
      <c r="BT76" s="9">
        <f t="shared" si="24"/>
        <v>0</v>
      </c>
      <c r="BU76" s="9">
        <f t="shared" si="25"/>
        <v>2</v>
      </c>
      <c r="BV76" s="9">
        <f t="shared" si="26"/>
        <v>0</v>
      </c>
      <c r="BX76" s="9">
        <f>IF(AND(ISNUMBER($BN76),$BO76="Left 2nd Stage",SUM($BX$5:BX75)=0),$BN76,0)</f>
        <v>0</v>
      </c>
      <c r="BY76" s="9">
        <f t="shared" si="52"/>
        <v>0</v>
      </c>
      <c r="BZ76" s="9">
        <f>IF(AND(ISNUMBER($BN76),$BO76="Right 2nd Stage",SUM($BZ$5:$BZ75)=0),$BN75,0)</f>
        <v>0</v>
      </c>
      <c r="CA76" s="9">
        <f t="shared" si="47"/>
        <v>0</v>
      </c>
    </row>
    <row r="77" spans="1:79">
      <c r="A77" s="9">
        <v>73</v>
      </c>
      <c r="B77" s="166" t="e">
        <f>IF(ISNUMBER(XS_Analyzer!B77),XS_Analyzer!B77,NA())</f>
        <v>#N/A</v>
      </c>
      <c r="C77" s="88" t="e">
        <f>IF(ISNUMBER(XS_Analyzer!C77),XS_Analyzer!C77,NA())</f>
        <v>#N/A</v>
      </c>
      <c r="D77" s="88" t="str">
        <f>IF(ISNUMBER(XS_Analyzer!E77),XS_Analyzer!E77,"")</f>
        <v/>
      </c>
      <c r="E77" s="9" t="str">
        <f t="shared" si="28"/>
        <v/>
      </c>
      <c r="F77" s="88" t="e">
        <f>IF(AND(ISTEXT(XS_Analyzer!D77),XS_Analyzer!D77&lt;&gt;""),VLOOKUP(XS_Analyzer!D77,$K$12:$L$21,2,FALSE),"")</f>
        <v>#N/A</v>
      </c>
      <c r="G77" s="132" t="str">
        <f t="shared" si="29"/>
        <v/>
      </c>
      <c r="H77" s="132"/>
      <c r="Q77" s="5" t="str">
        <f t="shared" si="30"/>
        <v>N</v>
      </c>
      <c r="R77" s="5" t="str">
        <f t="shared" si="31"/>
        <v/>
      </c>
      <c r="S77" s="5" t="str">
        <f t="shared" si="32"/>
        <v/>
      </c>
      <c r="T77" s="5" t="str">
        <f t="shared" si="33"/>
        <v/>
      </c>
      <c r="U77" s="5" t="str">
        <f t="shared" si="34"/>
        <v/>
      </c>
      <c r="V77" s="62" t="str">
        <f t="shared" si="35"/>
        <v/>
      </c>
      <c r="W77" s="62" t="e">
        <f t="shared" si="53"/>
        <v>#N/A</v>
      </c>
      <c r="X77" s="9" t="e">
        <f t="shared" si="1"/>
        <v>#N/A</v>
      </c>
      <c r="Y77" s="64" t="str">
        <f t="shared" si="36"/>
        <v/>
      </c>
      <c r="Z77" s="174" t="str">
        <f t="shared" si="37"/>
        <v/>
      </c>
      <c r="AA77" s="64" t="str">
        <f>IF(ISNUMBER(Y77),INDEX(Y77:Y106,MATCH(TRUE,INDEX(Y77:Y106&lt;&gt;Y77,),0)),"")</f>
        <v/>
      </c>
      <c r="AB77" s="64" t="str">
        <f t="shared" si="39"/>
        <v/>
      </c>
      <c r="AC77" s="64" t="str">
        <f t="shared" si="40"/>
        <v/>
      </c>
      <c r="AD77" s="64" t="e">
        <f>IF(ISTEXT(AB77),INDEX(AB77:AB106,MATCH(TRUE,INDEX(AB77:AB106&lt;&gt;AB77,),0)),"")</f>
        <v>#N/A</v>
      </c>
      <c r="AE77" s="11" t="str">
        <f t="shared" si="42"/>
        <v/>
      </c>
      <c r="AF77" s="11" t="str">
        <f t="shared" si="2"/>
        <v/>
      </c>
      <c r="AG77" s="11" t="str">
        <f t="shared" si="3"/>
        <v/>
      </c>
      <c r="AH77" s="11" t="str">
        <f t="shared" si="43"/>
        <v/>
      </c>
      <c r="AI77" s="11" t="e">
        <f>IF(AND(ISNUMBER(AI76),ISNUMBER(S77)),(VLOOKUP(AD77,AB77:AC106,2,FALSE)),IF(ISNUMBER(S77),R77,NA()))</f>
        <v>#N/A</v>
      </c>
      <c r="AJ77" s="11" t="e">
        <f t="shared" si="4"/>
        <v>#N/A</v>
      </c>
      <c r="AK77" s="11" t="str">
        <f t="shared" si="5"/>
        <v/>
      </c>
      <c r="AL77" s="11" t="str">
        <f t="shared" si="6"/>
        <v/>
      </c>
      <c r="AS77" s="74">
        <f t="shared" si="7"/>
        <v>10</v>
      </c>
      <c r="AT77" s="74">
        <f t="shared" si="8"/>
        <v>5</v>
      </c>
      <c r="AU77" s="74">
        <f t="shared" si="9"/>
        <v>10</v>
      </c>
      <c r="AV77" s="74">
        <f t="shared" si="0"/>
        <v>5</v>
      </c>
      <c r="AW77" s="102"/>
      <c r="AY77" s="9">
        <f t="shared" si="10"/>
        <v>10</v>
      </c>
      <c r="AZ77" s="11">
        <f t="shared" si="11"/>
        <v>3</v>
      </c>
      <c r="BA77" s="75">
        <f t="shared" si="12"/>
        <v>10</v>
      </c>
      <c r="BB77" s="11">
        <f t="shared" si="13"/>
        <v>3</v>
      </c>
      <c r="BD77" s="11">
        <f t="shared" si="14"/>
        <v>2</v>
      </c>
      <c r="BE77" s="9">
        <f t="shared" si="15"/>
        <v>0</v>
      </c>
      <c r="BF77" s="71">
        <f t="shared" si="16"/>
        <v>0</v>
      </c>
      <c r="BG77" s="11" t="str">
        <f t="shared" si="17"/>
        <v>MAX WSE</v>
      </c>
      <c r="BH77" s="132">
        <f t="shared" si="51"/>
        <v>5</v>
      </c>
      <c r="BJ77" s="71">
        <f t="shared" si="18"/>
        <v>2</v>
      </c>
      <c r="BL77" s="9">
        <f t="shared" si="49"/>
        <v>0</v>
      </c>
      <c r="BM77" s="9"/>
      <c r="BN77" s="9">
        <f t="shared" si="20"/>
        <v>10</v>
      </c>
      <c r="BO77" s="9" t="str">
        <f>IF(BP77="Left",IF(ISNA(VLOOKUP(BN77,XS_AnalyzerSummary!$A$21:$B$25,2,TRUE)),"",VLOOKUP(BN77,XS_AnalyzerSummary!$A$21:$B$25,2,TRUE)),IF(ISNA(VLOOKUP(-BN77,XS_AnalyzerSummary!$A$28:$B$32,2,TRUE)),"",VLOOKUP(-BN77,XS_AnalyzerSummary!$A$28:$B$32,2,TRUE)))</f>
        <v>Right Bank</v>
      </c>
      <c r="BP77" s="9" t="str">
        <f>IF(AU77&lt;XS_AnalyzerSummary!$B$7,"Left",IF(AU77&gt;XS_AnalyzerSummary!$B$7,"Right","Thalweg"))</f>
        <v>Right</v>
      </c>
      <c r="BQ77" s="9">
        <f t="shared" si="21"/>
        <v>0</v>
      </c>
      <c r="BR77" s="9">
        <f t="shared" si="22"/>
        <v>0</v>
      </c>
      <c r="BS77" s="9">
        <f t="shared" si="23"/>
        <v>0</v>
      </c>
      <c r="BT77" s="9">
        <f t="shared" si="24"/>
        <v>0</v>
      </c>
      <c r="BU77" s="9">
        <f t="shared" si="25"/>
        <v>2</v>
      </c>
      <c r="BV77" s="9">
        <f t="shared" si="26"/>
        <v>0</v>
      </c>
      <c r="BX77" s="9">
        <f>IF(AND(ISNUMBER($BN77),$BO77="Left 2nd Stage",SUM($BX$5:BX76)=0),$BN77,0)</f>
        <v>0</v>
      </c>
      <c r="BY77" s="9">
        <f t="shared" si="52"/>
        <v>0</v>
      </c>
      <c r="BZ77" s="9">
        <f>IF(AND(ISNUMBER($BN77),$BO77="Right 2nd Stage",SUM($BZ$5:$BZ76)=0),$BN76,0)</f>
        <v>0</v>
      </c>
      <c r="CA77" s="9">
        <f t="shared" si="47"/>
        <v>0</v>
      </c>
    </row>
    <row r="78" spans="1:79">
      <c r="A78" s="9">
        <v>74</v>
      </c>
      <c r="B78" s="166" t="e">
        <f>IF(ISNUMBER(XS_Analyzer!B78),XS_Analyzer!B78,NA())</f>
        <v>#N/A</v>
      </c>
      <c r="C78" s="88" t="e">
        <f>IF(ISNUMBER(XS_Analyzer!C78),XS_Analyzer!C78,NA())</f>
        <v>#N/A</v>
      </c>
      <c r="D78" s="88" t="str">
        <f>IF(ISNUMBER(XS_Analyzer!E78),XS_Analyzer!E78,"")</f>
        <v/>
      </c>
      <c r="E78" s="9" t="str">
        <f t="shared" si="28"/>
        <v/>
      </c>
      <c r="F78" s="88" t="e">
        <f>IF(AND(ISTEXT(XS_Analyzer!D78),XS_Analyzer!D78&lt;&gt;""),VLOOKUP(XS_Analyzer!D78,$K$12:$L$21,2,FALSE),"")</f>
        <v>#N/A</v>
      </c>
      <c r="G78" s="132" t="str">
        <f t="shared" si="29"/>
        <v/>
      </c>
      <c r="H78" s="132"/>
      <c r="Q78" s="5" t="str">
        <f t="shared" si="30"/>
        <v>N</v>
      </c>
      <c r="R78" s="5" t="str">
        <f t="shared" si="31"/>
        <v/>
      </c>
      <c r="S78" s="5" t="str">
        <f t="shared" si="32"/>
        <v/>
      </c>
      <c r="T78" s="5" t="str">
        <f t="shared" si="33"/>
        <v/>
      </c>
      <c r="U78" s="5" t="str">
        <f t="shared" si="34"/>
        <v/>
      </c>
      <c r="V78" s="62" t="str">
        <f t="shared" si="35"/>
        <v/>
      </c>
      <c r="W78" s="62" t="e">
        <f t="shared" si="53"/>
        <v>#N/A</v>
      </c>
      <c r="X78" s="9" t="e">
        <f t="shared" si="1"/>
        <v>#N/A</v>
      </c>
      <c r="Y78" s="64" t="str">
        <f t="shared" si="36"/>
        <v/>
      </c>
      <c r="Z78" s="174" t="str">
        <f t="shared" si="37"/>
        <v/>
      </c>
      <c r="AA78" s="64" t="str">
        <f>IF(ISNUMBER(Y78),INDEX(Y78:Y106,MATCH(TRUE,INDEX(Y78:Y106&lt;&gt;Y78,),0)),"")</f>
        <v/>
      </c>
      <c r="AB78" s="64" t="str">
        <f t="shared" si="39"/>
        <v/>
      </c>
      <c r="AC78" s="64" t="str">
        <f t="shared" si="40"/>
        <v/>
      </c>
      <c r="AD78" s="64" t="e">
        <f>IF(ISTEXT(AB78),INDEX(AB78:AB106,MATCH(TRUE,INDEX(AB78:AB106&lt;&gt;AB78,),0)),"")</f>
        <v>#N/A</v>
      </c>
      <c r="AE78" s="11" t="str">
        <f t="shared" si="42"/>
        <v/>
      </c>
      <c r="AF78" s="11" t="str">
        <f t="shared" si="2"/>
        <v/>
      </c>
      <c r="AG78" s="11" t="str">
        <f t="shared" si="3"/>
        <v/>
      </c>
      <c r="AH78" s="11" t="str">
        <f t="shared" si="43"/>
        <v/>
      </c>
      <c r="AI78" s="11" t="e">
        <f>IF(AND(ISNUMBER(AI77),ISNUMBER(S78)),(VLOOKUP(AD78,AB78:AC106,2,FALSE)),IF(ISNUMBER(S78),R78,NA()))</f>
        <v>#N/A</v>
      </c>
      <c r="AJ78" s="11" t="e">
        <f t="shared" si="4"/>
        <v>#N/A</v>
      </c>
      <c r="AK78" s="11" t="str">
        <f t="shared" si="5"/>
        <v/>
      </c>
      <c r="AL78" s="11" t="str">
        <f t="shared" si="6"/>
        <v/>
      </c>
      <c r="AS78" s="74">
        <f t="shared" si="7"/>
        <v>10</v>
      </c>
      <c r="AT78" s="74">
        <f t="shared" si="8"/>
        <v>5</v>
      </c>
      <c r="AU78" s="74">
        <f t="shared" si="9"/>
        <v>10</v>
      </c>
      <c r="AV78" s="74">
        <f t="shared" si="0"/>
        <v>5</v>
      </c>
      <c r="AW78" s="102"/>
      <c r="AY78" s="9">
        <f t="shared" si="10"/>
        <v>10</v>
      </c>
      <c r="AZ78" s="11">
        <f t="shared" si="11"/>
        <v>3</v>
      </c>
      <c r="BA78" s="75">
        <f t="shared" si="12"/>
        <v>10</v>
      </c>
      <c r="BB78" s="11">
        <f t="shared" si="13"/>
        <v>3</v>
      </c>
      <c r="BD78" s="11">
        <f t="shared" si="14"/>
        <v>2</v>
      </c>
      <c r="BE78" s="9">
        <f t="shared" si="15"/>
        <v>0</v>
      </c>
      <c r="BF78" s="71">
        <f t="shared" si="16"/>
        <v>0</v>
      </c>
      <c r="BG78" s="11" t="str">
        <f t="shared" si="17"/>
        <v>MAX WSE</v>
      </c>
      <c r="BH78" s="132">
        <f t="shared" si="51"/>
        <v>5</v>
      </c>
      <c r="BJ78" s="71">
        <f t="shared" si="18"/>
        <v>2</v>
      </c>
      <c r="BL78" s="9">
        <f t="shared" si="49"/>
        <v>0</v>
      </c>
      <c r="BM78" s="9"/>
      <c r="BN78" s="9">
        <f t="shared" si="20"/>
        <v>10</v>
      </c>
      <c r="BO78" s="9" t="str">
        <f>IF(BP78="Left",IF(ISNA(VLOOKUP(BN78,XS_AnalyzerSummary!$A$21:$B$25,2,TRUE)),"",VLOOKUP(BN78,XS_AnalyzerSummary!$A$21:$B$25,2,TRUE)),IF(ISNA(VLOOKUP(-BN78,XS_AnalyzerSummary!$A$28:$B$32,2,TRUE)),"",VLOOKUP(-BN78,XS_AnalyzerSummary!$A$28:$B$32,2,TRUE)))</f>
        <v>Right Bank</v>
      </c>
      <c r="BP78" s="9" t="str">
        <f>IF(AU78&lt;XS_AnalyzerSummary!$B$7,"Left",IF(AU78&gt;XS_AnalyzerSummary!$B$7,"Right","Thalweg"))</f>
        <v>Right</v>
      </c>
      <c r="BQ78" s="9">
        <f t="shared" si="21"/>
        <v>0</v>
      </c>
      <c r="BR78" s="9">
        <f t="shared" si="22"/>
        <v>0</v>
      </c>
      <c r="BS78" s="9">
        <f t="shared" si="23"/>
        <v>0</v>
      </c>
      <c r="BT78" s="9">
        <f t="shared" si="24"/>
        <v>0</v>
      </c>
      <c r="BU78" s="9">
        <f t="shared" si="25"/>
        <v>2</v>
      </c>
      <c r="BV78" s="9">
        <f t="shared" si="26"/>
        <v>0</v>
      </c>
      <c r="BX78" s="9">
        <f>IF(AND(ISNUMBER($BN78),$BO78="Left 2nd Stage",SUM($BX$5:BX77)=0),$BN78,0)</f>
        <v>0</v>
      </c>
      <c r="BY78" s="9">
        <f t="shared" si="52"/>
        <v>0</v>
      </c>
      <c r="BZ78" s="9">
        <f>IF(AND(ISNUMBER($BN78),$BO78="Right 2nd Stage",SUM($BZ$5:$BZ77)=0),$BN77,0)</f>
        <v>0</v>
      </c>
      <c r="CA78" s="9">
        <f t="shared" si="47"/>
        <v>0</v>
      </c>
    </row>
    <row r="79" spans="1:79">
      <c r="A79" s="9">
        <v>75</v>
      </c>
      <c r="B79" s="166" t="e">
        <f>IF(ISNUMBER(XS_Analyzer!B79),XS_Analyzer!B79,NA())</f>
        <v>#N/A</v>
      </c>
      <c r="C79" s="88" t="e">
        <f>IF(ISNUMBER(XS_Analyzer!C79),XS_Analyzer!C79,NA())</f>
        <v>#N/A</v>
      </c>
      <c r="D79" s="88" t="str">
        <f>IF(ISNUMBER(XS_Analyzer!E79),XS_Analyzer!E79,"")</f>
        <v/>
      </c>
      <c r="E79" s="9" t="str">
        <f t="shared" si="28"/>
        <v/>
      </c>
      <c r="F79" s="88" t="e">
        <f>IF(AND(ISTEXT(XS_Analyzer!D79),XS_Analyzer!D79&lt;&gt;""),VLOOKUP(XS_Analyzer!D79,$K$12:$L$21,2,FALSE),"")</f>
        <v>#N/A</v>
      </c>
      <c r="G79" s="132" t="str">
        <f t="shared" si="29"/>
        <v/>
      </c>
      <c r="H79" s="132"/>
      <c r="Q79" s="5" t="str">
        <f t="shared" si="30"/>
        <v>N</v>
      </c>
      <c r="R79" s="5" t="str">
        <f t="shared" si="31"/>
        <v/>
      </c>
      <c r="S79" s="5" t="str">
        <f t="shared" si="32"/>
        <v/>
      </c>
      <c r="T79" s="5" t="str">
        <f t="shared" si="33"/>
        <v/>
      </c>
      <c r="U79" s="5" t="str">
        <f t="shared" si="34"/>
        <v/>
      </c>
      <c r="V79" s="62" t="str">
        <f t="shared" si="35"/>
        <v/>
      </c>
      <c r="W79" s="62" t="e">
        <f t="shared" si="53"/>
        <v>#N/A</v>
      </c>
      <c r="X79" s="9" t="e">
        <f t="shared" si="1"/>
        <v>#N/A</v>
      </c>
      <c r="Y79" s="64" t="str">
        <f t="shared" si="36"/>
        <v/>
      </c>
      <c r="Z79" s="174" t="str">
        <f t="shared" si="37"/>
        <v/>
      </c>
      <c r="AA79" s="64" t="str">
        <f>IF(ISNUMBER(Y79),INDEX(Y79:Y106,MATCH(TRUE,INDEX(Y79:Y106&lt;&gt;Y79,),0)),"")</f>
        <v/>
      </c>
      <c r="AB79" s="64" t="str">
        <f t="shared" si="39"/>
        <v/>
      </c>
      <c r="AC79" s="64" t="str">
        <f t="shared" si="40"/>
        <v/>
      </c>
      <c r="AD79" s="64" t="e">
        <f>IF(ISTEXT(AB79),INDEX(AB79:AB106,MATCH(TRUE,INDEX(AB79:AB106&lt;&gt;AB79,),0)),"")</f>
        <v>#N/A</v>
      </c>
      <c r="AE79" s="11" t="str">
        <f t="shared" si="42"/>
        <v/>
      </c>
      <c r="AF79" s="11" t="str">
        <f t="shared" si="2"/>
        <v/>
      </c>
      <c r="AG79" s="11" t="str">
        <f t="shared" si="3"/>
        <v/>
      </c>
      <c r="AH79" s="11" t="str">
        <f t="shared" si="43"/>
        <v/>
      </c>
      <c r="AI79" s="11" t="e">
        <f>IF(AND(ISNUMBER(AI78),ISNUMBER(S79)),(VLOOKUP(AD79,AB79:AC106,2,FALSE)),IF(ISNUMBER(S79),R79,NA()))</f>
        <v>#N/A</v>
      </c>
      <c r="AJ79" s="11" t="e">
        <f t="shared" si="4"/>
        <v>#N/A</v>
      </c>
      <c r="AK79" s="11" t="str">
        <f t="shared" si="5"/>
        <v/>
      </c>
      <c r="AL79" s="11" t="str">
        <f t="shared" si="6"/>
        <v/>
      </c>
      <c r="AS79" s="74">
        <f t="shared" si="7"/>
        <v>10</v>
      </c>
      <c r="AT79" s="74">
        <f t="shared" si="8"/>
        <v>5</v>
      </c>
      <c r="AU79" s="74">
        <f t="shared" si="9"/>
        <v>10</v>
      </c>
      <c r="AV79" s="74">
        <f t="shared" si="0"/>
        <v>5</v>
      </c>
      <c r="AW79" s="102"/>
      <c r="AY79" s="9">
        <f t="shared" si="10"/>
        <v>10</v>
      </c>
      <c r="AZ79" s="11">
        <f t="shared" si="11"/>
        <v>3</v>
      </c>
      <c r="BA79" s="75">
        <f t="shared" si="12"/>
        <v>10</v>
      </c>
      <c r="BB79" s="11">
        <f t="shared" si="13"/>
        <v>3</v>
      </c>
      <c r="BD79" s="11">
        <f t="shared" si="14"/>
        <v>2</v>
      </c>
      <c r="BE79" s="9">
        <f t="shared" si="15"/>
        <v>0</v>
      </c>
      <c r="BF79" s="71">
        <f t="shared" si="16"/>
        <v>0</v>
      </c>
      <c r="BG79" s="11" t="str">
        <f t="shared" si="17"/>
        <v>MAX WSE</v>
      </c>
      <c r="BH79" s="132">
        <f t="shared" si="51"/>
        <v>5</v>
      </c>
      <c r="BJ79" s="71">
        <f t="shared" si="18"/>
        <v>2</v>
      </c>
      <c r="BL79" s="9">
        <f t="shared" si="49"/>
        <v>0</v>
      </c>
      <c r="BM79" s="9"/>
      <c r="BN79" s="9">
        <f t="shared" si="20"/>
        <v>10</v>
      </c>
      <c r="BO79" s="9" t="str">
        <f>IF(BP79="Left",IF(ISNA(VLOOKUP(BN79,XS_AnalyzerSummary!$A$21:$B$25,2,TRUE)),"",VLOOKUP(BN79,XS_AnalyzerSummary!$A$21:$B$25,2,TRUE)),IF(ISNA(VLOOKUP(-BN79,XS_AnalyzerSummary!$A$28:$B$32,2,TRUE)),"",VLOOKUP(-BN79,XS_AnalyzerSummary!$A$28:$B$32,2,TRUE)))</f>
        <v>Right Bank</v>
      </c>
      <c r="BP79" s="9" t="str">
        <f>IF(AU79&lt;XS_AnalyzerSummary!$B$7,"Left",IF(AU79&gt;XS_AnalyzerSummary!$B$7,"Right","Thalweg"))</f>
        <v>Right</v>
      </c>
      <c r="BQ79" s="9">
        <f t="shared" si="21"/>
        <v>0</v>
      </c>
      <c r="BR79" s="9">
        <f t="shared" si="22"/>
        <v>0</v>
      </c>
      <c r="BS79" s="9">
        <f t="shared" si="23"/>
        <v>0</v>
      </c>
      <c r="BT79" s="9">
        <f t="shared" si="24"/>
        <v>0</v>
      </c>
      <c r="BU79" s="9">
        <f t="shared" si="25"/>
        <v>2</v>
      </c>
      <c r="BV79" s="9">
        <f t="shared" si="26"/>
        <v>0</v>
      </c>
      <c r="BX79" s="9">
        <f>IF(AND(ISNUMBER($BN79),$BO79="Left 2nd Stage",SUM($BX$5:BX78)=0),$BN79,0)</f>
        <v>0</v>
      </c>
      <c r="BY79" s="9">
        <f t="shared" si="52"/>
        <v>0</v>
      </c>
      <c r="BZ79" s="9">
        <f>IF(AND(ISNUMBER($BN79),$BO79="Right 2nd Stage",SUM($BZ$5:$BZ78)=0),$BN78,0)</f>
        <v>0</v>
      </c>
      <c r="CA79" s="9">
        <f t="shared" si="47"/>
        <v>0</v>
      </c>
    </row>
    <row r="80" spans="1:79" ht="15">
      <c r="A80" s="9">
        <v>76</v>
      </c>
      <c r="B80" s="166" t="e">
        <f>IF(ISNUMBER(XS_Analyzer!B80),XS_Analyzer!B80,NA())</f>
        <v>#N/A</v>
      </c>
      <c r="C80" s="88" t="e">
        <f>IF(ISNUMBER(XS_Analyzer!C80),XS_Analyzer!C80,NA())</f>
        <v>#N/A</v>
      </c>
      <c r="D80" s="88" t="str">
        <f>IF(ISNUMBER(XS_Analyzer!E80),XS_Analyzer!E80,"")</f>
        <v/>
      </c>
      <c r="E80" s="9" t="str">
        <f t="shared" si="28"/>
        <v/>
      </c>
      <c r="F80" s="88" t="e">
        <f>IF(AND(ISTEXT(XS_Analyzer!D80),XS_Analyzer!D80&lt;&gt;""),VLOOKUP(XS_Analyzer!D80,$K$12:$L$21,2,FALSE),"")</f>
        <v>#N/A</v>
      </c>
      <c r="G80" s="132" t="str">
        <f t="shared" si="29"/>
        <v/>
      </c>
      <c r="H80" s="132"/>
      <c r="O80" s="7"/>
      <c r="P80" s="7"/>
      <c r="Q80" s="5" t="str">
        <f t="shared" si="30"/>
        <v>N</v>
      </c>
      <c r="R80" s="5" t="str">
        <f t="shared" si="31"/>
        <v/>
      </c>
      <c r="S80" s="5" t="str">
        <f t="shared" si="32"/>
        <v/>
      </c>
      <c r="T80" s="5" t="str">
        <f t="shared" si="33"/>
        <v/>
      </c>
      <c r="U80" s="5" t="str">
        <f t="shared" si="34"/>
        <v/>
      </c>
      <c r="V80" s="62" t="str">
        <f t="shared" si="35"/>
        <v/>
      </c>
      <c r="W80" s="62" t="e">
        <f t="shared" si="53"/>
        <v>#N/A</v>
      </c>
      <c r="X80" s="9" t="e">
        <f t="shared" si="1"/>
        <v>#N/A</v>
      </c>
      <c r="Y80" s="64" t="str">
        <f t="shared" si="36"/>
        <v/>
      </c>
      <c r="Z80" s="174" t="str">
        <f t="shared" si="37"/>
        <v/>
      </c>
      <c r="AA80" s="64" t="str">
        <f>IF(ISNUMBER(Y80),INDEX(Y80:Y106,MATCH(TRUE,INDEX(Y80:Y106&lt;&gt;Y80,),0)),"")</f>
        <v/>
      </c>
      <c r="AB80" s="64" t="str">
        <f t="shared" si="39"/>
        <v/>
      </c>
      <c r="AC80" s="64" t="str">
        <f t="shared" si="40"/>
        <v/>
      </c>
      <c r="AD80" s="64" t="e">
        <f>IF(ISTEXT(AB80),INDEX(AB80:AB106,MATCH(TRUE,INDEX(AB80:AB106&lt;&gt;AB80,),0)),"")</f>
        <v>#N/A</v>
      </c>
      <c r="AE80" s="11" t="str">
        <f t="shared" si="42"/>
        <v/>
      </c>
      <c r="AF80" s="11" t="str">
        <f t="shared" si="2"/>
        <v/>
      </c>
      <c r="AG80" s="11" t="str">
        <f t="shared" si="3"/>
        <v/>
      </c>
      <c r="AH80" s="11" t="str">
        <f t="shared" si="43"/>
        <v/>
      </c>
      <c r="AI80" s="11" t="e">
        <f>IF(AND(ISNUMBER(AI79),ISNUMBER(S80)),(VLOOKUP(AD80,AB80:AC106,2,FALSE)),IF(ISNUMBER(S80),R80,NA()))</f>
        <v>#N/A</v>
      </c>
      <c r="AJ80" s="11" t="e">
        <f t="shared" si="4"/>
        <v>#N/A</v>
      </c>
      <c r="AK80" s="11" t="str">
        <f t="shared" si="5"/>
        <v/>
      </c>
      <c r="AL80" s="11" t="str">
        <f t="shared" si="6"/>
        <v/>
      </c>
      <c r="AM80" s="7"/>
      <c r="AN80" s="7"/>
      <c r="AO80" s="7"/>
      <c r="AS80" s="74">
        <f t="shared" si="7"/>
        <v>10</v>
      </c>
      <c r="AT80" s="74">
        <f t="shared" si="8"/>
        <v>5</v>
      </c>
      <c r="AU80" s="74">
        <f t="shared" si="9"/>
        <v>10</v>
      </c>
      <c r="AV80" s="74">
        <f t="shared" si="0"/>
        <v>5</v>
      </c>
      <c r="AW80" s="102"/>
      <c r="AY80" s="9">
        <f t="shared" si="10"/>
        <v>10</v>
      </c>
      <c r="AZ80" s="11">
        <f t="shared" si="11"/>
        <v>3</v>
      </c>
      <c r="BA80" s="75">
        <f t="shared" si="12"/>
        <v>10</v>
      </c>
      <c r="BB80" s="11">
        <f t="shared" si="13"/>
        <v>3</v>
      </c>
      <c r="BD80" s="11">
        <f t="shared" si="14"/>
        <v>2</v>
      </c>
      <c r="BE80" s="9">
        <f t="shared" si="15"/>
        <v>0</v>
      </c>
      <c r="BF80" s="71">
        <f t="shared" si="16"/>
        <v>0</v>
      </c>
      <c r="BG80" s="11" t="str">
        <f t="shared" si="17"/>
        <v>MAX WSE</v>
      </c>
      <c r="BH80" s="132">
        <f t="shared" si="51"/>
        <v>5</v>
      </c>
      <c r="BJ80" s="71">
        <f t="shared" si="18"/>
        <v>2</v>
      </c>
      <c r="BL80" s="9">
        <f t="shared" si="49"/>
        <v>0</v>
      </c>
      <c r="BM80" s="9"/>
      <c r="BN80" s="9">
        <f t="shared" si="20"/>
        <v>10</v>
      </c>
      <c r="BO80" s="9" t="str">
        <f>IF(BP80="Left",IF(ISNA(VLOOKUP(BN80,XS_AnalyzerSummary!$A$21:$B$25,2,TRUE)),"",VLOOKUP(BN80,XS_AnalyzerSummary!$A$21:$B$25,2,TRUE)),IF(ISNA(VLOOKUP(-BN80,XS_AnalyzerSummary!$A$28:$B$32,2,TRUE)),"",VLOOKUP(-BN80,XS_AnalyzerSummary!$A$28:$B$32,2,TRUE)))</f>
        <v>Right Bank</v>
      </c>
      <c r="BP80" s="9" t="str">
        <f>IF(AU80&lt;XS_AnalyzerSummary!$B$7,"Left",IF(AU80&gt;XS_AnalyzerSummary!$B$7,"Right","Thalweg"))</f>
        <v>Right</v>
      </c>
      <c r="BQ80" s="9">
        <f t="shared" si="21"/>
        <v>0</v>
      </c>
      <c r="BR80" s="9">
        <f t="shared" si="22"/>
        <v>0</v>
      </c>
      <c r="BS80" s="9">
        <f t="shared" si="23"/>
        <v>0</v>
      </c>
      <c r="BT80" s="9">
        <f t="shared" si="24"/>
        <v>0</v>
      </c>
      <c r="BU80" s="9">
        <f t="shared" si="25"/>
        <v>2</v>
      </c>
      <c r="BV80" s="9">
        <f t="shared" si="26"/>
        <v>0</v>
      </c>
      <c r="BX80" s="9">
        <f>IF(AND(ISNUMBER($BN80),$BO80="Left 2nd Stage",SUM($BX$5:BX79)=0),$BN80,0)</f>
        <v>0</v>
      </c>
      <c r="BY80" s="9">
        <f t="shared" si="52"/>
        <v>0</v>
      </c>
      <c r="BZ80" s="9">
        <f>IF(AND(ISNUMBER($BN80),$BO80="Right 2nd Stage",SUM($BZ$5:$BZ79)=0),$BN79,0)</f>
        <v>0</v>
      </c>
      <c r="CA80" s="9">
        <f t="shared" si="47"/>
        <v>0</v>
      </c>
    </row>
    <row r="81" spans="1:79" ht="15">
      <c r="A81" s="9">
        <v>77</v>
      </c>
      <c r="B81" s="166" t="e">
        <f>IF(ISNUMBER(XS_Analyzer!B81),XS_Analyzer!B81,NA())</f>
        <v>#N/A</v>
      </c>
      <c r="C81" s="88" t="e">
        <f>IF(ISNUMBER(XS_Analyzer!C81),XS_Analyzer!C81,NA())</f>
        <v>#N/A</v>
      </c>
      <c r="D81" s="88" t="str">
        <f>IF(ISNUMBER(XS_Analyzer!E81),XS_Analyzer!E81,"")</f>
        <v/>
      </c>
      <c r="E81" s="9" t="str">
        <f t="shared" si="28"/>
        <v/>
      </c>
      <c r="F81" s="88" t="e">
        <f>IF(AND(ISTEXT(XS_Analyzer!D81),XS_Analyzer!D81&lt;&gt;""),VLOOKUP(XS_Analyzer!D81,$K$12:$L$21,2,FALSE),"")</f>
        <v>#N/A</v>
      </c>
      <c r="G81" s="132" t="str">
        <f t="shared" si="29"/>
        <v/>
      </c>
      <c r="H81" s="132"/>
      <c r="O81" s="7"/>
      <c r="P81" s="7"/>
      <c r="Q81" s="5" t="str">
        <f t="shared" si="30"/>
        <v>N</v>
      </c>
      <c r="R81" s="5" t="str">
        <f t="shared" si="31"/>
        <v/>
      </c>
      <c r="S81" s="5" t="str">
        <f t="shared" si="32"/>
        <v/>
      </c>
      <c r="T81" s="5" t="str">
        <f t="shared" si="33"/>
        <v/>
      </c>
      <c r="U81" s="5" t="str">
        <f t="shared" si="34"/>
        <v/>
      </c>
      <c r="V81" s="62" t="str">
        <f t="shared" si="35"/>
        <v/>
      </c>
      <c r="W81" s="62" t="e">
        <f t="shared" si="53"/>
        <v>#N/A</v>
      </c>
      <c r="X81" s="9" t="e">
        <f t="shared" si="1"/>
        <v>#N/A</v>
      </c>
      <c r="Y81" s="64" t="str">
        <f t="shared" si="36"/>
        <v/>
      </c>
      <c r="Z81" s="174" t="str">
        <f t="shared" si="37"/>
        <v/>
      </c>
      <c r="AA81" s="64" t="str">
        <f>IF(ISNUMBER(Y81),INDEX(Y81:Y106,MATCH(TRUE,INDEX(Y81:Y106&lt;&gt;Y81,),0)),"")</f>
        <v/>
      </c>
      <c r="AB81" s="64" t="str">
        <f t="shared" si="39"/>
        <v/>
      </c>
      <c r="AC81" s="64" t="str">
        <f t="shared" si="40"/>
        <v/>
      </c>
      <c r="AD81" s="64" t="e">
        <f>IF(ISTEXT(AB81),INDEX(AB81:AB106,MATCH(TRUE,INDEX(AB81:AB106&lt;&gt;AB81,),0)),"")</f>
        <v>#N/A</v>
      </c>
      <c r="AE81" s="11" t="str">
        <f t="shared" si="42"/>
        <v/>
      </c>
      <c r="AF81" s="11" t="str">
        <f t="shared" si="2"/>
        <v/>
      </c>
      <c r="AG81" s="11" t="str">
        <f t="shared" si="3"/>
        <v/>
      </c>
      <c r="AH81" s="11" t="str">
        <f t="shared" si="43"/>
        <v/>
      </c>
      <c r="AI81" s="11" t="e">
        <f>IF(AND(ISNUMBER(AI80),ISNUMBER(S81)),(VLOOKUP(AD81,AB81:AC106,2,FALSE)),IF(ISNUMBER(S81),R81,NA()))</f>
        <v>#N/A</v>
      </c>
      <c r="AJ81" s="11" t="e">
        <f t="shared" si="4"/>
        <v>#N/A</v>
      </c>
      <c r="AK81" s="11" t="str">
        <f t="shared" si="5"/>
        <v/>
      </c>
      <c r="AL81" s="11" t="str">
        <f t="shared" si="6"/>
        <v/>
      </c>
      <c r="AM81" s="7"/>
      <c r="AN81" s="7"/>
      <c r="AO81" s="7"/>
      <c r="AS81" s="74">
        <f t="shared" si="7"/>
        <v>10</v>
      </c>
      <c r="AT81" s="74">
        <f t="shared" si="8"/>
        <v>5</v>
      </c>
      <c r="AU81" s="74">
        <f t="shared" si="9"/>
        <v>10</v>
      </c>
      <c r="AV81" s="74">
        <f t="shared" si="0"/>
        <v>5</v>
      </c>
      <c r="AW81" s="102"/>
      <c r="AY81" s="9">
        <f t="shared" si="10"/>
        <v>10</v>
      </c>
      <c r="AZ81" s="11">
        <f t="shared" si="11"/>
        <v>3</v>
      </c>
      <c r="BA81" s="75">
        <f t="shared" si="12"/>
        <v>10</v>
      </c>
      <c r="BB81" s="11">
        <f t="shared" si="13"/>
        <v>3</v>
      </c>
      <c r="BD81" s="11">
        <f t="shared" si="14"/>
        <v>2</v>
      </c>
      <c r="BE81" s="9">
        <f t="shared" si="15"/>
        <v>0</v>
      </c>
      <c r="BF81" s="71">
        <f t="shared" si="16"/>
        <v>0</v>
      </c>
      <c r="BG81" s="11" t="str">
        <f t="shared" si="17"/>
        <v>MAX WSE</v>
      </c>
      <c r="BH81" s="132">
        <f t="shared" si="51"/>
        <v>5</v>
      </c>
      <c r="BJ81" s="71">
        <f t="shared" si="18"/>
        <v>2</v>
      </c>
      <c r="BL81" s="9">
        <f t="shared" si="49"/>
        <v>0</v>
      </c>
      <c r="BM81" s="9"/>
      <c r="BN81" s="9">
        <f t="shared" si="20"/>
        <v>10</v>
      </c>
      <c r="BO81" s="9" t="str">
        <f>IF(BP81="Left",IF(ISNA(VLOOKUP(BN81,XS_AnalyzerSummary!$A$21:$B$25,2,TRUE)),"",VLOOKUP(BN81,XS_AnalyzerSummary!$A$21:$B$25,2,TRUE)),IF(ISNA(VLOOKUP(-BN81,XS_AnalyzerSummary!$A$28:$B$32,2,TRUE)),"",VLOOKUP(-BN81,XS_AnalyzerSummary!$A$28:$B$32,2,TRUE)))</f>
        <v>Right Bank</v>
      </c>
      <c r="BP81" s="9" t="str">
        <f>IF(AU81&lt;XS_AnalyzerSummary!$B$7,"Left",IF(AU81&gt;XS_AnalyzerSummary!$B$7,"Right","Thalweg"))</f>
        <v>Right</v>
      </c>
      <c r="BQ81" s="9">
        <f t="shared" si="21"/>
        <v>0</v>
      </c>
      <c r="BR81" s="9">
        <f t="shared" si="22"/>
        <v>0</v>
      </c>
      <c r="BS81" s="9">
        <f t="shared" si="23"/>
        <v>0</v>
      </c>
      <c r="BT81" s="9">
        <f t="shared" si="24"/>
        <v>0</v>
      </c>
      <c r="BU81" s="9">
        <f t="shared" si="25"/>
        <v>2</v>
      </c>
      <c r="BV81" s="9">
        <f t="shared" si="26"/>
        <v>0</v>
      </c>
      <c r="BX81" s="9">
        <f>IF(AND(ISNUMBER($BN81),$BO81="Left 2nd Stage",SUM($BX$5:BX80)=0),$BN81,0)</f>
        <v>0</v>
      </c>
      <c r="BY81" s="9">
        <f t="shared" si="52"/>
        <v>0</v>
      </c>
      <c r="BZ81" s="9">
        <f>IF(AND(ISNUMBER($BN81),$BO81="Right 2nd Stage",SUM($BZ$5:$BZ80)=0),$BN80,0)</f>
        <v>0</v>
      </c>
      <c r="CA81" s="9">
        <f t="shared" si="47"/>
        <v>0</v>
      </c>
    </row>
    <row r="82" spans="1:79" ht="15">
      <c r="A82" s="9">
        <v>78</v>
      </c>
      <c r="B82" s="166" t="e">
        <f>IF(ISNUMBER(XS_Analyzer!B82),XS_Analyzer!B82,NA())</f>
        <v>#N/A</v>
      </c>
      <c r="C82" s="88" t="e">
        <f>IF(ISNUMBER(XS_Analyzer!C82),XS_Analyzer!C82,NA())</f>
        <v>#N/A</v>
      </c>
      <c r="D82" s="88" t="str">
        <f>IF(ISNUMBER(XS_Analyzer!E82),XS_Analyzer!E82,"")</f>
        <v/>
      </c>
      <c r="E82" s="9" t="str">
        <f t="shared" si="28"/>
        <v/>
      </c>
      <c r="F82" s="88" t="e">
        <f>IF(AND(ISTEXT(XS_Analyzer!D82),XS_Analyzer!D82&lt;&gt;""),VLOOKUP(XS_Analyzer!D82,$K$12:$L$21,2,FALSE),"")</f>
        <v>#N/A</v>
      </c>
      <c r="G82" s="132" t="str">
        <f t="shared" si="29"/>
        <v/>
      </c>
      <c r="H82" s="132"/>
      <c r="O82" s="7"/>
      <c r="P82" s="7"/>
      <c r="Q82" s="5" t="str">
        <f t="shared" si="30"/>
        <v>N</v>
      </c>
      <c r="R82" s="5" t="str">
        <f t="shared" si="31"/>
        <v/>
      </c>
      <c r="S82" s="5" t="str">
        <f t="shared" si="32"/>
        <v/>
      </c>
      <c r="T82" s="5" t="str">
        <f t="shared" si="33"/>
        <v/>
      </c>
      <c r="U82" s="5" t="str">
        <f t="shared" si="34"/>
        <v/>
      </c>
      <c r="V82" s="62" t="str">
        <f t="shared" si="35"/>
        <v/>
      </c>
      <c r="W82" s="62" t="e">
        <f t="shared" si="53"/>
        <v>#N/A</v>
      </c>
      <c r="X82" s="9" t="e">
        <f t="shared" si="1"/>
        <v>#N/A</v>
      </c>
      <c r="Y82" s="64" t="str">
        <f t="shared" si="36"/>
        <v/>
      </c>
      <c r="Z82" s="174" t="str">
        <f t="shared" si="37"/>
        <v/>
      </c>
      <c r="AA82" s="64" t="str">
        <f>IF(ISNUMBER(Y82),INDEX(Y82:Y106,MATCH(TRUE,INDEX(Y82:Y106&lt;&gt;Y82,),0)),"")</f>
        <v/>
      </c>
      <c r="AB82" s="64" t="str">
        <f t="shared" si="39"/>
        <v/>
      </c>
      <c r="AC82" s="64" t="str">
        <f t="shared" si="40"/>
        <v/>
      </c>
      <c r="AD82" s="64" t="e">
        <f>IF(ISTEXT(AB82),INDEX(AB82:AB106,MATCH(TRUE,INDEX(AB82:AB106&lt;&gt;AB82,),0)),"")</f>
        <v>#N/A</v>
      </c>
      <c r="AE82" s="11" t="str">
        <f t="shared" si="42"/>
        <v/>
      </c>
      <c r="AF82" s="11" t="str">
        <f t="shared" si="2"/>
        <v/>
      </c>
      <c r="AG82" s="11" t="str">
        <f t="shared" si="3"/>
        <v/>
      </c>
      <c r="AH82" s="11" t="str">
        <f t="shared" si="43"/>
        <v/>
      </c>
      <c r="AI82" s="11" t="e">
        <f>IF(AND(ISNUMBER(AI81),ISNUMBER(S82)),(VLOOKUP(AD82,AB82:AC106,2,FALSE)),IF(ISNUMBER(S82),R82,NA()))</f>
        <v>#N/A</v>
      </c>
      <c r="AJ82" s="11" t="e">
        <f t="shared" si="4"/>
        <v>#N/A</v>
      </c>
      <c r="AK82" s="11" t="str">
        <f t="shared" si="5"/>
        <v/>
      </c>
      <c r="AL82" s="11" t="str">
        <f t="shared" si="6"/>
        <v/>
      </c>
      <c r="AM82" s="7"/>
      <c r="AN82" s="7"/>
      <c r="AO82" s="7"/>
      <c r="AP82" s="7"/>
      <c r="AQ82" s="7"/>
      <c r="AS82" s="74">
        <f t="shared" si="7"/>
        <v>10</v>
      </c>
      <c r="AT82" s="74">
        <f t="shared" si="8"/>
        <v>5</v>
      </c>
      <c r="AU82" s="74">
        <f t="shared" si="9"/>
        <v>10</v>
      </c>
      <c r="AV82" s="74">
        <f t="shared" si="0"/>
        <v>5</v>
      </c>
      <c r="AW82" s="102"/>
      <c r="AY82" s="9">
        <f t="shared" si="10"/>
        <v>10</v>
      </c>
      <c r="AZ82" s="11">
        <f t="shared" si="11"/>
        <v>3</v>
      </c>
      <c r="BA82" s="75">
        <f t="shared" si="12"/>
        <v>10</v>
      </c>
      <c r="BB82" s="11">
        <f t="shared" si="13"/>
        <v>3</v>
      </c>
      <c r="BD82" s="11">
        <f t="shared" si="14"/>
        <v>2</v>
      </c>
      <c r="BE82" s="9">
        <f t="shared" si="15"/>
        <v>0</v>
      </c>
      <c r="BF82" s="71">
        <f t="shared" si="16"/>
        <v>0</v>
      </c>
      <c r="BG82" s="11" t="str">
        <f t="shared" si="17"/>
        <v>MAX WSE</v>
      </c>
      <c r="BH82" s="132">
        <f t="shared" si="51"/>
        <v>5</v>
      </c>
      <c r="BJ82" s="71">
        <f t="shared" si="18"/>
        <v>2</v>
      </c>
      <c r="BL82" s="9">
        <f t="shared" si="49"/>
        <v>0</v>
      </c>
      <c r="BM82" s="9"/>
      <c r="BN82" s="9">
        <f t="shared" si="20"/>
        <v>10</v>
      </c>
      <c r="BO82" s="9" t="str">
        <f>IF(BP82="Left",IF(ISNA(VLOOKUP(BN82,XS_AnalyzerSummary!$A$21:$B$25,2,TRUE)),"",VLOOKUP(BN82,XS_AnalyzerSummary!$A$21:$B$25,2,TRUE)),IF(ISNA(VLOOKUP(-BN82,XS_AnalyzerSummary!$A$28:$B$32,2,TRUE)),"",VLOOKUP(-BN82,XS_AnalyzerSummary!$A$28:$B$32,2,TRUE)))</f>
        <v>Right Bank</v>
      </c>
      <c r="BP82" s="9" t="str">
        <f>IF(AU82&lt;XS_AnalyzerSummary!$B$7,"Left",IF(AU82&gt;XS_AnalyzerSummary!$B$7,"Right","Thalweg"))</f>
        <v>Right</v>
      </c>
      <c r="BQ82" s="9">
        <f t="shared" si="21"/>
        <v>0</v>
      </c>
      <c r="BR82" s="9">
        <f t="shared" si="22"/>
        <v>0</v>
      </c>
      <c r="BS82" s="9">
        <f t="shared" si="23"/>
        <v>0</v>
      </c>
      <c r="BT82" s="9">
        <f t="shared" si="24"/>
        <v>0</v>
      </c>
      <c r="BU82" s="9">
        <f t="shared" si="25"/>
        <v>2</v>
      </c>
      <c r="BV82" s="9">
        <f t="shared" si="26"/>
        <v>0</v>
      </c>
      <c r="BX82" s="9">
        <f>IF(AND(ISNUMBER($BN82),$BO82="Left 2nd Stage",SUM($BX$5:BX81)=0),$BN82,0)</f>
        <v>0</v>
      </c>
      <c r="BY82" s="9">
        <f t="shared" si="52"/>
        <v>0</v>
      </c>
      <c r="BZ82" s="9">
        <f>IF(AND(ISNUMBER($BN82),$BO82="Right 2nd Stage",SUM($BZ$5:$BZ81)=0),$BN81,0)</f>
        <v>0</v>
      </c>
      <c r="CA82" s="9">
        <f t="shared" si="47"/>
        <v>0</v>
      </c>
    </row>
    <row r="83" spans="1:79" ht="15">
      <c r="A83" s="9">
        <v>79</v>
      </c>
      <c r="B83" s="166" t="e">
        <f>IF(ISNUMBER(XS_Analyzer!B83),XS_Analyzer!B83,NA())</f>
        <v>#N/A</v>
      </c>
      <c r="C83" s="88" t="e">
        <f>IF(ISNUMBER(XS_Analyzer!C83),XS_Analyzer!C83,NA())</f>
        <v>#N/A</v>
      </c>
      <c r="D83" s="88" t="str">
        <f>IF(ISNUMBER(XS_Analyzer!E83),XS_Analyzer!E83,"")</f>
        <v/>
      </c>
      <c r="E83" s="9" t="str">
        <f t="shared" si="28"/>
        <v/>
      </c>
      <c r="F83" s="88" t="e">
        <f>IF(AND(ISTEXT(XS_Analyzer!D83),XS_Analyzer!D83&lt;&gt;""),VLOOKUP(XS_Analyzer!D83,$K$12:$L$21,2,FALSE),"")</f>
        <v>#N/A</v>
      </c>
      <c r="G83" s="132" t="str">
        <f t="shared" si="29"/>
        <v/>
      </c>
      <c r="H83" s="132"/>
      <c r="O83" s="7"/>
      <c r="P83" s="7"/>
      <c r="Q83" s="5" t="str">
        <f t="shared" si="30"/>
        <v>N</v>
      </c>
      <c r="R83" s="5" t="str">
        <f t="shared" si="31"/>
        <v/>
      </c>
      <c r="S83" s="5" t="str">
        <f t="shared" si="32"/>
        <v/>
      </c>
      <c r="T83" s="5" t="str">
        <f t="shared" si="33"/>
        <v/>
      </c>
      <c r="U83" s="5" t="str">
        <f t="shared" si="34"/>
        <v/>
      </c>
      <c r="V83" s="62" t="str">
        <f t="shared" si="35"/>
        <v/>
      </c>
      <c r="W83" s="62" t="e">
        <f t="shared" si="53"/>
        <v>#N/A</v>
      </c>
      <c r="X83" s="9" t="e">
        <f t="shared" si="1"/>
        <v>#N/A</v>
      </c>
      <c r="Y83" s="64" t="str">
        <f t="shared" si="36"/>
        <v/>
      </c>
      <c r="Z83" s="174" t="str">
        <f t="shared" si="37"/>
        <v/>
      </c>
      <c r="AA83" s="64" t="str">
        <f>IF(ISNUMBER(Y83),INDEX(Y83:Y106,MATCH(TRUE,INDEX(Y83:Y106&lt;&gt;Y83,),0)),"")</f>
        <v/>
      </c>
      <c r="AB83" s="64" t="str">
        <f t="shared" si="39"/>
        <v/>
      </c>
      <c r="AC83" s="64" t="str">
        <f t="shared" si="40"/>
        <v/>
      </c>
      <c r="AD83" s="64" t="e">
        <f>IF(ISTEXT(AB83),INDEX(AB83:AB106,MATCH(TRUE,INDEX(AB83:AB106&lt;&gt;AB83,),0)),"")</f>
        <v>#N/A</v>
      </c>
      <c r="AE83" s="11" t="str">
        <f t="shared" si="42"/>
        <v/>
      </c>
      <c r="AF83" s="11" t="str">
        <f t="shared" si="2"/>
        <v/>
      </c>
      <c r="AG83" s="11" t="str">
        <f t="shared" si="3"/>
        <v/>
      </c>
      <c r="AH83" s="11" t="str">
        <f t="shared" si="43"/>
        <v/>
      </c>
      <c r="AI83" s="11" t="e">
        <f>IF(AND(ISNUMBER(AI82),ISNUMBER(S83)),(VLOOKUP(AD83,AB83:AC106,2,FALSE)),IF(ISNUMBER(S83),R83,NA()))</f>
        <v>#N/A</v>
      </c>
      <c r="AJ83" s="11" t="e">
        <f t="shared" si="4"/>
        <v>#N/A</v>
      </c>
      <c r="AK83" s="11" t="str">
        <f t="shared" si="5"/>
        <v/>
      </c>
      <c r="AL83" s="11" t="str">
        <f t="shared" si="6"/>
        <v/>
      </c>
      <c r="AM83" s="7"/>
      <c r="AN83" s="7"/>
      <c r="AO83" s="7"/>
      <c r="AP83" s="7"/>
      <c r="AQ83" s="7"/>
      <c r="AS83" s="74">
        <f t="shared" si="7"/>
        <v>10</v>
      </c>
      <c r="AT83" s="74">
        <f t="shared" si="8"/>
        <v>5</v>
      </c>
      <c r="AU83" s="74">
        <f t="shared" si="9"/>
        <v>10</v>
      </c>
      <c r="AV83" s="74">
        <f t="shared" si="0"/>
        <v>5</v>
      </c>
      <c r="AW83" s="102"/>
      <c r="AY83" s="9">
        <f t="shared" si="10"/>
        <v>10</v>
      </c>
      <c r="AZ83" s="11">
        <f t="shared" si="11"/>
        <v>3</v>
      </c>
      <c r="BA83" s="75">
        <f t="shared" si="12"/>
        <v>10</v>
      </c>
      <c r="BB83" s="11">
        <f t="shared" si="13"/>
        <v>3</v>
      </c>
      <c r="BD83" s="11">
        <f t="shared" si="14"/>
        <v>2</v>
      </c>
      <c r="BE83" s="9">
        <f t="shared" si="15"/>
        <v>0</v>
      </c>
      <c r="BF83" s="71">
        <f t="shared" si="16"/>
        <v>0</v>
      </c>
      <c r="BG83" s="11" t="str">
        <f t="shared" si="17"/>
        <v>MAX WSE</v>
      </c>
      <c r="BH83" s="132">
        <f t="shared" si="51"/>
        <v>5</v>
      </c>
      <c r="BJ83" s="71">
        <f t="shared" si="18"/>
        <v>2</v>
      </c>
      <c r="BL83" s="9">
        <f t="shared" si="49"/>
        <v>0</v>
      </c>
      <c r="BM83" s="9"/>
      <c r="BN83" s="9">
        <f t="shared" si="20"/>
        <v>10</v>
      </c>
      <c r="BO83" s="9" t="str">
        <f>IF(BP83="Left",IF(ISNA(VLOOKUP(BN83,XS_AnalyzerSummary!$A$21:$B$25,2,TRUE)),"",VLOOKUP(BN83,XS_AnalyzerSummary!$A$21:$B$25,2,TRUE)),IF(ISNA(VLOOKUP(-BN83,XS_AnalyzerSummary!$A$28:$B$32,2,TRUE)),"",VLOOKUP(-BN83,XS_AnalyzerSummary!$A$28:$B$32,2,TRUE)))</f>
        <v>Right Bank</v>
      </c>
      <c r="BP83" s="9" t="str">
        <f>IF(AU83&lt;XS_AnalyzerSummary!$B$7,"Left",IF(AU83&gt;XS_AnalyzerSummary!$B$7,"Right","Thalweg"))</f>
        <v>Right</v>
      </c>
      <c r="BQ83" s="9">
        <f t="shared" si="21"/>
        <v>0</v>
      </c>
      <c r="BR83" s="9">
        <f t="shared" si="22"/>
        <v>0</v>
      </c>
      <c r="BS83" s="9">
        <f t="shared" si="23"/>
        <v>0</v>
      </c>
      <c r="BT83" s="9">
        <f t="shared" si="24"/>
        <v>0</v>
      </c>
      <c r="BU83" s="9">
        <f t="shared" si="25"/>
        <v>2</v>
      </c>
      <c r="BV83" s="9">
        <f t="shared" si="26"/>
        <v>0</v>
      </c>
      <c r="BX83" s="9">
        <f>IF(AND(ISNUMBER($BN83),$BO83="Left 2nd Stage",SUM($BX$5:BX82)=0),$BN83,0)</f>
        <v>0</v>
      </c>
      <c r="BY83" s="9">
        <f t="shared" si="52"/>
        <v>0</v>
      </c>
      <c r="BZ83" s="9">
        <f>IF(AND(ISNUMBER($BN83),$BO83="Right 2nd Stage",SUM($BZ$5:$BZ82)=0),$BN82,0)</f>
        <v>0</v>
      </c>
      <c r="CA83" s="9">
        <f t="shared" si="47"/>
        <v>0</v>
      </c>
    </row>
    <row r="84" spans="1:79" ht="15">
      <c r="A84" s="9">
        <v>80</v>
      </c>
      <c r="B84" s="166" t="e">
        <f>IF(ISNUMBER(XS_Analyzer!B84),XS_Analyzer!B84,NA())</f>
        <v>#N/A</v>
      </c>
      <c r="C84" s="88" t="e">
        <f>IF(ISNUMBER(XS_Analyzer!C84),XS_Analyzer!C84,NA())</f>
        <v>#N/A</v>
      </c>
      <c r="D84" s="88" t="str">
        <f>IF(ISNUMBER(XS_Analyzer!E84),XS_Analyzer!E84,"")</f>
        <v/>
      </c>
      <c r="E84" s="9" t="str">
        <f t="shared" si="28"/>
        <v/>
      </c>
      <c r="F84" s="88" t="e">
        <f>IF(AND(ISTEXT(XS_Analyzer!D84),XS_Analyzer!D84&lt;&gt;""),VLOOKUP(XS_Analyzer!D84,$K$12:$L$21,2,FALSE),"")</f>
        <v>#N/A</v>
      </c>
      <c r="G84" s="132" t="str">
        <f t="shared" si="29"/>
        <v/>
      </c>
      <c r="H84" s="132"/>
      <c r="O84" s="7"/>
      <c r="P84" s="7"/>
      <c r="Q84" s="5" t="str">
        <f t="shared" si="30"/>
        <v>N</v>
      </c>
      <c r="R84" s="5" t="str">
        <f t="shared" si="31"/>
        <v/>
      </c>
      <c r="S84" s="5" t="str">
        <f t="shared" si="32"/>
        <v/>
      </c>
      <c r="T84" s="5" t="str">
        <f t="shared" si="33"/>
        <v/>
      </c>
      <c r="U84" s="5" t="str">
        <f t="shared" si="34"/>
        <v/>
      </c>
      <c r="V84" s="62" t="str">
        <f t="shared" si="35"/>
        <v/>
      </c>
      <c r="W84" s="62" t="e">
        <f t="shared" si="53"/>
        <v>#N/A</v>
      </c>
      <c r="X84" s="9" t="e">
        <f t="shared" si="1"/>
        <v>#N/A</v>
      </c>
      <c r="Y84" s="64" t="str">
        <f t="shared" si="36"/>
        <v/>
      </c>
      <c r="Z84" s="174" t="str">
        <f t="shared" si="37"/>
        <v/>
      </c>
      <c r="AA84" s="64" t="str">
        <f>IF(ISNUMBER(Y84),INDEX(Y84:Y106,MATCH(TRUE,INDEX(Y84:Y106&lt;&gt;Y84,),0)),"")</f>
        <v/>
      </c>
      <c r="AB84" s="64" t="str">
        <f t="shared" si="39"/>
        <v/>
      </c>
      <c r="AC84" s="64" t="str">
        <f t="shared" si="40"/>
        <v/>
      </c>
      <c r="AD84" s="64" t="e">
        <f>IF(ISTEXT(AB84),INDEX(AB84:AB106,MATCH(TRUE,INDEX(AB84:AB106&lt;&gt;AB84,),0)),"")</f>
        <v>#N/A</v>
      </c>
      <c r="AE84" s="11" t="str">
        <f t="shared" si="42"/>
        <v/>
      </c>
      <c r="AF84" s="11" t="str">
        <f t="shared" si="2"/>
        <v/>
      </c>
      <c r="AG84" s="11" t="str">
        <f t="shared" si="3"/>
        <v/>
      </c>
      <c r="AH84" s="11" t="str">
        <f t="shared" si="43"/>
        <v/>
      </c>
      <c r="AI84" s="11" t="e">
        <f>IF(AND(ISNUMBER(AI83),ISNUMBER(S84)),(VLOOKUP(AD84,AB84:AC106,2,FALSE)),IF(ISNUMBER(S84),R84,NA()))</f>
        <v>#N/A</v>
      </c>
      <c r="AJ84" s="11" t="e">
        <f t="shared" si="4"/>
        <v>#N/A</v>
      </c>
      <c r="AK84" s="11" t="str">
        <f t="shared" si="5"/>
        <v/>
      </c>
      <c r="AL84" s="11" t="str">
        <f t="shared" si="6"/>
        <v/>
      </c>
      <c r="AM84" s="7"/>
      <c r="AN84" s="7"/>
      <c r="AO84" s="7"/>
      <c r="AP84" s="7"/>
      <c r="AQ84" s="7"/>
      <c r="AS84" s="74">
        <f t="shared" si="7"/>
        <v>10</v>
      </c>
      <c r="AT84" s="74">
        <f t="shared" si="8"/>
        <v>5</v>
      </c>
      <c r="AU84" s="74">
        <f t="shared" si="9"/>
        <v>10</v>
      </c>
      <c r="AV84" s="74">
        <f t="shared" si="0"/>
        <v>5</v>
      </c>
      <c r="AW84" s="102"/>
      <c r="AY84" s="9">
        <f t="shared" si="10"/>
        <v>10</v>
      </c>
      <c r="AZ84" s="11">
        <f t="shared" si="11"/>
        <v>3</v>
      </c>
      <c r="BA84" s="75">
        <f t="shared" si="12"/>
        <v>10</v>
      </c>
      <c r="BB84" s="11">
        <f t="shared" si="13"/>
        <v>3</v>
      </c>
      <c r="BD84" s="11">
        <f t="shared" si="14"/>
        <v>2</v>
      </c>
      <c r="BE84" s="9">
        <f t="shared" si="15"/>
        <v>0</v>
      </c>
      <c r="BF84" s="71">
        <f t="shared" si="16"/>
        <v>0</v>
      </c>
      <c r="BG84" s="11" t="str">
        <f t="shared" si="17"/>
        <v>MAX WSE</v>
      </c>
      <c r="BH84" s="132">
        <f t="shared" si="51"/>
        <v>5</v>
      </c>
      <c r="BJ84" s="71">
        <f t="shared" si="18"/>
        <v>2</v>
      </c>
      <c r="BL84" s="9">
        <f t="shared" si="49"/>
        <v>0</v>
      </c>
      <c r="BM84" s="9"/>
      <c r="BN84" s="9">
        <f t="shared" si="20"/>
        <v>10</v>
      </c>
      <c r="BO84" s="9" t="str">
        <f>IF(BP84="Left",IF(ISNA(VLOOKUP(BN84,XS_AnalyzerSummary!$A$21:$B$25,2,TRUE)),"",VLOOKUP(BN84,XS_AnalyzerSummary!$A$21:$B$25,2,TRUE)),IF(ISNA(VLOOKUP(-BN84,XS_AnalyzerSummary!$A$28:$B$32,2,TRUE)),"",VLOOKUP(-BN84,XS_AnalyzerSummary!$A$28:$B$32,2,TRUE)))</f>
        <v>Right Bank</v>
      </c>
      <c r="BP84" s="9" t="str">
        <f>IF(AU84&lt;XS_AnalyzerSummary!$B$7,"Left",IF(AU84&gt;XS_AnalyzerSummary!$B$7,"Right","Thalweg"))</f>
        <v>Right</v>
      </c>
      <c r="BQ84" s="9">
        <f t="shared" si="21"/>
        <v>0</v>
      </c>
      <c r="BR84" s="9">
        <f t="shared" si="22"/>
        <v>0</v>
      </c>
      <c r="BS84" s="9">
        <f t="shared" si="23"/>
        <v>0</v>
      </c>
      <c r="BT84" s="9">
        <f t="shared" si="24"/>
        <v>0</v>
      </c>
      <c r="BU84" s="9">
        <f t="shared" si="25"/>
        <v>2</v>
      </c>
      <c r="BV84" s="9">
        <f t="shared" si="26"/>
        <v>0</v>
      </c>
      <c r="BX84" s="9">
        <f>IF(AND(ISNUMBER($BN84),$BO84="Left 2nd Stage",SUM($BX$5:BX83)=0),$BN84,0)</f>
        <v>0</v>
      </c>
      <c r="BY84" s="9">
        <f t="shared" si="52"/>
        <v>0</v>
      </c>
      <c r="BZ84" s="9">
        <f>IF(AND(ISNUMBER($BN84),$BO84="Right 2nd Stage",SUM($BZ$5:$BZ83)=0),$BN83,0)</f>
        <v>0</v>
      </c>
      <c r="CA84" s="9">
        <f t="shared" si="47"/>
        <v>0</v>
      </c>
    </row>
    <row r="85" spans="1:79" ht="15">
      <c r="A85" s="9">
        <v>81</v>
      </c>
      <c r="B85" s="166" t="e">
        <f>IF(ISNUMBER(XS_Analyzer!B85),XS_Analyzer!B85,NA())</f>
        <v>#N/A</v>
      </c>
      <c r="C85" s="88" t="e">
        <f>IF(ISNUMBER(XS_Analyzer!C85),XS_Analyzer!C85,NA())</f>
        <v>#N/A</v>
      </c>
      <c r="D85" s="88" t="str">
        <f>IF(ISNUMBER(XS_Analyzer!E85),XS_Analyzer!E85,"")</f>
        <v/>
      </c>
      <c r="E85" s="9" t="str">
        <f t="shared" si="28"/>
        <v/>
      </c>
      <c r="F85" s="88" t="e">
        <f>IF(AND(ISTEXT(XS_Analyzer!D85),XS_Analyzer!D85&lt;&gt;""),VLOOKUP(XS_Analyzer!D85,$K$12:$L$21,2,FALSE),"")</f>
        <v>#N/A</v>
      </c>
      <c r="G85" s="132" t="str">
        <f t="shared" si="29"/>
        <v/>
      </c>
      <c r="H85" s="132"/>
      <c r="O85" s="7"/>
      <c r="P85" s="7"/>
      <c r="Q85" s="5" t="str">
        <f t="shared" si="30"/>
        <v>N</v>
      </c>
      <c r="R85" s="5" t="str">
        <f t="shared" si="31"/>
        <v/>
      </c>
      <c r="S85" s="5" t="str">
        <f t="shared" si="32"/>
        <v/>
      </c>
      <c r="T85" s="5" t="str">
        <f t="shared" si="33"/>
        <v/>
      </c>
      <c r="U85" s="5" t="str">
        <f t="shared" si="34"/>
        <v/>
      </c>
      <c r="V85" s="62" t="str">
        <f t="shared" si="35"/>
        <v/>
      </c>
      <c r="W85" s="62" t="e">
        <f t="shared" si="53"/>
        <v>#N/A</v>
      </c>
      <c r="X85" s="9" t="e">
        <f t="shared" si="1"/>
        <v>#N/A</v>
      </c>
      <c r="Y85" s="64" t="str">
        <f t="shared" si="36"/>
        <v/>
      </c>
      <c r="Z85" s="174" t="str">
        <f t="shared" si="37"/>
        <v/>
      </c>
      <c r="AA85" s="64" t="str">
        <f>IF(ISNUMBER(Y85),INDEX(Y85:Y106,MATCH(TRUE,INDEX(Y85:Y106&lt;&gt;Y85,),0)),"")</f>
        <v/>
      </c>
      <c r="AB85" s="64" t="str">
        <f t="shared" si="39"/>
        <v/>
      </c>
      <c r="AC85" s="64" t="str">
        <f t="shared" si="40"/>
        <v/>
      </c>
      <c r="AD85" s="64" t="e">
        <f>IF(ISTEXT(AB85),INDEX(AB85:AB106,MATCH(TRUE,INDEX(AB85:AB106&lt;&gt;AB85,),0)),"")</f>
        <v>#N/A</v>
      </c>
      <c r="AE85" s="11" t="str">
        <f t="shared" si="42"/>
        <v/>
      </c>
      <c r="AF85" s="11" t="str">
        <f t="shared" si="2"/>
        <v/>
      </c>
      <c r="AG85" s="11" t="str">
        <f t="shared" si="3"/>
        <v/>
      </c>
      <c r="AH85" s="11" t="str">
        <f t="shared" si="43"/>
        <v/>
      </c>
      <c r="AI85" s="11" t="e">
        <f>IF(AND(ISNUMBER(AI84),ISNUMBER(S85)),(VLOOKUP(AD85,AB85:AC106,2,FALSE)),IF(ISNUMBER(S85),R85,NA()))</f>
        <v>#N/A</v>
      </c>
      <c r="AJ85" s="11" t="e">
        <f t="shared" si="4"/>
        <v>#N/A</v>
      </c>
      <c r="AK85" s="11" t="str">
        <f t="shared" si="5"/>
        <v/>
      </c>
      <c r="AL85" s="11" t="str">
        <f t="shared" si="6"/>
        <v/>
      </c>
      <c r="AM85" s="7"/>
      <c r="AN85" s="7"/>
      <c r="AO85" s="7"/>
      <c r="AP85" s="7"/>
      <c r="AQ85" s="7"/>
      <c r="AS85" s="74">
        <f t="shared" si="7"/>
        <v>10</v>
      </c>
      <c r="AT85" s="74">
        <f t="shared" si="8"/>
        <v>5</v>
      </c>
      <c r="AU85" s="74">
        <f t="shared" si="9"/>
        <v>10</v>
      </c>
      <c r="AV85" s="74">
        <f t="shared" si="0"/>
        <v>5</v>
      </c>
      <c r="AW85" s="102"/>
      <c r="AY85" s="9">
        <f t="shared" si="10"/>
        <v>10</v>
      </c>
      <c r="AZ85" s="11">
        <f t="shared" si="11"/>
        <v>3</v>
      </c>
      <c r="BA85" s="75">
        <f t="shared" si="12"/>
        <v>10</v>
      </c>
      <c r="BB85" s="11">
        <f t="shared" si="13"/>
        <v>3</v>
      </c>
      <c r="BD85" s="11">
        <f t="shared" si="14"/>
        <v>2</v>
      </c>
      <c r="BE85" s="9">
        <f t="shared" si="15"/>
        <v>0</v>
      </c>
      <c r="BF85" s="71">
        <f t="shared" si="16"/>
        <v>0</v>
      </c>
      <c r="BG85" s="11" t="str">
        <f t="shared" si="17"/>
        <v>MAX WSE</v>
      </c>
      <c r="BH85" s="132">
        <f t="shared" si="51"/>
        <v>5</v>
      </c>
      <c r="BJ85" s="71">
        <f t="shared" si="18"/>
        <v>2</v>
      </c>
      <c r="BL85" s="9">
        <f t="shared" si="49"/>
        <v>0</v>
      </c>
      <c r="BM85" s="9"/>
      <c r="BN85" s="9">
        <f t="shared" si="20"/>
        <v>10</v>
      </c>
      <c r="BO85" s="9" t="str">
        <f>IF(BP85="Left",IF(ISNA(VLOOKUP(BN85,XS_AnalyzerSummary!$A$21:$B$25,2,TRUE)),"",VLOOKUP(BN85,XS_AnalyzerSummary!$A$21:$B$25,2,TRUE)),IF(ISNA(VLOOKUP(-BN85,XS_AnalyzerSummary!$A$28:$B$32,2,TRUE)),"",VLOOKUP(-BN85,XS_AnalyzerSummary!$A$28:$B$32,2,TRUE)))</f>
        <v>Right Bank</v>
      </c>
      <c r="BP85" s="9" t="str">
        <f>IF(AU85&lt;XS_AnalyzerSummary!$B$7,"Left",IF(AU85&gt;XS_AnalyzerSummary!$B$7,"Right","Thalweg"))</f>
        <v>Right</v>
      </c>
      <c r="BQ85" s="9">
        <f t="shared" si="21"/>
        <v>0</v>
      </c>
      <c r="BR85" s="9">
        <f t="shared" si="22"/>
        <v>0</v>
      </c>
      <c r="BS85" s="9">
        <f t="shared" si="23"/>
        <v>0</v>
      </c>
      <c r="BT85" s="9">
        <f t="shared" si="24"/>
        <v>0</v>
      </c>
      <c r="BU85" s="9">
        <f t="shared" si="25"/>
        <v>2</v>
      </c>
      <c r="BV85" s="9">
        <f t="shared" si="26"/>
        <v>0</v>
      </c>
      <c r="BX85" s="9">
        <f>IF(AND(ISNUMBER($BN85),$BO85="Left 2nd Stage",SUM($BX$5:BX84)=0),$BN85,0)</f>
        <v>0</v>
      </c>
      <c r="BY85" s="9">
        <f t="shared" si="52"/>
        <v>0</v>
      </c>
      <c r="BZ85" s="9">
        <f>IF(AND(ISNUMBER($BN85),$BO85="Right 2nd Stage",SUM($BZ$5:$BZ84)=0),$BN84,0)</f>
        <v>0</v>
      </c>
      <c r="CA85" s="9">
        <f t="shared" si="47"/>
        <v>0</v>
      </c>
    </row>
    <row r="86" spans="1:79" ht="15">
      <c r="A86" s="9">
        <v>82</v>
      </c>
      <c r="B86" s="166" t="e">
        <f>IF(ISNUMBER(XS_Analyzer!B86),XS_Analyzer!B86,NA())</f>
        <v>#N/A</v>
      </c>
      <c r="C86" s="88" t="e">
        <f>IF(ISNUMBER(XS_Analyzer!C86),XS_Analyzer!C86,NA())</f>
        <v>#N/A</v>
      </c>
      <c r="D86" s="88" t="str">
        <f>IF(ISNUMBER(XS_Analyzer!E86),XS_Analyzer!E86,"")</f>
        <v/>
      </c>
      <c r="E86" s="9" t="str">
        <f t="shared" si="28"/>
        <v/>
      </c>
      <c r="F86" s="88" t="e">
        <f>IF(AND(ISTEXT(XS_Analyzer!D86),XS_Analyzer!D86&lt;&gt;""),VLOOKUP(XS_Analyzer!D86,$K$12:$L$21,2,FALSE),"")</f>
        <v>#N/A</v>
      </c>
      <c r="G86" s="132" t="str">
        <f t="shared" si="29"/>
        <v/>
      </c>
      <c r="H86" s="132"/>
      <c r="O86" s="7"/>
      <c r="P86" s="7"/>
      <c r="Q86" s="5" t="str">
        <f t="shared" si="30"/>
        <v>N</v>
      </c>
      <c r="R86" s="5" t="str">
        <f t="shared" si="31"/>
        <v/>
      </c>
      <c r="S86" s="5" t="str">
        <f t="shared" si="32"/>
        <v/>
      </c>
      <c r="T86" s="5" t="str">
        <f t="shared" si="33"/>
        <v/>
      </c>
      <c r="U86" s="5" t="str">
        <f t="shared" si="34"/>
        <v/>
      </c>
      <c r="V86" s="62" t="str">
        <f t="shared" si="35"/>
        <v/>
      </c>
      <c r="W86" s="62" t="e">
        <f t="shared" si="53"/>
        <v>#N/A</v>
      </c>
      <c r="X86" s="9" t="e">
        <f t="shared" si="1"/>
        <v>#N/A</v>
      </c>
      <c r="Y86" s="64" t="str">
        <f t="shared" si="36"/>
        <v/>
      </c>
      <c r="Z86" s="174" t="str">
        <f t="shared" si="37"/>
        <v/>
      </c>
      <c r="AA86" s="64" t="str">
        <f>IF(ISNUMBER(Y86),INDEX(Y86:Y106,MATCH(TRUE,INDEX(Y86:Y106&lt;&gt;Y86,),0)),"")</f>
        <v/>
      </c>
      <c r="AB86" s="64" t="str">
        <f t="shared" si="39"/>
        <v/>
      </c>
      <c r="AC86" s="64" t="str">
        <f t="shared" si="40"/>
        <v/>
      </c>
      <c r="AD86" s="64" t="e">
        <f>IF(ISTEXT(AB86),INDEX(AB86:AB106,MATCH(TRUE,INDEX(AB86:AB106&lt;&gt;AB86,),0)),"")</f>
        <v>#N/A</v>
      </c>
      <c r="AE86" s="11" t="str">
        <f t="shared" si="42"/>
        <v/>
      </c>
      <c r="AF86" s="11" t="str">
        <f t="shared" si="2"/>
        <v/>
      </c>
      <c r="AG86" s="11" t="str">
        <f t="shared" si="3"/>
        <v/>
      </c>
      <c r="AH86" s="11" t="str">
        <f t="shared" si="43"/>
        <v/>
      </c>
      <c r="AI86" s="11" t="e">
        <f>IF(AND(ISNUMBER(AI85),ISNUMBER(S86)),(VLOOKUP(AD86,AB86:AC106,2,FALSE)),IF(ISNUMBER(S86),R86,NA()))</f>
        <v>#N/A</v>
      </c>
      <c r="AJ86" s="11" t="e">
        <f t="shared" si="4"/>
        <v>#N/A</v>
      </c>
      <c r="AK86" s="11" t="str">
        <f t="shared" si="5"/>
        <v/>
      </c>
      <c r="AL86" s="11" t="str">
        <f t="shared" si="6"/>
        <v/>
      </c>
      <c r="AM86" s="7"/>
      <c r="AN86" s="7"/>
      <c r="AO86" s="7"/>
      <c r="AP86" s="7"/>
      <c r="AQ86" s="7"/>
      <c r="AS86" s="74">
        <f t="shared" si="7"/>
        <v>10</v>
      </c>
      <c r="AT86" s="74">
        <f t="shared" si="8"/>
        <v>5</v>
      </c>
      <c r="AU86" s="74">
        <f t="shared" si="9"/>
        <v>10</v>
      </c>
      <c r="AV86" s="74">
        <f t="shared" si="0"/>
        <v>5</v>
      </c>
      <c r="AW86" s="102"/>
      <c r="AY86" s="9">
        <f t="shared" si="10"/>
        <v>10</v>
      </c>
      <c r="AZ86" s="11">
        <f t="shared" si="11"/>
        <v>3</v>
      </c>
      <c r="BA86" s="75">
        <f t="shared" si="12"/>
        <v>10</v>
      </c>
      <c r="BB86" s="11">
        <f t="shared" si="13"/>
        <v>3</v>
      </c>
      <c r="BD86" s="11">
        <f t="shared" si="14"/>
        <v>2</v>
      </c>
      <c r="BE86" s="9">
        <f t="shared" si="15"/>
        <v>0</v>
      </c>
      <c r="BF86" s="71">
        <f t="shared" si="16"/>
        <v>0</v>
      </c>
      <c r="BG86" s="11" t="str">
        <f t="shared" si="17"/>
        <v>MAX WSE</v>
      </c>
      <c r="BH86" s="132">
        <f t="shared" si="51"/>
        <v>5</v>
      </c>
      <c r="BJ86" s="71">
        <f t="shared" si="18"/>
        <v>2</v>
      </c>
      <c r="BL86" s="9">
        <f t="shared" si="49"/>
        <v>0</v>
      </c>
      <c r="BM86" s="9"/>
      <c r="BN86" s="9">
        <f t="shared" si="20"/>
        <v>10</v>
      </c>
      <c r="BO86" s="9" t="str">
        <f>IF(BP86="Left",IF(ISNA(VLOOKUP(BN86,XS_AnalyzerSummary!$A$21:$B$25,2,TRUE)),"",VLOOKUP(BN86,XS_AnalyzerSummary!$A$21:$B$25,2,TRUE)),IF(ISNA(VLOOKUP(-BN86,XS_AnalyzerSummary!$A$28:$B$32,2,TRUE)),"",VLOOKUP(-BN86,XS_AnalyzerSummary!$A$28:$B$32,2,TRUE)))</f>
        <v>Right Bank</v>
      </c>
      <c r="BP86" s="9" t="str">
        <f>IF(AU86&lt;XS_AnalyzerSummary!$B$7,"Left",IF(AU86&gt;XS_AnalyzerSummary!$B$7,"Right","Thalweg"))</f>
        <v>Right</v>
      </c>
      <c r="BQ86" s="9">
        <f t="shared" si="21"/>
        <v>0</v>
      </c>
      <c r="BR86" s="9">
        <f t="shared" si="22"/>
        <v>0</v>
      </c>
      <c r="BS86" s="9">
        <f t="shared" si="23"/>
        <v>0</v>
      </c>
      <c r="BT86" s="9">
        <f t="shared" si="24"/>
        <v>0</v>
      </c>
      <c r="BU86" s="9">
        <f t="shared" si="25"/>
        <v>2</v>
      </c>
      <c r="BV86" s="9">
        <f t="shared" si="26"/>
        <v>0</v>
      </c>
      <c r="BX86" s="9">
        <f>IF(AND(ISNUMBER($BN86),$BO86="Left 2nd Stage",SUM($BX$5:BX85)=0),$BN86,0)</f>
        <v>0</v>
      </c>
      <c r="BY86" s="9">
        <f t="shared" si="52"/>
        <v>0</v>
      </c>
      <c r="BZ86" s="9">
        <f>IF(AND(ISNUMBER($BN86),$BO86="Right 2nd Stage",SUM($BZ$5:$BZ85)=0),$BN85,0)</f>
        <v>0</v>
      </c>
      <c r="CA86" s="9">
        <f t="shared" si="47"/>
        <v>0</v>
      </c>
    </row>
    <row r="87" spans="1:79" ht="15">
      <c r="A87" s="9">
        <v>83</v>
      </c>
      <c r="B87" s="166" t="e">
        <f>IF(ISNUMBER(XS_Analyzer!B87),XS_Analyzer!B87,NA())</f>
        <v>#N/A</v>
      </c>
      <c r="C87" s="88" t="e">
        <f>IF(ISNUMBER(XS_Analyzer!C87),XS_Analyzer!C87,NA())</f>
        <v>#N/A</v>
      </c>
      <c r="D87" s="88" t="str">
        <f>IF(ISNUMBER(XS_Analyzer!E87),XS_Analyzer!E87,"")</f>
        <v/>
      </c>
      <c r="E87" s="9" t="str">
        <f t="shared" si="28"/>
        <v/>
      </c>
      <c r="F87" s="88" t="e">
        <f>IF(AND(ISTEXT(XS_Analyzer!D87),XS_Analyzer!D87&lt;&gt;""),VLOOKUP(XS_Analyzer!D87,$K$12:$L$21,2,FALSE),"")</f>
        <v>#N/A</v>
      </c>
      <c r="G87" s="132" t="str">
        <f t="shared" si="29"/>
        <v/>
      </c>
      <c r="H87" s="132"/>
      <c r="O87" s="7"/>
      <c r="P87" s="7"/>
      <c r="Q87" s="5" t="str">
        <f t="shared" si="30"/>
        <v>N</v>
      </c>
      <c r="R87" s="5" t="str">
        <f t="shared" si="31"/>
        <v/>
      </c>
      <c r="S87" s="5" t="str">
        <f t="shared" si="32"/>
        <v/>
      </c>
      <c r="T87" s="5" t="str">
        <f t="shared" si="33"/>
        <v/>
      </c>
      <c r="U87" s="5" t="str">
        <f t="shared" si="34"/>
        <v/>
      </c>
      <c r="V87" s="62" t="str">
        <f t="shared" si="35"/>
        <v/>
      </c>
      <c r="W87" s="62" t="e">
        <f t="shared" si="53"/>
        <v>#N/A</v>
      </c>
      <c r="X87" s="9" t="e">
        <f t="shared" si="1"/>
        <v>#N/A</v>
      </c>
      <c r="Y87" s="64" t="str">
        <f t="shared" si="36"/>
        <v/>
      </c>
      <c r="Z87" s="174" t="str">
        <f t="shared" si="37"/>
        <v/>
      </c>
      <c r="AA87" s="64" t="str">
        <f>IF(ISNUMBER(Y87),INDEX(Y87:Y106,MATCH(TRUE,INDEX(Y87:Y106&lt;&gt;Y87,),0)),"")</f>
        <v/>
      </c>
      <c r="AB87" s="64" t="str">
        <f t="shared" si="39"/>
        <v/>
      </c>
      <c r="AC87" s="64" t="str">
        <f t="shared" si="40"/>
        <v/>
      </c>
      <c r="AD87" s="64" t="e">
        <f>IF(ISTEXT(AB87),INDEX(AB87:AB106,MATCH(TRUE,INDEX(AB87:AB106&lt;&gt;AB87,),0)),"")</f>
        <v>#N/A</v>
      </c>
      <c r="AE87" s="11" t="str">
        <f t="shared" si="42"/>
        <v/>
      </c>
      <c r="AF87" s="11" t="str">
        <f t="shared" si="2"/>
        <v/>
      </c>
      <c r="AG87" s="11" t="str">
        <f t="shared" si="3"/>
        <v/>
      </c>
      <c r="AH87" s="11" t="str">
        <f t="shared" si="43"/>
        <v/>
      </c>
      <c r="AI87" s="11" t="e">
        <f>IF(AND(ISNUMBER(AI86),ISNUMBER(S87)),(VLOOKUP(AD87,AB87:AC106,2,FALSE)),IF(ISNUMBER(S87),R87,NA()))</f>
        <v>#N/A</v>
      </c>
      <c r="AJ87" s="11" t="e">
        <f t="shared" si="4"/>
        <v>#N/A</v>
      </c>
      <c r="AK87" s="11" t="str">
        <f t="shared" si="5"/>
        <v/>
      </c>
      <c r="AL87" s="11" t="str">
        <f t="shared" si="6"/>
        <v/>
      </c>
      <c r="AM87" s="7"/>
      <c r="AN87" s="7"/>
      <c r="AO87" s="7"/>
      <c r="AP87" s="7"/>
      <c r="AQ87" s="7"/>
      <c r="AS87" s="74">
        <f t="shared" si="7"/>
        <v>10</v>
      </c>
      <c r="AT87" s="74">
        <f t="shared" si="8"/>
        <v>5</v>
      </c>
      <c r="AU87" s="74">
        <f t="shared" si="9"/>
        <v>10</v>
      </c>
      <c r="AV87" s="74">
        <f t="shared" si="0"/>
        <v>5</v>
      </c>
      <c r="AW87" s="102"/>
      <c r="AY87" s="9">
        <f t="shared" si="10"/>
        <v>10</v>
      </c>
      <c r="AZ87" s="11">
        <f t="shared" si="11"/>
        <v>3</v>
      </c>
      <c r="BA87" s="75">
        <f t="shared" si="12"/>
        <v>10</v>
      </c>
      <c r="BB87" s="11">
        <f t="shared" si="13"/>
        <v>3</v>
      </c>
      <c r="BD87" s="11">
        <f t="shared" si="14"/>
        <v>2</v>
      </c>
      <c r="BE87" s="9">
        <f t="shared" si="15"/>
        <v>0</v>
      </c>
      <c r="BF87" s="71">
        <f t="shared" si="16"/>
        <v>0</v>
      </c>
      <c r="BG87" s="11" t="str">
        <f t="shared" si="17"/>
        <v>MAX WSE</v>
      </c>
      <c r="BH87" s="132">
        <f t="shared" si="51"/>
        <v>5</v>
      </c>
      <c r="BJ87" s="71">
        <f t="shared" si="18"/>
        <v>2</v>
      </c>
      <c r="BL87" s="9">
        <f t="shared" si="49"/>
        <v>0</v>
      </c>
      <c r="BM87" s="9"/>
      <c r="BN87" s="9">
        <f t="shared" si="20"/>
        <v>10</v>
      </c>
      <c r="BO87" s="9" t="str">
        <f>IF(BP87="Left",IF(ISNA(VLOOKUP(BN87,XS_AnalyzerSummary!$A$21:$B$25,2,TRUE)),"",VLOOKUP(BN87,XS_AnalyzerSummary!$A$21:$B$25,2,TRUE)),IF(ISNA(VLOOKUP(-BN87,XS_AnalyzerSummary!$A$28:$B$32,2,TRUE)),"",VLOOKUP(-BN87,XS_AnalyzerSummary!$A$28:$B$32,2,TRUE)))</f>
        <v>Right Bank</v>
      </c>
      <c r="BP87" s="9" t="str">
        <f>IF(AU87&lt;XS_AnalyzerSummary!$B$7,"Left",IF(AU87&gt;XS_AnalyzerSummary!$B$7,"Right","Thalweg"))</f>
        <v>Right</v>
      </c>
      <c r="BQ87" s="9">
        <f t="shared" si="21"/>
        <v>0</v>
      </c>
      <c r="BR87" s="9">
        <f t="shared" si="22"/>
        <v>0</v>
      </c>
      <c r="BS87" s="9">
        <f t="shared" si="23"/>
        <v>0</v>
      </c>
      <c r="BT87" s="9">
        <f t="shared" si="24"/>
        <v>0</v>
      </c>
      <c r="BU87" s="9">
        <f t="shared" si="25"/>
        <v>2</v>
      </c>
      <c r="BV87" s="9">
        <f t="shared" si="26"/>
        <v>0</v>
      </c>
      <c r="BX87" s="9">
        <f>IF(AND(ISNUMBER($BN87),$BO87="Left 2nd Stage",SUM($BX$5:BX86)=0),$BN87,0)</f>
        <v>0</v>
      </c>
      <c r="BY87" s="9">
        <f t="shared" si="52"/>
        <v>0</v>
      </c>
      <c r="BZ87" s="9">
        <f>IF(AND(ISNUMBER($BN87),$BO87="Right 2nd Stage",SUM($BZ$5:$BZ86)=0),$BN86,0)</f>
        <v>0</v>
      </c>
      <c r="CA87" s="9">
        <f t="shared" si="47"/>
        <v>0</v>
      </c>
    </row>
    <row r="88" spans="1:79" ht="15">
      <c r="A88" s="9">
        <v>84</v>
      </c>
      <c r="B88" s="166" t="e">
        <f>IF(ISNUMBER(XS_Analyzer!B88),XS_Analyzer!B88,NA())</f>
        <v>#N/A</v>
      </c>
      <c r="C88" s="88" t="e">
        <f>IF(ISNUMBER(XS_Analyzer!C88),XS_Analyzer!C88,NA())</f>
        <v>#N/A</v>
      </c>
      <c r="D88" s="88" t="str">
        <f>IF(ISNUMBER(XS_Analyzer!E88),XS_Analyzer!E88,"")</f>
        <v/>
      </c>
      <c r="E88" s="9" t="str">
        <f t="shared" si="28"/>
        <v/>
      </c>
      <c r="F88" s="88" t="e">
        <f>IF(AND(ISTEXT(XS_Analyzer!D88),XS_Analyzer!D88&lt;&gt;""),VLOOKUP(XS_Analyzer!D88,$K$12:$L$21,2,FALSE),"")</f>
        <v>#N/A</v>
      </c>
      <c r="G88" s="132" t="str">
        <f t="shared" si="29"/>
        <v/>
      </c>
      <c r="H88" s="132"/>
      <c r="O88" s="7"/>
      <c r="P88" s="7"/>
      <c r="Q88" s="5" t="str">
        <f t="shared" si="30"/>
        <v>N</v>
      </c>
      <c r="R88" s="5" t="str">
        <f t="shared" si="31"/>
        <v/>
      </c>
      <c r="S88" s="5" t="str">
        <f t="shared" si="32"/>
        <v/>
      </c>
      <c r="T88" s="5" t="str">
        <f t="shared" si="33"/>
        <v/>
      </c>
      <c r="U88" s="5" t="str">
        <f t="shared" si="34"/>
        <v/>
      </c>
      <c r="V88" s="62" t="str">
        <f t="shared" si="35"/>
        <v/>
      </c>
      <c r="W88" s="62" t="e">
        <f t="shared" si="53"/>
        <v>#N/A</v>
      </c>
      <c r="X88" s="9" t="e">
        <f t="shared" si="1"/>
        <v>#N/A</v>
      </c>
      <c r="Y88" s="64" t="str">
        <f t="shared" si="36"/>
        <v/>
      </c>
      <c r="Z88" s="174" t="str">
        <f t="shared" si="37"/>
        <v/>
      </c>
      <c r="AA88" s="64" t="str">
        <f>IF(ISNUMBER(Y88),INDEX(Y88:Y106,MATCH(TRUE,INDEX(Y88:Y106&lt;&gt;Y88,),0)),"")</f>
        <v/>
      </c>
      <c r="AB88" s="64" t="str">
        <f t="shared" si="39"/>
        <v/>
      </c>
      <c r="AC88" s="64" t="str">
        <f t="shared" si="40"/>
        <v/>
      </c>
      <c r="AD88" s="64" t="e">
        <f>IF(ISTEXT(AB88),INDEX(AB88:AB106,MATCH(TRUE,INDEX(AB88:AB106&lt;&gt;AB88,),0)),"")</f>
        <v>#N/A</v>
      </c>
      <c r="AE88" s="11" t="str">
        <f t="shared" si="42"/>
        <v/>
      </c>
      <c r="AF88" s="11" t="str">
        <f t="shared" si="2"/>
        <v/>
      </c>
      <c r="AG88" s="11" t="str">
        <f t="shared" si="3"/>
        <v/>
      </c>
      <c r="AH88" s="11" t="str">
        <f t="shared" si="43"/>
        <v/>
      </c>
      <c r="AI88" s="11" t="e">
        <f>IF(AND(ISNUMBER(AI87),ISNUMBER(S88)),(VLOOKUP(AD88,AB88:AC106,2,FALSE)),IF(ISNUMBER(S88),R88,NA()))</f>
        <v>#N/A</v>
      </c>
      <c r="AJ88" s="11" t="e">
        <f t="shared" si="4"/>
        <v>#N/A</v>
      </c>
      <c r="AK88" s="11" t="str">
        <f t="shared" si="5"/>
        <v/>
      </c>
      <c r="AL88" s="11" t="str">
        <f t="shared" si="6"/>
        <v/>
      </c>
      <c r="AM88" s="7"/>
      <c r="AN88" s="7"/>
      <c r="AO88" s="7"/>
      <c r="AP88" s="7"/>
      <c r="AQ88" s="7"/>
      <c r="AS88" s="74">
        <f t="shared" si="7"/>
        <v>10</v>
      </c>
      <c r="AT88" s="74">
        <f t="shared" si="8"/>
        <v>5</v>
      </c>
      <c r="AU88" s="74">
        <f t="shared" si="9"/>
        <v>10</v>
      </c>
      <c r="AV88" s="74">
        <f t="shared" si="0"/>
        <v>5</v>
      </c>
      <c r="AW88" s="102"/>
      <c r="AY88" s="9">
        <f t="shared" si="10"/>
        <v>10</v>
      </c>
      <c r="AZ88" s="11">
        <f t="shared" si="11"/>
        <v>3</v>
      </c>
      <c r="BA88" s="75">
        <f t="shared" si="12"/>
        <v>10</v>
      </c>
      <c r="BB88" s="11">
        <f t="shared" si="13"/>
        <v>3</v>
      </c>
      <c r="BD88" s="11">
        <f t="shared" si="14"/>
        <v>2</v>
      </c>
      <c r="BE88" s="9">
        <f t="shared" si="15"/>
        <v>0</v>
      </c>
      <c r="BF88" s="71">
        <f t="shared" si="16"/>
        <v>0</v>
      </c>
      <c r="BG88" s="11" t="str">
        <f t="shared" si="17"/>
        <v>MAX WSE</v>
      </c>
      <c r="BH88" s="132">
        <f t="shared" si="51"/>
        <v>5</v>
      </c>
      <c r="BJ88" s="71">
        <f t="shared" si="18"/>
        <v>2</v>
      </c>
      <c r="BL88" s="9">
        <f t="shared" si="49"/>
        <v>0</v>
      </c>
      <c r="BM88" s="9"/>
      <c r="BN88" s="9">
        <f t="shared" si="20"/>
        <v>10</v>
      </c>
      <c r="BO88" s="9" t="str">
        <f>IF(BP88="Left",IF(ISNA(VLOOKUP(BN88,XS_AnalyzerSummary!$A$21:$B$25,2,TRUE)),"",VLOOKUP(BN88,XS_AnalyzerSummary!$A$21:$B$25,2,TRUE)),IF(ISNA(VLOOKUP(-BN88,XS_AnalyzerSummary!$A$28:$B$32,2,TRUE)),"",VLOOKUP(-BN88,XS_AnalyzerSummary!$A$28:$B$32,2,TRUE)))</f>
        <v>Right Bank</v>
      </c>
      <c r="BP88" s="9" t="str">
        <f>IF(AU88&lt;XS_AnalyzerSummary!$B$7,"Left",IF(AU88&gt;XS_AnalyzerSummary!$B$7,"Right","Thalweg"))</f>
        <v>Right</v>
      </c>
      <c r="BQ88" s="9">
        <f t="shared" si="21"/>
        <v>0</v>
      </c>
      <c r="BR88" s="9">
        <f t="shared" si="22"/>
        <v>0</v>
      </c>
      <c r="BS88" s="9">
        <f t="shared" si="23"/>
        <v>0</v>
      </c>
      <c r="BT88" s="9">
        <f t="shared" si="24"/>
        <v>0</v>
      </c>
      <c r="BU88" s="9">
        <f t="shared" si="25"/>
        <v>2</v>
      </c>
      <c r="BV88" s="9">
        <f t="shared" si="26"/>
        <v>0</v>
      </c>
      <c r="BX88" s="9">
        <f>IF(AND(ISNUMBER($BN88),$BO88="Left 2nd Stage",SUM($BX$5:BX87)=0),$BN88,0)</f>
        <v>0</v>
      </c>
      <c r="BY88" s="9">
        <f t="shared" si="52"/>
        <v>0</v>
      </c>
      <c r="BZ88" s="9">
        <f>IF(AND(ISNUMBER($BN88),$BO88="Right 2nd Stage",SUM($BZ$5:$BZ87)=0),$BN87,0)</f>
        <v>0</v>
      </c>
      <c r="CA88" s="9">
        <f t="shared" si="47"/>
        <v>0</v>
      </c>
    </row>
    <row r="89" spans="1:79" ht="15">
      <c r="A89" s="9">
        <v>85</v>
      </c>
      <c r="B89" s="166" t="e">
        <f>IF(ISNUMBER(XS_Analyzer!B89),XS_Analyzer!B89,NA())</f>
        <v>#N/A</v>
      </c>
      <c r="C89" s="88" t="e">
        <f>IF(ISNUMBER(XS_Analyzer!C89),XS_Analyzer!C89,NA())</f>
        <v>#N/A</v>
      </c>
      <c r="D89" s="88" t="str">
        <f>IF(ISNUMBER(XS_Analyzer!E89),XS_Analyzer!E89,"")</f>
        <v/>
      </c>
      <c r="E89" s="9" t="str">
        <f t="shared" si="28"/>
        <v/>
      </c>
      <c r="F89" s="88" t="e">
        <f>IF(AND(ISTEXT(XS_Analyzer!D89),XS_Analyzer!D89&lt;&gt;""),VLOOKUP(XS_Analyzer!D89,$K$12:$L$21,2,FALSE),"")</f>
        <v>#N/A</v>
      </c>
      <c r="G89" s="132" t="str">
        <f t="shared" si="29"/>
        <v/>
      </c>
      <c r="H89" s="132"/>
      <c r="O89" s="7"/>
      <c r="P89" s="7"/>
      <c r="Q89" s="5" t="str">
        <f t="shared" si="30"/>
        <v>N</v>
      </c>
      <c r="R89" s="5" t="str">
        <f t="shared" si="31"/>
        <v/>
      </c>
      <c r="S89" s="5" t="str">
        <f t="shared" si="32"/>
        <v/>
      </c>
      <c r="T89" s="5" t="str">
        <f t="shared" si="33"/>
        <v/>
      </c>
      <c r="U89" s="5" t="str">
        <f t="shared" si="34"/>
        <v/>
      </c>
      <c r="V89" s="62" t="str">
        <f t="shared" si="35"/>
        <v/>
      </c>
      <c r="W89" s="62" t="e">
        <f t="shared" si="53"/>
        <v>#N/A</v>
      </c>
      <c r="X89" s="9" t="e">
        <f t="shared" si="1"/>
        <v>#N/A</v>
      </c>
      <c r="Y89" s="64" t="str">
        <f t="shared" si="36"/>
        <v/>
      </c>
      <c r="Z89" s="174" t="str">
        <f t="shared" si="37"/>
        <v/>
      </c>
      <c r="AA89" s="64" t="str">
        <f>IF(ISNUMBER(Y89),INDEX(Y89:Y106,MATCH(TRUE,INDEX(Y89:Y106&lt;&gt;Y89,),0)),"")</f>
        <v/>
      </c>
      <c r="AB89" s="64" t="str">
        <f t="shared" si="39"/>
        <v/>
      </c>
      <c r="AC89" s="64" t="str">
        <f t="shared" si="40"/>
        <v/>
      </c>
      <c r="AD89" s="64" t="e">
        <f>IF(ISTEXT(AB89),INDEX(AB89:AB106,MATCH(TRUE,INDEX(AB89:AB106&lt;&gt;AB89,),0)),"")</f>
        <v>#N/A</v>
      </c>
      <c r="AE89" s="11" t="str">
        <f t="shared" si="42"/>
        <v/>
      </c>
      <c r="AF89" s="11" t="str">
        <f t="shared" si="2"/>
        <v/>
      </c>
      <c r="AG89" s="11" t="str">
        <f t="shared" si="3"/>
        <v/>
      </c>
      <c r="AH89" s="11" t="str">
        <f t="shared" si="43"/>
        <v/>
      </c>
      <c r="AI89" s="11" t="e">
        <f>IF(AND(ISNUMBER(AI88),ISNUMBER(S89)),(VLOOKUP(AD89,AB89:AC106,2,FALSE)),IF(ISNUMBER(S89),R89,NA()))</f>
        <v>#N/A</v>
      </c>
      <c r="AJ89" s="11" t="e">
        <f t="shared" si="4"/>
        <v>#N/A</v>
      </c>
      <c r="AK89" s="11" t="str">
        <f t="shared" si="5"/>
        <v/>
      </c>
      <c r="AL89" s="11" t="str">
        <f t="shared" si="6"/>
        <v/>
      </c>
      <c r="AM89" s="7"/>
      <c r="AN89" s="7"/>
      <c r="AO89" s="7"/>
      <c r="AP89" s="7"/>
      <c r="AQ89" s="7"/>
      <c r="AS89" s="74">
        <f t="shared" si="7"/>
        <v>10</v>
      </c>
      <c r="AT89" s="74">
        <f t="shared" si="8"/>
        <v>5</v>
      </c>
      <c r="AU89" s="74">
        <f t="shared" si="9"/>
        <v>10</v>
      </c>
      <c r="AV89" s="74">
        <f t="shared" si="0"/>
        <v>5</v>
      </c>
      <c r="AW89" s="102"/>
      <c r="AY89" s="9">
        <f t="shared" si="10"/>
        <v>10</v>
      </c>
      <c r="AZ89" s="11">
        <f t="shared" si="11"/>
        <v>3</v>
      </c>
      <c r="BA89" s="75">
        <f t="shared" si="12"/>
        <v>10</v>
      </c>
      <c r="BB89" s="11">
        <f t="shared" si="13"/>
        <v>3</v>
      </c>
      <c r="BD89" s="11">
        <f t="shared" si="14"/>
        <v>2</v>
      </c>
      <c r="BE89" s="9">
        <f t="shared" si="15"/>
        <v>0</v>
      </c>
      <c r="BF89" s="71">
        <f t="shared" si="16"/>
        <v>0</v>
      </c>
      <c r="BG89" s="11" t="str">
        <f t="shared" si="17"/>
        <v>MAX WSE</v>
      </c>
      <c r="BH89" s="132">
        <f t="shared" si="51"/>
        <v>5</v>
      </c>
      <c r="BJ89" s="71">
        <f t="shared" si="18"/>
        <v>2</v>
      </c>
      <c r="BL89" s="9">
        <f t="shared" si="49"/>
        <v>0</v>
      </c>
      <c r="BM89" s="9"/>
      <c r="BN89" s="9">
        <f t="shared" si="20"/>
        <v>10</v>
      </c>
      <c r="BO89" s="9" t="str">
        <f>IF(BP89="Left",IF(ISNA(VLOOKUP(BN89,XS_AnalyzerSummary!$A$21:$B$25,2,TRUE)),"",VLOOKUP(BN89,XS_AnalyzerSummary!$A$21:$B$25,2,TRUE)),IF(ISNA(VLOOKUP(-BN89,XS_AnalyzerSummary!$A$28:$B$32,2,TRUE)),"",VLOOKUP(-BN89,XS_AnalyzerSummary!$A$28:$B$32,2,TRUE)))</f>
        <v>Right Bank</v>
      </c>
      <c r="BP89" s="9" t="str">
        <f>IF(AU89&lt;XS_AnalyzerSummary!$B$7,"Left",IF(AU89&gt;XS_AnalyzerSummary!$B$7,"Right","Thalweg"))</f>
        <v>Right</v>
      </c>
      <c r="BQ89" s="9">
        <f t="shared" si="21"/>
        <v>0</v>
      </c>
      <c r="BR89" s="9">
        <f t="shared" si="22"/>
        <v>0</v>
      </c>
      <c r="BS89" s="9">
        <f t="shared" si="23"/>
        <v>0</v>
      </c>
      <c r="BT89" s="9">
        <f t="shared" si="24"/>
        <v>0</v>
      </c>
      <c r="BU89" s="9">
        <f t="shared" si="25"/>
        <v>2</v>
      </c>
      <c r="BV89" s="9">
        <f t="shared" si="26"/>
        <v>0</v>
      </c>
      <c r="BX89" s="9">
        <f>IF(AND(ISNUMBER($BN89),$BO89="Left 2nd Stage",SUM($BX$5:BX88)=0),$BN89,0)</f>
        <v>0</v>
      </c>
      <c r="BY89" s="9">
        <f t="shared" si="52"/>
        <v>0</v>
      </c>
      <c r="BZ89" s="9">
        <f>IF(AND(ISNUMBER($BN89),$BO89="Right 2nd Stage",SUM($BZ$5:$BZ88)=0),$BN88,0)</f>
        <v>0</v>
      </c>
      <c r="CA89" s="9">
        <f t="shared" si="47"/>
        <v>0</v>
      </c>
    </row>
    <row r="90" spans="1:79" ht="15">
      <c r="A90" s="9">
        <v>86</v>
      </c>
      <c r="B90" s="166" t="e">
        <f>IF(ISNUMBER(XS_Analyzer!B90),XS_Analyzer!B90,NA())</f>
        <v>#N/A</v>
      </c>
      <c r="C90" s="88" t="e">
        <f>IF(ISNUMBER(XS_Analyzer!C90),XS_Analyzer!C90,NA())</f>
        <v>#N/A</v>
      </c>
      <c r="D90" s="88" t="str">
        <f>IF(ISNUMBER(XS_Analyzer!E90),XS_Analyzer!E90,"")</f>
        <v/>
      </c>
      <c r="E90" s="9" t="str">
        <f t="shared" si="28"/>
        <v/>
      </c>
      <c r="F90" s="88" t="e">
        <f>IF(AND(ISTEXT(XS_Analyzer!D90),XS_Analyzer!D90&lt;&gt;""),VLOOKUP(XS_Analyzer!D90,$K$12:$L$21,2,FALSE),"")</f>
        <v>#N/A</v>
      </c>
      <c r="G90" s="132" t="str">
        <f t="shared" si="29"/>
        <v/>
      </c>
      <c r="H90" s="132"/>
      <c r="O90" s="7"/>
      <c r="P90" s="7"/>
      <c r="Q90" s="5" t="str">
        <f t="shared" si="30"/>
        <v>N</v>
      </c>
      <c r="R90" s="5" t="str">
        <f t="shared" si="31"/>
        <v/>
      </c>
      <c r="S90" s="5" t="str">
        <f t="shared" si="32"/>
        <v/>
      </c>
      <c r="T90" s="5" t="str">
        <f t="shared" si="33"/>
        <v/>
      </c>
      <c r="U90" s="5" t="str">
        <f t="shared" si="34"/>
        <v/>
      </c>
      <c r="V90" s="62" t="str">
        <f t="shared" si="35"/>
        <v/>
      </c>
      <c r="W90" s="62" t="e">
        <f t="shared" si="53"/>
        <v>#N/A</v>
      </c>
      <c r="X90" s="9" t="e">
        <f t="shared" si="1"/>
        <v>#N/A</v>
      </c>
      <c r="Y90" s="64" t="str">
        <f t="shared" si="36"/>
        <v/>
      </c>
      <c r="Z90" s="174" t="str">
        <f t="shared" si="37"/>
        <v/>
      </c>
      <c r="AA90" s="64" t="str">
        <f>IF(ISNUMBER(Y90),INDEX(Y90:Y106,MATCH(TRUE,INDEX(Y90:Y106&lt;&gt;Y90,),0)),"")</f>
        <v/>
      </c>
      <c r="AB90" s="64" t="str">
        <f t="shared" si="39"/>
        <v/>
      </c>
      <c r="AC90" s="64" t="str">
        <f t="shared" si="40"/>
        <v/>
      </c>
      <c r="AD90" s="64" t="e">
        <f>IF(ISTEXT(AB90),INDEX(AB90:AB106,MATCH(TRUE,INDEX(AB90:AB106&lt;&gt;AB90,),0)),"")</f>
        <v>#N/A</v>
      </c>
      <c r="AE90" s="11" t="str">
        <f t="shared" si="42"/>
        <v/>
      </c>
      <c r="AF90" s="11" t="str">
        <f t="shared" si="2"/>
        <v/>
      </c>
      <c r="AG90" s="11" t="str">
        <f t="shared" si="3"/>
        <v/>
      </c>
      <c r="AH90" s="11" t="str">
        <f t="shared" si="43"/>
        <v/>
      </c>
      <c r="AI90" s="11" t="e">
        <f>IF(AND(ISNUMBER(AI89),ISNUMBER(S90)),(VLOOKUP(AD90,AB90:AC106,2,FALSE)),IF(ISNUMBER(S90),R90,NA()))</f>
        <v>#N/A</v>
      </c>
      <c r="AJ90" s="11" t="e">
        <f t="shared" si="4"/>
        <v>#N/A</v>
      </c>
      <c r="AK90" s="11" t="str">
        <f t="shared" si="5"/>
        <v/>
      </c>
      <c r="AL90" s="11" t="str">
        <f t="shared" si="6"/>
        <v/>
      </c>
      <c r="AM90" s="7"/>
      <c r="AN90" s="7"/>
      <c r="AO90" s="7"/>
      <c r="AP90" s="7"/>
      <c r="AQ90" s="7"/>
      <c r="AS90" s="74">
        <f t="shared" si="7"/>
        <v>10</v>
      </c>
      <c r="AT90" s="74">
        <f t="shared" si="8"/>
        <v>5</v>
      </c>
      <c r="AU90" s="74">
        <f t="shared" si="9"/>
        <v>10</v>
      </c>
      <c r="AV90" s="74">
        <f t="shared" si="0"/>
        <v>5</v>
      </c>
      <c r="AW90" s="102"/>
      <c r="AY90" s="9">
        <f t="shared" si="10"/>
        <v>10</v>
      </c>
      <c r="AZ90" s="11">
        <f t="shared" si="11"/>
        <v>3</v>
      </c>
      <c r="BA90" s="75">
        <f t="shared" si="12"/>
        <v>10</v>
      </c>
      <c r="BB90" s="11">
        <f t="shared" si="13"/>
        <v>3</v>
      </c>
      <c r="BD90" s="11">
        <f t="shared" si="14"/>
        <v>2</v>
      </c>
      <c r="BE90" s="9">
        <f t="shared" si="15"/>
        <v>0</v>
      </c>
      <c r="BF90" s="71">
        <f t="shared" si="16"/>
        <v>0</v>
      </c>
      <c r="BG90" s="11" t="str">
        <f t="shared" si="17"/>
        <v>MAX WSE</v>
      </c>
      <c r="BH90" s="132">
        <f t="shared" si="51"/>
        <v>5</v>
      </c>
      <c r="BJ90" s="71">
        <f t="shared" si="18"/>
        <v>2</v>
      </c>
      <c r="BL90" s="9">
        <f t="shared" si="49"/>
        <v>0</v>
      </c>
      <c r="BM90" s="9"/>
      <c r="BN90" s="9">
        <f t="shared" si="20"/>
        <v>10</v>
      </c>
      <c r="BO90" s="9" t="str">
        <f>IF(BP90="Left",IF(ISNA(VLOOKUP(BN90,XS_AnalyzerSummary!$A$21:$B$25,2,TRUE)),"",VLOOKUP(BN90,XS_AnalyzerSummary!$A$21:$B$25,2,TRUE)),IF(ISNA(VLOOKUP(-BN90,XS_AnalyzerSummary!$A$28:$B$32,2,TRUE)),"",VLOOKUP(-BN90,XS_AnalyzerSummary!$A$28:$B$32,2,TRUE)))</f>
        <v>Right Bank</v>
      </c>
      <c r="BP90" s="9" t="str">
        <f>IF(AU90&lt;XS_AnalyzerSummary!$B$7,"Left",IF(AU90&gt;XS_AnalyzerSummary!$B$7,"Right","Thalweg"))</f>
        <v>Right</v>
      </c>
      <c r="BQ90" s="9">
        <f t="shared" si="21"/>
        <v>0</v>
      </c>
      <c r="BR90" s="9">
        <f t="shared" si="22"/>
        <v>0</v>
      </c>
      <c r="BS90" s="9">
        <f t="shared" si="23"/>
        <v>0</v>
      </c>
      <c r="BT90" s="9">
        <f t="shared" si="24"/>
        <v>0</v>
      </c>
      <c r="BU90" s="9">
        <f t="shared" si="25"/>
        <v>2</v>
      </c>
      <c r="BV90" s="9">
        <f t="shared" si="26"/>
        <v>0</v>
      </c>
      <c r="BX90" s="9">
        <f>IF(AND(ISNUMBER($BN90),$BO90="Left 2nd Stage",SUM($BX$5:BX89)=0),$BN90,0)</f>
        <v>0</v>
      </c>
      <c r="BY90" s="9">
        <f t="shared" si="52"/>
        <v>0</v>
      </c>
      <c r="BZ90" s="9">
        <f>IF(AND(ISNUMBER($BN90),$BO90="Right 2nd Stage",SUM($BZ$5:$BZ89)=0),$BN89,0)</f>
        <v>0</v>
      </c>
      <c r="CA90" s="9">
        <f t="shared" si="47"/>
        <v>0</v>
      </c>
    </row>
    <row r="91" spans="1:79" ht="15">
      <c r="A91" s="9">
        <v>87</v>
      </c>
      <c r="B91" s="166" t="e">
        <f>IF(ISNUMBER(XS_Analyzer!B91),XS_Analyzer!B91,NA())</f>
        <v>#N/A</v>
      </c>
      <c r="C91" s="88" t="e">
        <f>IF(ISNUMBER(XS_Analyzer!C91),XS_Analyzer!C91,NA())</f>
        <v>#N/A</v>
      </c>
      <c r="D91" s="88" t="str">
        <f>IF(ISNUMBER(XS_Analyzer!E91),XS_Analyzer!E91,"")</f>
        <v/>
      </c>
      <c r="E91" s="9" t="str">
        <f t="shared" si="28"/>
        <v/>
      </c>
      <c r="F91" s="88" t="e">
        <f>IF(AND(ISTEXT(XS_Analyzer!D91),XS_Analyzer!D91&lt;&gt;""),VLOOKUP(XS_Analyzer!D91,$K$12:$L$21,2,FALSE),"")</f>
        <v>#N/A</v>
      </c>
      <c r="G91" s="132" t="str">
        <f t="shared" si="29"/>
        <v/>
      </c>
      <c r="H91" s="132"/>
      <c r="O91" s="7"/>
      <c r="P91" s="7"/>
      <c r="Q91" s="5" t="str">
        <f t="shared" si="30"/>
        <v>N</v>
      </c>
      <c r="R91" s="5" t="str">
        <f t="shared" si="31"/>
        <v/>
      </c>
      <c r="S91" s="5" t="str">
        <f t="shared" si="32"/>
        <v/>
      </c>
      <c r="T91" s="5" t="str">
        <f t="shared" si="33"/>
        <v/>
      </c>
      <c r="U91" s="5" t="str">
        <f t="shared" si="34"/>
        <v/>
      </c>
      <c r="V91" s="62" t="str">
        <f t="shared" si="35"/>
        <v/>
      </c>
      <c r="W91" s="62" t="e">
        <f t="shared" si="53"/>
        <v>#N/A</v>
      </c>
      <c r="X91" s="9" t="e">
        <f t="shared" si="1"/>
        <v>#N/A</v>
      </c>
      <c r="Y91" s="64" t="str">
        <f t="shared" si="36"/>
        <v/>
      </c>
      <c r="Z91" s="174" t="str">
        <f t="shared" si="37"/>
        <v/>
      </c>
      <c r="AA91" s="64" t="str">
        <f>IF(ISNUMBER(Y91),INDEX(Y91:Y106,MATCH(TRUE,INDEX(Y91:Y106&lt;&gt;Y91,),0)),"")</f>
        <v/>
      </c>
      <c r="AB91" s="64" t="str">
        <f t="shared" si="39"/>
        <v/>
      </c>
      <c r="AC91" s="64" t="str">
        <f t="shared" si="40"/>
        <v/>
      </c>
      <c r="AD91" s="64" t="e">
        <f>IF(ISTEXT(AB91),INDEX(AB91:AB106,MATCH(TRUE,INDEX(AB91:AB106&lt;&gt;AB91,),0)),"")</f>
        <v>#N/A</v>
      </c>
      <c r="AE91" s="11" t="str">
        <f t="shared" si="42"/>
        <v/>
      </c>
      <c r="AF91" s="11" t="str">
        <f t="shared" si="2"/>
        <v/>
      </c>
      <c r="AG91" s="11" t="str">
        <f t="shared" si="3"/>
        <v/>
      </c>
      <c r="AH91" s="11" t="str">
        <f t="shared" si="43"/>
        <v/>
      </c>
      <c r="AI91" s="11" t="e">
        <f>IF(AND(ISNUMBER(AI90),ISNUMBER(S91)),(VLOOKUP(AD91,AB91:AC106,2,FALSE)),IF(ISNUMBER(S91),R91,NA()))</f>
        <v>#N/A</v>
      </c>
      <c r="AJ91" s="11" t="e">
        <f t="shared" si="4"/>
        <v>#N/A</v>
      </c>
      <c r="AK91" s="11" t="str">
        <f t="shared" si="5"/>
        <v/>
      </c>
      <c r="AL91" s="11" t="str">
        <f t="shared" si="6"/>
        <v/>
      </c>
      <c r="AM91" s="7"/>
      <c r="AN91" s="7"/>
      <c r="AO91" s="7"/>
      <c r="AP91" s="7"/>
      <c r="AQ91" s="7"/>
      <c r="AS91" s="74">
        <f t="shared" si="7"/>
        <v>10</v>
      </c>
      <c r="AT91" s="74">
        <f t="shared" si="8"/>
        <v>5</v>
      </c>
      <c r="AU91" s="74">
        <f t="shared" si="9"/>
        <v>10</v>
      </c>
      <c r="AV91" s="74">
        <f t="shared" si="0"/>
        <v>5</v>
      </c>
      <c r="AW91" s="102"/>
      <c r="AY91" s="9">
        <f t="shared" si="10"/>
        <v>10</v>
      </c>
      <c r="AZ91" s="11">
        <f t="shared" si="11"/>
        <v>3</v>
      </c>
      <c r="BA91" s="75">
        <f t="shared" si="12"/>
        <v>10</v>
      </c>
      <c r="BB91" s="11">
        <f t="shared" si="13"/>
        <v>3</v>
      </c>
      <c r="BD91" s="11">
        <f t="shared" si="14"/>
        <v>2</v>
      </c>
      <c r="BE91" s="9">
        <f t="shared" si="15"/>
        <v>0</v>
      </c>
      <c r="BF91" s="71">
        <f t="shared" si="16"/>
        <v>0</v>
      </c>
      <c r="BG91" s="11" t="str">
        <f t="shared" si="17"/>
        <v>MAX WSE</v>
      </c>
      <c r="BH91" s="132">
        <f t="shared" si="51"/>
        <v>5</v>
      </c>
      <c r="BJ91" s="71">
        <f t="shared" si="18"/>
        <v>2</v>
      </c>
      <c r="BL91" s="9">
        <f t="shared" si="49"/>
        <v>0</v>
      </c>
      <c r="BM91" s="9"/>
      <c r="BN91" s="9">
        <f t="shared" si="20"/>
        <v>10</v>
      </c>
      <c r="BO91" s="9" t="str">
        <f>IF(BP91="Left",IF(ISNA(VLOOKUP(BN91,XS_AnalyzerSummary!$A$21:$B$25,2,TRUE)),"",VLOOKUP(BN91,XS_AnalyzerSummary!$A$21:$B$25,2,TRUE)),IF(ISNA(VLOOKUP(-BN91,XS_AnalyzerSummary!$A$28:$B$32,2,TRUE)),"",VLOOKUP(-BN91,XS_AnalyzerSummary!$A$28:$B$32,2,TRUE)))</f>
        <v>Right Bank</v>
      </c>
      <c r="BP91" s="9" t="str">
        <f>IF(AU91&lt;XS_AnalyzerSummary!$B$7,"Left",IF(AU91&gt;XS_AnalyzerSummary!$B$7,"Right","Thalweg"))</f>
        <v>Right</v>
      </c>
      <c r="BQ91" s="9">
        <f t="shared" si="21"/>
        <v>0</v>
      </c>
      <c r="BR91" s="9">
        <f t="shared" si="22"/>
        <v>0</v>
      </c>
      <c r="BS91" s="9">
        <f t="shared" si="23"/>
        <v>0</v>
      </c>
      <c r="BT91" s="9">
        <f t="shared" si="24"/>
        <v>0</v>
      </c>
      <c r="BU91" s="9">
        <f t="shared" si="25"/>
        <v>2</v>
      </c>
      <c r="BV91" s="9">
        <f t="shared" si="26"/>
        <v>0</v>
      </c>
      <c r="BX91" s="9">
        <f>IF(AND(ISNUMBER($BN91),$BO91="Left 2nd Stage",SUM($BX$5:BX90)=0),$BN91,0)</f>
        <v>0</v>
      </c>
      <c r="BY91" s="9">
        <f t="shared" si="52"/>
        <v>0</v>
      </c>
      <c r="BZ91" s="9">
        <f>IF(AND(ISNUMBER($BN91),$BO91="Right 2nd Stage",SUM($BZ$5:$BZ90)=0),$BN90,0)</f>
        <v>0</v>
      </c>
      <c r="CA91" s="9">
        <f t="shared" si="47"/>
        <v>0</v>
      </c>
    </row>
    <row r="92" spans="1:79" ht="15">
      <c r="A92" s="9">
        <v>88</v>
      </c>
      <c r="B92" s="166" t="e">
        <f>IF(ISNUMBER(XS_Analyzer!B92),XS_Analyzer!B92,NA())</f>
        <v>#N/A</v>
      </c>
      <c r="C92" s="88" t="e">
        <f>IF(ISNUMBER(XS_Analyzer!C92),XS_Analyzer!C92,NA())</f>
        <v>#N/A</v>
      </c>
      <c r="D92" s="88" t="str">
        <f>IF(ISNUMBER(XS_Analyzer!E92),XS_Analyzer!E92,"")</f>
        <v/>
      </c>
      <c r="E92" s="9" t="str">
        <f t="shared" si="28"/>
        <v/>
      </c>
      <c r="F92" s="88" t="e">
        <f>IF(AND(ISTEXT(XS_Analyzer!D92),XS_Analyzer!D92&lt;&gt;""),VLOOKUP(XS_Analyzer!D92,$K$12:$L$21,2,FALSE),"")</f>
        <v>#N/A</v>
      </c>
      <c r="G92" s="132" t="str">
        <f t="shared" si="29"/>
        <v/>
      </c>
      <c r="H92" s="132"/>
      <c r="O92" s="7"/>
      <c r="P92" s="7"/>
      <c r="Q92" s="5" t="str">
        <f t="shared" si="30"/>
        <v>N</v>
      </c>
      <c r="R92" s="5" t="str">
        <f t="shared" si="31"/>
        <v/>
      </c>
      <c r="S92" s="5" t="str">
        <f t="shared" si="32"/>
        <v/>
      </c>
      <c r="T92" s="5" t="str">
        <f t="shared" si="33"/>
        <v/>
      </c>
      <c r="U92" s="5" t="str">
        <f t="shared" si="34"/>
        <v/>
      </c>
      <c r="V92" s="62" t="str">
        <f t="shared" si="35"/>
        <v/>
      </c>
      <c r="W92" s="62" t="e">
        <f t="shared" si="53"/>
        <v>#N/A</v>
      </c>
      <c r="X92" s="9" t="e">
        <f t="shared" si="1"/>
        <v>#N/A</v>
      </c>
      <c r="Y92" s="64" t="str">
        <f t="shared" si="36"/>
        <v/>
      </c>
      <c r="Z92" s="174" t="str">
        <f t="shared" si="37"/>
        <v/>
      </c>
      <c r="AA92" s="64" t="str">
        <f>IF(ISNUMBER(Y92),INDEX(Y92:Y106,MATCH(TRUE,INDEX(Y92:Y106&lt;&gt;Y92,),0)),"")</f>
        <v/>
      </c>
      <c r="AB92" s="64" t="str">
        <f t="shared" si="39"/>
        <v/>
      </c>
      <c r="AC92" s="64" t="str">
        <f t="shared" si="40"/>
        <v/>
      </c>
      <c r="AD92" s="64" t="e">
        <f>IF(ISTEXT(AB92),INDEX(AB92:AB106,MATCH(TRUE,INDEX(AB92:AB106&lt;&gt;AB92,),0)),"")</f>
        <v>#N/A</v>
      </c>
      <c r="AE92" s="11" t="str">
        <f t="shared" si="42"/>
        <v/>
      </c>
      <c r="AF92" s="11" t="str">
        <f t="shared" si="2"/>
        <v/>
      </c>
      <c r="AG92" s="11" t="str">
        <f t="shared" si="3"/>
        <v/>
      </c>
      <c r="AH92" s="11" t="str">
        <f t="shared" si="43"/>
        <v/>
      </c>
      <c r="AI92" s="11" t="e">
        <f>IF(AND(ISNUMBER(AI91),ISNUMBER(S92)),(VLOOKUP(AD92,AB92:AC106,2,FALSE)),IF(ISNUMBER(S92),R92,NA()))</f>
        <v>#N/A</v>
      </c>
      <c r="AJ92" s="11" t="e">
        <f t="shared" si="4"/>
        <v>#N/A</v>
      </c>
      <c r="AK92" s="11" t="str">
        <f t="shared" si="5"/>
        <v/>
      </c>
      <c r="AL92" s="11" t="str">
        <f t="shared" si="6"/>
        <v/>
      </c>
      <c r="AM92" s="7"/>
      <c r="AN92" s="7"/>
      <c r="AO92" s="7"/>
      <c r="AP92" s="7"/>
      <c r="AQ92" s="7"/>
      <c r="AS92" s="74">
        <f t="shared" si="7"/>
        <v>10</v>
      </c>
      <c r="AT92" s="74">
        <f t="shared" si="8"/>
        <v>5</v>
      </c>
      <c r="AU92" s="74">
        <f t="shared" si="9"/>
        <v>10</v>
      </c>
      <c r="AV92" s="74">
        <f t="shared" si="0"/>
        <v>5</v>
      </c>
      <c r="AW92" s="102"/>
      <c r="AY92" s="9">
        <f t="shared" si="10"/>
        <v>10</v>
      </c>
      <c r="AZ92" s="11">
        <f t="shared" si="11"/>
        <v>3</v>
      </c>
      <c r="BA92" s="75">
        <f t="shared" si="12"/>
        <v>10</v>
      </c>
      <c r="BB92" s="11">
        <f t="shared" si="13"/>
        <v>3</v>
      </c>
      <c r="BD92" s="11">
        <f t="shared" si="14"/>
        <v>2</v>
      </c>
      <c r="BE92" s="9">
        <f t="shared" si="15"/>
        <v>0</v>
      </c>
      <c r="BF92" s="71">
        <f t="shared" si="16"/>
        <v>0</v>
      </c>
      <c r="BG92" s="11" t="str">
        <f t="shared" si="17"/>
        <v>MAX WSE</v>
      </c>
      <c r="BH92" s="132">
        <f t="shared" si="51"/>
        <v>5</v>
      </c>
      <c r="BJ92" s="71">
        <f t="shared" si="18"/>
        <v>2</v>
      </c>
      <c r="BL92" s="9">
        <f t="shared" si="49"/>
        <v>0</v>
      </c>
      <c r="BM92" s="9"/>
      <c r="BN92" s="9">
        <f t="shared" si="20"/>
        <v>10</v>
      </c>
      <c r="BO92" s="9" t="str">
        <f>IF(BP92="Left",IF(ISNA(VLOOKUP(BN92,XS_AnalyzerSummary!$A$21:$B$25,2,TRUE)),"",VLOOKUP(BN92,XS_AnalyzerSummary!$A$21:$B$25,2,TRUE)),IF(ISNA(VLOOKUP(-BN92,XS_AnalyzerSummary!$A$28:$B$32,2,TRUE)),"",VLOOKUP(-BN92,XS_AnalyzerSummary!$A$28:$B$32,2,TRUE)))</f>
        <v>Right Bank</v>
      </c>
      <c r="BP92" s="9" t="str">
        <f>IF(AU92&lt;XS_AnalyzerSummary!$B$7,"Left",IF(AU92&gt;XS_AnalyzerSummary!$B$7,"Right","Thalweg"))</f>
        <v>Right</v>
      </c>
      <c r="BQ92" s="9">
        <f t="shared" si="21"/>
        <v>0</v>
      </c>
      <c r="BR92" s="9">
        <f t="shared" si="22"/>
        <v>0</v>
      </c>
      <c r="BS92" s="9">
        <f t="shared" si="23"/>
        <v>0</v>
      </c>
      <c r="BT92" s="9">
        <f t="shared" si="24"/>
        <v>0</v>
      </c>
      <c r="BU92" s="9">
        <f t="shared" si="25"/>
        <v>2</v>
      </c>
      <c r="BV92" s="9">
        <f t="shared" si="26"/>
        <v>0</v>
      </c>
      <c r="BX92" s="9">
        <f>IF(AND(ISNUMBER($BN92),$BO92="Left 2nd Stage",SUM($BX$5:BX91)=0),$BN92,0)</f>
        <v>0</v>
      </c>
      <c r="BY92" s="9">
        <f t="shared" si="52"/>
        <v>0</v>
      </c>
      <c r="BZ92" s="9">
        <f>IF(AND(ISNUMBER($BN92),$BO92="Right 2nd Stage",SUM($BZ$5:$BZ91)=0),$BN91,0)</f>
        <v>0</v>
      </c>
      <c r="CA92" s="9">
        <f t="shared" si="47"/>
        <v>0</v>
      </c>
    </row>
    <row r="93" spans="1:79" ht="15">
      <c r="A93" s="9">
        <v>89</v>
      </c>
      <c r="B93" s="166" t="e">
        <f>IF(ISNUMBER(XS_Analyzer!B93),XS_Analyzer!B93,NA())</f>
        <v>#N/A</v>
      </c>
      <c r="C93" s="88" t="e">
        <f>IF(ISNUMBER(XS_Analyzer!C93),XS_Analyzer!C93,NA())</f>
        <v>#N/A</v>
      </c>
      <c r="D93" s="88" t="str">
        <f>IF(ISNUMBER(XS_Analyzer!E93),XS_Analyzer!E93,"")</f>
        <v/>
      </c>
      <c r="E93" s="9" t="str">
        <f t="shared" si="28"/>
        <v/>
      </c>
      <c r="F93" s="88" t="e">
        <f>IF(AND(ISTEXT(XS_Analyzer!D93),XS_Analyzer!D93&lt;&gt;""),VLOOKUP(XS_Analyzer!D93,$K$12:$L$21,2,FALSE),"")</f>
        <v>#N/A</v>
      </c>
      <c r="G93" s="132" t="str">
        <f t="shared" si="29"/>
        <v/>
      </c>
      <c r="H93" s="132"/>
      <c r="O93" s="7"/>
      <c r="P93" s="7"/>
      <c r="Q93" s="5" t="str">
        <f t="shared" si="30"/>
        <v>N</v>
      </c>
      <c r="R93" s="5" t="str">
        <f t="shared" si="31"/>
        <v/>
      </c>
      <c r="S93" s="5" t="str">
        <f t="shared" si="32"/>
        <v/>
      </c>
      <c r="T93" s="5" t="str">
        <f t="shared" si="33"/>
        <v/>
      </c>
      <c r="U93" s="5" t="str">
        <f t="shared" si="34"/>
        <v/>
      </c>
      <c r="V93" s="62" t="str">
        <f t="shared" si="35"/>
        <v/>
      </c>
      <c r="W93" s="62" t="e">
        <f t="shared" si="53"/>
        <v>#N/A</v>
      </c>
      <c r="X93" s="9" t="e">
        <f t="shared" si="1"/>
        <v>#N/A</v>
      </c>
      <c r="Y93" s="64" t="str">
        <f t="shared" si="36"/>
        <v/>
      </c>
      <c r="Z93" s="174" t="str">
        <f t="shared" si="37"/>
        <v/>
      </c>
      <c r="AA93" s="64" t="str">
        <f>IF(ISNUMBER(Y93),INDEX(Y93:Y106,MATCH(TRUE,INDEX(Y93:Y106&lt;&gt;Y93,),0)),"")</f>
        <v/>
      </c>
      <c r="AB93" s="64" t="str">
        <f t="shared" si="39"/>
        <v/>
      </c>
      <c r="AC93" s="64" t="str">
        <f t="shared" si="40"/>
        <v/>
      </c>
      <c r="AD93" s="64" t="e">
        <f>IF(ISTEXT(AB93),INDEX(AB93:AB106,MATCH(TRUE,INDEX(AB93:AB106&lt;&gt;AB93,),0)),"")</f>
        <v>#N/A</v>
      </c>
      <c r="AE93" s="11" t="str">
        <f t="shared" si="42"/>
        <v/>
      </c>
      <c r="AF93" s="11" t="str">
        <f t="shared" si="2"/>
        <v/>
      </c>
      <c r="AG93" s="11" t="str">
        <f t="shared" si="3"/>
        <v/>
      </c>
      <c r="AH93" s="11" t="str">
        <f t="shared" si="43"/>
        <v/>
      </c>
      <c r="AI93" s="11" t="e">
        <f>IF(AND(ISNUMBER(AI92),ISNUMBER(S93)),(VLOOKUP(AD93,AB93:AC106,2,FALSE)),IF(ISNUMBER(S93),R93,NA()))</f>
        <v>#N/A</v>
      </c>
      <c r="AJ93" s="11" t="e">
        <f t="shared" si="4"/>
        <v>#N/A</v>
      </c>
      <c r="AK93" s="11" t="str">
        <f t="shared" si="5"/>
        <v/>
      </c>
      <c r="AL93" s="11" t="str">
        <f t="shared" si="6"/>
        <v/>
      </c>
      <c r="AM93" s="7"/>
      <c r="AN93" s="7"/>
      <c r="AO93" s="7"/>
      <c r="AP93" s="7"/>
      <c r="AQ93" s="7"/>
      <c r="AS93" s="74">
        <f t="shared" si="7"/>
        <v>10</v>
      </c>
      <c r="AT93" s="74">
        <f t="shared" si="8"/>
        <v>5</v>
      </c>
      <c r="AU93" s="74">
        <f t="shared" si="9"/>
        <v>10</v>
      </c>
      <c r="AV93" s="74">
        <f t="shared" si="0"/>
        <v>5</v>
      </c>
      <c r="AW93" s="102"/>
      <c r="AY93" s="9">
        <f t="shared" si="10"/>
        <v>10</v>
      </c>
      <c r="AZ93" s="11">
        <f t="shared" si="11"/>
        <v>3</v>
      </c>
      <c r="BA93" s="75">
        <f t="shared" si="12"/>
        <v>10</v>
      </c>
      <c r="BB93" s="11">
        <f t="shared" si="13"/>
        <v>3</v>
      </c>
      <c r="BD93" s="11">
        <f t="shared" si="14"/>
        <v>2</v>
      </c>
      <c r="BE93" s="9">
        <f t="shared" si="15"/>
        <v>0</v>
      </c>
      <c r="BF93" s="71">
        <f t="shared" si="16"/>
        <v>0</v>
      </c>
      <c r="BG93" s="11" t="str">
        <f t="shared" si="17"/>
        <v>MAX WSE</v>
      </c>
      <c r="BH93" s="132">
        <f t="shared" si="51"/>
        <v>5</v>
      </c>
      <c r="BJ93" s="71">
        <f t="shared" si="18"/>
        <v>2</v>
      </c>
      <c r="BL93" s="9">
        <f t="shared" si="49"/>
        <v>0</v>
      </c>
      <c r="BM93" s="9"/>
      <c r="BN93" s="9">
        <f t="shared" si="20"/>
        <v>10</v>
      </c>
      <c r="BO93" s="9" t="str">
        <f>IF(BP93="Left",IF(ISNA(VLOOKUP(BN93,XS_AnalyzerSummary!$A$21:$B$25,2,TRUE)),"",VLOOKUP(BN93,XS_AnalyzerSummary!$A$21:$B$25,2,TRUE)),IF(ISNA(VLOOKUP(-BN93,XS_AnalyzerSummary!$A$28:$B$32,2,TRUE)),"",VLOOKUP(-BN93,XS_AnalyzerSummary!$A$28:$B$32,2,TRUE)))</f>
        <v>Right Bank</v>
      </c>
      <c r="BP93" s="9" t="str">
        <f>IF(AU93&lt;XS_AnalyzerSummary!$B$7,"Left",IF(AU93&gt;XS_AnalyzerSummary!$B$7,"Right","Thalweg"))</f>
        <v>Right</v>
      </c>
      <c r="BQ93" s="9">
        <f t="shared" si="21"/>
        <v>0</v>
      </c>
      <c r="BR93" s="9">
        <f t="shared" si="22"/>
        <v>0</v>
      </c>
      <c r="BS93" s="9">
        <f t="shared" si="23"/>
        <v>0</v>
      </c>
      <c r="BT93" s="9">
        <f t="shared" si="24"/>
        <v>0</v>
      </c>
      <c r="BU93" s="9">
        <f t="shared" si="25"/>
        <v>2</v>
      </c>
      <c r="BV93" s="9">
        <f t="shared" si="26"/>
        <v>0</v>
      </c>
      <c r="BX93" s="9">
        <f>IF(AND(ISNUMBER($BN93),$BO93="Left 2nd Stage",SUM($BX$5:BX92)=0),$BN93,0)</f>
        <v>0</v>
      </c>
      <c r="BY93" s="9">
        <f t="shared" si="52"/>
        <v>0</v>
      </c>
      <c r="BZ93" s="9">
        <f>IF(AND(ISNUMBER($BN93),$BO93="Right 2nd Stage",SUM($BZ$5:$BZ92)=0),$BN92,0)</f>
        <v>0</v>
      </c>
      <c r="CA93" s="9">
        <f t="shared" si="47"/>
        <v>0</v>
      </c>
    </row>
    <row r="94" spans="1:79" ht="15">
      <c r="A94" s="9">
        <v>90</v>
      </c>
      <c r="B94" s="166" t="e">
        <f>IF(ISNUMBER(XS_Analyzer!B94),XS_Analyzer!B94,NA())</f>
        <v>#N/A</v>
      </c>
      <c r="C94" s="88" t="e">
        <f>IF(ISNUMBER(XS_Analyzer!C94),XS_Analyzer!C94,NA())</f>
        <v>#N/A</v>
      </c>
      <c r="D94" s="88" t="str">
        <f>IF(ISNUMBER(XS_Analyzer!E94),XS_Analyzer!E94,"")</f>
        <v/>
      </c>
      <c r="E94" s="9" t="str">
        <f t="shared" si="28"/>
        <v/>
      </c>
      <c r="F94" s="88" t="e">
        <f>IF(AND(ISTEXT(XS_Analyzer!D94),XS_Analyzer!D94&lt;&gt;""),VLOOKUP(XS_Analyzer!D94,$K$12:$L$21,2,FALSE),"")</f>
        <v>#N/A</v>
      </c>
      <c r="G94" s="132" t="str">
        <f t="shared" si="29"/>
        <v/>
      </c>
      <c r="H94" s="132"/>
      <c r="O94" s="7"/>
      <c r="P94" s="7"/>
      <c r="Q94" s="5" t="str">
        <f t="shared" si="30"/>
        <v>N</v>
      </c>
      <c r="R94" s="5" t="str">
        <f t="shared" si="31"/>
        <v/>
      </c>
      <c r="S94" s="5" t="str">
        <f t="shared" si="32"/>
        <v/>
      </c>
      <c r="T94" s="5" t="str">
        <f t="shared" si="33"/>
        <v/>
      </c>
      <c r="U94" s="5" t="str">
        <f t="shared" si="34"/>
        <v/>
      </c>
      <c r="V94" s="62" t="str">
        <f t="shared" si="35"/>
        <v/>
      </c>
      <c r="W94" s="62" t="e">
        <f t="shared" si="53"/>
        <v>#N/A</v>
      </c>
      <c r="X94" s="9" t="e">
        <f t="shared" si="1"/>
        <v>#N/A</v>
      </c>
      <c r="Y94" s="64" t="str">
        <f t="shared" si="36"/>
        <v/>
      </c>
      <c r="Z94" s="174" t="str">
        <f t="shared" si="37"/>
        <v/>
      </c>
      <c r="AA94" s="64" t="str">
        <f>IF(ISNUMBER(Y94),INDEX(Y94:Y106,MATCH(TRUE,INDEX(Y94:Y106&lt;&gt;Y94,),0)),"")</f>
        <v/>
      </c>
      <c r="AB94" s="64" t="str">
        <f t="shared" si="39"/>
        <v/>
      </c>
      <c r="AC94" s="64" t="str">
        <f t="shared" si="40"/>
        <v/>
      </c>
      <c r="AD94" s="64" t="e">
        <f>IF(ISTEXT(AB94),INDEX(AB94:AB106,MATCH(TRUE,INDEX(AB94:AB106&lt;&gt;AB94,),0)),"")</f>
        <v>#N/A</v>
      </c>
      <c r="AE94" s="11" t="str">
        <f t="shared" si="42"/>
        <v/>
      </c>
      <c r="AF94" s="11" t="str">
        <f t="shared" si="2"/>
        <v/>
      </c>
      <c r="AG94" s="11" t="str">
        <f t="shared" si="3"/>
        <v/>
      </c>
      <c r="AH94" s="11" t="str">
        <f t="shared" si="43"/>
        <v/>
      </c>
      <c r="AI94" s="11" t="e">
        <f>IF(AND(ISNUMBER(AI93),ISNUMBER(S94)),(VLOOKUP(AD94,AB94:AC106,2,FALSE)),IF(ISNUMBER(S94),R94,NA()))</f>
        <v>#N/A</v>
      </c>
      <c r="AJ94" s="11" t="e">
        <f t="shared" si="4"/>
        <v>#N/A</v>
      </c>
      <c r="AK94" s="11" t="str">
        <f t="shared" si="5"/>
        <v/>
      </c>
      <c r="AL94" s="11" t="str">
        <f t="shared" si="6"/>
        <v/>
      </c>
      <c r="AM94" s="7"/>
      <c r="AN94" s="7"/>
      <c r="AO94" s="7"/>
      <c r="AP94" s="7"/>
      <c r="AQ94" s="7"/>
      <c r="AS94" s="74">
        <f t="shared" si="7"/>
        <v>10</v>
      </c>
      <c r="AT94" s="74">
        <f t="shared" si="8"/>
        <v>5</v>
      </c>
      <c r="AU94" s="74">
        <f t="shared" si="9"/>
        <v>10</v>
      </c>
      <c r="AV94" s="74">
        <f t="shared" si="0"/>
        <v>5</v>
      </c>
      <c r="AW94" s="102"/>
      <c r="AY94" s="9">
        <f t="shared" si="10"/>
        <v>10</v>
      </c>
      <c r="AZ94" s="11">
        <f t="shared" si="11"/>
        <v>3</v>
      </c>
      <c r="BA94" s="75">
        <f t="shared" si="12"/>
        <v>10</v>
      </c>
      <c r="BB94" s="11">
        <f t="shared" si="13"/>
        <v>3</v>
      </c>
      <c r="BD94" s="11">
        <f t="shared" si="14"/>
        <v>2</v>
      </c>
      <c r="BE94" s="9">
        <f t="shared" si="15"/>
        <v>0</v>
      </c>
      <c r="BF94" s="71">
        <f t="shared" si="16"/>
        <v>0</v>
      </c>
      <c r="BG94" s="11" t="str">
        <f t="shared" si="17"/>
        <v>MAX WSE</v>
      </c>
      <c r="BH94" s="132">
        <f t="shared" si="51"/>
        <v>5</v>
      </c>
      <c r="BJ94" s="71">
        <f t="shared" si="18"/>
        <v>2</v>
      </c>
      <c r="BL94" s="9">
        <f t="shared" si="49"/>
        <v>0</v>
      </c>
      <c r="BM94" s="9"/>
      <c r="BN94" s="9">
        <f t="shared" si="20"/>
        <v>10</v>
      </c>
      <c r="BO94" s="9" t="str">
        <f>IF(BP94="Left",IF(ISNA(VLOOKUP(BN94,XS_AnalyzerSummary!$A$21:$B$25,2,TRUE)),"",VLOOKUP(BN94,XS_AnalyzerSummary!$A$21:$B$25,2,TRUE)),IF(ISNA(VLOOKUP(-BN94,XS_AnalyzerSummary!$A$28:$B$32,2,TRUE)),"",VLOOKUP(-BN94,XS_AnalyzerSummary!$A$28:$B$32,2,TRUE)))</f>
        <v>Right Bank</v>
      </c>
      <c r="BP94" s="9" t="str">
        <f>IF(AU94&lt;XS_AnalyzerSummary!$B$7,"Left",IF(AU94&gt;XS_AnalyzerSummary!$B$7,"Right","Thalweg"))</f>
        <v>Right</v>
      </c>
      <c r="BQ94" s="9">
        <f t="shared" si="21"/>
        <v>0</v>
      </c>
      <c r="BR94" s="9">
        <f t="shared" si="22"/>
        <v>0</v>
      </c>
      <c r="BS94" s="9">
        <f t="shared" si="23"/>
        <v>0</v>
      </c>
      <c r="BT94" s="9">
        <f t="shared" si="24"/>
        <v>0</v>
      </c>
      <c r="BU94" s="9">
        <f t="shared" si="25"/>
        <v>2</v>
      </c>
      <c r="BV94" s="9">
        <f t="shared" si="26"/>
        <v>0</v>
      </c>
      <c r="BX94" s="9">
        <f>IF(AND(ISNUMBER($BN94),$BO94="Left 2nd Stage",SUM($BX$5:BX93)=0),$BN94,0)</f>
        <v>0</v>
      </c>
      <c r="BY94" s="9">
        <f t="shared" si="52"/>
        <v>0</v>
      </c>
      <c r="BZ94" s="9">
        <f>IF(AND(ISNUMBER($BN94),$BO94="Right 2nd Stage",SUM($BZ$5:$BZ93)=0),$BN93,0)</f>
        <v>0</v>
      </c>
      <c r="CA94" s="9">
        <f t="shared" si="47"/>
        <v>0</v>
      </c>
    </row>
    <row r="95" spans="1:79" ht="15">
      <c r="A95" s="9">
        <v>91</v>
      </c>
      <c r="B95" s="166" t="e">
        <f>IF(ISNUMBER(XS_Analyzer!B95),XS_Analyzer!B95,NA())</f>
        <v>#N/A</v>
      </c>
      <c r="C95" s="88" t="e">
        <f>IF(ISNUMBER(XS_Analyzer!C95),XS_Analyzer!C95,NA())</f>
        <v>#N/A</v>
      </c>
      <c r="D95" s="88" t="str">
        <f>IF(ISNUMBER(XS_Analyzer!E95),XS_Analyzer!E95,"")</f>
        <v/>
      </c>
      <c r="E95" s="9" t="str">
        <f t="shared" si="28"/>
        <v/>
      </c>
      <c r="F95" s="88" t="e">
        <f>IF(AND(ISTEXT(XS_Analyzer!D95),XS_Analyzer!D95&lt;&gt;""),VLOOKUP(XS_Analyzer!D95,$K$12:$L$21,2,FALSE),"")</f>
        <v>#N/A</v>
      </c>
      <c r="G95" s="132" t="str">
        <f t="shared" si="29"/>
        <v/>
      </c>
      <c r="H95" s="132"/>
      <c r="O95" s="7"/>
      <c r="P95" s="7"/>
      <c r="Q95" s="5" t="str">
        <f t="shared" si="30"/>
        <v>N</v>
      </c>
      <c r="R95" s="5" t="str">
        <f t="shared" si="31"/>
        <v/>
      </c>
      <c r="S95" s="5" t="str">
        <f t="shared" si="32"/>
        <v/>
      </c>
      <c r="T95" s="5" t="str">
        <f t="shared" si="33"/>
        <v/>
      </c>
      <c r="U95" s="5" t="str">
        <f t="shared" si="34"/>
        <v/>
      </c>
      <c r="V95" s="62" t="str">
        <f t="shared" si="35"/>
        <v/>
      </c>
      <c r="W95" s="62" t="e">
        <f t="shared" si="53"/>
        <v>#N/A</v>
      </c>
      <c r="X95" s="9" t="e">
        <f t="shared" si="1"/>
        <v>#N/A</v>
      </c>
      <c r="Y95" s="64" t="str">
        <f t="shared" si="36"/>
        <v/>
      </c>
      <c r="Z95" s="174" t="str">
        <f t="shared" si="37"/>
        <v/>
      </c>
      <c r="AA95" s="64" t="str">
        <f>IF(ISNUMBER(Y95),INDEX(Y95:Y106,MATCH(TRUE,INDEX(Y95:Y106&lt;&gt;Y95,),0)),"")</f>
        <v/>
      </c>
      <c r="AB95" s="64" t="str">
        <f t="shared" si="39"/>
        <v/>
      </c>
      <c r="AC95" s="64" t="str">
        <f t="shared" si="40"/>
        <v/>
      </c>
      <c r="AD95" s="64" t="e">
        <f>IF(ISTEXT(AB95),INDEX(AB95:AB106,MATCH(TRUE,INDEX(AB95:AB106&lt;&gt;AB95,),0)),"")</f>
        <v>#N/A</v>
      </c>
      <c r="AE95" s="11" t="str">
        <f t="shared" si="42"/>
        <v/>
      </c>
      <c r="AF95" s="11" t="str">
        <f t="shared" si="2"/>
        <v/>
      </c>
      <c r="AG95" s="11" t="str">
        <f t="shared" si="3"/>
        <v/>
      </c>
      <c r="AH95" s="11" t="str">
        <f t="shared" si="43"/>
        <v/>
      </c>
      <c r="AI95" s="11" t="e">
        <f>IF(AND(ISNUMBER(AI94),ISNUMBER(S95)),(VLOOKUP(AD95,AB95:AC106,2,FALSE)),IF(ISNUMBER(S95),R95,NA()))</f>
        <v>#N/A</v>
      </c>
      <c r="AJ95" s="11" t="e">
        <f t="shared" si="4"/>
        <v>#N/A</v>
      </c>
      <c r="AK95" s="11" t="str">
        <f t="shared" si="5"/>
        <v/>
      </c>
      <c r="AL95" s="11" t="str">
        <f t="shared" si="6"/>
        <v/>
      </c>
      <c r="AM95" s="7"/>
      <c r="AN95" s="7"/>
      <c r="AO95" s="7"/>
      <c r="AP95" s="7"/>
      <c r="AQ95" s="7"/>
      <c r="AS95" s="74">
        <f t="shared" si="7"/>
        <v>10</v>
      </c>
      <c r="AT95" s="74">
        <f t="shared" si="8"/>
        <v>5</v>
      </c>
      <c r="AU95" s="74">
        <f t="shared" si="9"/>
        <v>10</v>
      </c>
      <c r="AV95" s="74">
        <f t="shared" si="0"/>
        <v>5</v>
      </c>
      <c r="AW95" s="102"/>
      <c r="AY95" s="9">
        <f t="shared" si="10"/>
        <v>10</v>
      </c>
      <c r="AZ95" s="11">
        <f t="shared" si="11"/>
        <v>3</v>
      </c>
      <c r="BA95" s="75">
        <f t="shared" si="12"/>
        <v>10</v>
      </c>
      <c r="BB95" s="11">
        <f t="shared" si="13"/>
        <v>3</v>
      </c>
      <c r="BD95" s="11">
        <f t="shared" si="14"/>
        <v>2</v>
      </c>
      <c r="BE95" s="9">
        <f t="shared" si="15"/>
        <v>0</v>
      </c>
      <c r="BF95" s="71">
        <f t="shared" si="16"/>
        <v>0</v>
      </c>
      <c r="BG95" s="11" t="str">
        <f t="shared" si="17"/>
        <v>MAX WSE</v>
      </c>
      <c r="BH95" s="132">
        <f t="shared" si="51"/>
        <v>5</v>
      </c>
      <c r="BJ95" s="71">
        <f t="shared" si="18"/>
        <v>2</v>
      </c>
      <c r="BL95" s="9">
        <f>IF(AND(ISNUMBER(B24),ISNUMBER(D24)),D24,IF(ISNUMBER(B24),BL23,0))</f>
        <v>0</v>
      </c>
      <c r="BM95" s="9"/>
      <c r="BN95" s="9">
        <f t="shared" si="20"/>
        <v>10</v>
      </c>
      <c r="BO95" s="9" t="str">
        <f>IF(BP95="Left",IF(ISNA(VLOOKUP(BN95,XS_AnalyzerSummary!$A$21:$B$25,2,TRUE)),"",VLOOKUP(BN95,XS_AnalyzerSummary!$A$21:$B$25,2,TRUE)),IF(ISNA(VLOOKUP(-BN95,XS_AnalyzerSummary!$A$28:$B$32,2,TRUE)),"",VLOOKUP(-BN95,XS_AnalyzerSummary!$A$28:$B$32,2,TRUE)))</f>
        <v>Right Bank</v>
      </c>
      <c r="BP95" s="9" t="str">
        <f>IF(AU95&lt;XS_AnalyzerSummary!$B$7,"Left",IF(AU95&gt;XS_AnalyzerSummary!$B$7,"Right","Thalweg"))</f>
        <v>Right</v>
      </c>
      <c r="BQ95" s="9">
        <f t="shared" si="21"/>
        <v>0</v>
      </c>
      <c r="BR95" s="9">
        <f t="shared" si="22"/>
        <v>0</v>
      </c>
      <c r="BS95" s="9">
        <f t="shared" si="23"/>
        <v>0</v>
      </c>
      <c r="BT95" s="9">
        <f t="shared" si="24"/>
        <v>0</v>
      </c>
      <c r="BU95" s="9">
        <f t="shared" si="25"/>
        <v>2</v>
      </c>
      <c r="BV95" s="9">
        <f t="shared" si="26"/>
        <v>0</v>
      </c>
      <c r="BX95" s="9">
        <f>IF(AND(ISNUMBER($BN95),$BO95="Left 2nd Stage",SUM($BX$5:BX94)=0),$BN95,0)</f>
        <v>0</v>
      </c>
      <c r="BY95" s="9">
        <f t="shared" si="52"/>
        <v>0</v>
      </c>
      <c r="BZ95" s="9">
        <f>IF(AND(ISNUMBER($BN95),$BO95="Right 2nd Stage",SUM($BZ$5:$BZ94)=0),$BN94,0)</f>
        <v>0</v>
      </c>
      <c r="CA95" s="9">
        <f t="shared" si="47"/>
        <v>0</v>
      </c>
    </row>
    <row r="96" spans="1:79" ht="15">
      <c r="A96" s="9">
        <v>92</v>
      </c>
      <c r="B96" s="166" t="e">
        <f>IF(ISNUMBER(XS_Analyzer!B96),XS_Analyzer!B96,NA())</f>
        <v>#N/A</v>
      </c>
      <c r="C96" s="88" t="e">
        <f>IF(ISNUMBER(XS_Analyzer!C96),XS_Analyzer!C96,NA())</f>
        <v>#N/A</v>
      </c>
      <c r="D96" s="88" t="str">
        <f>IF(ISNUMBER(XS_Analyzer!E96),XS_Analyzer!E96,"")</f>
        <v/>
      </c>
      <c r="E96" s="9" t="str">
        <f t="shared" si="28"/>
        <v/>
      </c>
      <c r="F96" s="88" t="e">
        <f>IF(AND(ISTEXT(XS_Analyzer!D96),XS_Analyzer!D96&lt;&gt;""),VLOOKUP(XS_Analyzer!D96,$K$12:$L$21,2,FALSE),"")</f>
        <v>#N/A</v>
      </c>
      <c r="G96" s="132" t="str">
        <f t="shared" si="29"/>
        <v/>
      </c>
      <c r="H96" s="132"/>
      <c r="O96" s="7"/>
      <c r="P96" s="7"/>
      <c r="Q96" s="5" t="str">
        <f t="shared" si="30"/>
        <v>N</v>
      </c>
      <c r="R96" s="5" t="str">
        <f t="shared" si="31"/>
        <v/>
      </c>
      <c r="S96" s="5" t="str">
        <f t="shared" si="32"/>
        <v/>
      </c>
      <c r="T96" s="5" t="str">
        <f t="shared" si="33"/>
        <v/>
      </c>
      <c r="U96" s="5" t="str">
        <f t="shared" si="34"/>
        <v/>
      </c>
      <c r="V96" s="62" t="str">
        <f t="shared" si="35"/>
        <v/>
      </c>
      <c r="W96" s="62" t="e">
        <f t="shared" si="53"/>
        <v>#N/A</v>
      </c>
      <c r="X96" s="9" t="e">
        <f t="shared" si="1"/>
        <v>#N/A</v>
      </c>
      <c r="Y96" s="64" t="str">
        <f t="shared" si="36"/>
        <v/>
      </c>
      <c r="Z96" s="174" t="str">
        <f t="shared" si="37"/>
        <v/>
      </c>
      <c r="AA96" s="64" t="str">
        <f>IF(ISNUMBER(Y96),INDEX(Y96:Y106,MATCH(TRUE,INDEX(Y96:Y106&lt;&gt;Y96,),0)),"")</f>
        <v/>
      </c>
      <c r="AB96" s="64" t="str">
        <f t="shared" si="39"/>
        <v/>
      </c>
      <c r="AC96" s="64" t="str">
        <f t="shared" si="40"/>
        <v/>
      </c>
      <c r="AD96" s="64" t="e">
        <f>IF(ISTEXT(AB96),INDEX(AB96:AB106,MATCH(TRUE,INDEX(AB96:AB106&lt;&gt;AB96,),0)),"")</f>
        <v>#N/A</v>
      </c>
      <c r="AE96" s="11" t="str">
        <f t="shared" si="42"/>
        <v/>
      </c>
      <c r="AF96" s="11" t="str">
        <f t="shared" si="2"/>
        <v/>
      </c>
      <c r="AG96" s="11" t="str">
        <f t="shared" si="3"/>
        <v/>
      </c>
      <c r="AH96" s="11" t="str">
        <f t="shared" si="43"/>
        <v/>
      </c>
      <c r="AI96" s="11" t="e">
        <f>IF(AND(ISNUMBER(AI95),ISNUMBER(S96)),(VLOOKUP(AD96,AB96:AC106,2,FALSE)),IF(ISNUMBER(S96),R96,NA()))</f>
        <v>#N/A</v>
      </c>
      <c r="AJ96" s="11" t="e">
        <f t="shared" si="4"/>
        <v>#N/A</v>
      </c>
      <c r="AK96" s="11" t="str">
        <f t="shared" si="5"/>
        <v/>
      </c>
      <c r="AL96" s="11" t="str">
        <f t="shared" si="6"/>
        <v/>
      </c>
      <c r="AM96" s="7"/>
      <c r="AN96" s="7"/>
      <c r="AO96" s="7"/>
      <c r="AP96" s="7"/>
      <c r="AQ96" s="7"/>
      <c r="AS96" s="74">
        <f t="shared" si="7"/>
        <v>10</v>
      </c>
      <c r="AT96" s="74">
        <f t="shared" si="8"/>
        <v>5</v>
      </c>
      <c r="AU96" s="74">
        <f t="shared" si="9"/>
        <v>10</v>
      </c>
      <c r="AV96" s="74">
        <f t="shared" si="0"/>
        <v>5</v>
      </c>
      <c r="AW96" s="102"/>
      <c r="AY96" s="9">
        <f t="shared" si="10"/>
        <v>10</v>
      </c>
      <c r="AZ96" s="11">
        <f t="shared" si="11"/>
        <v>3</v>
      </c>
      <c r="BA96" s="75">
        <f t="shared" si="12"/>
        <v>10</v>
      </c>
      <c r="BB96" s="11">
        <f t="shared" si="13"/>
        <v>3</v>
      </c>
      <c r="BD96" s="11">
        <f t="shared" si="14"/>
        <v>2</v>
      </c>
      <c r="BE96" s="9">
        <f t="shared" si="15"/>
        <v>0</v>
      </c>
      <c r="BF96" s="71">
        <f t="shared" si="16"/>
        <v>0</v>
      </c>
      <c r="BG96" s="11" t="str">
        <f t="shared" si="17"/>
        <v>MAX WSE</v>
      </c>
      <c r="BH96" s="132">
        <f t="shared" si="51"/>
        <v>5</v>
      </c>
      <c r="BJ96" s="71">
        <f t="shared" si="18"/>
        <v>2</v>
      </c>
      <c r="BL96" s="9">
        <f t="shared" ref="BL96:BL104" si="54">IF(AND(ISNUMBER(B25),ISNUMBER(D25)),D25,IF(ISNUMBER(B25),BL95,0))</f>
        <v>0</v>
      </c>
      <c r="BM96" s="9"/>
      <c r="BN96" s="9">
        <f t="shared" si="20"/>
        <v>10</v>
      </c>
      <c r="BO96" s="9" t="str">
        <f>IF(BP96="Left",IF(ISNA(VLOOKUP(BN96,XS_AnalyzerSummary!$A$21:$B$25,2,TRUE)),"",VLOOKUP(BN96,XS_AnalyzerSummary!$A$21:$B$25,2,TRUE)),IF(ISNA(VLOOKUP(-BN96,XS_AnalyzerSummary!$A$28:$B$32,2,TRUE)),"",VLOOKUP(-BN96,XS_AnalyzerSummary!$A$28:$B$32,2,TRUE)))</f>
        <v>Right Bank</v>
      </c>
      <c r="BP96" s="9" t="str">
        <f>IF(AU96&lt;XS_AnalyzerSummary!$B$7,"Left",IF(AU96&gt;XS_AnalyzerSummary!$B$7,"Right","Thalweg"))</f>
        <v>Right</v>
      </c>
      <c r="BQ96" s="9">
        <f t="shared" si="21"/>
        <v>0</v>
      </c>
      <c r="BR96" s="9">
        <f t="shared" si="22"/>
        <v>0</v>
      </c>
      <c r="BS96" s="9">
        <f t="shared" si="23"/>
        <v>0</v>
      </c>
      <c r="BT96" s="9">
        <f t="shared" si="24"/>
        <v>0</v>
      </c>
      <c r="BU96" s="9">
        <f t="shared" si="25"/>
        <v>2</v>
      </c>
      <c r="BV96" s="9">
        <f t="shared" si="26"/>
        <v>0</v>
      </c>
      <c r="BX96" s="9">
        <f>IF(AND(ISNUMBER($BN96),$BO96="Left 2nd Stage",SUM($BX$5:BX95)=0),$BN96,0)</f>
        <v>0</v>
      </c>
      <c r="BY96" s="9">
        <f t="shared" si="52"/>
        <v>0</v>
      </c>
      <c r="BZ96" s="9">
        <f>IF(AND(ISNUMBER($BN96),$BO96="Right 2nd Stage",SUM($BZ$5:$BZ95)=0),$BN95,0)</f>
        <v>0</v>
      </c>
      <c r="CA96" s="9">
        <f t="shared" si="47"/>
        <v>0</v>
      </c>
    </row>
    <row r="97" spans="1:79" ht="15">
      <c r="A97" s="9">
        <v>93</v>
      </c>
      <c r="B97" s="166" t="e">
        <f>IF(ISNUMBER(XS_Analyzer!B97),XS_Analyzer!B97,NA())</f>
        <v>#N/A</v>
      </c>
      <c r="C97" s="88" t="e">
        <f>IF(ISNUMBER(XS_Analyzer!C97),XS_Analyzer!C97,NA())</f>
        <v>#N/A</v>
      </c>
      <c r="D97" s="88" t="str">
        <f>IF(ISNUMBER(XS_Analyzer!E97),XS_Analyzer!E97,"")</f>
        <v/>
      </c>
      <c r="E97" s="9" t="str">
        <f t="shared" si="28"/>
        <v/>
      </c>
      <c r="F97" s="88" t="e">
        <f>IF(AND(ISTEXT(XS_Analyzer!D97),XS_Analyzer!D97&lt;&gt;""),VLOOKUP(XS_Analyzer!D97,$K$12:$L$21,2,FALSE),"")</f>
        <v>#N/A</v>
      </c>
      <c r="G97" s="132" t="str">
        <f t="shared" si="29"/>
        <v/>
      </c>
      <c r="H97" s="132"/>
      <c r="O97" s="7"/>
      <c r="P97" s="7"/>
      <c r="Q97" s="5" t="str">
        <f t="shared" si="30"/>
        <v>N</v>
      </c>
      <c r="R97" s="5" t="str">
        <f t="shared" si="31"/>
        <v/>
      </c>
      <c r="S97" s="5" t="str">
        <f t="shared" si="32"/>
        <v/>
      </c>
      <c r="T97" s="5" t="str">
        <f t="shared" si="33"/>
        <v/>
      </c>
      <c r="U97" s="5" t="str">
        <f t="shared" si="34"/>
        <v/>
      </c>
      <c r="V97" s="62" t="str">
        <f t="shared" si="35"/>
        <v/>
      </c>
      <c r="W97" s="62" t="e">
        <f t="shared" si="53"/>
        <v>#N/A</v>
      </c>
      <c r="X97" s="9" t="e">
        <f t="shared" si="1"/>
        <v>#N/A</v>
      </c>
      <c r="Y97" s="64" t="str">
        <f t="shared" si="36"/>
        <v/>
      </c>
      <c r="Z97" s="174" t="str">
        <f t="shared" si="37"/>
        <v/>
      </c>
      <c r="AA97" s="64" t="str">
        <f>IF(ISNUMBER(Y97),INDEX(Y97:Y106,MATCH(TRUE,INDEX(Y97:Y106&lt;&gt;Y97,),0)),"")</f>
        <v/>
      </c>
      <c r="AB97" s="64" t="str">
        <f t="shared" si="39"/>
        <v/>
      </c>
      <c r="AC97" s="64" t="str">
        <f t="shared" si="40"/>
        <v/>
      </c>
      <c r="AD97" s="64" t="e">
        <f>IF(ISTEXT(AB97),INDEX(AB97:AB106,MATCH(TRUE,INDEX(AB97:AB106&lt;&gt;AB97,),0)),"")</f>
        <v>#N/A</v>
      </c>
      <c r="AE97" s="11" t="str">
        <f t="shared" si="42"/>
        <v/>
      </c>
      <c r="AF97" s="11" t="str">
        <f t="shared" si="2"/>
        <v/>
      </c>
      <c r="AG97" s="11" t="str">
        <f t="shared" si="3"/>
        <v/>
      </c>
      <c r="AH97" s="11" t="str">
        <f t="shared" si="43"/>
        <v/>
      </c>
      <c r="AI97" s="11" t="e">
        <f>IF(AND(ISNUMBER(AI96),ISNUMBER(S97)),(VLOOKUP(AD97,AB97:AC106,2,FALSE)),IF(ISNUMBER(S97),R97,NA()))</f>
        <v>#N/A</v>
      </c>
      <c r="AJ97" s="11" t="e">
        <f t="shared" si="4"/>
        <v>#N/A</v>
      </c>
      <c r="AK97" s="11" t="str">
        <f t="shared" si="5"/>
        <v/>
      </c>
      <c r="AL97" s="11" t="str">
        <f t="shared" si="6"/>
        <v/>
      </c>
      <c r="AM97" s="7"/>
      <c r="AN97" s="7"/>
      <c r="AO97" s="7"/>
      <c r="AP97" s="7"/>
      <c r="AQ97" s="7"/>
      <c r="AS97" s="74">
        <f t="shared" si="7"/>
        <v>10</v>
      </c>
      <c r="AT97" s="74">
        <f t="shared" si="8"/>
        <v>5</v>
      </c>
      <c r="AU97" s="74">
        <f t="shared" si="9"/>
        <v>10</v>
      </c>
      <c r="AV97" s="74">
        <f t="shared" si="0"/>
        <v>5</v>
      </c>
      <c r="AW97" s="102"/>
      <c r="AY97" s="9">
        <f t="shared" si="10"/>
        <v>10</v>
      </c>
      <c r="AZ97" s="11">
        <f t="shared" si="11"/>
        <v>3</v>
      </c>
      <c r="BA97" s="75">
        <f t="shared" si="12"/>
        <v>10</v>
      </c>
      <c r="BB97" s="11">
        <f t="shared" si="13"/>
        <v>3</v>
      </c>
      <c r="BD97" s="11">
        <f t="shared" si="14"/>
        <v>2</v>
      </c>
      <c r="BE97" s="9">
        <f t="shared" si="15"/>
        <v>0</v>
      </c>
      <c r="BF97" s="71">
        <f t="shared" si="16"/>
        <v>0</v>
      </c>
      <c r="BG97" s="11" t="str">
        <f t="shared" si="17"/>
        <v>MAX WSE</v>
      </c>
      <c r="BH97" s="132">
        <f t="shared" si="51"/>
        <v>5</v>
      </c>
      <c r="BJ97" s="71">
        <f t="shared" si="18"/>
        <v>2</v>
      </c>
      <c r="BL97" s="9">
        <f t="shared" si="54"/>
        <v>0</v>
      </c>
      <c r="BM97" s="9"/>
      <c r="BN97" s="9">
        <f t="shared" si="20"/>
        <v>10</v>
      </c>
      <c r="BO97" s="9" t="str">
        <f>IF(BP97="Left",IF(ISNA(VLOOKUP(BN97,XS_AnalyzerSummary!$A$21:$B$25,2,TRUE)),"",VLOOKUP(BN97,XS_AnalyzerSummary!$A$21:$B$25,2,TRUE)),IF(ISNA(VLOOKUP(-BN97,XS_AnalyzerSummary!$A$28:$B$32,2,TRUE)),"",VLOOKUP(-BN97,XS_AnalyzerSummary!$A$28:$B$32,2,TRUE)))</f>
        <v>Right Bank</v>
      </c>
      <c r="BP97" s="9" t="str">
        <f>IF(AU97&lt;XS_AnalyzerSummary!$B$7,"Left",IF(AU97&gt;XS_AnalyzerSummary!$B$7,"Right","Thalweg"))</f>
        <v>Right</v>
      </c>
      <c r="BQ97" s="9">
        <f t="shared" si="21"/>
        <v>0</v>
      </c>
      <c r="BR97" s="9">
        <f t="shared" si="22"/>
        <v>0</v>
      </c>
      <c r="BS97" s="9">
        <f t="shared" si="23"/>
        <v>0</v>
      </c>
      <c r="BT97" s="9">
        <f t="shared" si="24"/>
        <v>0</v>
      </c>
      <c r="BU97" s="9">
        <f t="shared" si="25"/>
        <v>2</v>
      </c>
      <c r="BV97" s="9">
        <f t="shared" si="26"/>
        <v>0</v>
      </c>
      <c r="BX97" s="9">
        <f>IF(AND(ISNUMBER($BN97),$BO97="Left 2nd Stage",SUM($BX$5:BX96)=0),$BN97,0)</f>
        <v>0</v>
      </c>
      <c r="BY97" s="9">
        <f t="shared" si="52"/>
        <v>0</v>
      </c>
      <c r="BZ97" s="9">
        <f>IF(AND(ISNUMBER($BN97),$BO97="Right 2nd Stage",SUM($BZ$5:$BZ96)=0),$BN96,0)</f>
        <v>0</v>
      </c>
      <c r="CA97" s="9">
        <f t="shared" si="47"/>
        <v>0</v>
      </c>
    </row>
    <row r="98" spans="1:79" ht="15">
      <c r="A98" s="9">
        <v>94</v>
      </c>
      <c r="B98" s="166" t="e">
        <f>IF(ISNUMBER(XS_Analyzer!B98),XS_Analyzer!B98,NA())</f>
        <v>#N/A</v>
      </c>
      <c r="C98" s="88" t="e">
        <f>IF(ISNUMBER(XS_Analyzer!C98),XS_Analyzer!C98,NA())</f>
        <v>#N/A</v>
      </c>
      <c r="D98" s="88" t="str">
        <f>IF(ISNUMBER(XS_Analyzer!E98),XS_Analyzer!E98,"")</f>
        <v/>
      </c>
      <c r="E98" s="9" t="str">
        <f t="shared" si="28"/>
        <v/>
      </c>
      <c r="F98" s="88" t="e">
        <f>IF(AND(ISTEXT(XS_Analyzer!D98),XS_Analyzer!D98&lt;&gt;""),VLOOKUP(XS_Analyzer!D98,$K$12:$L$21,2,FALSE),"")</f>
        <v>#N/A</v>
      </c>
      <c r="G98" s="132" t="str">
        <f t="shared" si="29"/>
        <v/>
      </c>
      <c r="H98" s="132"/>
      <c r="O98" s="7"/>
      <c r="P98" s="7"/>
      <c r="Q98" s="5" t="str">
        <f t="shared" si="30"/>
        <v>N</v>
      </c>
      <c r="R98" s="5" t="str">
        <f t="shared" si="31"/>
        <v/>
      </c>
      <c r="S98" s="5" t="str">
        <f t="shared" si="32"/>
        <v/>
      </c>
      <c r="T98" s="5" t="str">
        <f t="shared" si="33"/>
        <v/>
      </c>
      <c r="U98" s="5" t="str">
        <f t="shared" si="34"/>
        <v/>
      </c>
      <c r="V98" s="62" t="str">
        <f t="shared" si="35"/>
        <v/>
      </c>
      <c r="W98" s="62" t="e">
        <f t="shared" si="53"/>
        <v>#N/A</v>
      </c>
      <c r="X98" s="9" t="e">
        <f t="shared" si="1"/>
        <v>#N/A</v>
      </c>
      <c r="Y98" s="64" t="str">
        <f t="shared" si="36"/>
        <v/>
      </c>
      <c r="Z98" s="174" t="str">
        <f t="shared" si="37"/>
        <v/>
      </c>
      <c r="AA98" s="64" t="str">
        <f>IF(ISNUMBER(Y98),INDEX(Y98:Y106,MATCH(TRUE,INDEX(Y98:Y106&lt;&gt;Y98,),0)),"")</f>
        <v/>
      </c>
      <c r="AB98" s="64" t="str">
        <f t="shared" si="39"/>
        <v/>
      </c>
      <c r="AC98" s="64" t="str">
        <f t="shared" si="40"/>
        <v/>
      </c>
      <c r="AD98" s="64" t="e">
        <f>IF(ISTEXT(AB98),INDEX(AB98:AB106,MATCH(TRUE,INDEX(AB98:AB106&lt;&gt;AB98,),0)),"")</f>
        <v>#N/A</v>
      </c>
      <c r="AE98" s="11" t="str">
        <f t="shared" si="42"/>
        <v/>
      </c>
      <c r="AF98" s="11" t="str">
        <f t="shared" si="2"/>
        <v/>
      </c>
      <c r="AG98" s="11" t="str">
        <f t="shared" si="3"/>
        <v/>
      </c>
      <c r="AH98" s="11" t="str">
        <f t="shared" si="43"/>
        <v/>
      </c>
      <c r="AI98" s="11" t="e">
        <f>IF(AND(ISNUMBER(AI97),ISNUMBER(S98)),(VLOOKUP(AD98,AB98:AC106,2,FALSE)),IF(ISNUMBER(S98),R98,NA()))</f>
        <v>#N/A</v>
      </c>
      <c r="AJ98" s="11" t="e">
        <f t="shared" si="4"/>
        <v>#N/A</v>
      </c>
      <c r="AK98" s="11" t="str">
        <f t="shared" si="5"/>
        <v/>
      </c>
      <c r="AL98" s="11" t="str">
        <f t="shared" si="6"/>
        <v/>
      </c>
      <c r="AM98" s="7"/>
      <c r="AN98" s="7"/>
      <c r="AO98" s="7"/>
      <c r="AP98" s="7"/>
      <c r="AQ98" s="7"/>
      <c r="AS98" s="74">
        <f t="shared" si="7"/>
        <v>10</v>
      </c>
      <c r="AT98" s="74">
        <f t="shared" si="8"/>
        <v>5</v>
      </c>
      <c r="AU98" s="74">
        <f t="shared" si="9"/>
        <v>10</v>
      </c>
      <c r="AV98" s="74">
        <f t="shared" si="0"/>
        <v>5</v>
      </c>
      <c r="AW98" s="102"/>
      <c r="AY98" s="9">
        <f t="shared" si="10"/>
        <v>10</v>
      </c>
      <c r="AZ98" s="11">
        <f t="shared" si="11"/>
        <v>3</v>
      </c>
      <c r="BA98" s="75">
        <f t="shared" si="12"/>
        <v>10</v>
      </c>
      <c r="BB98" s="11">
        <f t="shared" si="13"/>
        <v>3</v>
      </c>
      <c r="BD98" s="11">
        <f t="shared" si="14"/>
        <v>2</v>
      </c>
      <c r="BE98" s="9">
        <f t="shared" si="15"/>
        <v>0</v>
      </c>
      <c r="BF98" s="71">
        <f t="shared" si="16"/>
        <v>0</v>
      </c>
      <c r="BG98" s="11" t="str">
        <f t="shared" si="17"/>
        <v>MAX WSE</v>
      </c>
      <c r="BH98" s="132">
        <f t="shared" si="51"/>
        <v>5</v>
      </c>
      <c r="BJ98" s="71">
        <f t="shared" si="18"/>
        <v>2</v>
      </c>
      <c r="BL98" s="9">
        <f t="shared" si="54"/>
        <v>0</v>
      </c>
      <c r="BM98" s="9"/>
      <c r="BN98" s="9">
        <f t="shared" si="20"/>
        <v>10</v>
      </c>
      <c r="BO98" s="9" t="str">
        <f>IF(BP98="Left",IF(ISNA(VLOOKUP(BN98,XS_AnalyzerSummary!$A$21:$B$25,2,TRUE)),"",VLOOKUP(BN98,XS_AnalyzerSummary!$A$21:$B$25,2,TRUE)),IF(ISNA(VLOOKUP(-BN98,XS_AnalyzerSummary!$A$28:$B$32,2,TRUE)),"",VLOOKUP(-BN98,XS_AnalyzerSummary!$A$28:$B$32,2,TRUE)))</f>
        <v>Right Bank</v>
      </c>
      <c r="BP98" s="9" t="str">
        <f>IF(AU98&lt;XS_AnalyzerSummary!$B$7,"Left",IF(AU98&gt;XS_AnalyzerSummary!$B$7,"Right","Thalweg"))</f>
        <v>Right</v>
      </c>
      <c r="BQ98" s="9">
        <f t="shared" si="21"/>
        <v>0</v>
      </c>
      <c r="BR98" s="9">
        <f t="shared" si="22"/>
        <v>0</v>
      </c>
      <c r="BS98" s="9">
        <f t="shared" si="23"/>
        <v>0</v>
      </c>
      <c r="BT98" s="9">
        <f t="shared" si="24"/>
        <v>0</v>
      </c>
      <c r="BU98" s="9">
        <f t="shared" si="25"/>
        <v>2</v>
      </c>
      <c r="BV98" s="9">
        <f t="shared" si="26"/>
        <v>0</v>
      </c>
      <c r="BX98" s="9">
        <f>IF(AND(ISNUMBER($BN98),$BO98="Left 2nd Stage",SUM($BX$5:BX97)=0),$BN98,0)</f>
        <v>0</v>
      </c>
      <c r="BY98" s="9">
        <f t="shared" si="52"/>
        <v>0</v>
      </c>
      <c r="BZ98" s="9">
        <f>IF(AND(ISNUMBER($BN98),$BO98="Right 2nd Stage",SUM($BZ$5:$BZ97)=0),$BN97,0)</f>
        <v>0</v>
      </c>
      <c r="CA98" s="9">
        <f t="shared" si="47"/>
        <v>0</v>
      </c>
    </row>
    <row r="99" spans="1:79" ht="15">
      <c r="A99" s="9">
        <v>95</v>
      </c>
      <c r="B99" s="166" t="e">
        <f>IF(ISNUMBER(XS_Analyzer!B99),XS_Analyzer!B99,NA())</f>
        <v>#N/A</v>
      </c>
      <c r="C99" s="88" t="e">
        <f>IF(ISNUMBER(XS_Analyzer!C99),XS_Analyzer!C99,NA())</f>
        <v>#N/A</v>
      </c>
      <c r="D99" s="88" t="str">
        <f>IF(ISNUMBER(XS_Analyzer!E99),XS_Analyzer!E99,"")</f>
        <v/>
      </c>
      <c r="E99" s="9" t="str">
        <f t="shared" si="28"/>
        <v/>
      </c>
      <c r="F99" s="88" t="e">
        <f>IF(AND(ISTEXT(XS_Analyzer!D99),XS_Analyzer!D99&lt;&gt;""),VLOOKUP(XS_Analyzer!D99,$K$12:$L$21,2,FALSE),"")</f>
        <v>#N/A</v>
      </c>
      <c r="G99" s="132" t="str">
        <f t="shared" si="29"/>
        <v/>
      </c>
      <c r="H99" s="132"/>
      <c r="O99" s="7"/>
      <c r="P99" s="7"/>
      <c r="Q99" s="5" t="str">
        <f t="shared" si="30"/>
        <v>N</v>
      </c>
      <c r="R99" s="5" t="str">
        <f t="shared" si="31"/>
        <v/>
      </c>
      <c r="S99" s="5" t="str">
        <f t="shared" si="32"/>
        <v/>
      </c>
      <c r="T99" s="5" t="str">
        <f t="shared" si="33"/>
        <v/>
      </c>
      <c r="U99" s="5" t="str">
        <f t="shared" si="34"/>
        <v/>
      </c>
      <c r="V99" s="62" t="str">
        <f t="shared" si="35"/>
        <v/>
      </c>
      <c r="W99" s="62" t="e">
        <f t="shared" si="53"/>
        <v>#N/A</v>
      </c>
      <c r="X99" s="9" t="e">
        <f t="shared" si="1"/>
        <v>#N/A</v>
      </c>
      <c r="Y99" s="64" t="str">
        <f t="shared" si="36"/>
        <v/>
      </c>
      <c r="Z99" s="174" t="str">
        <f t="shared" si="37"/>
        <v/>
      </c>
      <c r="AA99" s="64" t="str">
        <f>IF(ISNUMBER(Y99),INDEX(Y99:Y106,MATCH(TRUE,INDEX(Y99:Y106&lt;&gt;Y99,),0)),"")</f>
        <v/>
      </c>
      <c r="AB99" s="64" t="str">
        <f t="shared" si="39"/>
        <v/>
      </c>
      <c r="AC99" s="64" t="str">
        <f t="shared" si="40"/>
        <v/>
      </c>
      <c r="AD99" s="64" t="e">
        <f>IF(ISTEXT(AB99),INDEX(AB99:AB106,MATCH(TRUE,INDEX(AB99:AB106&lt;&gt;AB99,),0)),"")</f>
        <v>#N/A</v>
      </c>
      <c r="AE99" s="11" t="str">
        <f t="shared" si="42"/>
        <v/>
      </c>
      <c r="AF99" s="11" t="str">
        <f t="shared" si="2"/>
        <v/>
      </c>
      <c r="AG99" s="11" t="str">
        <f t="shared" si="3"/>
        <v/>
      </c>
      <c r="AH99" s="11" t="str">
        <f t="shared" si="43"/>
        <v/>
      </c>
      <c r="AI99" s="11" t="e">
        <f>IF(AND(ISNUMBER(AI98),ISNUMBER(S99)),(VLOOKUP(AD99,AB99:AC106,2,FALSE)),IF(ISNUMBER(S99),R99,NA()))</f>
        <v>#N/A</v>
      </c>
      <c r="AJ99" s="11" t="e">
        <f t="shared" si="4"/>
        <v>#N/A</v>
      </c>
      <c r="AK99" s="11" t="str">
        <f t="shared" si="5"/>
        <v/>
      </c>
      <c r="AL99" s="11" t="str">
        <f t="shared" si="6"/>
        <v/>
      </c>
      <c r="AM99" s="7"/>
      <c r="AN99" s="7"/>
      <c r="AO99" s="7"/>
      <c r="AP99" s="7"/>
      <c r="AQ99" s="7"/>
      <c r="AS99" s="74">
        <f t="shared" si="7"/>
        <v>10</v>
      </c>
      <c r="AT99" s="74">
        <f t="shared" si="8"/>
        <v>5</v>
      </c>
      <c r="AU99" s="74">
        <f t="shared" si="9"/>
        <v>10</v>
      </c>
      <c r="AV99" s="74">
        <f t="shared" si="0"/>
        <v>5</v>
      </c>
      <c r="AW99" s="102"/>
      <c r="AY99" s="9">
        <f t="shared" si="10"/>
        <v>10</v>
      </c>
      <c r="AZ99" s="11">
        <f t="shared" si="11"/>
        <v>3</v>
      </c>
      <c r="BA99" s="75">
        <f t="shared" si="12"/>
        <v>10</v>
      </c>
      <c r="BB99" s="11">
        <f t="shared" si="13"/>
        <v>3</v>
      </c>
      <c r="BD99" s="11">
        <f t="shared" si="14"/>
        <v>2</v>
      </c>
      <c r="BE99" s="9">
        <f t="shared" si="15"/>
        <v>0</v>
      </c>
      <c r="BF99" s="71">
        <f t="shared" si="16"/>
        <v>0</v>
      </c>
      <c r="BG99" s="11" t="str">
        <f t="shared" si="17"/>
        <v>MAX WSE</v>
      </c>
      <c r="BH99" s="132">
        <f t="shared" si="51"/>
        <v>5</v>
      </c>
      <c r="BJ99" s="71">
        <f t="shared" si="18"/>
        <v>2</v>
      </c>
      <c r="BL99" s="9">
        <f t="shared" si="54"/>
        <v>0</v>
      </c>
      <c r="BM99" s="9"/>
      <c r="BN99" s="9">
        <f t="shared" si="20"/>
        <v>10</v>
      </c>
      <c r="BO99" s="9" t="str">
        <f>IF(BP99="Left",IF(ISNA(VLOOKUP(BN99,XS_AnalyzerSummary!$A$21:$B$25,2,TRUE)),"",VLOOKUP(BN99,XS_AnalyzerSummary!$A$21:$B$25,2,TRUE)),IF(ISNA(VLOOKUP(-BN99,XS_AnalyzerSummary!$A$28:$B$32,2,TRUE)),"",VLOOKUP(-BN99,XS_AnalyzerSummary!$A$28:$B$32,2,TRUE)))</f>
        <v>Right Bank</v>
      </c>
      <c r="BP99" s="9" t="str">
        <f>IF(AU99&lt;XS_AnalyzerSummary!$B$7,"Left",IF(AU99&gt;XS_AnalyzerSummary!$B$7,"Right","Thalweg"))</f>
        <v>Right</v>
      </c>
      <c r="BQ99" s="9">
        <f t="shared" si="21"/>
        <v>0</v>
      </c>
      <c r="BR99" s="9">
        <f t="shared" si="22"/>
        <v>0</v>
      </c>
      <c r="BS99" s="9">
        <f t="shared" si="23"/>
        <v>0</v>
      </c>
      <c r="BT99" s="9">
        <f t="shared" si="24"/>
        <v>0</v>
      </c>
      <c r="BU99" s="9">
        <f t="shared" si="25"/>
        <v>2</v>
      </c>
      <c r="BV99" s="9">
        <f t="shared" si="26"/>
        <v>0</v>
      </c>
      <c r="BX99" s="9">
        <f>IF(AND(ISNUMBER($BN99),$BO99="Left 2nd Stage",SUM($BX$5:BX98)=0),$BN99,0)</f>
        <v>0</v>
      </c>
      <c r="BY99" s="9">
        <f t="shared" si="52"/>
        <v>0</v>
      </c>
      <c r="BZ99" s="9">
        <f>IF(AND(ISNUMBER($BN99),$BO99="Right 2nd Stage",SUM($BZ$5:$BZ98)=0),$BN98,0)</f>
        <v>0</v>
      </c>
      <c r="CA99" s="9">
        <f t="shared" si="47"/>
        <v>0</v>
      </c>
    </row>
    <row r="100" spans="1:79" ht="15">
      <c r="A100" s="9">
        <v>96</v>
      </c>
      <c r="B100" s="166" t="e">
        <f>IF(ISNUMBER(XS_Analyzer!B100),XS_Analyzer!B100,NA())</f>
        <v>#N/A</v>
      </c>
      <c r="C100" s="88" t="e">
        <f>IF(ISNUMBER(XS_Analyzer!C100),XS_Analyzer!C100,NA())</f>
        <v>#N/A</v>
      </c>
      <c r="D100" s="88" t="str">
        <f>IF(ISNUMBER(XS_Analyzer!E100),XS_Analyzer!E100,"")</f>
        <v/>
      </c>
      <c r="E100" s="9" t="str">
        <f t="shared" si="28"/>
        <v/>
      </c>
      <c r="F100" s="88" t="e">
        <f>IF(AND(ISTEXT(XS_Analyzer!D100),XS_Analyzer!D100&lt;&gt;""),VLOOKUP(XS_Analyzer!D100,$K$12:$L$21,2,FALSE),"")</f>
        <v>#N/A</v>
      </c>
      <c r="G100" s="132" t="str">
        <f t="shared" si="29"/>
        <v/>
      </c>
      <c r="H100" s="132"/>
      <c r="Q100" s="5" t="str">
        <f t="shared" si="30"/>
        <v>N</v>
      </c>
      <c r="R100" s="5" t="str">
        <f t="shared" si="31"/>
        <v/>
      </c>
      <c r="S100" s="5" t="str">
        <f t="shared" si="32"/>
        <v/>
      </c>
      <c r="T100" s="5" t="str">
        <f t="shared" si="33"/>
        <v/>
      </c>
      <c r="U100" s="5" t="str">
        <f t="shared" si="34"/>
        <v/>
      </c>
      <c r="V100" s="62" t="str">
        <f t="shared" si="35"/>
        <v/>
      </c>
      <c r="W100" s="62" t="e">
        <f t="shared" si="53"/>
        <v>#N/A</v>
      </c>
      <c r="X100" s="9" t="e">
        <f t="shared" si="1"/>
        <v>#N/A</v>
      </c>
      <c r="Y100" s="64" t="str">
        <f t="shared" si="36"/>
        <v/>
      </c>
      <c r="Z100" s="174" t="str">
        <f t="shared" si="37"/>
        <v/>
      </c>
      <c r="AA100" s="64" t="str">
        <f>IF(ISNUMBER(Y100),INDEX(Y100:Y106,MATCH(TRUE,INDEX(Y100:Y106&lt;&gt;Y100,),0)),"")</f>
        <v/>
      </c>
      <c r="AB100" s="64" t="str">
        <f t="shared" si="39"/>
        <v/>
      </c>
      <c r="AC100" s="64" t="str">
        <f t="shared" si="40"/>
        <v/>
      </c>
      <c r="AD100" s="64" t="e">
        <f>IF(ISTEXT(AB100),INDEX(AB100:AB106,MATCH(TRUE,INDEX(AB100:AB106&lt;&gt;AB100,),0)),"")</f>
        <v>#N/A</v>
      </c>
      <c r="AE100" s="11" t="str">
        <f t="shared" si="42"/>
        <v/>
      </c>
      <c r="AF100" s="11" t="str">
        <f t="shared" si="2"/>
        <v/>
      </c>
      <c r="AG100" s="11" t="str">
        <f t="shared" si="3"/>
        <v/>
      </c>
      <c r="AH100" s="11" t="str">
        <f t="shared" si="43"/>
        <v/>
      </c>
      <c r="AI100" s="11" t="e">
        <f>IF(AND(ISNUMBER(AI99),ISNUMBER(S100)),(VLOOKUP(AD100,AB100:AC106,2,FALSE)),IF(ISNUMBER(S100),R100,NA()))</f>
        <v>#N/A</v>
      </c>
      <c r="AJ100" s="11" t="e">
        <f t="shared" si="4"/>
        <v>#N/A</v>
      </c>
      <c r="AK100" s="11" t="str">
        <f t="shared" si="5"/>
        <v/>
      </c>
      <c r="AL100" s="11" t="str">
        <f t="shared" si="6"/>
        <v/>
      </c>
      <c r="AP100" s="7"/>
      <c r="AQ100" s="7"/>
      <c r="AS100" s="74">
        <f t="shared" si="7"/>
        <v>10</v>
      </c>
      <c r="AT100" s="74">
        <f t="shared" si="8"/>
        <v>5</v>
      </c>
      <c r="AU100" s="74">
        <f t="shared" si="9"/>
        <v>10</v>
      </c>
      <c r="AV100" s="74">
        <f t="shared" si="0"/>
        <v>5</v>
      </c>
      <c r="AW100" s="102"/>
      <c r="AY100" s="9">
        <f t="shared" si="10"/>
        <v>10</v>
      </c>
      <c r="AZ100" s="11">
        <f t="shared" si="11"/>
        <v>3</v>
      </c>
      <c r="BA100" s="75">
        <f t="shared" si="12"/>
        <v>10</v>
      </c>
      <c r="BB100" s="11">
        <f t="shared" si="13"/>
        <v>3</v>
      </c>
      <c r="BD100" s="11">
        <f t="shared" si="14"/>
        <v>2</v>
      </c>
      <c r="BE100" s="9">
        <f t="shared" si="15"/>
        <v>0</v>
      </c>
      <c r="BF100" s="71">
        <f t="shared" si="16"/>
        <v>0</v>
      </c>
      <c r="BG100" s="11" t="str">
        <f t="shared" si="17"/>
        <v>MAX WSE</v>
      </c>
      <c r="BH100" s="132">
        <f t="shared" si="51"/>
        <v>5</v>
      </c>
      <c r="BJ100" s="71">
        <f t="shared" si="18"/>
        <v>2</v>
      </c>
      <c r="BL100" s="9">
        <f t="shared" si="54"/>
        <v>0</v>
      </c>
      <c r="BM100" s="9"/>
      <c r="BN100" s="9">
        <f t="shared" si="20"/>
        <v>10</v>
      </c>
      <c r="BO100" s="9" t="str">
        <f>IF(BP100="Left",IF(ISNA(VLOOKUP(BN100,XS_AnalyzerSummary!$A$21:$B$25,2,TRUE)),"",VLOOKUP(BN100,XS_AnalyzerSummary!$A$21:$B$25,2,TRUE)),IF(ISNA(VLOOKUP(-BN100,XS_AnalyzerSummary!$A$28:$B$32,2,TRUE)),"",VLOOKUP(-BN100,XS_AnalyzerSummary!$A$28:$B$32,2,TRUE)))</f>
        <v>Right Bank</v>
      </c>
      <c r="BP100" s="9" t="str">
        <f>IF(AU100&lt;XS_AnalyzerSummary!$B$7,"Left",IF(AU100&gt;XS_AnalyzerSummary!$B$7,"Right","Thalweg"))</f>
        <v>Right</v>
      </c>
      <c r="BQ100" s="9">
        <f t="shared" si="21"/>
        <v>0</v>
      </c>
      <c r="BR100" s="9">
        <f t="shared" si="22"/>
        <v>0</v>
      </c>
      <c r="BS100" s="9">
        <f t="shared" si="23"/>
        <v>0</v>
      </c>
      <c r="BT100" s="9">
        <f t="shared" si="24"/>
        <v>0</v>
      </c>
      <c r="BU100" s="9">
        <f t="shared" si="25"/>
        <v>2</v>
      </c>
      <c r="BV100" s="9">
        <f t="shared" si="26"/>
        <v>0</v>
      </c>
      <c r="BX100" s="9">
        <f>IF(AND(ISNUMBER($BN100),$BO100="Left 2nd Stage",SUM($BX$5:BX99)=0),$BN100,0)</f>
        <v>0</v>
      </c>
      <c r="BY100" s="9">
        <f t="shared" si="52"/>
        <v>0</v>
      </c>
      <c r="BZ100" s="9">
        <f>IF(AND(ISNUMBER($BN100),$BO100="Right 2nd Stage",SUM($BZ$5:$BZ99)=0),$BN99,0)</f>
        <v>0</v>
      </c>
      <c r="CA100" s="9">
        <f t="shared" si="47"/>
        <v>0</v>
      </c>
    </row>
    <row r="101" spans="1:79" ht="15">
      <c r="A101" s="9">
        <v>97</v>
      </c>
      <c r="B101" s="166" t="e">
        <f>IF(ISNUMBER(XS_Analyzer!B101),XS_Analyzer!B101,NA())</f>
        <v>#N/A</v>
      </c>
      <c r="C101" s="88" t="e">
        <f>IF(ISNUMBER(XS_Analyzer!C101),XS_Analyzer!C101,NA())</f>
        <v>#N/A</v>
      </c>
      <c r="D101" s="88" t="str">
        <f>IF(ISNUMBER(XS_Analyzer!E101),XS_Analyzer!E101,"")</f>
        <v/>
      </c>
      <c r="E101" s="9" t="str">
        <f t="shared" si="28"/>
        <v/>
      </c>
      <c r="F101" s="88" t="e">
        <f>IF(AND(ISTEXT(XS_Analyzer!D101),XS_Analyzer!D101&lt;&gt;""),VLOOKUP(XS_Analyzer!D101,$K$12:$L$21,2,FALSE),"")</f>
        <v>#N/A</v>
      </c>
      <c r="G101" s="132" t="str">
        <f t="shared" si="29"/>
        <v/>
      </c>
      <c r="H101" s="132"/>
      <c r="Q101" s="5" t="str">
        <f t="shared" si="30"/>
        <v>N</v>
      </c>
      <c r="R101" s="5" t="str">
        <f t="shared" si="31"/>
        <v/>
      </c>
      <c r="S101" s="5" t="str">
        <f t="shared" si="32"/>
        <v/>
      </c>
      <c r="T101" s="5" t="str">
        <f t="shared" si="33"/>
        <v/>
      </c>
      <c r="U101" s="5" t="str">
        <f t="shared" si="34"/>
        <v/>
      </c>
      <c r="V101" s="62" t="str">
        <f t="shared" si="35"/>
        <v/>
      </c>
      <c r="W101" s="62" t="e">
        <f t="shared" si="53"/>
        <v>#N/A</v>
      </c>
      <c r="X101" s="9" t="e">
        <f t="shared" si="1"/>
        <v>#N/A</v>
      </c>
      <c r="Y101" s="64" t="str">
        <f t="shared" si="36"/>
        <v/>
      </c>
      <c r="Z101" s="174" t="str">
        <f t="shared" si="37"/>
        <v/>
      </c>
      <c r="AA101" s="64" t="str">
        <f>IF(ISNUMBER(Y101),INDEX(Y101:Y106,MATCH(TRUE,INDEX(Y101:Y106&lt;&gt;Y101,),0)),"")</f>
        <v/>
      </c>
      <c r="AB101" s="64" t="str">
        <f t="shared" si="39"/>
        <v/>
      </c>
      <c r="AC101" s="64" t="str">
        <f t="shared" si="40"/>
        <v/>
      </c>
      <c r="AD101" s="64" t="e">
        <f>IF(ISTEXT(AB101),INDEX(AB101:AB106,MATCH(TRUE,INDEX(AB101:AB106&lt;&gt;AB101,),0)),"")</f>
        <v>#N/A</v>
      </c>
      <c r="AE101" s="11" t="str">
        <f t="shared" si="42"/>
        <v/>
      </c>
      <c r="AF101" s="11" t="str">
        <f t="shared" si="2"/>
        <v/>
      </c>
      <c r="AG101" s="11" t="str">
        <f t="shared" si="3"/>
        <v/>
      </c>
      <c r="AH101" s="11" t="str">
        <f t="shared" si="43"/>
        <v/>
      </c>
      <c r="AI101" s="11" t="e">
        <f>IF(AND(ISNUMBER(AI100),ISNUMBER(S101)),(VLOOKUP(AD101,AB101:AC106,2,FALSE)),IF(ISNUMBER(S101),R101,NA()))</f>
        <v>#N/A</v>
      </c>
      <c r="AJ101" s="11" t="e">
        <f t="shared" si="4"/>
        <v>#N/A</v>
      </c>
      <c r="AK101" s="11" t="str">
        <f t="shared" si="5"/>
        <v/>
      </c>
      <c r="AL101" s="11" t="str">
        <f t="shared" si="6"/>
        <v/>
      </c>
      <c r="AP101" s="7"/>
      <c r="AQ101" s="7"/>
      <c r="AS101" s="74">
        <f t="shared" si="7"/>
        <v>10</v>
      </c>
      <c r="AT101" s="74">
        <f t="shared" si="8"/>
        <v>5</v>
      </c>
      <c r="AU101" s="74">
        <f t="shared" si="9"/>
        <v>10</v>
      </c>
      <c r="AV101" s="74">
        <f t="shared" si="0"/>
        <v>5</v>
      </c>
      <c r="AW101" s="102"/>
      <c r="AY101" s="9">
        <f t="shared" si="10"/>
        <v>10</v>
      </c>
      <c r="AZ101" s="11">
        <f t="shared" si="11"/>
        <v>3</v>
      </c>
      <c r="BA101" s="75">
        <f t="shared" si="12"/>
        <v>10</v>
      </c>
      <c r="BB101" s="11">
        <f t="shared" si="13"/>
        <v>3</v>
      </c>
      <c r="BD101" s="11">
        <f t="shared" si="14"/>
        <v>2</v>
      </c>
      <c r="BE101" s="9">
        <f t="shared" si="15"/>
        <v>0</v>
      </c>
      <c r="BF101" s="71">
        <f t="shared" si="16"/>
        <v>0</v>
      </c>
      <c r="BG101" s="11" t="str">
        <f t="shared" si="17"/>
        <v>MAX WSE</v>
      </c>
      <c r="BH101" s="132">
        <f t="shared" si="51"/>
        <v>5</v>
      </c>
      <c r="BJ101" s="71">
        <f t="shared" si="18"/>
        <v>2</v>
      </c>
      <c r="BL101" s="9">
        <f t="shared" si="54"/>
        <v>0</v>
      </c>
      <c r="BM101" s="9"/>
      <c r="BN101" s="9">
        <f t="shared" si="20"/>
        <v>10</v>
      </c>
      <c r="BO101" s="9" t="str">
        <f>IF(BP101="Left",IF(ISNA(VLOOKUP(BN101,XS_AnalyzerSummary!$A$21:$B$25,2,TRUE)),"",VLOOKUP(BN101,XS_AnalyzerSummary!$A$21:$B$25,2,TRUE)),IF(ISNA(VLOOKUP(-BN101,XS_AnalyzerSummary!$A$28:$B$32,2,TRUE)),"",VLOOKUP(-BN101,XS_AnalyzerSummary!$A$28:$B$32,2,TRUE)))</f>
        <v>Right Bank</v>
      </c>
      <c r="BP101" s="9" t="str">
        <f>IF(AU101&lt;XS_AnalyzerSummary!$B$7,"Left",IF(AU101&gt;XS_AnalyzerSummary!$B$7,"Right","Thalweg"))</f>
        <v>Right</v>
      </c>
      <c r="BQ101" s="9">
        <f t="shared" si="21"/>
        <v>0</v>
      </c>
      <c r="BR101" s="9">
        <f t="shared" si="22"/>
        <v>0</v>
      </c>
      <c r="BS101" s="9">
        <f t="shared" si="23"/>
        <v>0</v>
      </c>
      <c r="BT101" s="9">
        <f t="shared" si="24"/>
        <v>0</v>
      </c>
      <c r="BU101" s="9">
        <f t="shared" si="25"/>
        <v>2</v>
      </c>
      <c r="BV101" s="9">
        <f t="shared" si="26"/>
        <v>0</v>
      </c>
      <c r="BX101" s="9">
        <f>IF(AND(ISNUMBER($BN101),$BO101="Left 2nd Stage",SUM($BX$5:BX100)=0),$BN101,0)</f>
        <v>0</v>
      </c>
      <c r="BY101" s="9">
        <f t="shared" si="52"/>
        <v>0</v>
      </c>
      <c r="BZ101" s="9">
        <f>IF(AND(ISNUMBER($BN101),$BO101="Right 2nd Stage",SUM($BZ$5:$BZ100)=0),$BN100,0)</f>
        <v>0</v>
      </c>
      <c r="CA101" s="9">
        <f t="shared" si="47"/>
        <v>0</v>
      </c>
    </row>
    <row r="102" spans="1:79">
      <c r="A102" s="9">
        <v>98</v>
      </c>
      <c r="B102" s="166" t="e">
        <f>IF(ISNUMBER(XS_Analyzer!B102),XS_Analyzer!B102,NA())</f>
        <v>#N/A</v>
      </c>
      <c r="C102" s="88" t="e">
        <f>IF(ISNUMBER(XS_Analyzer!C102),XS_Analyzer!C102,NA())</f>
        <v>#N/A</v>
      </c>
      <c r="D102" s="88" t="str">
        <f>IF(ISNUMBER(XS_Analyzer!E102),XS_Analyzer!E102,"")</f>
        <v/>
      </c>
      <c r="E102" s="9" t="str">
        <f t="shared" si="28"/>
        <v/>
      </c>
      <c r="F102" s="88" t="e">
        <f>IF(AND(ISTEXT(XS_Analyzer!D102),XS_Analyzer!D102&lt;&gt;""),VLOOKUP(XS_Analyzer!D102,$K$12:$L$21,2,FALSE),"")</f>
        <v>#N/A</v>
      </c>
      <c r="G102" s="132" t="str">
        <f t="shared" si="29"/>
        <v/>
      </c>
      <c r="H102" s="132"/>
      <c r="Q102" s="5" t="str">
        <f t="shared" si="30"/>
        <v>N</v>
      </c>
      <c r="R102" s="5" t="str">
        <f t="shared" si="31"/>
        <v/>
      </c>
      <c r="S102" s="5" t="str">
        <f t="shared" si="32"/>
        <v/>
      </c>
      <c r="T102" s="5" t="str">
        <f t="shared" si="33"/>
        <v/>
      </c>
      <c r="U102" s="5" t="str">
        <f t="shared" si="34"/>
        <v/>
      </c>
      <c r="V102" s="62" t="str">
        <f t="shared" si="35"/>
        <v/>
      </c>
      <c r="W102" s="62" t="e">
        <f t="shared" si="53"/>
        <v>#N/A</v>
      </c>
      <c r="X102" s="9" t="e">
        <f t="shared" si="1"/>
        <v>#N/A</v>
      </c>
      <c r="Y102" s="64" t="str">
        <f t="shared" si="36"/>
        <v/>
      </c>
      <c r="Z102" s="174" t="str">
        <f t="shared" si="37"/>
        <v/>
      </c>
      <c r="AA102" s="64" t="str">
        <f>IF(ISNUMBER(Y102),INDEX(Y102:Y106,MATCH(TRUE,INDEX(Y102:Y106&lt;&gt;Y102,),0)),"")</f>
        <v/>
      </c>
      <c r="AB102" s="64" t="str">
        <f t="shared" si="39"/>
        <v/>
      </c>
      <c r="AC102" s="64" t="str">
        <f t="shared" si="40"/>
        <v/>
      </c>
      <c r="AD102" s="64" t="e">
        <f>IF(ISTEXT(AB102),INDEX(AB102:AB106,MATCH(TRUE,INDEX(AB102:AB106&lt;&gt;AB102,),0)),"")</f>
        <v>#N/A</v>
      </c>
      <c r="AE102" s="11" t="str">
        <f t="shared" si="42"/>
        <v/>
      </c>
      <c r="AF102" s="11" t="str">
        <f t="shared" si="2"/>
        <v/>
      </c>
      <c r="AG102" s="11" t="str">
        <f t="shared" si="3"/>
        <v/>
      </c>
      <c r="AH102" s="11" t="str">
        <f t="shared" si="43"/>
        <v/>
      </c>
      <c r="AI102" s="11" t="e">
        <f>IF(AND(ISNUMBER(AI101),ISNUMBER(S102)),(VLOOKUP(AD102,AB102:AC106,2,FALSE)),IF(ISNUMBER(S102),R102,NA()))</f>
        <v>#N/A</v>
      </c>
      <c r="AJ102" s="11" t="e">
        <f t="shared" si="4"/>
        <v>#N/A</v>
      </c>
      <c r="AK102" s="11" t="str">
        <f t="shared" si="5"/>
        <v/>
      </c>
      <c r="AL102" s="11" t="str">
        <f t="shared" si="6"/>
        <v/>
      </c>
      <c r="AS102" s="74">
        <f t="shared" si="7"/>
        <v>10</v>
      </c>
      <c r="AT102" s="74">
        <f t="shared" si="8"/>
        <v>5</v>
      </c>
      <c r="AU102" s="74">
        <f t="shared" si="9"/>
        <v>10</v>
      </c>
      <c r="AV102" s="74">
        <f t="shared" si="0"/>
        <v>5</v>
      </c>
      <c r="AW102" s="102"/>
      <c r="AY102" s="9">
        <f t="shared" si="10"/>
        <v>10</v>
      </c>
      <c r="AZ102" s="11">
        <f t="shared" si="11"/>
        <v>3</v>
      </c>
      <c r="BA102" s="75">
        <f t="shared" si="12"/>
        <v>10</v>
      </c>
      <c r="BB102" s="11">
        <f t="shared" si="13"/>
        <v>3</v>
      </c>
      <c r="BD102" s="11">
        <f t="shared" si="14"/>
        <v>2</v>
      </c>
      <c r="BE102" s="9">
        <f t="shared" si="15"/>
        <v>0</v>
      </c>
      <c r="BF102" s="71">
        <f t="shared" si="16"/>
        <v>0</v>
      </c>
      <c r="BG102" s="11" t="str">
        <f t="shared" si="17"/>
        <v>MAX WSE</v>
      </c>
      <c r="BH102" s="132">
        <f t="shared" si="51"/>
        <v>5</v>
      </c>
      <c r="BJ102" s="71">
        <f t="shared" si="18"/>
        <v>2</v>
      </c>
      <c r="BL102" s="9">
        <f t="shared" si="54"/>
        <v>0</v>
      </c>
      <c r="BM102" s="9"/>
      <c r="BN102" s="9">
        <f t="shared" si="20"/>
        <v>10</v>
      </c>
      <c r="BO102" s="9" t="str">
        <f>IF(BP102="Left",IF(ISNA(VLOOKUP(BN102,XS_AnalyzerSummary!$A$21:$B$25,2,TRUE)),"",VLOOKUP(BN102,XS_AnalyzerSummary!$A$21:$B$25,2,TRUE)),IF(ISNA(VLOOKUP(-BN102,XS_AnalyzerSummary!$A$28:$B$32,2,TRUE)),"",VLOOKUP(-BN102,XS_AnalyzerSummary!$A$28:$B$32,2,TRUE)))</f>
        <v>Right Bank</v>
      </c>
      <c r="BP102" s="9" t="str">
        <f>IF(AU102&lt;XS_AnalyzerSummary!$B$7,"Left",IF(AU102&gt;XS_AnalyzerSummary!$B$7,"Right","Thalweg"))</f>
        <v>Right</v>
      </c>
      <c r="BQ102" s="9">
        <f t="shared" si="21"/>
        <v>0</v>
      </c>
      <c r="BR102" s="9">
        <f t="shared" si="22"/>
        <v>0</v>
      </c>
      <c r="BS102" s="9">
        <f t="shared" si="23"/>
        <v>0</v>
      </c>
      <c r="BT102" s="9">
        <f t="shared" si="24"/>
        <v>0</v>
      </c>
      <c r="BU102" s="9">
        <f t="shared" si="25"/>
        <v>2</v>
      </c>
      <c r="BV102" s="9">
        <f t="shared" si="26"/>
        <v>0</v>
      </c>
      <c r="BX102" s="9">
        <f>IF(AND(ISNUMBER($BN102),$BO102="Left 2nd Stage",SUM($BX$5:BX101)=0),$BN102,0)</f>
        <v>0</v>
      </c>
      <c r="BY102" s="9">
        <f t="shared" si="52"/>
        <v>0</v>
      </c>
      <c r="BZ102" s="9">
        <f>IF(AND(ISNUMBER($BN102),$BO102="Right 2nd Stage",SUM($BZ$5:$BZ101)=0),$BN101,0)</f>
        <v>0</v>
      </c>
      <c r="CA102" s="9">
        <f t="shared" si="47"/>
        <v>0</v>
      </c>
    </row>
    <row r="103" spans="1:79">
      <c r="A103" s="9">
        <v>99</v>
      </c>
      <c r="B103" s="166" t="e">
        <f>IF(ISNUMBER(XS_Analyzer!B103),XS_Analyzer!B103,NA())</f>
        <v>#N/A</v>
      </c>
      <c r="C103" s="88" t="e">
        <f>IF(ISNUMBER(XS_Analyzer!C103),XS_Analyzer!C103,NA())</f>
        <v>#N/A</v>
      </c>
      <c r="D103" s="88" t="str">
        <f>IF(ISNUMBER(XS_Analyzer!E103),XS_Analyzer!E103,"")</f>
        <v/>
      </c>
      <c r="E103" s="9" t="str">
        <f t="shared" si="28"/>
        <v/>
      </c>
      <c r="F103" s="88" t="e">
        <f>IF(AND(ISTEXT(XS_Analyzer!D103),XS_Analyzer!D103&lt;&gt;""),VLOOKUP(XS_Analyzer!D103,$K$12:$L$21,2,FALSE),"")</f>
        <v>#N/A</v>
      </c>
      <c r="G103" s="132" t="str">
        <f t="shared" si="29"/>
        <v/>
      </c>
      <c r="H103" s="132"/>
      <c r="Q103" s="5" t="str">
        <f t="shared" si="30"/>
        <v>N</v>
      </c>
      <c r="R103" s="5" t="str">
        <f t="shared" si="31"/>
        <v/>
      </c>
      <c r="S103" s="5" t="str">
        <f t="shared" si="32"/>
        <v/>
      </c>
      <c r="T103" s="5" t="str">
        <f t="shared" si="33"/>
        <v/>
      </c>
      <c r="U103" s="5" t="str">
        <f t="shared" si="34"/>
        <v/>
      </c>
      <c r="V103" s="62" t="str">
        <f t="shared" si="35"/>
        <v/>
      </c>
      <c r="W103" s="62" t="e">
        <f t="shared" si="53"/>
        <v>#N/A</v>
      </c>
      <c r="X103" s="9" t="e">
        <f t="shared" si="1"/>
        <v>#N/A</v>
      </c>
      <c r="Y103" s="64" t="str">
        <f t="shared" si="36"/>
        <v/>
      </c>
      <c r="Z103" s="174" t="str">
        <f t="shared" si="37"/>
        <v/>
      </c>
      <c r="AA103" s="64" t="str">
        <f>IF(ISNUMBER(Y103),INDEX(Y103:Y106,MATCH(TRUE,INDEX(Y103:Y106&lt;&gt;Y103,),0)),"")</f>
        <v/>
      </c>
      <c r="AB103" s="64" t="str">
        <f t="shared" si="39"/>
        <v/>
      </c>
      <c r="AC103" s="64" t="str">
        <f t="shared" si="40"/>
        <v/>
      </c>
      <c r="AD103" s="64" t="e">
        <f>IF(ISTEXT(AB103),INDEX(AB103:AB106,MATCH(TRUE,INDEX(AB103:AB106&lt;&gt;AB103,),0)),"")</f>
        <v>#N/A</v>
      </c>
      <c r="AE103" s="11" t="str">
        <f t="shared" si="42"/>
        <v/>
      </c>
      <c r="AF103" s="11" t="str">
        <f t="shared" si="2"/>
        <v/>
      </c>
      <c r="AG103" s="11" t="str">
        <f t="shared" si="3"/>
        <v/>
      </c>
      <c r="AH103" s="11" t="str">
        <f t="shared" si="43"/>
        <v/>
      </c>
      <c r="AI103" s="11" t="e">
        <f>IF(AND(ISNUMBER(AI102),ISNUMBER(S103)),(VLOOKUP(AD103,AB103:AC106,2,FALSE)),IF(ISNUMBER(S103),R103,NA()))</f>
        <v>#N/A</v>
      </c>
      <c r="AJ103" s="11" t="e">
        <f t="shared" si="4"/>
        <v>#N/A</v>
      </c>
      <c r="AK103" s="11" t="str">
        <f t="shared" si="5"/>
        <v/>
      </c>
      <c r="AL103" s="11" t="str">
        <f t="shared" si="6"/>
        <v/>
      </c>
      <c r="AS103" s="74">
        <f t="shared" si="7"/>
        <v>10</v>
      </c>
      <c r="AT103" s="74">
        <f t="shared" si="8"/>
        <v>5</v>
      </c>
      <c r="AU103" s="74">
        <f t="shared" si="9"/>
        <v>10</v>
      </c>
      <c r="AV103" s="74">
        <f t="shared" si="0"/>
        <v>5</v>
      </c>
      <c r="AW103" s="102"/>
      <c r="AY103" s="9">
        <f t="shared" si="10"/>
        <v>10</v>
      </c>
      <c r="AZ103" s="11">
        <f t="shared" si="11"/>
        <v>3</v>
      </c>
      <c r="BA103" s="75">
        <f t="shared" si="12"/>
        <v>10</v>
      </c>
      <c r="BB103" s="11">
        <f t="shared" si="13"/>
        <v>3</v>
      </c>
      <c r="BD103" s="11">
        <f t="shared" si="14"/>
        <v>2</v>
      </c>
      <c r="BE103" s="9">
        <f t="shared" si="15"/>
        <v>0</v>
      </c>
      <c r="BF103" s="71">
        <f t="shared" si="16"/>
        <v>0</v>
      </c>
      <c r="BG103" s="11" t="str">
        <f t="shared" si="17"/>
        <v>MAX WSE</v>
      </c>
      <c r="BH103" s="132">
        <f t="shared" si="51"/>
        <v>5</v>
      </c>
      <c r="BJ103" s="71">
        <f t="shared" si="18"/>
        <v>2</v>
      </c>
      <c r="BL103" s="9">
        <f t="shared" si="54"/>
        <v>0</v>
      </c>
      <c r="BM103" s="9"/>
      <c r="BN103" s="9">
        <f t="shared" si="20"/>
        <v>10</v>
      </c>
      <c r="BO103" s="9" t="str">
        <f>IF(BP103="Left",IF(ISNA(VLOOKUP(BN103,XS_AnalyzerSummary!$A$21:$B$25,2,TRUE)),"",VLOOKUP(BN103,XS_AnalyzerSummary!$A$21:$B$25,2,TRUE)),IF(ISNA(VLOOKUP(-BN103,XS_AnalyzerSummary!$A$28:$B$32,2,TRUE)),"",VLOOKUP(-BN103,XS_AnalyzerSummary!$A$28:$B$32,2,TRUE)))</f>
        <v>Right Bank</v>
      </c>
      <c r="BP103" s="9" t="str">
        <f>IF(AU103&lt;XS_AnalyzerSummary!$B$7,"Left",IF(AU103&gt;XS_AnalyzerSummary!$B$7,"Right","Thalweg"))</f>
        <v>Right</v>
      </c>
      <c r="BQ103" s="9">
        <f t="shared" si="21"/>
        <v>0</v>
      </c>
      <c r="BR103" s="9">
        <f t="shared" si="22"/>
        <v>0</v>
      </c>
      <c r="BS103" s="9">
        <f t="shared" si="23"/>
        <v>0</v>
      </c>
      <c r="BT103" s="9">
        <f t="shared" si="24"/>
        <v>0</v>
      </c>
      <c r="BU103" s="9">
        <f t="shared" si="25"/>
        <v>2</v>
      </c>
      <c r="BV103" s="9">
        <f t="shared" si="26"/>
        <v>0</v>
      </c>
      <c r="BX103" s="9">
        <f>IF(AND(ISNUMBER($BN103),$BO103="Left 2nd Stage",SUM($BX$5:BX102)=0),$BN103,0)</f>
        <v>0</v>
      </c>
      <c r="BY103" s="9">
        <f t="shared" si="52"/>
        <v>0</v>
      </c>
      <c r="BZ103" s="9">
        <f>IF(AND(ISNUMBER($BN103),$BO103="Right 2nd Stage",SUM($BZ$5:$BZ102)=0),$BN102,0)</f>
        <v>0</v>
      </c>
      <c r="CA103" s="9">
        <f t="shared" si="47"/>
        <v>0</v>
      </c>
    </row>
    <row r="104" spans="1:79" ht="15">
      <c r="A104" s="9">
        <v>100</v>
      </c>
      <c r="B104" s="166" t="e">
        <f>IF(ISNUMBER(XS_Analyzer!B104),XS_Analyzer!B104,NA())</f>
        <v>#N/A</v>
      </c>
      <c r="C104" s="88" t="e">
        <f>IF(ISNUMBER(XS_Analyzer!C104),XS_Analyzer!C104,NA())</f>
        <v>#N/A</v>
      </c>
      <c r="D104" s="88" t="str">
        <f>IF(ISNUMBER(XS_Analyzer!E104),XS_Analyzer!E104,"")</f>
        <v/>
      </c>
      <c r="E104" s="9" t="str">
        <f t="shared" si="28"/>
        <v/>
      </c>
      <c r="F104" s="88" t="e">
        <f>IF(AND(ISTEXT(XS_Analyzer!D104),XS_Analyzer!D104&lt;&gt;""),VLOOKUP(XS_Analyzer!D104,$K$12:$L$21,2,FALSE),"")</f>
        <v>#N/A</v>
      </c>
      <c r="G104" s="132" t="str">
        <f t="shared" si="29"/>
        <v/>
      </c>
      <c r="H104" s="132"/>
      <c r="O104" s="7"/>
      <c r="P104" s="7"/>
      <c r="Q104" s="5" t="str">
        <f t="shared" si="30"/>
        <v>N</v>
      </c>
      <c r="R104" s="5" t="str">
        <f t="shared" si="31"/>
        <v/>
      </c>
      <c r="S104" s="5" t="str">
        <f t="shared" si="32"/>
        <v/>
      </c>
      <c r="T104" s="5" t="str">
        <f t="shared" si="33"/>
        <v/>
      </c>
      <c r="U104" s="5" t="str">
        <f t="shared" si="34"/>
        <v/>
      </c>
      <c r="V104" s="62" t="str">
        <f t="shared" si="35"/>
        <v/>
      </c>
      <c r="W104" s="62" t="e">
        <f t="shared" si="53"/>
        <v>#N/A</v>
      </c>
      <c r="X104" s="9" t="e">
        <f t="shared" si="1"/>
        <v>#N/A</v>
      </c>
      <c r="Y104" s="64" t="str">
        <f t="shared" si="36"/>
        <v/>
      </c>
      <c r="Z104" s="174" t="str">
        <f t="shared" si="37"/>
        <v/>
      </c>
      <c r="AA104" s="64" t="str">
        <f>IF(ISNUMBER(Y104),INDEX(Y104:Y106,MATCH(TRUE,INDEX(Y104:Y106&lt;&gt;Y104,),0)),"")</f>
        <v/>
      </c>
      <c r="AB104" s="64" t="str">
        <f t="shared" si="39"/>
        <v/>
      </c>
      <c r="AC104" s="64" t="str">
        <f t="shared" si="40"/>
        <v/>
      </c>
      <c r="AD104" s="64" t="e">
        <f>IF(ISTEXT(AB104),INDEX(AB104:AB106,MATCH(TRUE,INDEX(AB104:AB106&lt;&gt;AB104,),0)),"")</f>
        <v>#N/A</v>
      </c>
      <c r="AE104" s="11" t="str">
        <f t="shared" si="42"/>
        <v/>
      </c>
      <c r="AF104" s="11" t="str">
        <f t="shared" si="2"/>
        <v/>
      </c>
      <c r="AG104" s="11" t="str">
        <f t="shared" si="3"/>
        <v/>
      </c>
      <c r="AH104" s="11" t="str">
        <f t="shared" si="43"/>
        <v/>
      </c>
      <c r="AI104" s="11" t="e">
        <f>IF(AND(ISNUMBER(AI103),ISNUMBER(S104)),(VLOOKUP(AD104,AB104:AC106,2,FALSE)),IF(ISNUMBER(S104),R104,NA()))</f>
        <v>#N/A</v>
      </c>
      <c r="AJ104" s="11" t="e">
        <f t="shared" si="4"/>
        <v>#N/A</v>
      </c>
      <c r="AK104" s="11" t="str">
        <f t="shared" si="5"/>
        <v/>
      </c>
      <c r="AL104" s="11" t="str">
        <f t="shared" si="6"/>
        <v/>
      </c>
      <c r="AM104" s="7"/>
      <c r="AN104" s="7"/>
      <c r="AO104" s="7"/>
      <c r="AS104" s="74">
        <f t="shared" si="7"/>
        <v>10</v>
      </c>
      <c r="AT104" s="74">
        <f t="shared" si="8"/>
        <v>5</v>
      </c>
      <c r="AU104" s="74">
        <f t="shared" si="9"/>
        <v>10</v>
      </c>
      <c r="AV104" s="74">
        <f t="shared" si="0"/>
        <v>5</v>
      </c>
      <c r="AW104" s="102"/>
      <c r="AY104" s="9">
        <f>IF(IF(ISERROR(B105),$O$11,B105)=0,AY103,IF(ISERROR(B105),$O$11,B105))</f>
        <v>10</v>
      </c>
      <c r="AZ104" s="11">
        <f t="shared" si="11"/>
        <v>3</v>
      </c>
      <c r="BA104" s="75">
        <f t="shared" si="12"/>
        <v>10</v>
      </c>
      <c r="BB104" s="11">
        <f t="shared" si="13"/>
        <v>3</v>
      </c>
      <c r="BD104" s="11">
        <f t="shared" si="14"/>
        <v>2</v>
      </c>
      <c r="BE104" s="9">
        <f t="shared" si="15"/>
        <v>0</v>
      </c>
      <c r="BF104" s="71">
        <f t="shared" si="16"/>
        <v>0</v>
      </c>
      <c r="BG104" s="11" t="str">
        <f t="shared" si="17"/>
        <v>MAX WSE</v>
      </c>
      <c r="BH104" s="132">
        <f t="shared" si="51"/>
        <v>5</v>
      </c>
      <c r="BJ104" s="71">
        <f t="shared" si="18"/>
        <v>2</v>
      </c>
      <c r="BL104" s="9">
        <f t="shared" si="54"/>
        <v>0</v>
      </c>
      <c r="BM104" s="9"/>
      <c r="BN104" s="9">
        <f t="shared" si="20"/>
        <v>10</v>
      </c>
      <c r="BO104" s="9" t="str">
        <f>IF(BP104="Left",IF(ISNA(VLOOKUP(BN104,XS_AnalyzerSummary!$A$21:$B$25,2,TRUE)),"",VLOOKUP(BN104,XS_AnalyzerSummary!$A$21:$B$25,2,TRUE)),IF(ISNA(VLOOKUP(-BN104,XS_AnalyzerSummary!$A$28:$B$32,2,TRUE)),"",VLOOKUP(-BN104,XS_AnalyzerSummary!$A$28:$B$32,2,TRUE)))</f>
        <v>Right Bank</v>
      </c>
      <c r="BP104" s="9" t="str">
        <f>IF(AU104&lt;XS_AnalyzerSummary!$B$7,"Left",IF(AU104&gt;XS_AnalyzerSummary!$B$7,"Right","Thalweg"))</f>
        <v>Right</v>
      </c>
      <c r="BQ104" s="9">
        <f t="shared" si="21"/>
        <v>0</v>
      </c>
      <c r="BR104" s="9">
        <f t="shared" si="22"/>
        <v>0</v>
      </c>
      <c r="BS104" s="9">
        <f t="shared" si="23"/>
        <v>0</v>
      </c>
      <c r="BT104" s="9">
        <f t="shared" si="24"/>
        <v>0</v>
      </c>
      <c r="BU104" s="9">
        <f t="shared" si="25"/>
        <v>2</v>
      </c>
      <c r="BV104" s="9">
        <f t="shared" si="26"/>
        <v>0</v>
      </c>
      <c r="BX104" s="11">
        <f>IF(SUM(BX4:BX103)=0,SUM(BY4:BY103),SUM(BX4:BX103))</f>
        <v>1</v>
      </c>
      <c r="BY104" s="9">
        <f>IF(AND(ISNUMBER(BN104),BO104="Left Bankfull",SUM($BY$4:BY103)=0),BN104,0)</f>
        <v>0</v>
      </c>
      <c r="BZ104" s="11" t="e">
        <f>IF(F104="R-BKF",B104,0)</f>
        <v>#N/A</v>
      </c>
    </row>
    <row r="105" spans="1:79" ht="15">
      <c r="A105" s="7"/>
      <c r="B105" s="7"/>
      <c r="C105" s="7"/>
      <c r="D105" s="7"/>
      <c r="E105" s="7"/>
      <c r="F105" s="7"/>
      <c r="G105" s="7"/>
      <c r="H105" s="132"/>
      <c r="O105" s="7"/>
      <c r="P105" s="7"/>
      <c r="R105" s="5" t="str">
        <f>IF(ISNUMBER(B35),B35,"")</f>
        <v/>
      </c>
      <c r="U105" s="5" t="str">
        <f t="shared" si="34"/>
        <v/>
      </c>
      <c r="W105" s="62"/>
      <c r="X105" s="9"/>
      <c r="Y105" s="9"/>
      <c r="Z105" s="174" t="str">
        <f t="shared" si="37"/>
        <v/>
      </c>
      <c r="AA105" s="64" t="str">
        <f>IF(ISNUMBER(Y105),INDEX(Y105:Y106,MATCH(TRUE,INDEX(Y105:Y106&lt;&gt;Y105,),0)),"")</f>
        <v/>
      </c>
      <c r="AB105" s="64" t="str">
        <f>IF(AND(Q105="Y",Q106&lt;&gt;"N"),IF(F35="",AB104,F35),IF(AND(Q105="Y",Q106="N"),F35,""))</f>
        <v/>
      </c>
      <c r="AC105" s="64" t="str">
        <f t="shared" si="40"/>
        <v/>
      </c>
      <c r="AD105" s="64"/>
      <c r="AF105" s="9"/>
      <c r="AG105" s="11" t="str">
        <f>IF(ISNUMBER(AF105),VLOOKUP(AE106,S105:T106,2,FALSE),"")</f>
        <v/>
      </c>
      <c r="AK105" s="11" t="str">
        <f t="shared" si="5"/>
        <v/>
      </c>
      <c r="AL105" s="11" t="str">
        <f t="shared" si="6"/>
        <v/>
      </c>
      <c r="AM105" s="7"/>
      <c r="AN105" s="7"/>
      <c r="AO105" s="7"/>
      <c r="AS105" s="189">
        <f>MAX(AS4:AS104)</f>
        <v>10</v>
      </c>
      <c r="AY105" s="5"/>
      <c r="AZ105" s="5"/>
      <c r="BA105" s="159"/>
      <c r="BD105" s="62"/>
      <c r="BE105" s="62"/>
      <c r="BF105" s="31"/>
      <c r="BG105" s="31"/>
      <c r="BH105" s="31"/>
      <c r="BI105" s="31"/>
      <c r="BJ105" s="31"/>
      <c r="BK105" s="31"/>
      <c r="BL105" s="62"/>
    </row>
    <row r="106" spans="1:79" ht="15">
      <c r="A106" s="7"/>
      <c r="B106" s="7"/>
      <c r="C106" s="7"/>
      <c r="D106" s="7"/>
      <c r="E106" s="7"/>
      <c r="F106" s="7"/>
      <c r="G106" s="7"/>
      <c r="H106" s="132"/>
      <c r="O106" s="99"/>
      <c r="P106" s="7"/>
      <c r="AM106" s="7"/>
      <c r="AN106" s="7"/>
      <c r="AO106" s="7"/>
      <c r="AP106" s="7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7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</row>
  </sheetData>
  <mergeCells count="8">
    <mergeCell ref="N15:O15"/>
    <mergeCell ref="AQ1:BB1"/>
    <mergeCell ref="BD1:BJ1"/>
    <mergeCell ref="BL1:BV1"/>
    <mergeCell ref="N2:O2"/>
    <mergeCell ref="AG1:AH1"/>
    <mergeCell ref="AK2:AL2"/>
    <mergeCell ref="N8:O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B1:AG211"/>
  <sheetViews>
    <sheetView topLeftCell="L1" workbookViewId="0">
      <selection activeCell="Z11" sqref="Z11"/>
    </sheetView>
  </sheetViews>
  <sheetFormatPr defaultRowHeight="12.75"/>
  <cols>
    <col min="2" max="2" width="9.5703125" bestFit="1" customWidth="1"/>
    <col min="3" max="3" width="11.140625" bestFit="1" customWidth="1"/>
    <col min="6" max="6" width="12.5703125" bestFit="1" customWidth="1"/>
    <col min="7" max="7" width="14.28515625" bestFit="1" customWidth="1"/>
    <col min="8" max="8" width="10" customWidth="1"/>
    <col min="9" max="9" width="12.28515625" customWidth="1"/>
    <col min="10" max="10" width="10.28515625" bestFit="1" customWidth="1"/>
    <col min="11" max="11" width="16.28515625" bestFit="1" customWidth="1"/>
    <col min="12" max="12" width="18" bestFit="1" customWidth="1"/>
    <col min="13" max="13" width="11.7109375" bestFit="1" customWidth="1"/>
    <col min="14" max="14" width="13.42578125" bestFit="1" customWidth="1"/>
    <col min="16" max="16" width="16.42578125" bestFit="1" customWidth="1"/>
    <col min="17" max="17" width="19.140625" bestFit="1" customWidth="1"/>
    <col min="18" max="18" width="15" bestFit="1" customWidth="1"/>
    <col min="23" max="23" width="10.28515625" bestFit="1" customWidth="1"/>
    <col min="24" max="24" width="10.42578125" bestFit="1" customWidth="1"/>
    <col min="25" max="25" width="15.140625" bestFit="1" customWidth="1"/>
    <col min="26" max="26" width="12" bestFit="1" customWidth="1"/>
    <col min="28" max="28" width="13.42578125" bestFit="1" customWidth="1"/>
    <col min="29" max="29" width="11.85546875" bestFit="1" customWidth="1"/>
    <col min="30" max="30" width="11.7109375" bestFit="1" customWidth="1"/>
    <col min="31" max="31" width="10.28515625" bestFit="1" customWidth="1"/>
    <col min="32" max="32" width="10.7109375" bestFit="1" customWidth="1"/>
    <col min="33" max="33" width="9" bestFit="1" customWidth="1"/>
  </cols>
  <sheetData>
    <row r="1" spans="2:33" ht="13.5" thickBot="1">
      <c r="E1" s="429" t="s">
        <v>34</v>
      </c>
      <c r="F1" s="430"/>
      <c r="G1" s="431"/>
      <c r="H1" s="429" t="s">
        <v>326</v>
      </c>
      <c r="I1" s="431"/>
      <c r="J1" s="429" t="s">
        <v>506</v>
      </c>
      <c r="K1" s="430"/>
      <c r="L1" s="431"/>
      <c r="M1" s="429" t="s">
        <v>429</v>
      </c>
      <c r="N1" s="431"/>
    </row>
    <row r="2" spans="2:33" ht="13.5" thickBot="1">
      <c r="B2" s="55"/>
      <c r="C2" s="55"/>
      <c r="D2" s="55"/>
      <c r="E2" s="432" t="s">
        <v>428</v>
      </c>
      <c r="F2" s="432"/>
      <c r="G2" s="432"/>
      <c r="H2" s="432" t="s">
        <v>536</v>
      </c>
      <c r="I2" s="432"/>
      <c r="J2" s="432" t="s">
        <v>223</v>
      </c>
      <c r="K2" s="432"/>
      <c r="L2" s="432"/>
      <c r="M2" s="432" t="s">
        <v>465</v>
      </c>
      <c r="N2" s="432"/>
      <c r="P2" s="429" t="s">
        <v>104</v>
      </c>
      <c r="Q2" s="430"/>
      <c r="R2" s="431"/>
      <c r="T2" s="429" t="s">
        <v>467</v>
      </c>
      <c r="U2" s="430"/>
      <c r="V2" s="430"/>
      <c r="W2" s="430"/>
      <c r="X2" s="429" t="s">
        <v>562</v>
      </c>
      <c r="Y2" s="430"/>
      <c r="Z2" s="431"/>
      <c r="AB2" s="429" t="s">
        <v>470</v>
      </c>
      <c r="AC2" s="430"/>
      <c r="AD2" s="430"/>
      <c r="AE2" s="430"/>
      <c r="AF2" s="430"/>
      <c r="AG2" s="431"/>
    </row>
    <row r="3" spans="2:33" ht="13.5" thickBot="1">
      <c r="B3" s="429" t="s">
        <v>136</v>
      </c>
      <c r="C3" s="430"/>
      <c r="D3" s="431"/>
      <c r="E3" s="265" t="s">
        <v>305</v>
      </c>
      <c r="F3" s="34" t="s">
        <v>183</v>
      </c>
      <c r="G3" s="34" t="s">
        <v>134</v>
      </c>
      <c r="H3" s="48" t="s">
        <v>426</v>
      </c>
      <c r="I3" s="48" t="s">
        <v>322</v>
      </c>
      <c r="J3" s="48" t="s">
        <v>135</v>
      </c>
      <c r="K3" s="48" t="s">
        <v>323</v>
      </c>
      <c r="L3" s="48" t="s">
        <v>535</v>
      </c>
      <c r="M3" s="48" t="s">
        <v>363</v>
      </c>
      <c r="N3" s="48" t="s">
        <v>427</v>
      </c>
      <c r="P3" s="61" t="s">
        <v>537</v>
      </c>
      <c r="Q3" s="61" t="s">
        <v>505</v>
      </c>
      <c r="R3" s="61" t="s">
        <v>364</v>
      </c>
      <c r="T3" s="432" t="s">
        <v>466</v>
      </c>
      <c r="U3" s="432"/>
      <c r="V3" s="432" t="s">
        <v>73</v>
      </c>
      <c r="W3" s="432"/>
      <c r="X3" s="432" t="s">
        <v>184</v>
      </c>
      <c r="Y3" s="432"/>
      <c r="Z3" s="432"/>
      <c r="AB3" s="432" t="s">
        <v>430</v>
      </c>
      <c r="AC3" s="432"/>
      <c r="AD3" s="432" t="s">
        <v>416</v>
      </c>
      <c r="AE3" s="432"/>
      <c r="AF3" s="432" t="s">
        <v>309</v>
      </c>
      <c r="AG3" s="432"/>
    </row>
    <row r="4" spans="2:33">
      <c r="B4" s="61" t="s">
        <v>464</v>
      </c>
      <c r="C4" s="61" t="s">
        <v>72</v>
      </c>
      <c r="D4" s="264" t="s">
        <v>563</v>
      </c>
      <c r="E4" s="2">
        <f>IF(F4&lt;&gt;"",IF(ISERROR(XS_Analyzer_Calculations!AH4),"",XS_Analyzer_Calculations!AH4),"")</f>
        <v>0.1</v>
      </c>
      <c r="F4" s="44">
        <f>IF(ISERROR(XS_Analyzer_Calculations!AF4),"",XS_Analyzer_Calculations!AF4)</f>
        <v>5.5</v>
      </c>
      <c r="G4" s="44">
        <f>IF(F4&lt;&gt;"",IF(ISERROR(XS_Analyzer_Calculations!W4),"",XS_Analyzer_Calculations!W4),"")</f>
        <v>3.4</v>
      </c>
      <c r="H4" s="44">
        <f>IF(ISERROR(XS_Analyzer_Calculations!AE4),"",XS_Analyzer_Calculations!AE4)</f>
        <v>1</v>
      </c>
      <c r="I4" s="44">
        <f>IF(ISERROR(XS_Analyzer_Calculations!W4),"",XS_Analyzer_Calculations!W4)</f>
        <v>3.4</v>
      </c>
      <c r="J4" s="44" t="str">
        <f>IF(ISERROR(XS_Analyzer_Calculations!AL4:AL104),"",XS_Analyzer_Calculations!AL4:AL104)</f>
        <v>L-BK</v>
      </c>
      <c r="K4" s="58">
        <f>IF(ISERROR(XS_Analyzer_Calculations!AJ4:AJ104),"",XS_Analyzer_Calculations!AJ4:AJ104)</f>
        <v>3</v>
      </c>
      <c r="L4" s="58">
        <f>IF(K4&lt;&gt;"",IF(ISERROR(XS_Analyzer_Calculations!X4:X104),"",XS_Analyzer_Calculations!X4:X104),"")</f>
        <v>3.8</v>
      </c>
      <c r="M4" s="58">
        <f>IF(ISERROR(XS_Analyzer_Calculations!AI4:AI104),"",XS_Analyzer_Calculations!AI4:AI104)</f>
        <v>1</v>
      </c>
      <c r="N4" s="58">
        <f>IF(ISERROR(XS_Analyzer_Calculations!X4:X104),"",XS_Analyzer_Calculations!X4:X104)</f>
        <v>3.8</v>
      </c>
      <c r="P4" s="44" t="str">
        <f>IF(ISERROR(XS_Analyzer!AB3),"",XS_Analyzer!AB3)</f>
        <v/>
      </c>
      <c r="Q4" s="44" t="str">
        <f>IF(ISERROR(XS_Analyzer!AC3),"",XS_Analyzer!AC3)</f>
        <v/>
      </c>
      <c r="R4" s="44" t="str">
        <f>IF(ISERROR(XS_Analyzer!AD3),"",XS_Analyzer!AD3)</f>
        <v>Left 3rd Stage</v>
      </c>
      <c r="T4" s="34" t="s">
        <v>137</v>
      </c>
      <c r="U4" s="34" t="s">
        <v>306</v>
      </c>
      <c r="V4" s="34" t="s">
        <v>324</v>
      </c>
      <c r="W4" s="34" t="s">
        <v>365</v>
      </c>
      <c r="X4" s="34" t="s">
        <v>325</v>
      </c>
      <c r="Y4" s="34" t="s">
        <v>561</v>
      </c>
      <c r="Z4" s="34" t="s">
        <v>307</v>
      </c>
      <c r="AB4" s="34" t="s">
        <v>264</v>
      </c>
      <c r="AC4" s="34" t="s">
        <v>308</v>
      </c>
      <c r="AD4" s="34" t="s">
        <v>507</v>
      </c>
      <c r="AE4" s="34" t="s">
        <v>469</v>
      </c>
      <c r="AF4" s="34" t="s">
        <v>393</v>
      </c>
      <c r="AG4" s="34" t="s">
        <v>265</v>
      </c>
    </row>
    <row r="5" spans="2:33">
      <c r="B5" s="58">
        <f>IF(ISERROR(XS_Analyzer_Calculations!B5),"",XS_Analyzer_Calculations!B5)</f>
        <v>1</v>
      </c>
      <c r="C5" s="58">
        <f>IF(ISERROR(XS_Analyzer_Calculations!C5),"",XS_Analyzer_Calculations!C5)</f>
        <v>3</v>
      </c>
      <c r="D5" s="29" t="str">
        <f>IF(ISERROR(Data!D2),"",Data!D2)</f>
        <v>Left Bank</v>
      </c>
      <c r="E5" s="2" t="str">
        <f>IF(F5&lt;&gt;"",IF(ISERROR(XS_Analyzer_Calculations!AH5),"",XS_Analyzer_Calculations!AH5),"")</f>
        <v/>
      </c>
      <c r="F5" s="2" t="str">
        <f>IF(IF(ISERROR(XS_Analyzer_Calculations!AF5),"",XS_Analyzer_Calculations!AF5)&lt;&gt;MAX($F$4:$F4),IF(ISERROR(XS_Analyzer_Calculations!AF5),"",XS_Analyzer_Calculations!AF5),"")</f>
        <v/>
      </c>
      <c r="G5" s="44" t="str">
        <f>IF(F5&lt;&gt;"",IF(ISERROR(XS_Analyzer_Calculations!W5),"",XS_Analyzer_Calculations!W5),"")</f>
        <v/>
      </c>
      <c r="H5" s="2">
        <f>IF(ISERROR(XS_Analyzer_Calculations!AE5),"",XS_Analyzer_Calculations!AE5)</f>
        <v>10</v>
      </c>
      <c r="I5" s="44">
        <f>IF(ISERROR(XS_Analyzer_Calculations!W5),"",XS_Analyzer_Calculations!W5)</f>
        <v>3.4</v>
      </c>
      <c r="J5" s="44" t="str">
        <f>IF(K5&lt;&gt;"",IF(ISERROR(XS_Analyzer_Calculations!AL5:AL105),"",XS_Analyzer_Calculations!AL5:AL105),"")</f>
        <v>R-BK</v>
      </c>
      <c r="K5" s="29">
        <f>IF(IF(ISERROR(XS_Analyzer_Calculations!AJ5:AJ105),"",XS_Analyzer_Calculations!AJ5:AJ105)&lt;&gt;MAX($K$4:$K4),IF(ISERROR(XS_Analyzer_Calculations!AJ5:AJ105),"",XS_Analyzer_Calculations!AJ5:AJ105),"")</f>
        <v>7.5</v>
      </c>
      <c r="L5" s="58">
        <f>IF(K5&lt;&gt;"",IF(ISERROR(XS_Analyzer_Calculations!X5:X105),"",XS_Analyzer_Calculations!X5:X105),"")</f>
        <v>3.8</v>
      </c>
      <c r="M5" s="29">
        <f>IF(ISERROR(XS_Analyzer_Calculations!AI5:AI105),"",XS_Analyzer_Calculations!AI5:AI105)</f>
        <v>5</v>
      </c>
      <c r="N5" s="29">
        <f>IF(ISERROR(XS_Analyzer_Calculations!X5:X105),"",XS_Analyzer_Calculations!X5:X105)</f>
        <v>3.8</v>
      </c>
      <c r="P5" s="2" t="str">
        <f>IF(ISERROR(XS_Analyzer!AB4),"",XS_Analyzer!AB4)</f>
        <v/>
      </c>
      <c r="Q5" s="2" t="str">
        <f>IF(ISERROR(XS_Analyzer!AC4),"",XS_Analyzer!AC4)</f>
        <v/>
      </c>
      <c r="R5" s="2" t="str">
        <f>IF(ISERROR(XS_Analyzer!AD4),"",XS_Analyzer!AD4)</f>
        <v>Left 2nd Stage</v>
      </c>
      <c r="T5" s="29">
        <f>XS_Analyzer_Calculations!N5</f>
        <v>0</v>
      </c>
      <c r="U5" s="29">
        <f>XS_Analyzer_Calculations!O5</f>
        <v>0</v>
      </c>
      <c r="V5" s="29">
        <f>XS_Analyzer_Calculations!N12</f>
        <v>90</v>
      </c>
      <c r="W5" s="29">
        <f>XS_Analyzer_Calculations!O12</f>
        <v>0</v>
      </c>
      <c r="X5" s="29">
        <f>IF(OR(ISERROR(XS_Analyzer_Calculations!BG4),B5="",ISERROR(XS_Analyzer_Calculations!BN4)),"",XS_Analyzer_Calculations!BN4)</f>
        <v>1</v>
      </c>
      <c r="Y5" s="29">
        <f>IF(OR(ISERROR(XS_Analyzer_Calculations!BG4),X5=""),"",XS_Analyzer_Calculations!BH4)</f>
        <v>3</v>
      </c>
      <c r="Z5" s="29">
        <f>IF(OR(ISERROR(XS_Analyzer_Calculations!BG4),X5=""),"",XS_Analyzer_Calculations!$O$18)</f>
        <v>5</v>
      </c>
      <c r="AB5" s="34">
        <f>IFERROR(XS_AnalyzerSummary!AK3,0)</f>
        <v>1</v>
      </c>
      <c r="AC5" s="34">
        <f>IFERROR(XS_AnalyzerSummary!AV3,0)</f>
        <v>0</v>
      </c>
      <c r="AD5" s="34">
        <f>IFERROR(XS_AnalyzerSummary!AK3,0)</f>
        <v>1</v>
      </c>
      <c r="AE5" s="34">
        <f>IFERROR(XS_AnalyzerSummary!AW3,0)</f>
        <v>0</v>
      </c>
      <c r="AF5" s="34">
        <f>IFERROR(XS_AnalyzerSummary!AK3,0)</f>
        <v>1</v>
      </c>
      <c r="AG5" s="34">
        <f>IFERROR(XS_AnalyzerSummary!BF3,0)</f>
        <v>3.8665832869163288</v>
      </c>
    </row>
    <row r="6" spans="2:33">
      <c r="B6" s="29">
        <f>IF(ISERROR(XS_Analyzer_Calculations!B6),"",XS_Analyzer_Calculations!B6)</f>
        <v>5</v>
      </c>
      <c r="C6" s="29">
        <f>IF(ISERROR(XS_Analyzer_Calculations!C6),"",XS_Analyzer_Calculations!C6)</f>
        <v>0</v>
      </c>
      <c r="D6" s="29" t="str">
        <f>IF(ISERROR(Data!D3),"",Data!D3)</f>
        <v>Thalweg</v>
      </c>
      <c r="E6" s="2" t="str">
        <f>IF(F6&lt;&gt;"",IF(ISERROR(XS_Analyzer_Calculations!AH6),"",XS_Analyzer_Calculations!AH6),"")</f>
        <v/>
      </c>
      <c r="F6" s="2" t="str">
        <f>IF(IF(ISERROR(XS_Analyzer_Calculations!AF6),"",XS_Analyzer_Calculations!AF6)&lt;&gt;MAX($F$4:$F5),IF(ISERROR(XS_Analyzer_Calculations!AF6),"",XS_Analyzer_Calculations!AF6),"")</f>
        <v/>
      </c>
      <c r="G6" s="44" t="str">
        <f>IF(F6&lt;&gt;"",IF(ISERROR(XS_Analyzer_Calculations!W6),"",XS_Analyzer_Calculations!W6),"")</f>
        <v/>
      </c>
      <c r="H6" s="2">
        <f>IF(ISERROR(XS_Analyzer_Calculations!AE6),"",XS_Analyzer_Calculations!AE6)</f>
        <v>10</v>
      </c>
      <c r="I6" s="44">
        <f>IF(ISERROR(XS_Analyzer_Calculations!W6),"",XS_Analyzer_Calculations!W6)</f>
        <v>3.4</v>
      </c>
      <c r="J6" s="44" t="str">
        <f>IF(K6&lt;&gt;"",IF(ISERROR(XS_Analyzer_Calculations!AL6:AL106),"",XS_Analyzer_Calculations!AL6:AL106),"")</f>
        <v/>
      </c>
      <c r="K6" s="29" t="str">
        <f>IF(IF(ISERROR(XS_Analyzer_Calculations!AJ6:AJ106),"",XS_Analyzer_Calculations!AJ6:AJ106)&lt;&gt;MAX($K$4:$K5),IF(ISERROR(XS_Analyzer_Calculations!AJ6:AJ106),"",XS_Analyzer_Calculations!AJ6:AJ106),"")</f>
        <v/>
      </c>
      <c r="L6" s="58" t="str">
        <f>IF(K6&lt;&gt;"",IF(ISERROR(XS_Analyzer_Calculations!X6:X106),"",XS_Analyzer_Calculations!X6:X106),"")</f>
        <v/>
      </c>
      <c r="M6" s="29">
        <f>IF(ISERROR(XS_Analyzer_Calculations!AI6:AI106),"",XS_Analyzer_Calculations!AI6:AI106)</f>
        <v>10</v>
      </c>
      <c r="N6" s="29">
        <f>IF(ISERROR(XS_Analyzer_Calculations!X6:X106),"",XS_Analyzer_Calculations!X6:X106)</f>
        <v>3.8</v>
      </c>
      <c r="P6" s="2">
        <f>IF(ISERROR(XS_Analyzer!AB5),"",XS_Analyzer!AB5)</f>
        <v>1</v>
      </c>
      <c r="Q6" s="2">
        <f>IF(ISERROR(XS_Analyzer!AC5),"",XS_Analyzer!AC5)</f>
        <v>3</v>
      </c>
      <c r="R6" s="2" t="str">
        <f>IF(ISERROR(XS_Analyzer!AD5),"",XS_Analyzer!AD5)</f>
        <v>Left Bank</v>
      </c>
      <c r="T6" s="29">
        <f>XS_Analyzer_Calculations!N6</f>
        <v>0</v>
      </c>
      <c r="U6" s="29">
        <f>XS_Analyzer_Calculations!O6</f>
        <v>3</v>
      </c>
      <c r="V6" s="29">
        <f>XS_Analyzer_Calculations!N13</f>
        <v>90</v>
      </c>
      <c r="W6" s="29">
        <f>XS_Analyzer_Calculations!O13</f>
        <v>3</v>
      </c>
      <c r="X6" s="29">
        <f>IF(OR(ISERROR(XS_Analyzer_Calculations!BG5),B6="",ISERROR(XS_Analyzer_Calculations!BN5)),"",XS_Analyzer_Calculations!BN5)</f>
        <v>5</v>
      </c>
      <c r="Y6" s="29">
        <f>IF(OR(ISERROR(XS_Analyzer_Calculations!BG5),X6=""),"",XS_Analyzer_Calculations!BH5)</f>
        <v>0</v>
      </c>
      <c r="Z6" s="29">
        <f>IF(OR(ISERROR(XS_Analyzer_Calculations!BG5),X6=""),"",XS_Analyzer_Calculations!$O$18)</f>
        <v>5</v>
      </c>
      <c r="AB6" s="34">
        <f>IFERROR(XS_AnalyzerSummary!AK4,0)</f>
        <v>1.0449999999999999</v>
      </c>
      <c r="AC6" s="34">
        <f>IFERROR(XS_AnalyzerSummary!AV4,0)</f>
        <v>2.0442379946501301</v>
      </c>
      <c r="AD6" s="34">
        <f>IFERROR(XS_AnalyzerSummary!AK4,0)</f>
        <v>1.0449999999999999</v>
      </c>
      <c r="AE6" s="34">
        <f>IFERROR(XS_AnalyzerSummary!AW4,0)</f>
        <v>1.0068240000000015</v>
      </c>
      <c r="AF6" s="34">
        <f>IFERROR(XS_AnalyzerSummary!AK4,0)</f>
        <v>1.0449999999999999</v>
      </c>
      <c r="AG6" s="34">
        <f>IFERROR(XS_AnalyzerSummary!BF4,0)</f>
        <v>3.934596285628944</v>
      </c>
    </row>
    <row r="7" spans="2:33">
      <c r="B7" s="29">
        <f>IF(ISERROR(XS_Analyzer_Calculations!B7),"",XS_Analyzer_Calculations!B7)</f>
        <v>10</v>
      </c>
      <c r="C7" s="29">
        <f>IF(ISERROR(XS_Analyzer_Calculations!C7),"",XS_Analyzer_Calculations!C7)</f>
        <v>3</v>
      </c>
      <c r="D7" s="29" t="str">
        <f>IF(ISERROR(Data!D4),"",Data!D4)</f>
        <v>Right Bank</v>
      </c>
      <c r="E7" s="2" t="str">
        <f>IF(F7&lt;&gt;"",IF(ISERROR(XS_Analyzer_Calculations!AH7),"",XS_Analyzer_Calculations!AH7),"")</f>
        <v/>
      </c>
      <c r="F7" s="2" t="str">
        <f>IF(IF(ISERROR(XS_Analyzer_Calculations!AF7),"",XS_Analyzer_Calculations!AF7)&lt;&gt;MAX($F$4:$F6),IF(ISERROR(XS_Analyzer_Calculations!AF7),"",XS_Analyzer_Calculations!AF7),"")</f>
        <v/>
      </c>
      <c r="G7" s="44" t="str">
        <f>IF(F7&lt;&gt;"",IF(ISERROR(XS_Analyzer_Calculations!W7),"",XS_Analyzer_Calculations!W7),"")</f>
        <v/>
      </c>
      <c r="H7" s="2" t="str">
        <f>IF(ISERROR(XS_Analyzer_Calculations!AE7),"",XS_Analyzer_Calculations!AE7)</f>
        <v/>
      </c>
      <c r="I7" s="44" t="str">
        <f>IF(ISERROR(XS_Analyzer_Calculations!W7),"",XS_Analyzer_Calculations!W7)</f>
        <v/>
      </c>
      <c r="J7" s="44" t="str">
        <f>IF(K7&lt;&gt;"",IF(ISERROR(XS_Analyzer_Calculations!AL7:AL107),"",XS_Analyzer_Calculations!AL7:AL107),"")</f>
        <v/>
      </c>
      <c r="K7" s="29" t="str">
        <f>IF(IF(ISERROR(XS_Analyzer_Calculations!AJ7:AJ107),"",XS_Analyzer_Calculations!AJ7:AJ107)&lt;&gt;MAX($K$4:$K6),IF(ISERROR(XS_Analyzer_Calculations!AJ7:AJ107),"",XS_Analyzer_Calculations!AJ7:AJ107),"")</f>
        <v/>
      </c>
      <c r="L7" s="58" t="str">
        <f>IF(K7&lt;&gt;"",IF(ISERROR(XS_Analyzer_Calculations!X7:X107),"",XS_Analyzer_Calculations!X7:X107),"")</f>
        <v/>
      </c>
      <c r="M7" s="29" t="str">
        <f>IF(ISERROR(XS_Analyzer_Calculations!AI7:AI107),"",XS_Analyzer_Calculations!AI7:AI107)</f>
        <v/>
      </c>
      <c r="N7" s="29" t="str">
        <f>IF(ISERROR(XS_Analyzer_Calculations!X7:X107),"",XS_Analyzer_Calculations!X7:X107)</f>
        <v/>
      </c>
      <c r="P7" s="2" t="str">
        <f>IF(ISERROR(XS_Analyzer!AB6),"",XS_Analyzer!AB6)</f>
        <v/>
      </c>
      <c r="Q7" s="2" t="str">
        <f>IF(ISERROR(XS_Analyzer!AC6),"",XS_Analyzer!AC6)</f>
        <v/>
      </c>
      <c r="R7" s="2" t="str">
        <f>IF(ISERROR(XS_Analyzer!AD6),"",XS_Analyzer!AD6)</f>
        <v>Left Inner Berm</v>
      </c>
      <c r="X7" s="29">
        <f>IF(OR(ISERROR(XS_Analyzer_Calculations!BG6),B7="",ISERROR(XS_Analyzer_Calculations!BN6)),"",XS_Analyzer_Calculations!BN6)</f>
        <v>10</v>
      </c>
      <c r="Y7" s="29">
        <f>IF(OR(ISERROR(XS_Analyzer_Calculations!BG6),X7=""),"",XS_Analyzer_Calculations!BH6)</f>
        <v>3</v>
      </c>
      <c r="Z7" s="29">
        <f>IF(OR(ISERROR(XS_Analyzer_Calculations!BG6),X7=""),"",XS_Analyzer_Calculations!$O$18)</f>
        <v>5</v>
      </c>
      <c r="AB7" s="34">
        <f>IFERROR(XS_AnalyzerSummary!AK5,0)</f>
        <v>1.0899999999999999</v>
      </c>
      <c r="AC7" s="34">
        <f>IFERROR(XS_AnalyzerSummary!AV5,0)</f>
        <v>2.0669801180538312</v>
      </c>
      <c r="AD7" s="34">
        <f>IFERROR(XS_AnalyzerSummary!AK5,0)</f>
        <v>1.0899999999999999</v>
      </c>
      <c r="AE7" s="34">
        <f>IFERROR(XS_AnalyzerSummary!AW5,0)</f>
        <v>1.0236720000000017</v>
      </c>
      <c r="AF7" s="34">
        <f>IFERROR(XS_AnalyzerSummary!AK5,0)</f>
        <v>1.0899999999999999</v>
      </c>
      <c r="AG7" s="34">
        <f>IFERROR(XS_AnalyzerSummary!BF5,0)</f>
        <v>4.0026567072631831</v>
      </c>
    </row>
    <row r="8" spans="2:33">
      <c r="B8" s="29" t="str">
        <f>IF(ISERROR(XS_Analyzer_Calculations!B8),"",XS_Analyzer_Calculations!B8)</f>
        <v/>
      </c>
      <c r="C8" s="29" t="str">
        <f>IF(ISERROR(XS_Analyzer_Calculations!C8),"",XS_Analyzer_Calculations!C8)</f>
        <v/>
      </c>
      <c r="D8" s="29" t="str">
        <f>IF(ISERROR(Data!D5),"",Data!D5)</f>
        <v/>
      </c>
      <c r="E8" s="2"/>
      <c r="F8" s="2" t="str">
        <f>IF(IF(ISERROR(XS_Analyzer_Calculations!AF8),"",XS_Analyzer_Calculations!AF8)&lt;&gt;MAX($F$4:$F7),IF(ISERROR(XS_Analyzer_Calculations!AF8),"",XS_Analyzer_Calculations!AF8),"")</f>
        <v/>
      </c>
      <c r="G8" s="44" t="str">
        <f>IF(F8&lt;&gt;"",IF(ISERROR(XS_Analyzer_Calculations!W8),"",XS_Analyzer_Calculations!W8),"")</f>
        <v/>
      </c>
      <c r="H8" s="2" t="str">
        <f>IF(ISERROR(XS_Analyzer_Calculations!AE8),"",XS_Analyzer_Calculations!AE8)</f>
        <v/>
      </c>
      <c r="I8" s="44" t="str">
        <f>IF(ISERROR(XS_Analyzer_Calculations!W8),"",XS_Analyzer_Calculations!W8)</f>
        <v/>
      </c>
      <c r="J8" s="44" t="str">
        <f>IF(K8&lt;&gt;"",IF(ISERROR(XS_Analyzer_Calculations!AL8:AL108),"",XS_Analyzer_Calculations!AL8:AL108),"")</f>
        <v/>
      </c>
      <c r="K8" s="29" t="str">
        <f>IF(IF(ISERROR(XS_Analyzer_Calculations!AJ8:AJ108),"",XS_Analyzer_Calculations!AJ8:AJ108)&lt;&gt;MAX($K$4:$K7),IF(ISERROR(XS_Analyzer_Calculations!AJ8:AJ108),"",XS_Analyzer_Calculations!AJ8:AJ108),"")</f>
        <v/>
      </c>
      <c r="L8" s="58" t="str">
        <f>IF(K8&lt;&gt;"",IF(ISERROR(XS_Analyzer_Calculations!X8:X108),"",XS_Analyzer_Calculations!X8:X108),"")</f>
        <v/>
      </c>
      <c r="M8" s="29" t="str">
        <f>IF(ISERROR(XS_Analyzer_Calculations!AI8:AI108),"",XS_Analyzer_Calculations!AI8:AI108)</f>
        <v/>
      </c>
      <c r="N8" s="29" t="str">
        <f>IF(ISERROR(XS_Analyzer_Calculations!X8:X108),"",XS_Analyzer_Calculations!X8:X108)</f>
        <v/>
      </c>
      <c r="P8" s="2">
        <f>IF(ISERROR(XS_Analyzer!AB7),"",XS_Analyzer!AB7)</f>
        <v>5</v>
      </c>
      <c r="Q8" s="2">
        <f>IF(ISERROR(XS_Analyzer!AC7),"",XS_Analyzer!AC7)</f>
        <v>0</v>
      </c>
      <c r="R8" s="2" t="str">
        <f>IF(ISERROR(XS_Analyzer!AD7),"",XS_Analyzer!AD7)</f>
        <v>Thalweg</v>
      </c>
      <c r="X8" s="29" t="str">
        <f>IF(OR(ISERROR(XS_Analyzer_Calculations!BG7),B8="",ISERROR(XS_Analyzer_Calculations!BN7)),"",XS_Analyzer_Calculations!BN7)</f>
        <v/>
      </c>
      <c r="Y8" s="29" t="str">
        <f>IF(OR(ISERROR(XS_Analyzer_Calculations!BG7),X8=""),"",XS_Analyzer_Calculations!BH7)</f>
        <v/>
      </c>
      <c r="Z8" s="29" t="str">
        <f>IF(OR(ISERROR(XS_Analyzer_Calculations!BG7),X8=""),"",XS_Analyzer_Calculations!$O$18)</f>
        <v/>
      </c>
      <c r="AB8" s="34">
        <f>IFERROR(XS_AnalyzerSummary!AK6,0)</f>
        <v>1.1349999999999998</v>
      </c>
      <c r="AC8" s="34">
        <f>IFERROR(XS_AnalyzerSummary!AV6,0)</f>
        <v>2.0895978102410915</v>
      </c>
      <c r="AD8" s="34">
        <f>IFERROR(XS_AnalyzerSummary!AK6,0)</f>
        <v>1.1349999999999998</v>
      </c>
      <c r="AE8" s="34">
        <f>IFERROR(XS_AnalyzerSummary!AW6,0)</f>
        <v>1.0405200000000014</v>
      </c>
      <c r="AF8" s="34">
        <f>IFERROR(XS_AnalyzerSummary!AK6,0)</f>
        <v>1.1349999999999998</v>
      </c>
      <c r="AG8" s="34">
        <f>IFERROR(XS_AnalyzerSummary!BF6,0)</f>
        <v>4.0707638098771799</v>
      </c>
    </row>
    <row r="9" spans="2:33">
      <c r="B9" s="29" t="str">
        <f>IF(ISERROR(XS_Analyzer_Calculations!B9),"",XS_Analyzer_Calculations!B9)</f>
        <v/>
      </c>
      <c r="C9" s="29" t="str">
        <f>IF(ISERROR(XS_Analyzer_Calculations!C9),"",XS_Analyzer_Calculations!C9)</f>
        <v/>
      </c>
      <c r="D9" s="29" t="str">
        <f>IF(ISERROR(Data!D6),"",Data!D6)</f>
        <v/>
      </c>
      <c r="E9" s="2" t="str">
        <f>IF(F9&lt;&gt;"",IF(ISERROR(XS_Analyzer_Calculations!AH9),"",XS_Analyzer_Calculations!AH9),"")</f>
        <v/>
      </c>
      <c r="F9" s="2" t="str">
        <f>IF(IF(ISERROR(XS_Analyzer_Calculations!AF9),"",XS_Analyzer_Calculations!AF9)&lt;&gt;MAX($F$4:$F8),IF(ISERROR(XS_Analyzer_Calculations!AF9),"",XS_Analyzer_Calculations!AF9),"")</f>
        <v/>
      </c>
      <c r="G9" s="44" t="str">
        <f>IF(F9&lt;&gt;"",IF(ISERROR(XS_Analyzer_Calculations!W9),"",XS_Analyzer_Calculations!W9),"")</f>
        <v/>
      </c>
      <c r="H9" s="2" t="str">
        <f>IF(ISERROR(XS_Analyzer_Calculations!AE9),"",XS_Analyzer_Calculations!AE9)</f>
        <v/>
      </c>
      <c r="I9" s="44" t="str">
        <f>IF(ISERROR(XS_Analyzer_Calculations!W9),"",XS_Analyzer_Calculations!W9)</f>
        <v/>
      </c>
      <c r="J9" s="44" t="str">
        <f>IF(K9&lt;&gt;"",IF(ISERROR(XS_Analyzer_Calculations!AL9:AL109),"",XS_Analyzer_Calculations!AL9:AL109),"")</f>
        <v/>
      </c>
      <c r="K9" s="29" t="str">
        <f>IF(IF(ISERROR(XS_Analyzer_Calculations!AJ9:AJ109),"",XS_Analyzer_Calculations!AJ9:AJ109)&lt;&gt;MAX($K$4:$K8),IF(ISERROR(XS_Analyzer_Calculations!AJ9:AJ109),"",XS_Analyzer_Calculations!AJ9:AJ109),"")</f>
        <v/>
      </c>
      <c r="L9" s="58" t="str">
        <f>IF(K9&lt;&gt;"",IF(ISERROR(XS_Analyzer_Calculations!X9:X109),"",XS_Analyzer_Calculations!X9:X109),"")</f>
        <v/>
      </c>
      <c r="M9" s="29" t="str">
        <f>IF(ISERROR(XS_Analyzer_Calculations!AI9:AI109),"",XS_Analyzer_Calculations!AI9:AI109)</f>
        <v/>
      </c>
      <c r="N9" s="29" t="str">
        <f>IF(ISERROR(XS_Analyzer_Calculations!X9:X109),"",XS_Analyzer_Calculations!X9:X109)</f>
        <v/>
      </c>
      <c r="P9" s="2" t="str">
        <f>IF(ISERROR(XS_Analyzer!AB8),"",XS_Analyzer!AB8)</f>
        <v/>
      </c>
      <c r="Q9" s="2" t="str">
        <f>IF(ISERROR(XS_Analyzer!AC8),"",XS_Analyzer!AC8)</f>
        <v/>
      </c>
      <c r="R9" s="2" t="str">
        <f>IF(ISERROR(XS_Analyzer!AD8),"",XS_Analyzer!AD8)</f>
        <v>Right Inner Berm</v>
      </c>
      <c r="X9" s="29" t="str">
        <f>IF(OR(ISERROR(XS_Analyzer_Calculations!BG8),B9="",ISERROR(XS_Analyzer_Calculations!BN8)),"",XS_Analyzer_Calculations!BN8)</f>
        <v/>
      </c>
      <c r="Y9" s="29" t="str">
        <f>IF(OR(ISERROR(XS_Analyzer_Calculations!BG8),X9=""),"",XS_Analyzer_Calculations!BH8)</f>
        <v/>
      </c>
      <c r="Z9" s="29" t="str">
        <f>IF(OR(ISERROR(XS_Analyzer_Calculations!BG8),X9=""),"",XS_Analyzer_Calculations!$O$18)</f>
        <v/>
      </c>
      <c r="AB9" s="34">
        <f>IFERROR(XS_AnalyzerSummary!AK7,0)</f>
        <v>1.1799999999999997</v>
      </c>
      <c r="AC9" s="34">
        <f>IFERROR(XS_AnalyzerSummary!AV7,0)</f>
        <v>2.1120937505818653</v>
      </c>
      <c r="AD9" s="34">
        <f>IFERROR(XS_AnalyzerSummary!AK7,0)</f>
        <v>1.1799999999999997</v>
      </c>
      <c r="AE9" s="34">
        <f>IFERROR(XS_AnalyzerSummary!AW7,0)</f>
        <v>1.0573680000000016</v>
      </c>
      <c r="AF9" s="34">
        <f>IFERROR(XS_AnalyzerSummary!AK7,0)</f>
        <v>1.1799999999999997</v>
      </c>
      <c r="AG9" s="34">
        <f>IFERROR(XS_AnalyzerSummary!BF7,0)</f>
        <v>4.1389168748734635</v>
      </c>
    </row>
    <row r="10" spans="2:33">
      <c r="B10" s="29" t="str">
        <f>IF(ISERROR(XS_Analyzer_Calculations!B10),"",XS_Analyzer_Calculations!B10)</f>
        <v/>
      </c>
      <c r="C10" s="29" t="str">
        <f>IF(ISERROR(XS_Analyzer_Calculations!C10),"",XS_Analyzer_Calculations!C10)</f>
        <v/>
      </c>
      <c r="D10" s="29" t="str">
        <f>IF(ISERROR(Data!D7),"",Data!D7)</f>
        <v/>
      </c>
      <c r="E10" s="2" t="str">
        <f>IF(F10&lt;&gt;"",IF(ISERROR(XS_Analyzer_Calculations!AH10),"",XS_Analyzer_Calculations!AH10),"")</f>
        <v/>
      </c>
      <c r="F10" s="2" t="str">
        <f>IF(IF(ISERROR(XS_Analyzer_Calculations!AF10),"",XS_Analyzer_Calculations!AF10)&lt;&gt;MAX($F$4:$F9),IF(ISERROR(XS_Analyzer_Calculations!AF10),"",XS_Analyzer_Calculations!AF10),"")</f>
        <v/>
      </c>
      <c r="G10" s="44" t="str">
        <f>IF(F10&lt;&gt;"",IF(ISERROR(XS_Analyzer_Calculations!W10),"",XS_Analyzer_Calculations!W10),"")</f>
        <v/>
      </c>
      <c r="H10" s="2" t="str">
        <f>IF(ISERROR(XS_Analyzer_Calculations!AE10),"",XS_Analyzer_Calculations!AE10)</f>
        <v/>
      </c>
      <c r="I10" s="44" t="str">
        <f>IF(ISERROR(XS_Analyzer_Calculations!W10),"",XS_Analyzer_Calculations!W10)</f>
        <v/>
      </c>
      <c r="J10" s="44" t="str">
        <f>IF(K10&lt;&gt;"",IF(ISERROR(XS_Analyzer_Calculations!AL10:AL110),"",XS_Analyzer_Calculations!AL10:AL110),"")</f>
        <v/>
      </c>
      <c r="K10" s="29" t="str">
        <f>IF(IF(ISERROR(XS_Analyzer_Calculations!AJ10:AJ110),"",XS_Analyzer_Calculations!AJ10:AJ110)&lt;&gt;MAX($K$4:$K9),IF(ISERROR(XS_Analyzer_Calculations!AJ10:AJ110),"",XS_Analyzer_Calculations!AJ10:AJ110),"")</f>
        <v/>
      </c>
      <c r="L10" s="58" t="str">
        <f>IF(K10&lt;&gt;"",IF(ISERROR(XS_Analyzer_Calculations!X10:X110),"",XS_Analyzer_Calculations!X10:X110),"")</f>
        <v/>
      </c>
      <c r="M10" s="29" t="str">
        <f>IF(ISERROR(XS_Analyzer_Calculations!AI10:AI110),"",XS_Analyzer_Calculations!AI10:AI110)</f>
        <v/>
      </c>
      <c r="N10" s="29" t="str">
        <f>IF(ISERROR(XS_Analyzer_Calculations!X10:X110),"",XS_Analyzer_Calculations!X10:X110)</f>
        <v/>
      </c>
      <c r="P10" s="2">
        <f>IF(ISERROR(XS_Analyzer!AB9),"",XS_Analyzer!AB9)</f>
        <v>10</v>
      </c>
      <c r="Q10" s="2">
        <f>IF(ISERROR(XS_Analyzer!AC9),"",XS_Analyzer!AC9)</f>
        <v>3</v>
      </c>
      <c r="R10" s="2" t="str">
        <f>IF(ISERROR(XS_Analyzer!AD9),"",XS_Analyzer!AD9)</f>
        <v>Right Bank</v>
      </c>
      <c r="X10" s="29" t="str">
        <f>IF(OR(ISERROR(XS_Analyzer_Calculations!BG9),B10="",ISERROR(XS_Analyzer_Calculations!BN9)),"",XS_Analyzer_Calculations!BN9)</f>
        <v/>
      </c>
      <c r="Y10" s="29" t="str">
        <f>IF(OR(ISERROR(XS_Analyzer_Calculations!BG9),X10=""),"",XS_Analyzer_Calculations!BH9)</f>
        <v/>
      </c>
      <c r="Z10" s="29" t="str">
        <f>IF(OR(ISERROR(XS_Analyzer_Calculations!BG9),X10=""),"",XS_Analyzer_Calculations!$O$18)</f>
        <v/>
      </c>
      <c r="AB10" s="34">
        <f>IFERROR(XS_AnalyzerSummary!AK8,0)</f>
        <v>1.2249999999999996</v>
      </c>
      <c r="AC10" s="34">
        <f>IFERROR(XS_AnalyzerSummary!AV8,0)</f>
        <v>2.134470519081523</v>
      </c>
      <c r="AD10" s="34">
        <f>IFERROR(XS_AnalyzerSummary!AK8,0)</f>
        <v>1.2249999999999996</v>
      </c>
      <c r="AE10" s="34">
        <f>IFERROR(XS_AnalyzerSummary!AW8,0)</f>
        <v>1.0742160000000014</v>
      </c>
      <c r="AF10" s="34">
        <f>IFERROR(XS_AnalyzerSummary!AK8,0)</f>
        <v>1.2249999999999996</v>
      </c>
      <c r="AG10" s="34">
        <f>IFERROR(XS_AnalyzerSummary!BF8,0)</f>
        <v>4.2071152059068098</v>
      </c>
    </row>
    <row r="11" spans="2:33">
      <c r="B11" s="29" t="str">
        <f>IF(ISERROR(XS_Analyzer_Calculations!B11),"",XS_Analyzer_Calculations!B11)</f>
        <v/>
      </c>
      <c r="C11" s="29" t="str">
        <f>IF(ISERROR(XS_Analyzer_Calculations!C11),"",XS_Analyzer_Calculations!C11)</f>
        <v/>
      </c>
      <c r="D11" s="29" t="str">
        <f>IF(ISERROR(Data!D8),"",Data!D8)</f>
        <v/>
      </c>
      <c r="E11" s="2" t="str">
        <f>IF(F11&lt;&gt;"",IF(ISERROR(XS_Analyzer_Calculations!AH11),"",XS_Analyzer_Calculations!AH11),"")</f>
        <v/>
      </c>
      <c r="F11" s="2" t="str">
        <f>IF(IF(ISERROR(XS_Analyzer_Calculations!AF11),"",XS_Analyzer_Calculations!AF11)&lt;&gt;MAX($F$4:$F10),IF(ISERROR(XS_Analyzer_Calculations!AF11),"",XS_Analyzer_Calculations!AF11),"")</f>
        <v/>
      </c>
      <c r="G11" s="44" t="str">
        <f>IF(F11&lt;&gt;"",IF(ISERROR(XS_Analyzer_Calculations!W11),"",XS_Analyzer_Calculations!W11),"")</f>
        <v/>
      </c>
      <c r="H11" s="2" t="str">
        <f>IF(ISERROR(XS_Analyzer_Calculations!AE11),"",XS_Analyzer_Calculations!AE11)</f>
        <v/>
      </c>
      <c r="I11" s="44" t="str">
        <f>IF(ISERROR(XS_Analyzer_Calculations!W11),"",XS_Analyzer_Calculations!W11)</f>
        <v/>
      </c>
      <c r="J11" s="44" t="str">
        <f>IF(K11&lt;&gt;"",IF(ISERROR(XS_Analyzer_Calculations!AL11:AL111),"",XS_Analyzer_Calculations!AL11:AL111),"")</f>
        <v/>
      </c>
      <c r="K11" s="29" t="str">
        <f>IF(IF(ISERROR(XS_Analyzer_Calculations!AJ11:AJ111),"",XS_Analyzer_Calculations!AJ11:AJ111)&lt;&gt;MAX($K$4:$K10),IF(ISERROR(XS_Analyzer_Calculations!AJ11:AJ111),"",XS_Analyzer_Calculations!AJ11:AJ111),"")</f>
        <v/>
      </c>
      <c r="L11" s="58" t="str">
        <f>IF(K11&lt;&gt;"",IF(ISERROR(XS_Analyzer_Calculations!X11:X111),"",XS_Analyzer_Calculations!X11:X111),"")</f>
        <v/>
      </c>
      <c r="M11" s="29" t="str">
        <f>IF(ISERROR(XS_Analyzer_Calculations!AI11:AI111),"",XS_Analyzer_Calculations!AI11:AI111)</f>
        <v/>
      </c>
      <c r="N11" s="29" t="str">
        <f>IF(ISERROR(XS_Analyzer_Calculations!X11:X111),"",XS_Analyzer_Calculations!X11:X111)</f>
        <v/>
      </c>
      <c r="P11" s="2" t="str">
        <f>IF(ISERROR(XS_Analyzer!AB10),"",XS_Analyzer!AB10)</f>
        <v/>
      </c>
      <c r="Q11" s="2" t="str">
        <f>IF(ISERROR(XS_Analyzer!AC10),"",XS_Analyzer!AC10)</f>
        <v/>
      </c>
      <c r="R11" s="2" t="str">
        <f>IF(ISERROR(XS_Analyzer!AD10),"",XS_Analyzer!AD10)</f>
        <v>Right 2nd Stage</v>
      </c>
      <c r="X11" s="29" t="str">
        <f>IF(OR(ISERROR(XS_Analyzer_Calculations!BG10),B11="",ISERROR(XS_Analyzer_Calculations!BN10)),"",XS_Analyzer_Calculations!BN10)</f>
        <v/>
      </c>
      <c r="Y11" s="29" t="str">
        <f>IF(OR(ISERROR(XS_Analyzer_Calculations!BG10),X11=""),"",XS_Analyzer_Calculations!BH10)</f>
        <v/>
      </c>
      <c r="Z11" s="29" t="str">
        <f>IF(OR(ISERROR(XS_Analyzer_Calculations!BG10),X11=""),"",XS_Analyzer_Calculations!$O$18)</f>
        <v/>
      </c>
      <c r="AB11" s="34">
        <f>IFERROR(XS_AnalyzerSummary!AK9,0)</f>
        <v>1.2699999999999996</v>
      </c>
      <c r="AC11" s="34">
        <f>IFERROR(XS_AnalyzerSummary!AV9,0)</f>
        <v>2.1567306015628755</v>
      </c>
      <c r="AD11" s="34">
        <f>IFERROR(XS_AnalyzerSummary!AK9,0)</f>
        <v>1.2699999999999996</v>
      </c>
      <c r="AE11" s="34">
        <f>IFERROR(XS_AnalyzerSummary!AW9,0)</f>
        <v>1.0910640000000018</v>
      </c>
      <c r="AF11" s="34">
        <f>IFERROR(XS_AnalyzerSummary!AK9,0)</f>
        <v>1.2699999999999996</v>
      </c>
      <c r="AG11" s="34">
        <f>IFERROR(XS_AnalyzerSummary!BF9,0)</f>
        <v>4.2753581278594277</v>
      </c>
    </row>
    <row r="12" spans="2:33">
      <c r="B12" s="29" t="str">
        <f>IF(ISERROR(XS_Analyzer_Calculations!B12),"",XS_Analyzer_Calculations!B12)</f>
        <v/>
      </c>
      <c r="C12" s="29" t="str">
        <f>IF(ISERROR(XS_Analyzer_Calculations!C12),"",XS_Analyzer_Calculations!C12)</f>
        <v/>
      </c>
      <c r="D12" s="29" t="str">
        <f>IF(ISERROR(Data!D9),"",Data!D9)</f>
        <v/>
      </c>
      <c r="E12" s="2" t="str">
        <f>IF(F12&lt;&gt;"",IF(ISERROR(XS_Analyzer_Calculations!AH12),"",XS_Analyzer_Calculations!AH12),"")</f>
        <v/>
      </c>
      <c r="F12" s="2" t="str">
        <f>IF(IF(ISERROR(XS_Analyzer_Calculations!AF12),"",XS_Analyzer_Calculations!AF12)&lt;&gt;MAX($F$4:$F11),IF(ISERROR(XS_Analyzer_Calculations!AF12),"",XS_Analyzer_Calculations!AF12),"")</f>
        <v/>
      </c>
      <c r="G12" s="44" t="str">
        <f>IF(F12&lt;&gt;"",IF(ISERROR(XS_Analyzer_Calculations!W12),"",XS_Analyzer_Calculations!W12),"")</f>
        <v/>
      </c>
      <c r="H12" s="2" t="str">
        <f>IF(ISERROR(XS_Analyzer_Calculations!AE12),"",XS_Analyzer_Calculations!AE12)</f>
        <v/>
      </c>
      <c r="I12" s="44" t="str">
        <f>IF(ISERROR(XS_Analyzer_Calculations!W12),"",XS_Analyzer_Calculations!W12)</f>
        <v/>
      </c>
      <c r="J12" s="44" t="str">
        <f>IF(K12&lt;&gt;"",IF(ISERROR(XS_Analyzer_Calculations!AL12:AL112),"",XS_Analyzer_Calculations!AL12:AL112),"")</f>
        <v/>
      </c>
      <c r="K12" s="29" t="str">
        <f>IF(IF(ISERROR(XS_Analyzer_Calculations!AJ12:AJ112),"",XS_Analyzer_Calculations!AJ12:AJ112)&lt;&gt;MAX($K$4:$K11),IF(ISERROR(XS_Analyzer_Calculations!AJ12:AJ112),"",XS_Analyzer_Calculations!AJ12:AJ112),"")</f>
        <v/>
      </c>
      <c r="L12" s="58" t="str">
        <f>IF(K12&lt;&gt;"",IF(ISERROR(XS_Analyzer_Calculations!X12:X112),"",XS_Analyzer_Calculations!X12:X112),"")</f>
        <v/>
      </c>
      <c r="M12" s="29" t="str">
        <f>IF(ISERROR(XS_Analyzer_Calculations!AI12:AI112),"",XS_Analyzer_Calculations!AI12:AI112)</f>
        <v/>
      </c>
      <c r="N12" s="29" t="str">
        <f>IF(ISERROR(XS_Analyzer_Calculations!X12:X112),"",XS_Analyzer_Calculations!X12:X112)</f>
        <v/>
      </c>
      <c r="P12" s="2" t="str">
        <f>IF(ISERROR(XS_Analyzer!AB11),"",XS_Analyzer!AB11)</f>
        <v/>
      </c>
      <c r="Q12" s="2" t="str">
        <f>IF(ISERROR(XS_Analyzer!AC11),"",XS_Analyzer!AC11)</f>
        <v/>
      </c>
      <c r="R12" s="2" t="str">
        <f>IF(ISERROR(XS_Analyzer!AD11),"",XS_Analyzer!AD11)</f>
        <v>Right 3rd Stage</v>
      </c>
      <c r="X12" s="29" t="str">
        <f>IF(OR(ISERROR(XS_Analyzer_Calculations!BG11),B12="",ISERROR(XS_Analyzer_Calculations!BN11)),"",XS_Analyzer_Calculations!BN11)</f>
        <v/>
      </c>
      <c r="Y12" s="29" t="str">
        <f>IF(OR(ISERROR(XS_Analyzer_Calculations!BG11),X12=""),"",XS_Analyzer_Calculations!BH11)</f>
        <v/>
      </c>
      <c r="Z12" s="29" t="str">
        <f>IF(OR(ISERROR(XS_Analyzer_Calculations!BG11),X12=""),"",XS_Analyzer_Calculations!$O$18)</f>
        <v/>
      </c>
      <c r="AB12" s="34">
        <f>IFERROR(XS_AnalyzerSummary!AK10,0)</f>
        <v>1.3149999999999995</v>
      </c>
      <c r="AC12" s="34">
        <f>IFERROR(XS_AnalyzerSummary!AV10,0)</f>
        <v>2.1788763945022627</v>
      </c>
      <c r="AD12" s="34">
        <f>IFERROR(XS_AnalyzerSummary!AK10,0)</f>
        <v>1.3149999999999995</v>
      </c>
      <c r="AE12" s="34">
        <f>IFERROR(XS_AnalyzerSummary!AW10,0)</f>
        <v>1.1079120000000016</v>
      </c>
      <c r="AF12" s="34">
        <f>IFERROR(XS_AnalyzerSummary!AK10,0)</f>
        <v>1.3149999999999995</v>
      </c>
      <c r="AG12" s="34">
        <f>IFERROR(XS_AnalyzerSummary!BF10,0)</f>
        <v>4.3436449858783055</v>
      </c>
    </row>
    <row r="13" spans="2:33">
      <c r="B13" s="29" t="str">
        <f>IF(ISERROR(XS_Analyzer_Calculations!B13),"",XS_Analyzer_Calculations!B13)</f>
        <v/>
      </c>
      <c r="C13" s="29" t="str">
        <f>IF(ISERROR(XS_Analyzer_Calculations!C13),"",XS_Analyzer_Calculations!C13)</f>
        <v/>
      </c>
      <c r="D13" s="29" t="str">
        <f>IF(ISERROR(Data!D10),"",Data!D10)</f>
        <v/>
      </c>
      <c r="E13" s="2" t="str">
        <f>IF(F13&lt;&gt;"",IF(ISERROR(XS_Analyzer_Calculations!AH13),"",XS_Analyzer_Calculations!AH13),"")</f>
        <v/>
      </c>
      <c r="F13" s="2" t="str">
        <f>IF(IF(ISERROR(XS_Analyzer_Calculations!AF13),"",XS_Analyzer_Calculations!AF13)&lt;&gt;MAX($F$4:$F12),IF(ISERROR(XS_Analyzer_Calculations!AF13),"",XS_Analyzer_Calculations!AF13),"")</f>
        <v/>
      </c>
      <c r="G13" s="44" t="str">
        <f>IF(F13&lt;&gt;"",IF(ISERROR(XS_Analyzer_Calculations!W13),"",XS_Analyzer_Calculations!W13),"")</f>
        <v/>
      </c>
      <c r="H13" s="2" t="str">
        <f>IF(ISERROR(XS_Analyzer_Calculations!AE13),"",XS_Analyzer_Calculations!AE13)</f>
        <v/>
      </c>
      <c r="I13" s="44" t="str">
        <f>IF(ISERROR(XS_Analyzer_Calculations!W13),"",XS_Analyzer_Calculations!W13)</f>
        <v/>
      </c>
      <c r="J13" s="44" t="str">
        <f>IF(K13&lt;&gt;"",IF(ISERROR(XS_Analyzer_Calculations!AL13:AL113),"",XS_Analyzer_Calculations!AL13:AL113),"")</f>
        <v/>
      </c>
      <c r="K13" s="29" t="str">
        <f>IF(IF(ISERROR(XS_Analyzer_Calculations!AJ13:AJ113),"",XS_Analyzer_Calculations!AJ13:AJ113)&lt;&gt;MAX($K$4:$K12),IF(ISERROR(XS_Analyzer_Calculations!AJ13:AJ113),"",XS_Analyzer_Calculations!AJ13:AJ113),"")</f>
        <v/>
      </c>
      <c r="L13" s="58" t="str">
        <f>IF(K13&lt;&gt;"",IF(ISERROR(XS_Analyzer_Calculations!X13:X113),"",XS_Analyzer_Calculations!X13:X113),"")</f>
        <v/>
      </c>
      <c r="M13" s="29" t="str">
        <f>IF(ISERROR(XS_Analyzer_Calculations!AI13:AI113),"",XS_Analyzer_Calculations!AI13:AI113)</f>
        <v/>
      </c>
      <c r="N13" s="29" t="str">
        <f>IF(ISERROR(XS_Analyzer_Calculations!X13:X113),"",XS_Analyzer_Calculations!X13:X113)</f>
        <v/>
      </c>
      <c r="X13" s="29" t="str">
        <f>IF(OR(ISERROR(XS_Analyzer_Calculations!BG12),B13="",ISERROR(XS_Analyzer_Calculations!BN12)),"",XS_Analyzer_Calculations!BN12)</f>
        <v/>
      </c>
      <c r="Y13" s="29" t="str">
        <f>IF(OR(ISERROR(XS_Analyzer_Calculations!BG12),X13=""),"",XS_Analyzer_Calculations!BH12)</f>
        <v/>
      </c>
      <c r="Z13" s="29" t="str">
        <f>IF(OR(ISERROR(XS_Analyzer_Calculations!BG12),X13=""),"",XS_Analyzer_Calculations!$O$18)</f>
        <v/>
      </c>
      <c r="AB13" s="34">
        <f>IFERROR(XS_AnalyzerSummary!AK11,0)</f>
        <v>1.3599999999999994</v>
      </c>
      <c r="AC13" s="34">
        <f>IFERROR(XS_AnalyzerSummary!AV11,0)</f>
        <v>2.2009102095477213</v>
      </c>
      <c r="AD13" s="34">
        <f>IFERROR(XS_AnalyzerSummary!AK11,0)</f>
        <v>1.3599999999999994</v>
      </c>
      <c r="AE13" s="34">
        <f>IFERROR(XS_AnalyzerSummary!AW11,0)</f>
        <v>1.1247600000000018</v>
      </c>
      <c r="AF13" s="34">
        <f>IFERROR(XS_AnalyzerSummary!AK11,0)</f>
        <v>1.3599999999999994</v>
      </c>
      <c r="AG13" s="34">
        <f>IFERROR(XS_AnalyzerSummary!BF11,0)</f>
        <v>4.4119751444701185</v>
      </c>
    </row>
    <row r="14" spans="2:33">
      <c r="B14" s="29" t="str">
        <f>IF(ISERROR(XS_Analyzer_Calculations!B14),"",XS_Analyzer_Calculations!B14)</f>
        <v/>
      </c>
      <c r="C14" s="29" t="str">
        <f>IF(ISERROR(XS_Analyzer_Calculations!C14),"",XS_Analyzer_Calculations!C14)</f>
        <v/>
      </c>
      <c r="D14" s="29" t="str">
        <f>IF(ISERROR(Data!D11),"",Data!D11)</f>
        <v/>
      </c>
      <c r="E14" s="2" t="str">
        <f>IF(F14&lt;&gt;"",IF(ISERROR(XS_Analyzer_Calculations!AH14),"",XS_Analyzer_Calculations!AH14),"")</f>
        <v/>
      </c>
      <c r="F14" s="2" t="str">
        <f>IF(IF(ISERROR(XS_Analyzer_Calculations!AF14),"",XS_Analyzer_Calculations!AF14)&lt;&gt;MAX($F$4:$F13),IF(ISERROR(XS_Analyzer_Calculations!AF14),"",XS_Analyzer_Calculations!AF14),"")</f>
        <v/>
      </c>
      <c r="G14" s="44" t="str">
        <f>IF(F14&lt;&gt;"",IF(ISERROR(XS_Analyzer_Calculations!W14),"",XS_Analyzer_Calculations!W14),"")</f>
        <v/>
      </c>
      <c r="H14" s="2" t="str">
        <f>IF(ISERROR(XS_Analyzer_Calculations!AE14),"",XS_Analyzer_Calculations!AE14)</f>
        <v/>
      </c>
      <c r="I14" s="44" t="str">
        <f>IF(ISERROR(XS_Analyzer_Calculations!W14),"",XS_Analyzer_Calculations!W14)</f>
        <v/>
      </c>
      <c r="J14" s="44" t="str">
        <f>IF(K14&lt;&gt;"",IF(ISERROR(XS_Analyzer_Calculations!AL14:AL114),"",XS_Analyzer_Calculations!AL14:AL114),"")</f>
        <v/>
      </c>
      <c r="K14" s="29" t="str">
        <f>IF(IF(ISERROR(XS_Analyzer_Calculations!AJ14:AJ114),"",XS_Analyzer_Calculations!AJ14:AJ114)&lt;&gt;MAX($K$4:$K13),IF(ISERROR(XS_Analyzer_Calculations!AJ14:AJ114),"",XS_Analyzer_Calculations!AJ14:AJ114),"")</f>
        <v/>
      </c>
      <c r="L14" s="58" t="str">
        <f>IF(K14&lt;&gt;"",IF(ISERROR(XS_Analyzer_Calculations!X14:X114),"",XS_Analyzer_Calculations!X14:X114),"")</f>
        <v/>
      </c>
      <c r="M14" s="29" t="str">
        <f>IF(ISERROR(XS_Analyzer_Calculations!AI14:AI114),"",XS_Analyzer_Calculations!AI14:AI114)</f>
        <v/>
      </c>
      <c r="N14" s="29" t="str">
        <f>IF(ISERROR(XS_Analyzer_Calculations!X14:X114),"",XS_Analyzer_Calculations!X14:X114)</f>
        <v/>
      </c>
      <c r="X14" s="29" t="str">
        <f>IF(OR(ISERROR(XS_Analyzer_Calculations!BG13),B14="",ISERROR(XS_Analyzer_Calculations!BN13)),"",XS_Analyzer_Calculations!BN13)</f>
        <v/>
      </c>
      <c r="Y14" s="29" t="str">
        <f>IF(OR(ISERROR(XS_Analyzer_Calculations!BG13),X14=""),"",XS_Analyzer_Calculations!BH13)</f>
        <v/>
      </c>
      <c r="Z14" s="29" t="str">
        <f>IF(OR(ISERROR(XS_Analyzer_Calculations!BG13),X14=""),"",XS_Analyzer_Calculations!$O$18)</f>
        <v/>
      </c>
      <c r="AB14" s="34">
        <f>IFERROR(XS_AnalyzerSummary!AK12,0)</f>
        <v>1.4049999999999994</v>
      </c>
      <c r="AC14" s="34">
        <f>IFERROR(XS_AnalyzerSummary!AV12,0)</f>
        <v>2.2228342777445431</v>
      </c>
      <c r="AD14" s="34">
        <f>IFERROR(XS_AnalyzerSummary!AK12,0)</f>
        <v>1.4049999999999994</v>
      </c>
      <c r="AE14" s="34">
        <f>IFERROR(XS_AnalyzerSummary!AW12,0)</f>
        <v>1.1416080000000013</v>
      </c>
      <c r="AF14" s="34">
        <f>IFERROR(XS_AnalyzerSummary!AK12,0)</f>
        <v>1.4049999999999994</v>
      </c>
      <c r="AG14" s="34">
        <f>IFERROR(XS_AnalyzerSummary!BF12,0)</f>
        <v>4.4803479866494014</v>
      </c>
    </row>
    <row r="15" spans="2:33">
      <c r="B15" s="29" t="str">
        <f>IF(ISERROR(XS_Analyzer_Calculations!B15),"",XS_Analyzer_Calculations!B15)</f>
        <v/>
      </c>
      <c r="C15" s="29" t="str">
        <f>IF(ISERROR(XS_Analyzer_Calculations!C15),"",XS_Analyzer_Calculations!C15)</f>
        <v/>
      </c>
      <c r="D15" s="29" t="str">
        <f>IF(ISERROR(Data!D12),"",Data!D12)</f>
        <v/>
      </c>
      <c r="E15" s="2" t="str">
        <f>IF(F15&lt;&gt;"",IF(ISERROR(XS_Analyzer_Calculations!AH15),"",XS_Analyzer_Calculations!AH15),"")</f>
        <v/>
      </c>
      <c r="F15" s="2" t="str">
        <f>IF(IF(ISERROR(XS_Analyzer_Calculations!AF15),"",XS_Analyzer_Calculations!AF15)&lt;&gt;MAX($F$4:$F14),IF(ISERROR(XS_Analyzer_Calculations!AF15),"",XS_Analyzer_Calculations!AF15),"")</f>
        <v/>
      </c>
      <c r="G15" s="44" t="str">
        <f>IF(F15&lt;&gt;"",IF(ISERROR(XS_Analyzer_Calculations!W15),"",XS_Analyzer_Calculations!W15),"")</f>
        <v/>
      </c>
      <c r="H15" s="2" t="str">
        <f>IF(ISERROR(XS_Analyzer_Calculations!AE15),"",XS_Analyzer_Calculations!AE15)</f>
        <v/>
      </c>
      <c r="I15" s="44" t="str">
        <f>IF(ISERROR(XS_Analyzer_Calculations!W15),"",XS_Analyzer_Calculations!W15)</f>
        <v/>
      </c>
      <c r="J15" s="44" t="str">
        <f>IF(K15&lt;&gt;"",IF(ISERROR(XS_Analyzer_Calculations!AL15:AL115),"",XS_Analyzer_Calculations!AL15:AL115),"")</f>
        <v/>
      </c>
      <c r="K15" s="29" t="str">
        <f>IF(IF(ISERROR(XS_Analyzer_Calculations!AJ15:AJ115),"",XS_Analyzer_Calculations!AJ15:AJ115)&lt;&gt;MAX($K$4:$K14),IF(ISERROR(XS_Analyzer_Calculations!AJ15:AJ115),"",XS_Analyzer_Calculations!AJ15:AJ115),"")</f>
        <v/>
      </c>
      <c r="L15" s="58" t="str">
        <f>IF(K15&lt;&gt;"",IF(ISERROR(XS_Analyzer_Calculations!X15:X115),"",XS_Analyzer_Calculations!X15:X115),"")</f>
        <v/>
      </c>
      <c r="M15" s="29" t="str">
        <f>IF(ISERROR(XS_Analyzer_Calculations!AI15:AI115),"",XS_Analyzer_Calculations!AI15:AI115)</f>
        <v/>
      </c>
      <c r="N15" s="29" t="str">
        <f>IF(ISERROR(XS_Analyzer_Calculations!X15:X115),"",XS_Analyzer_Calculations!X15:X115)</f>
        <v/>
      </c>
      <c r="X15" s="29" t="str">
        <f>IF(OR(ISERROR(XS_Analyzer_Calculations!BG14),B15="",ISERROR(XS_Analyzer_Calculations!BN14)),"",XS_Analyzer_Calculations!BN14)</f>
        <v/>
      </c>
      <c r="Y15" s="29" t="str">
        <f>IF(OR(ISERROR(XS_Analyzer_Calculations!BG14),X15=""),"",XS_Analyzer_Calculations!BH14)</f>
        <v/>
      </c>
      <c r="Z15" s="29" t="str">
        <f>IF(OR(ISERROR(XS_Analyzer_Calculations!BG14),X15=""),"",XS_Analyzer_Calculations!$O$18)</f>
        <v/>
      </c>
      <c r="AB15" s="34">
        <f>IFERROR(XS_AnalyzerSummary!AK13,0)</f>
        <v>1.4499999999999993</v>
      </c>
      <c r="AC15" s="34">
        <f>IFERROR(XS_AnalyzerSummary!AV13,0)</f>
        <v>2.2446507534912366</v>
      </c>
      <c r="AD15" s="34">
        <f>IFERROR(XS_AnalyzerSummary!AK13,0)</f>
        <v>1.4499999999999993</v>
      </c>
      <c r="AE15" s="34">
        <f>IFERROR(XS_AnalyzerSummary!AW13,0)</f>
        <v>1.1584560000000017</v>
      </c>
      <c r="AF15" s="34">
        <f>IFERROR(XS_AnalyzerSummary!AK13,0)</f>
        <v>1.4499999999999993</v>
      </c>
      <c r="AG15" s="34">
        <f>IFERROR(XS_AnalyzerSummary!BF13,0)</f>
        <v>4.5487629131361569</v>
      </c>
    </row>
    <row r="16" spans="2:33">
      <c r="B16" s="29" t="str">
        <f>IF(ISERROR(XS_Analyzer_Calculations!B16),"",XS_Analyzer_Calculations!B16)</f>
        <v/>
      </c>
      <c r="C16" s="29" t="str">
        <f>IF(ISERROR(XS_Analyzer_Calculations!C16),"",XS_Analyzer_Calculations!C16)</f>
        <v/>
      </c>
      <c r="D16" s="29" t="str">
        <f>IF(ISERROR(Data!D13),"",Data!D13)</f>
        <v/>
      </c>
      <c r="E16" s="2" t="str">
        <f>IF(F16&lt;&gt;"",IF(ISERROR(XS_Analyzer_Calculations!AH16),"",XS_Analyzer_Calculations!AH16),"")</f>
        <v/>
      </c>
      <c r="F16" s="2" t="str">
        <f>IF(IF(ISERROR(XS_Analyzer_Calculations!AF16),"",XS_Analyzer_Calculations!AF16)&lt;&gt;MAX($F$4:$F15),IF(ISERROR(XS_Analyzer_Calculations!AF16),"",XS_Analyzer_Calculations!AF16),"")</f>
        <v/>
      </c>
      <c r="G16" s="44" t="str">
        <f>IF(F16&lt;&gt;"",IF(ISERROR(XS_Analyzer_Calculations!W16),"",XS_Analyzer_Calculations!W16),"")</f>
        <v/>
      </c>
      <c r="H16" s="2" t="str">
        <f>IF(ISERROR(XS_Analyzer_Calculations!AE16),"",XS_Analyzer_Calculations!AE16)</f>
        <v/>
      </c>
      <c r="I16" s="44" t="str">
        <f>IF(ISERROR(XS_Analyzer_Calculations!W16),"",XS_Analyzer_Calculations!W16)</f>
        <v/>
      </c>
      <c r="J16" s="44" t="str">
        <f>IF(K16&lt;&gt;"",IF(ISERROR(XS_Analyzer_Calculations!AL16:AL116),"",XS_Analyzer_Calculations!AL16:AL116),"")</f>
        <v/>
      </c>
      <c r="K16" s="29" t="str">
        <f>IF(IF(ISERROR(XS_Analyzer_Calculations!AJ16:AJ116),"",XS_Analyzer_Calculations!AJ16:AJ116)&lt;&gt;MAX($K$4:$K15),IF(ISERROR(XS_Analyzer_Calculations!AJ16:AJ116),"",XS_Analyzer_Calculations!AJ16:AJ116),"")</f>
        <v/>
      </c>
      <c r="L16" s="58" t="str">
        <f>IF(K16&lt;&gt;"",IF(ISERROR(XS_Analyzer_Calculations!X16:X116),"",XS_Analyzer_Calculations!X16:X116),"")</f>
        <v/>
      </c>
      <c r="M16" s="29" t="str">
        <f>IF(ISERROR(XS_Analyzer_Calculations!AI16:AI116),"",XS_Analyzer_Calculations!AI16:AI116)</f>
        <v/>
      </c>
      <c r="N16" s="29" t="str">
        <f>IF(ISERROR(XS_Analyzer_Calculations!X16:X116),"",XS_Analyzer_Calculations!X16:X116)</f>
        <v/>
      </c>
      <c r="X16" s="29" t="str">
        <f>IF(OR(ISERROR(XS_Analyzer_Calculations!BG15),B16="",ISERROR(XS_Analyzer_Calculations!BN15)),"",XS_Analyzer_Calculations!BN15)</f>
        <v/>
      </c>
      <c r="Y16" s="29" t="str">
        <f>IF(OR(ISERROR(XS_Analyzer_Calculations!BG15),X16=""),"",XS_Analyzer_Calculations!BH15)</f>
        <v/>
      </c>
      <c r="Z16" s="29" t="str">
        <f>IF(OR(ISERROR(XS_Analyzer_Calculations!BG15),X16=""),"",XS_Analyzer_Calculations!$O$18)</f>
        <v/>
      </c>
      <c r="AB16" s="34">
        <f>IFERROR(XS_AnalyzerSummary!AK14,0)</f>
        <v>1.4949999999999992</v>
      </c>
      <c r="AC16" s="34">
        <f>IFERROR(XS_AnalyzerSummary!AV14,0)</f>
        <v>2.2663617182467233</v>
      </c>
      <c r="AD16" s="34">
        <f>IFERROR(XS_AnalyzerSummary!AK14,0)</f>
        <v>1.4949999999999992</v>
      </c>
      <c r="AE16" s="34">
        <f>IFERROR(XS_AnalyzerSummary!AW14,0)</f>
        <v>1.1753040000000012</v>
      </c>
      <c r="AF16" s="34">
        <f>IFERROR(XS_AnalyzerSummary!AK14,0)</f>
        <v>1.4949999999999992</v>
      </c>
      <c r="AG16" s="34">
        <f>IFERROR(XS_AnalyzerSummary!BF14,0)</f>
        <v>4.6172193415993279</v>
      </c>
    </row>
    <row r="17" spans="2:33">
      <c r="B17" s="29" t="str">
        <f>IF(ISERROR(XS_Analyzer_Calculations!B17),"",XS_Analyzer_Calculations!B17)</f>
        <v/>
      </c>
      <c r="C17" s="29" t="str">
        <f>IF(ISERROR(XS_Analyzer_Calculations!C17),"",XS_Analyzer_Calculations!C17)</f>
        <v/>
      </c>
      <c r="D17" s="29" t="str">
        <f>IF(ISERROR(Data!D14),"",Data!D14)</f>
        <v/>
      </c>
      <c r="E17" s="2" t="str">
        <f>IF(F17&lt;&gt;"",IF(ISERROR(XS_Analyzer_Calculations!AH17),"",XS_Analyzer_Calculations!AH17),"")</f>
        <v/>
      </c>
      <c r="F17" s="2" t="str">
        <f>IF(IF(ISERROR(XS_Analyzer_Calculations!AF17),"",XS_Analyzer_Calculations!AF17)&lt;&gt;MAX($F$4:$F16),IF(ISERROR(XS_Analyzer_Calculations!AF17),"",XS_Analyzer_Calculations!AF17),"")</f>
        <v/>
      </c>
      <c r="G17" s="44" t="str">
        <f>IF(F17&lt;&gt;"",IF(ISERROR(XS_Analyzer_Calculations!W17),"",XS_Analyzer_Calculations!W17),"")</f>
        <v/>
      </c>
      <c r="H17" s="2" t="str">
        <f>IF(ISERROR(XS_Analyzer_Calculations!AE17),"",XS_Analyzer_Calculations!AE17)</f>
        <v/>
      </c>
      <c r="I17" s="44" t="str">
        <f>IF(ISERROR(XS_Analyzer_Calculations!W17),"",XS_Analyzer_Calculations!W17)</f>
        <v/>
      </c>
      <c r="J17" s="44" t="str">
        <f>IF(K17&lt;&gt;"",IF(ISERROR(XS_Analyzer_Calculations!AL17:AL117),"",XS_Analyzer_Calculations!AL17:AL117),"")</f>
        <v/>
      </c>
      <c r="K17" s="29" t="str">
        <f>IF(IF(ISERROR(XS_Analyzer_Calculations!AJ17:AJ117),"",XS_Analyzer_Calculations!AJ17:AJ117)&lt;&gt;MAX($K$4:$K16),IF(ISERROR(XS_Analyzer_Calculations!AJ17:AJ117),"",XS_Analyzer_Calculations!AJ17:AJ117),"")</f>
        <v/>
      </c>
      <c r="L17" s="58" t="str">
        <f>IF(K17&lt;&gt;"",IF(ISERROR(XS_Analyzer_Calculations!X17:X117),"",XS_Analyzer_Calculations!X17:X117),"")</f>
        <v/>
      </c>
      <c r="M17" s="29" t="str">
        <f>IF(ISERROR(XS_Analyzer_Calculations!AI17:AI117),"",XS_Analyzer_Calculations!AI17:AI117)</f>
        <v/>
      </c>
      <c r="N17" s="29" t="str">
        <f>IF(ISERROR(XS_Analyzer_Calculations!X17:X117),"",XS_Analyzer_Calculations!X17:X117)</f>
        <v/>
      </c>
      <c r="X17" s="29" t="str">
        <f>IF(OR(ISERROR(XS_Analyzer_Calculations!BG16),B17="",ISERROR(XS_Analyzer_Calculations!BN16)),"",XS_Analyzer_Calculations!BN16)</f>
        <v/>
      </c>
      <c r="Y17" s="29" t="str">
        <f>IF(OR(ISERROR(XS_Analyzer_Calculations!BG16),X17=""),"",XS_Analyzer_Calculations!BH16)</f>
        <v/>
      </c>
      <c r="Z17" s="29" t="str">
        <f>IF(OR(ISERROR(XS_Analyzer_Calculations!BG16),X17=""),"",XS_Analyzer_Calculations!$O$18)</f>
        <v/>
      </c>
      <c r="AB17" s="34">
        <f>IFERROR(XS_AnalyzerSummary!AK15,0)</f>
        <v>1.5399999999999991</v>
      </c>
      <c r="AC17" s="34">
        <f>IFERROR(XS_AnalyzerSummary!AV15,0)</f>
        <v>2.287969184007776</v>
      </c>
      <c r="AD17" s="34">
        <f>IFERROR(XS_AnalyzerSummary!AK15,0)</f>
        <v>1.5399999999999991</v>
      </c>
      <c r="AE17" s="34">
        <f>IFERROR(XS_AnalyzerSummary!AW15,0)</f>
        <v>1.1921520000000017</v>
      </c>
      <c r="AF17" s="34">
        <f>IFERROR(XS_AnalyzerSummary!AK15,0)</f>
        <v>1.5399999999999991</v>
      </c>
      <c r="AG17" s="34">
        <f>IFERROR(XS_AnalyzerSummary!BF15,0)</f>
        <v>4.685716705942915</v>
      </c>
    </row>
    <row r="18" spans="2:33">
      <c r="B18" s="29" t="str">
        <f>IF(ISERROR(XS_Analyzer_Calculations!B18),"",XS_Analyzer_Calculations!B18)</f>
        <v/>
      </c>
      <c r="C18" s="29" t="str">
        <f>IF(ISERROR(XS_Analyzer_Calculations!C18),"",XS_Analyzer_Calculations!C18)</f>
        <v/>
      </c>
      <c r="D18" s="29" t="str">
        <f>IF(ISERROR(Data!D15),"",Data!D15)</f>
        <v/>
      </c>
      <c r="E18" s="2" t="str">
        <f>IF(F18&lt;&gt;"",IF(ISERROR(XS_Analyzer_Calculations!AH18),"",XS_Analyzer_Calculations!AH18),"")</f>
        <v/>
      </c>
      <c r="F18" s="2" t="str">
        <f>IF(IF(ISERROR(XS_Analyzer_Calculations!AF18),"",XS_Analyzer_Calculations!AF18)&lt;&gt;MAX($F$4:$F17),IF(ISERROR(XS_Analyzer_Calculations!AF18),"",XS_Analyzer_Calculations!AF18),"")</f>
        <v/>
      </c>
      <c r="G18" s="44" t="str">
        <f>IF(F18&lt;&gt;"",IF(ISERROR(XS_Analyzer_Calculations!W18),"",XS_Analyzer_Calculations!W18),"")</f>
        <v/>
      </c>
      <c r="H18" s="2" t="str">
        <f>IF(ISERROR(XS_Analyzer_Calculations!AE18),"",XS_Analyzer_Calculations!AE18)</f>
        <v/>
      </c>
      <c r="I18" s="44" t="str">
        <f>IF(ISERROR(XS_Analyzer_Calculations!W18),"",XS_Analyzer_Calculations!W18)</f>
        <v/>
      </c>
      <c r="J18" s="44" t="str">
        <f>IF(K18&lt;&gt;"",IF(ISERROR(XS_Analyzer_Calculations!AL18:AL118),"",XS_Analyzer_Calculations!AL18:AL118),"")</f>
        <v/>
      </c>
      <c r="K18" s="29" t="str">
        <f>IF(IF(ISERROR(XS_Analyzer_Calculations!AJ18:AJ118),"",XS_Analyzer_Calculations!AJ18:AJ118)&lt;&gt;MAX($K$4:$K17),IF(ISERROR(XS_Analyzer_Calculations!AJ18:AJ118),"",XS_Analyzer_Calculations!AJ18:AJ118),"")</f>
        <v/>
      </c>
      <c r="L18" s="58" t="str">
        <f>IF(K18&lt;&gt;"",IF(ISERROR(XS_Analyzer_Calculations!X18:X118),"",XS_Analyzer_Calculations!X18:X118),"")</f>
        <v/>
      </c>
      <c r="M18" s="29" t="str">
        <f>IF(ISERROR(XS_Analyzer_Calculations!AI18:AI118),"",XS_Analyzer_Calculations!AI18:AI118)</f>
        <v/>
      </c>
      <c r="N18" s="29" t="str">
        <f>IF(ISERROR(XS_Analyzer_Calculations!X18:X118),"",XS_Analyzer_Calculations!X18:X118)</f>
        <v/>
      </c>
      <c r="X18" s="29" t="str">
        <f>IF(OR(ISERROR(XS_Analyzer_Calculations!BG17),B18="",ISERROR(XS_Analyzer_Calculations!BN17)),"",XS_Analyzer_Calculations!BN17)</f>
        <v/>
      </c>
      <c r="Y18" s="29" t="str">
        <f>IF(OR(ISERROR(XS_Analyzer_Calculations!BG17),X18=""),"",XS_Analyzer_Calculations!BH17)</f>
        <v/>
      </c>
      <c r="Z18" s="29" t="str">
        <f>IF(OR(ISERROR(XS_Analyzer_Calculations!BG17),X18=""),"",XS_Analyzer_Calculations!$O$18)</f>
        <v/>
      </c>
      <c r="AB18" s="34">
        <f>IFERROR(XS_AnalyzerSummary!AK16,0)</f>
        <v>1.5849999999999991</v>
      </c>
      <c r="AC18" s="34">
        <f>IFERROR(XS_AnalyzerSummary!AV16,0)</f>
        <v>2.3094750965739528</v>
      </c>
      <c r="AD18" s="34">
        <f>IFERROR(XS_AnalyzerSummary!AK16,0)</f>
        <v>1.5849999999999991</v>
      </c>
      <c r="AE18" s="34">
        <f>IFERROR(XS_AnalyzerSummary!AW16,0)</f>
        <v>1.2090000000000014</v>
      </c>
      <c r="AF18" s="34">
        <f>IFERROR(XS_AnalyzerSummary!AK16,0)</f>
        <v>1.5849999999999991</v>
      </c>
      <c r="AG18" s="34">
        <f>IFERROR(XS_AnalyzerSummary!BF16,0)</f>
        <v>4.7542544556317639</v>
      </c>
    </row>
    <row r="19" spans="2:33">
      <c r="B19" s="29" t="str">
        <f>IF(ISERROR(XS_Analyzer_Calculations!B19),"",XS_Analyzer_Calculations!B19)</f>
        <v/>
      </c>
      <c r="C19" s="29" t="str">
        <f>IF(ISERROR(XS_Analyzer_Calculations!C19),"",XS_Analyzer_Calculations!C19)</f>
        <v/>
      </c>
      <c r="D19" s="29" t="str">
        <f>IF(ISERROR(Data!D16),"",Data!D16)</f>
        <v/>
      </c>
      <c r="E19" s="2" t="str">
        <f>IF(F19&lt;&gt;"",IF(ISERROR(XS_Analyzer_Calculations!AH19),"",XS_Analyzer_Calculations!AH19),"")</f>
        <v/>
      </c>
      <c r="F19" s="2" t="str">
        <f>IF(IF(ISERROR(XS_Analyzer_Calculations!AF19),"",XS_Analyzer_Calculations!AF19)&lt;&gt;MAX($F$4:$F18),IF(ISERROR(XS_Analyzer_Calculations!AF19),"",XS_Analyzer_Calculations!AF19),"")</f>
        <v/>
      </c>
      <c r="G19" s="44" t="str">
        <f>IF(F19&lt;&gt;"",IF(ISERROR(XS_Analyzer_Calculations!W19),"",XS_Analyzer_Calculations!W19),"")</f>
        <v/>
      </c>
      <c r="H19" s="2" t="str">
        <f>IF(ISERROR(XS_Analyzer_Calculations!AE19),"",XS_Analyzer_Calculations!AE19)</f>
        <v/>
      </c>
      <c r="I19" s="44" t="str">
        <f>IF(ISERROR(XS_Analyzer_Calculations!W19),"",XS_Analyzer_Calculations!W19)</f>
        <v/>
      </c>
      <c r="J19" s="44" t="str">
        <f>IF(K19&lt;&gt;"",IF(ISERROR(XS_Analyzer_Calculations!AL19:AL119),"",XS_Analyzer_Calculations!AL19:AL119),"")</f>
        <v/>
      </c>
      <c r="K19" s="29" t="str">
        <f>IF(IF(ISERROR(XS_Analyzer_Calculations!AJ19:AJ119),"",XS_Analyzer_Calculations!AJ19:AJ119)&lt;&gt;MAX($K$4:$K18),IF(ISERROR(XS_Analyzer_Calculations!AJ19:AJ119),"",XS_Analyzer_Calculations!AJ19:AJ119),"")</f>
        <v/>
      </c>
      <c r="L19" s="58" t="str">
        <f>IF(K19&lt;&gt;"",IF(ISERROR(XS_Analyzer_Calculations!X19:X119),"",XS_Analyzer_Calculations!X19:X119),"")</f>
        <v/>
      </c>
      <c r="M19" s="29" t="str">
        <f>IF(ISERROR(XS_Analyzer_Calculations!AI19:AI119),"",XS_Analyzer_Calculations!AI19:AI119)</f>
        <v/>
      </c>
      <c r="N19" s="29" t="str">
        <f>IF(ISERROR(XS_Analyzer_Calculations!X19:X119),"",XS_Analyzer_Calculations!X19:X119)</f>
        <v/>
      </c>
      <c r="X19" s="29" t="str">
        <f>IF(OR(ISERROR(XS_Analyzer_Calculations!BG18),B19="",ISERROR(XS_Analyzer_Calculations!BN18)),"",XS_Analyzer_Calculations!BN18)</f>
        <v/>
      </c>
      <c r="Y19" s="29" t="str">
        <f>IF(OR(ISERROR(XS_Analyzer_Calculations!BG18),X19=""),"",XS_Analyzer_Calculations!BH18)</f>
        <v/>
      </c>
      <c r="Z19" s="29" t="str">
        <f>IF(OR(ISERROR(XS_Analyzer_Calculations!BG18),X19=""),"",XS_Analyzer_Calculations!$O$18)</f>
        <v/>
      </c>
      <c r="AB19" s="34">
        <f>IFERROR(XS_AnalyzerSummary!AK17,0)</f>
        <v>1.629999999999999</v>
      </c>
      <c r="AC19" s="34">
        <f>IFERROR(XS_AnalyzerSummary!AV17,0)</f>
        <v>2.3308813386158098</v>
      </c>
      <c r="AD19" s="34">
        <f>IFERROR(XS_AnalyzerSummary!AK17,0)</f>
        <v>1.629999999999999</v>
      </c>
      <c r="AE19" s="34">
        <f>IFERROR(XS_AnalyzerSummary!AW17,0)</f>
        <v>1.2258480000000018</v>
      </c>
      <c r="AF19" s="34">
        <f>IFERROR(XS_AnalyzerSummary!AK17,0)</f>
        <v>1.629999999999999</v>
      </c>
      <c r="AG19" s="34">
        <f>IFERROR(XS_AnalyzerSummary!BF17,0)</f>
        <v>4.8228320550543007</v>
      </c>
    </row>
    <row r="20" spans="2:33">
      <c r="B20" s="29" t="str">
        <f>IF(ISERROR(XS_Analyzer_Calculations!B20),"",XS_Analyzer_Calculations!B20)</f>
        <v/>
      </c>
      <c r="C20" s="29" t="str">
        <f>IF(ISERROR(XS_Analyzer_Calculations!C20),"",XS_Analyzer_Calculations!C20)</f>
        <v/>
      </c>
      <c r="D20" s="29" t="str">
        <f>IF(ISERROR(Data!D17),"",Data!D17)</f>
        <v/>
      </c>
      <c r="E20" s="2" t="str">
        <f>IF(F20&lt;&gt;"",IF(ISERROR(XS_Analyzer_Calculations!AH20),"",XS_Analyzer_Calculations!AH20),"")</f>
        <v/>
      </c>
      <c r="F20" s="2" t="str">
        <f>IF(IF(ISERROR(XS_Analyzer_Calculations!AF20),"",XS_Analyzer_Calculations!AF20)&lt;&gt;MAX($F$4:$F19),IF(ISERROR(XS_Analyzer_Calculations!AF20),"",XS_Analyzer_Calculations!AF20),"")</f>
        <v/>
      </c>
      <c r="G20" s="44" t="str">
        <f>IF(F20&lt;&gt;"",IF(ISERROR(XS_Analyzer_Calculations!W20),"",XS_Analyzer_Calculations!W20),"")</f>
        <v/>
      </c>
      <c r="H20" s="2" t="str">
        <f>IF(ISERROR(XS_Analyzer_Calculations!AE20),"",XS_Analyzer_Calculations!AE20)</f>
        <v/>
      </c>
      <c r="I20" s="44" t="str">
        <f>IF(ISERROR(XS_Analyzer_Calculations!W20),"",XS_Analyzer_Calculations!W20)</f>
        <v/>
      </c>
      <c r="J20" s="44" t="str">
        <f>IF(K20&lt;&gt;"",IF(ISERROR(XS_Analyzer_Calculations!AL20:AL120),"",XS_Analyzer_Calculations!AL20:AL120),"")</f>
        <v/>
      </c>
      <c r="K20" s="29" t="str">
        <f>IF(IF(ISERROR(XS_Analyzer_Calculations!AJ20:AJ120),"",XS_Analyzer_Calculations!AJ20:AJ120)&lt;&gt;MAX($K$4:$K19),IF(ISERROR(XS_Analyzer_Calculations!AJ20:AJ120),"",XS_Analyzer_Calculations!AJ20:AJ120),"")</f>
        <v/>
      </c>
      <c r="L20" s="58" t="str">
        <f>IF(K20&lt;&gt;"",IF(ISERROR(XS_Analyzer_Calculations!X20:X120),"",XS_Analyzer_Calculations!X20:X120),"")</f>
        <v/>
      </c>
      <c r="M20" s="29" t="str">
        <f>IF(ISERROR(XS_Analyzer_Calculations!AI20:AI120),"",XS_Analyzer_Calculations!AI20:AI120)</f>
        <v/>
      </c>
      <c r="N20" s="29" t="str">
        <f>IF(ISERROR(XS_Analyzer_Calculations!X20:X120),"",XS_Analyzer_Calculations!X20:X120)</f>
        <v/>
      </c>
      <c r="X20" s="29" t="str">
        <f>IF(OR(ISERROR(XS_Analyzer_Calculations!BG19),B20="",ISERROR(XS_Analyzer_Calculations!BN19)),"",XS_Analyzer_Calculations!BN19)</f>
        <v/>
      </c>
      <c r="Y20" s="29" t="str">
        <f>IF(OR(ISERROR(XS_Analyzer_Calculations!BG19),X20=""),"",XS_Analyzer_Calculations!BH19)</f>
        <v/>
      </c>
      <c r="Z20" s="29" t="str">
        <f>IF(OR(ISERROR(XS_Analyzer_Calculations!BG19),X20=""),"",XS_Analyzer_Calculations!$O$18)</f>
        <v/>
      </c>
      <c r="AB20" s="34">
        <f>IFERROR(XS_AnalyzerSummary!AK18,0)</f>
        <v>1.6749999999999989</v>
      </c>
      <c r="AC20" s="34">
        <f>IFERROR(XS_AnalyzerSummary!AV18,0)</f>
        <v>2.352189732560761</v>
      </c>
      <c r="AD20" s="34">
        <f>IFERROR(XS_AnalyzerSummary!AK18,0)</f>
        <v>1.6749999999999989</v>
      </c>
      <c r="AE20" s="34">
        <f>IFERROR(XS_AnalyzerSummary!AW18,0)</f>
        <v>1.2426960000000014</v>
      </c>
      <c r="AF20" s="34">
        <f>IFERROR(XS_AnalyzerSummary!AK18,0)</f>
        <v>1.6749999999999989</v>
      </c>
      <c r="AG20" s="34">
        <f>IFERROR(XS_AnalyzerSummary!BF18,0)</f>
        <v>4.8914489829197016</v>
      </c>
    </row>
    <row r="21" spans="2:33">
      <c r="B21" s="29" t="str">
        <f>IF(ISERROR(XS_Analyzer_Calculations!B21),"",XS_Analyzer_Calculations!B21)</f>
        <v/>
      </c>
      <c r="C21" s="29" t="str">
        <f>IF(ISERROR(XS_Analyzer_Calculations!C21),"",XS_Analyzer_Calculations!C21)</f>
        <v/>
      </c>
      <c r="D21" s="29" t="str">
        <f>IF(ISERROR(Data!D18),"",Data!D18)</f>
        <v/>
      </c>
      <c r="E21" s="2" t="str">
        <f>IF(F21&lt;&gt;"",IF(ISERROR(XS_Analyzer_Calculations!AH21),"",XS_Analyzer_Calculations!AH21),"")</f>
        <v/>
      </c>
      <c r="F21" s="2" t="str">
        <f>IF(IF(ISERROR(XS_Analyzer_Calculations!AF21),"",XS_Analyzer_Calculations!AF21)&lt;&gt;MAX($F$4:$F20),IF(ISERROR(XS_Analyzer_Calculations!AF21),"",XS_Analyzer_Calculations!AF21),"")</f>
        <v/>
      </c>
      <c r="G21" s="44" t="str">
        <f>IF(F21&lt;&gt;"",IF(ISERROR(XS_Analyzer_Calculations!W21),"",XS_Analyzer_Calculations!W21),"")</f>
        <v/>
      </c>
      <c r="H21" s="2" t="str">
        <f>IF(ISERROR(XS_Analyzer_Calculations!AE21),"",XS_Analyzer_Calculations!AE21)</f>
        <v/>
      </c>
      <c r="I21" s="44" t="str">
        <f>IF(ISERROR(XS_Analyzer_Calculations!W21),"",XS_Analyzer_Calculations!W21)</f>
        <v/>
      </c>
      <c r="J21" s="44" t="str">
        <f>IF(K21&lt;&gt;"",IF(ISERROR(XS_Analyzer_Calculations!AL21:AL121),"",XS_Analyzer_Calculations!AL21:AL121),"")</f>
        <v/>
      </c>
      <c r="K21" s="29" t="str">
        <f>IF(IF(ISERROR(XS_Analyzer_Calculations!AJ21:AJ121),"",XS_Analyzer_Calculations!AJ21:AJ121)&lt;&gt;MAX($K$4:$K20),IF(ISERROR(XS_Analyzer_Calculations!AJ21:AJ121),"",XS_Analyzer_Calculations!AJ21:AJ121),"")</f>
        <v/>
      </c>
      <c r="L21" s="58" t="str">
        <f>IF(K21&lt;&gt;"",IF(ISERROR(XS_Analyzer_Calculations!X21:X121),"",XS_Analyzer_Calculations!X21:X121),"")</f>
        <v/>
      </c>
      <c r="M21" s="29" t="str">
        <f>IF(ISERROR(XS_Analyzer_Calculations!AI21:AI121),"",XS_Analyzer_Calculations!AI21:AI121)</f>
        <v/>
      </c>
      <c r="N21" s="29" t="str">
        <f>IF(ISERROR(XS_Analyzer_Calculations!X21:X121),"",XS_Analyzer_Calculations!X21:X121)</f>
        <v/>
      </c>
      <c r="X21" s="29" t="str">
        <f>IF(OR(ISERROR(XS_Analyzer_Calculations!BG20),B21="",ISERROR(XS_Analyzer_Calculations!BN20)),"",XS_Analyzer_Calculations!BN20)</f>
        <v/>
      </c>
      <c r="Y21" s="29" t="str">
        <f>IF(OR(ISERROR(XS_Analyzer_Calculations!BG20),X21=""),"",XS_Analyzer_Calculations!BH20)</f>
        <v/>
      </c>
      <c r="Z21" s="29" t="str">
        <f>IF(OR(ISERROR(XS_Analyzer_Calculations!BG20),X21=""),"",XS_Analyzer_Calculations!$O$18)</f>
        <v/>
      </c>
      <c r="AB21" s="34">
        <f>IFERROR(XS_AnalyzerSummary!AK19,0)</f>
        <v>1.7199999999999989</v>
      </c>
      <c r="AC21" s="34">
        <f>IFERROR(XS_AnalyzerSummary!AV19,0)</f>
        <v>2.373402043309766</v>
      </c>
      <c r="AD21" s="34">
        <f>IFERROR(XS_AnalyzerSummary!AK19,0)</f>
        <v>1.7199999999999989</v>
      </c>
      <c r="AE21" s="34">
        <f>IFERROR(XS_AnalyzerSummary!AW19,0)</f>
        <v>1.2595440000000016</v>
      </c>
      <c r="AF21" s="34">
        <f>IFERROR(XS_AnalyzerSummary!AK19,0)</f>
        <v>1.7199999999999989</v>
      </c>
      <c r="AG21" s="34">
        <f>IFERROR(XS_AnalyzerSummary!BF19,0)</f>
        <v>4.9601047316872267</v>
      </c>
    </row>
    <row r="22" spans="2:33">
      <c r="B22" s="29" t="str">
        <f>IF(ISERROR(XS_Analyzer_Calculations!B22),"",XS_Analyzer_Calculations!B22)</f>
        <v/>
      </c>
      <c r="C22" s="29" t="str">
        <f>IF(ISERROR(XS_Analyzer_Calculations!C22),"",XS_Analyzer_Calculations!C22)</f>
        <v/>
      </c>
      <c r="D22" s="29" t="str">
        <f>IF(ISERROR(Data!D19),"",Data!D19)</f>
        <v/>
      </c>
      <c r="E22" s="2" t="str">
        <f>IF(F22&lt;&gt;"",IF(ISERROR(XS_Analyzer_Calculations!AH22),"",XS_Analyzer_Calculations!AH22),"")</f>
        <v/>
      </c>
      <c r="F22" s="2" t="str">
        <f>IF(IF(ISERROR(XS_Analyzer_Calculations!AF22),"",XS_Analyzer_Calculations!AF22)&lt;&gt;MAX($F$4:$F21),IF(ISERROR(XS_Analyzer_Calculations!AF22),"",XS_Analyzer_Calculations!AF22),"")</f>
        <v/>
      </c>
      <c r="G22" s="44" t="str">
        <f>IF(F22&lt;&gt;"",IF(ISERROR(XS_Analyzer_Calculations!W22),"",XS_Analyzer_Calculations!W22),"")</f>
        <v/>
      </c>
      <c r="H22" s="2" t="str">
        <f>IF(ISERROR(XS_Analyzer_Calculations!AE22),"",XS_Analyzer_Calculations!AE22)</f>
        <v/>
      </c>
      <c r="I22" s="44" t="str">
        <f>IF(ISERROR(XS_Analyzer_Calculations!W22),"",XS_Analyzer_Calculations!W22)</f>
        <v/>
      </c>
      <c r="J22" s="44" t="str">
        <f>IF(K22&lt;&gt;"",IF(ISERROR(XS_Analyzer_Calculations!AL22:AL122),"",XS_Analyzer_Calculations!AL22:AL122),"")</f>
        <v/>
      </c>
      <c r="K22" s="29" t="str">
        <f>IF(IF(ISERROR(XS_Analyzer_Calculations!AJ22:AJ122),"",XS_Analyzer_Calculations!AJ22:AJ122)&lt;&gt;MAX($K$4:$K21),IF(ISERROR(XS_Analyzer_Calculations!AJ22:AJ122),"",XS_Analyzer_Calculations!AJ22:AJ122),"")</f>
        <v/>
      </c>
      <c r="L22" s="58" t="str">
        <f>IF(K22&lt;&gt;"",IF(ISERROR(XS_Analyzer_Calculations!X22:X122),"",XS_Analyzer_Calculations!X22:X122),"")</f>
        <v/>
      </c>
      <c r="M22" s="29" t="str">
        <f>IF(ISERROR(XS_Analyzer_Calculations!AI22:AI122),"",XS_Analyzer_Calculations!AI22:AI122)</f>
        <v/>
      </c>
      <c r="N22" s="29" t="str">
        <f>IF(ISERROR(XS_Analyzer_Calculations!X22:X122),"",XS_Analyzer_Calculations!X22:X122)</f>
        <v/>
      </c>
      <c r="X22" s="29" t="str">
        <f>IF(OR(ISERROR(XS_Analyzer_Calculations!BG21),B22="",ISERROR(XS_Analyzer_Calculations!BN21)),"",XS_Analyzer_Calculations!BN21)</f>
        <v/>
      </c>
      <c r="Y22" s="29" t="str">
        <f>IF(OR(ISERROR(XS_Analyzer_Calculations!BG21),X22=""),"",XS_Analyzer_Calculations!BH21)</f>
        <v/>
      </c>
      <c r="Z22" s="29" t="str">
        <f>IF(OR(ISERROR(XS_Analyzer_Calculations!BG21),X22=""),"",XS_Analyzer_Calculations!$O$18)</f>
        <v/>
      </c>
      <c r="AB22" s="34">
        <f>IFERROR(XS_AnalyzerSummary!AK20,0)</f>
        <v>1.7649999999999988</v>
      </c>
      <c r="AC22" s="34">
        <f>IFERROR(XS_AnalyzerSummary!AV20,0)</f>
        <v>2.3945199807968591</v>
      </c>
      <c r="AD22" s="34">
        <f>IFERROR(XS_AnalyzerSummary!AK20,0)</f>
        <v>1.7649999999999988</v>
      </c>
      <c r="AE22" s="34">
        <f>IFERROR(XS_AnalyzerSummary!AW20,0)</f>
        <v>1.2763920000000015</v>
      </c>
      <c r="AF22" s="34">
        <f>IFERROR(XS_AnalyzerSummary!AK20,0)</f>
        <v>1.7649999999999988</v>
      </c>
      <c r="AG22" s="34">
        <f>IFERROR(XS_AnalyzerSummary!BF20,0)</f>
        <v>5.0287988070255611</v>
      </c>
    </row>
    <row r="23" spans="2:33">
      <c r="B23" s="29" t="str">
        <f>IF(ISERROR(XS_Analyzer_Calculations!B23),"",XS_Analyzer_Calculations!B23)</f>
        <v/>
      </c>
      <c r="C23" s="29" t="str">
        <f>IF(ISERROR(XS_Analyzer_Calculations!C23),"",XS_Analyzer_Calculations!C23)</f>
        <v/>
      </c>
      <c r="D23" s="29" t="str">
        <f>IF(ISERROR(Data!D20),"",Data!D20)</f>
        <v/>
      </c>
      <c r="E23" s="2" t="str">
        <f>IF(F23&lt;&gt;"",IF(ISERROR(XS_Analyzer_Calculations!AH23),"",XS_Analyzer_Calculations!AH23),"")</f>
        <v/>
      </c>
      <c r="F23" s="2" t="str">
        <f>IF(IF(ISERROR(XS_Analyzer_Calculations!AF23),"",XS_Analyzer_Calculations!AF23)&lt;&gt;MAX($F$4:$F22),IF(ISERROR(XS_Analyzer_Calculations!AF23),"",XS_Analyzer_Calculations!AF23),"")</f>
        <v/>
      </c>
      <c r="G23" s="44" t="str">
        <f>IF(F23&lt;&gt;"",IF(ISERROR(XS_Analyzer_Calculations!W23),"",XS_Analyzer_Calculations!W23),"")</f>
        <v/>
      </c>
      <c r="H23" s="2" t="str">
        <f>IF(ISERROR(XS_Analyzer_Calculations!AE23),"",XS_Analyzer_Calculations!AE23)</f>
        <v/>
      </c>
      <c r="I23" s="44" t="str">
        <f>IF(ISERROR(XS_Analyzer_Calculations!W23),"",XS_Analyzer_Calculations!W23)</f>
        <v/>
      </c>
      <c r="J23" s="44" t="str">
        <f>IF(K23&lt;&gt;"",IF(ISERROR(XS_Analyzer_Calculations!AL23:AL123),"",XS_Analyzer_Calculations!AL23:AL123),"")</f>
        <v/>
      </c>
      <c r="K23" s="29" t="str">
        <f>IF(IF(ISERROR(XS_Analyzer_Calculations!AJ23:AJ123),"",XS_Analyzer_Calculations!AJ23:AJ123)&lt;&gt;MAX($K$4:$K22),IF(ISERROR(XS_Analyzer_Calculations!AJ23:AJ123),"",XS_Analyzer_Calculations!AJ23:AJ123),"")</f>
        <v/>
      </c>
      <c r="L23" s="58" t="str">
        <f>IF(K23&lt;&gt;"",IF(ISERROR(XS_Analyzer_Calculations!X23:X123),"",XS_Analyzer_Calculations!X23:X123),"")</f>
        <v/>
      </c>
      <c r="M23" s="29" t="str">
        <f>IF(ISERROR(XS_Analyzer_Calculations!AI23:AI123),"",XS_Analyzer_Calculations!AI23:AI123)</f>
        <v/>
      </c>
      <c r="N23" s="29" t="str">
        <f>IF(ISERROR(XS_Analyzer_Calculations!X23:X123),"",XS_Analyzer_Calculations!X23:X123)</f>
        <v/>
      </c>
      <c r="X23" s="29" t="str">
        <f>IF(OR(ISERROR(XS_Analyzer_Calculations!BG22),B23="",ISERROR(XS_Analyzer_Calculations!BN22)),"",XS_Analyzer_Calculations!BN22)</f>
        <v/>
      </c>
      <c r="Y23" s="29" t="str">
        <f>IF(OR(ISERROR(XS_Analyzer_Calculations!BG22),X23=""),"",XS_Analyzer_Calculations!BH22)</f>
        <v/>
      </c>
      <c r="Z23" s="29" t="str">
        <f>IF(OR(ISERROR(XS_Analyzer_Calculations!BG22),X23=""),"",XS_Analyzer_Calculations!$O$18)</f>
        <v/>
      </c>
      <c r="AB23" s="34">
        <f>IFERROR(XS_AnalyzerSummary!AK21,0)</f>
        <v>1.8099999999999987</v>
      </c>
      <c r="AC23" s="34">
        <f>IFERROR(XS_AnalyzerSummary!AV21,0)</f>
        <v>2.4155452024026012</v>
      </c>
      <c r="AD23" s="34">
        <f>IFERROR(XS_AnalyzerSummary!AK21,0)</f>
        <v>1.8099999999999987</v>
      </c>
      <c r="AE23" s="34">
        <f>IFERROR(XS_AnalyzerSummary!AW21,0)</f>
        <v>1.2932400000000015</v>
      </c>
      <c r="AF23" s="34">
        <f>IFERROR(XS_AnalyzerSummary!AK21,0)</f>
        <v>1.8099999999999987</v>
      </c>
      <c r="AG23" s="34">
        <f>IFERROR(XS_AnalyzerSummary!BF21,0)</f>
        <v>5.0975307273002413</v>
      </c>
    </row>
    <row r="24" spans="2:33">
      <c r="B24" s="29" t="str">
        <f>IF(ISERROR(XS_Analyzer_Calculations!B24),"",XS_Analyzer_Calculations!B24)</f>
        <v/>
      </c>
      <c r="C24" s="29" t="str">
        <f>IF(ISERROR(XS_Analyzer_Calculations!C24),"",XS_Analyzer_Calculations!C24)</f>
        <v/>
      </c>
      <c r="D24" s="29" t="str">
        <f>IF(ISERROR(Data!D21),"",Data!D21)</f>
        <v/>
      </c>
      <c r="E24" s="2" t="str">
        <f>IF(F24&lt;&gt;"",IF(ISERROR(XS_Analyzer_Calculations!AH24),"",XS_Analyzer_Calculations!AH24),"")</f>
        <v/>
      </c>
      <c r="F24" s="2" t="str">
        <f>IF(IF(ISERROR(XS_Analyzer_Calculations!AF24),"",XS_Analyzer_Calculations!AF24)&lt;&gt;MAX($F$4:$F23),IF(ISERROR(XS_Analyzer_Calculations!AF24),"",XS_Analyzer_Calculations!AF24),"")</f>
        <v/>
      </c>
      <c r="G24" s="44" t="str">
        <f>IF(F24&lt;&gt;"",IF(ISERROR(XS_Analyzer_Calculations!W24),"",XS_Analyzer_Calculations!W24),"")</f>
        <v/>
      </c>
      <c r="H24" s="2" t="str">
        <f>IF(ISERROR(XS_Analyzer_Calculations!AE24),"",XS_Analyzer_Calculations!AE24)</f>
        <v/>
      </c>
      <c r="I24" s="44" t="str">
        <f>IF(ISERROR(XS_Analyzer_Calculations!W24),"",XS_Analyzer_Calculations!W24)</f>
        <v/>
      </c>
      <c r="J24" s="44" t="str">
        <f>IF(K24&lt;&gt;"",IF(ISERROR(XS_Analyzer_Calculations!AL24:AL124),"",XS_Analyzer_Calculations!AL24:AL124),"")</f>
        <v/>
      </c>
      <c r="K24" s="29" t="str">
        <f>IF(IF(ISERROR(XS_Analyzer_Calculations!AJ24:AJ124),"",XS_Analyzer_Calculations!AJ24:AJ124)&lt;&gt;MAX($K$4:$K23),IF(ISERROR(XS_Analyzer_Calculations!AJ24:AJ124),"",XS_Analyzer_Calculations!AJ24:AJ124),"")</f>
        <v/>
      </c>
      <c r="L24" s="58" t="str">
        <f>IF(K24&lt;&gt;"",IF(ISERROR(XS_Analyzer_Calculations!X24:X124),"",XS_Analyzer_Calculations!X24:X124),"")</f>
        <v/>
      </c>
      <c r="M24" s="29" t="str">
        <f>IF(ISERROR(XS_Analyzer_Calculations!AI24:AI124),"",XS_Analyzer_Calculations!AI24:AI124)</f>
        <v/>
      </c>
      <c r="N24" s="29" t="str">
        <f>IF(ISERROR(XS_Analyzer_Calculations!X24:X124),"",XS_Analyzer_Calculations!X24:X124)</f>
        <v/>
      </c>
      <c r="X24" s="29" t="str">
        <f>IF(OR(ISERROR(XS_Analyzer_Calculations!BG23),B24="",ISERROR(XS_Analyzer_Calculations!BN23)),"",XS_Analyzer_Calculations!BN23)</f>
        <v/>
      </c>
      <c r="Y24" s="29" t="str">
        <f>IF(OR(ISERROR(XS_Analyzer_Calculations!BG23),X24=""),"",XS_Analyzer_Calculations!BH23)</f>
        <v/>
      </c>
      <c r="Z24" s="29" t="str">
        <f>IF(OR(ISERROR(XS_Analyzer_Calculations!BG23),X24=""),"",XS_Analyzer_Calculations!$O$18)</f>
        <v/>
      </c>
      <c r="AB24" s="34">
        <f>IFERROR(XS_AnalyzerSummary!AK22,0)</f>
        <v>1.8549999999999986</v>
      </c>
      <c r="AC24" s="34">
        <f>IFERROR(XS_AnalyzerSummary!AV22,0)</f>
        <v>2.4364793152315372</v>
      </c>
      <c r="AD24" s="34">
        <f>IFERROR(XS_AnalyzerSummary!AK22,0)</f>
        <v>1.8549999999999986</v>
      </c>
      <c r="AE24" s="34">
        <f>IFERROR(XS_AnalyzerSummary!AW22,0)</f>
        <v>1.3100880000000013</v>
      </c>
      <c r="AF24" s="34">
        <f>IFERROR(XS_AnalyzerSummary!AK22,0)</f>
        <v>1.8549999999999986</v>
      </c>
      <c r="AG24" s="34">
        <f>IFERROR(XS_AnalyzerSummary!BF22,0)</f>
        <v>5.1663000230873379</v>
      </c>
    </row>
    <row r="25" spans="2:33">
      <c r="B25" s="29" t="str">
        <f>IF(ISERROR(XS_Analyzer_Calculations!B25),"",XS_Analyzer_Calculations!B25)</f>
        <v/>
      </c>
      <c r="C25" s="29" t="str">
        <f>IF(ISERROR(XS_Analyzer_Calculations!C25),"",XS_Analyzer_Calculations!C25)</f>
        <v/>
      </c>
      <c r="D25" s="29" t="str">
        <f>IF(ISERROR(Data!D22),"",Data!D22)</f>
        <v/>
      </c>
      <c r="E25" s="2" t="str">
        <f>IF(F25&lt;&gt;"",IF(ISERROR(XS_Analyzer_Calculations!AH25),"",XS_Analyzer_Calculations!AH25),"")</f>
        <v/>
      </c>
      <c r="F25" s="2" t="str">
        <f>IF(IF(ISERROR(XS_Analyzer_Calculations!AF25),"",XS_Analyzer_Calculations!AF25)&lt;&gt;MAX($F$4:$F24),IF(ISERROR(XS_Analyzer_Calculations!AF25),"",XS_Analyzer_Calculations!AF25),"")</f>
        <v/>
      </c>
      <c r="G25" s="44" t="str">
        <f>IF(F25&lt;&gt;"",IF(ISERROR(XS_Analyzer_Calculations!W25),"",XS_Analyzer_Calculations!W25),"")</f>
        <v/>
      </c>
      <c r="H25" s="2" t="str">
        <f>IF(ISERROR(XS_Analyzer_Calculations!AE25),"",XS_Analyzer_Calculations!AE25)</f>
        <v/>
      </c>
      <c r="I25" s="44" t="str">
        <f>IF(ISERROR(XS_Analyzer_Calculations!W25),"",XS_Analyzer_Calculations!W25)</f>
        <v/>
      </c>
      <c r="J25" s="44" t="str">
        <f>IF(K25&lt;&gt;"",IF(ISERROR(XS_Analyzer_Calculations!AL25:AL125),"",XS_Analyzer_Calculations!AL25:AL125),"")</f>
        <v/>
      </c>
      <c r="K25" s="29" t="str">
        <f>IF(IF(ISERROR(XS_Analyzer_Calculations!AJ25:AJ125),"",XS_Analyzer_Calculations!AJ25:AJ125)&lt;&gt;MAX($K$4:$K24),IF(ISERROR(XS_Analyzer_Calculations!AJ25:AJ125),"",XS_Analyzer_Calculations!AJ25:AJ125),"")</f>
        <v/>
      </c>
      <c r="L25" s="58" t="str">
        <f>IF(K25&lt;&gt;"",IF(ISERROR(XS_Analyzer_Calculations!X25:X125),"",XS_Analyzer_Calculations!X25:X125),"")</f>
        <v/>
      </c>
      <c r="M25" s="29" t="str">
        <f>IF(ISERROR(XS_Analyzer_Calculations!AI25:AI125),"",XS_Analyzer_Calculations!AI25:AI125)</f>
        <v/>
      </c>
      <c r="N25" s="29" t="str">
        <f>IF(ISERROR(XS_Analyzer_Calculations!X25:X125),"",XS_Analyzer_Calculations!X25:X125)</f>
        <v/>
      </c>
      <c r="X25" s="29" t="str">
        <f>IF(OR(ISERROR(XS_Analyzer_Calculations!BG24),B25="",ISERROR(XS_Analyzer_Calculations!BN24)),"",XS_Analyzer_Calculations!BN24)</f>
        <v/>
      </c>
      <c r="Y25" s="29" t="str">
        <f>IF(OR(ISERROR(XS_Analyzer_Calculations!BG24),X25=""),"",XS_Analyzer_Calculations!BH24)</f>
        <v/>
      </c>
      <c r="Z25" s="29" t="str">
        <f>IF(OR(ISERROR(XS_Analyzer_Calculations!BG24),X25=""),"",XS_Analyzer_Calculations!$O$18)</f>
        <v/>
      </c>
      <c r="AB25" s="34">
        <f>IFERROR(XS_AnalyzerSummary!AK23,0)</f>
        <v>1.8999999999999986</v>
      </c>
      <c r="AC25" s="34">
        <f>IFERROR(XS_AnalyzerSummary!AV23,0)</f>
        <v>2.4573238782630171</v>
      </c>
      <c r="AD25" s="34">
        <f>IFERROR(XS_AnalyzerSummary!AK23,0)</f>
        <v>1.8999999999999986</v>
      </c>
      <c r="AE25" s="34">
        <f>IFERROR(XS_AnalyzerSummary!AW23,0)</f>
        <v>1.3269360000000017</v>
      </c>
      <c r="AF25" s="34">
        <f>IFERROR(XS_AnalyzerSummary!AK23,0)</f>
        <v>1.8999999999999986</v>
      </c>
      <c r="AG25" s="34">
        <f>IFERROR(XS_AnalyzerSummary!BF23,0)</f>
        <v>5.2351062367117667</v>
      </c>
    </row>
    <row r="26" spans="2:33">
      <c r="B26" s="29" t="str">
        <f>IF(ISERROR(XS_Analyzer_Calculations!B26),"",XS_Analyzer_Calculations!B26)</f>
        <v/>
      </c>
      <c r="C26" s="29" t="str">
        <f>IF(ISERROR(XS_Analyzer_Calculations!C26),"",XS_Analyzer_Calculations!C26)</f>
        <v/>
      </c>
      <c r="D26" s="29" t="str">
        <f>IF(ISERROR(Data!D23),"",Data!D23)</f>
        <v/>
      </c>
      <c r="E26" s="2" t="str">
        <f>IF(F26&lt;&gt;"",IF(ISERROR(XS_Analyzer_Calculations!AH26),"",XS_Analyzer_Calculations!AH26),"")</f>
        <v/>
      </c>
      <c r="F26" s="2" t="str">
        <f>IF(IF(ISERROR(XS_Analyzer_Calculations!AF26),"",XS_Analyzer_Calculations!AF26)&lt;&gt;MAX($F$4:$F25),IF(ISERROR(XS_Analyzer_Calculations!AF26),"",XS_Analyzer_Calculations!AF26),"")</f>
        <v/>
      </c>
      <c r="G26" s="44" t="str">
        <f>IF(F26&lt;&gt;"",IF(ISERROR(XS_Analyzer_Calculations!W26),"",XS_Analyzer_Calculations!W26),"")</f>
        <v/>
      </c>
      <c r="H26" s="2" t="str">
        <f>IF(ISERROR(XS_Analyzer_Calculations!AE26),"",XS_Analyzer_Calculations!AE26)</f>
        <v/>
      </c>
      <c r="I26" s="44" t="str">
        <f>IF(ISERROR(XS_Analyzer_Calculations!W26),"",XS_Analyzer_Calculations!W26)</f>
        <v/>
      </c>
      <c r="J26" s="44" t="str">
        <f>IF(K26&lt;&gt;"",IF(ISERROR(XS_Analyzer_Calculations!AL26:AL126),"",XS_Analyzer_Calculations!AL26:AL126),"")</f>
        <v/>
      </c>
      <c r="K26" s="29" t="str">
        <f>IF(IF(ISERROR(XS_Analyzer_Calculations!AJ26:AJ126),"",XS_Analyzer_Calculations!AJ26:AJ126)&lt;&gt;MAX($K$4:$K25),IF(ISERROR(XS_Analyzer_Calculations!AJ26:AJ126),"",XS_Analyzer_Calculations!AJ26:AJ126),"")</f>
        <v/>
      </c>
      <c r="L26" s="58" t="str">
        <f>IF(K26&lt;&gt;"",IF(ISERROR(XS_Analyzer_Calculations!X26:X126),"",XS_Analyzer_Calculations!X26:X126),"")</f>
        <v/>
      </c>
      <c r="M26" s="29" t="str">
        <f>IF(ISERROR(XS_Analyzer_Calculations!AI26:AI126),"",XS_Analyzer_Calculations!AI26:AI126)</f>
        <v/>
      </c>
      <c r="N26" s="29" t="str">
        <f>IF(ISERROR(XS_Analyzer_Calculations!X26:X126),"",XS_Analyzer_Calculations!X26:X126)</f>
        <v/>
      </c>
      <c r="X26" s="29" t="str">
        <f>IF(OR(ISERROR(XS_Analyzer_Calculations!BG25),B26="",ISERROR(XS_Analyzer_Calculations!BN25)),"",XS_Analyzer_Calculations!BN25)</f>
        <v/>
      </c>
      <c r="Y26" s="29" t="str">
        <f>IF(OR(ISERROR(XS_Analyzer_Calculations!BG25),X26=""),"",XS_Analyzer_Calculations!BH25)</f>
        <v/>
      </c>
      <c r="Z26" s="29" t="str">
        <f>IF(OR(ISERROR(XS_Analyzer_Calculations!BG25),X26=""),"",XS_Analyzer_Calculations!$O$18)</f>
        <v/>
      </c>
      <c r="AB26" s="34">
        <f>IFERROR(XS_AnalyzerSummary!AK24,0)</f>
        <v>1.9449999999999985</v>
      </c>
      <c r="AC26" s="34">
        <f>IFERROR(XS_AnalyzerSummary!AV24,0)</f>
        <v>2.4780804043838884</v>
      </c>
      <c r="AD26" s="34">
        <f>IFERROR(XS_AnalyzerSummary!AK24,0)</f>
        <v>1.9449999999999985</v>
      </c>
      <c r="AE26" s="34">
        <f>IFERROR(XS_AnalyzerSummary!AW24,0)</f>
        <v>1.3437840000000014</v>
      </c>
      <c r="AF26" s="34">
        <f>IFERROR(XS_AnalyzerSummary!AK24,0)</f>
        <v>1.9449999999999985</v>
      </c>
      <c r="AG26" s="34">
        <f>IFERROR(XS_AnalyzerSummary!BF24,0)</f>
        <v>5.3039489218086429</v>
      </c>
    </row>
    <row r="27" spans="2:33">
      <c r="B27" s="29" t="str">
        <f>IF(ISERROR(XS_Analyzer_Calculations!B27),"",XS_Analyzer_Calculations!B27)</f>
        <v/>
      </c>
      <c r="C27" s="29" t="str">
        <f>IF(ISERROR(XS_Analyzer_Calculations!C27),"",XS_Analyzer_Calculations!C27)</f>
        <v/>
      </c>
      <c r="D27" s="29" t="str">
        <f>IF(ISERROR(Data!D24),"",Data!D24)</f>
        <v/>
      </c>
      <c r="E27" s="2" t="str">
        <f>IF(F27&lt;&gt;"",IF(ISERROR(XS_Analyzer_Calculations!AH27),"",XS_Analyzer_Calculations!AH27),"")</f>
        <v/>
      </c>
      <c r="F27" s="2" t="str">
        <f>IF(IF(ISERROR(XS_Analyzer_Calculations!AF27),"",XS_Analyzer_Calculations!AF27)&lt;&gt;MAX($F$4:$F26),IF(ISERROR(XS_Analyzer_Calculations!AF27),"",XS_Analyzer_Calculations!AF27),"")</f>
        <v/>
      </c>
      <c r="G27" s="44" t="str">
        <f>IF(F27&lt;&gt;"",IF(ISERROR(XS_Analyzer_Calculations!W27),"",XS_Analyzer_Calculations!W27),"")</f>
        <v/>
      </c>
      <c r="H27" s="2" t="str">
        <f>IF(ISERROR(XS_Analyzer_Calculations!AE27),"",XS_Analyzer_Calculations!AE27)</f>
        <v/>
      </c>
      <c r="I27" s="44" t="str">
        <f>IF(ISERROR(XS_Analyzer_Calculations!W27),"",XS_Analyzer_Calculations!W27)</f>
        <v/>
      </c>
      <c r="J27" s="44" t="str">
        <f>IF(K27&lt;&gt;"",IF(ISERROR(XS_Analyzer_Calculations!AL27:AL127),"",XS_Analyzer_Calculations!AL27:AL127),"")</f>
        <v/>
      </c>
      <c r="K27" s="29" t="str">
        <f>IF(IF(ISERROR(XS_Analyzer_Calculations!AJ27:AJ127),"",XS_Analyzer_Calculations!AJ27:AJ127)&lt;&gt;MAX($K$4:$K26),IF(ISERROR(XS_Analyzer_Calculations!AJ27:AJ127),"",XS_Analyzer_Calculations!AJ27:AJ127),"")</f>
        <v/>
      </c>
      <c r="L27" s="58" t="str">
        <f>IF(K27&lt;&gt;"",IF(ISERROR(XS_Analyzer_Calculations!X27:X127),"",XS_Analyzer_Calculations!X27:X127),"")</f>
        <v/>
      </c>
      <c r="M27" s="29" t="str">
        <f>IF(ISERROR(XS_Analyzer_Calculations!AI27:AI127),"",XS_Analyzer_Calculations!AI27:AI127)</f>
        <v/>
      </c>
      <c r="N27" s="29" t="str">
        <f>IF(ISERROR(XS_Analyzer_Calculations!X27:X127),"",XS_Analyzer_Calculations!X27:X127)</f>
        <v/>
      </c>
      <c r="X27" s="29" t="str">
        <f>IF(OR(ISERROR(XS_Analyzer_Calculations!BG26),B27="",ISERROR(XS_Analyzer_Calculations!BN26)),"",XS_Analyzer_Calculations!BN26)</f>
        <v/>
      </c>
      <c r="Y27" s="29" t="str">
        <f>IF(OR(ISERROR(XS_Analyzer_Calculations!BG26),X27=""),"",XS_Analyzer_Calculations!BH26)</f>
        <v/>
      </c>
      <c r="Z27" s="29" t="str">
        <f>IF(OR(ISERROR(XS_Analyzer_Calculations!BG26),X27=""),"",XS_Analyzer_Calculations!$O$18)</f>
        <v/>
      </c>
      <c r="AB27" s="34">
        <f>IFERROR(XS_AnalyzerSummary!AK25,0)</f>
        <v>1.9899999999999984</v>
      </c>
      <c r="AC27" s="34">
        <f>IFERROR(XS_AnalyzerSummary!AV25,0)</f>
        <v>2.4987503623109921</v>
      </c>
      <c r="AD27" s="34">
        <f>IFERROR(XS_AnalyzerSummary!AK25,0)</f>
        <v>1.9899999999999984</v>
      </c>
      <c r="AE27" s="34">
        <f>IFERROR(XS_AnalyzerSummary!AW25,0)</f>
        <v>1.3606320000000016</v>
      </c>
      <c r="AF27" s="34">
        <f>IFERROR(XS_AnalyzerSummary!AK25,0)</f>
        <v>1.9899999999999984</v>
      </c>
      <c r="AG27" s="34">
        <f>IFERROR(XS_AnalyzerSummary!BF25,0)</f>
        <v>5.3728276429062767</v>
      </c>
    </row>
    <row r="28" spans="2:33">
      <c r="B28" s="29" t="str">
        <f>IF(ISERROR(XS_Analyzer_Calculations!B28),"",XS_Analyzer_Calculations!B28)</f>
        <v/>
      </c>
      <c r="C28" s="29" t="str">
        <f>IF(ISERROR(XS_Analyzer_Calculations!C28),"",XS_Analyzer_Calculations!C28)</f>
        <v/>
      </c>
      <c r="D28" s="29" t="str">
        <f>IF(ISERROR(Data!D25),"",Data!D25)</f>
        <v/>
      </c>
      <c r="E28" s="2" t="str">
        <f>IF(F28&lt;&gt;"",IF(ISERROR(XS_Analyzer_Calculations!AH28),"",XS_Analyzer_Calculations!AH28),"")</f>
        <v/>
      </c>
      <c r="F28" s="2" t="str">
        <f>IF(IF(ISERROR(XS_Analyzer_Calculations!AF28),"",XS_Analyzer_Calculations!AF28)&lt;&gt;MAX($F$4:$F27),IF(ISERROR(XS_Analyzer_Calculations!AF28),"",XS_Analyzer_Calculations!AF28),"")</f>
        <v/>
      </c>
      <c r="G28" s="44" t="str">
        <f>IF(F28&lt;&gt;"",IF(ISERROR(XS_Analyzer_Calculations!W28),"",XS_Analyzer_Calculations!W28),"")</f>
        <v/>
      </c>
      <c r="H28" s="2" t="str">
        <f>IF(ISERROR(XS_Analyzer_Calculations!AE28),"",XS_Analyzer_Calculations!AE28)</f>
        <v/>
      </c>
      <c r="I28" s="44" t="str">
        <f>IF(ISERROR(XS_Analyzer_Calculations!W28),"",XS_Analyzer_Calculations!W28)</f>
        <v/>
      </c>
      <c r="J28" s="44" t="str">
        <f>IF(K28&lt;&gt;"",IF(ISERROR(XS_Analyzer_Calculations!AL28:AL128),"",XS_Analyzer_Calculations!AL28:AL128),"")</f>
        <v/>
      </c>
      <c r="K28" s="29" t="str">
        <f>IF(IF(ISERROR(XS_Analyzer_Calculations!AJ28:AJ128),"",XS_Analyzer_Calculations!AJ28:AJ128)&lt;&gt;MAX($K$4:$K27),IF(ISERROR(XS_Analyzer_Calculations!AJ28:AJ128),"",XS_Analyzer_Calculations!AJ28:AJ128),"")</f>
        <v/>
      </c>
      <c r="L28" s="58" t="str">
        <f>IF(K28&lt;&gt;"",IF(ISERROR(XS_Analyzer_Calculations!X28:X128),"",XS_Analyzer_Calculations!X28:X128),"")</f>
        <v/>
      </c>
      <c r="M28" s="29" t="str">
        <f>IF(ISERROR(XS_Analyzer_Calculations!AI28:AI128),"",XS_Analyzer_Calculations!AI28:AI128)</f>
        <v/>
      </c>
      <c r="N28" s="29" t="str">
        <f>IF(ISERROR(XS_Analyzer_Calculations!X28:X128),"",XS_Analyzer_Calculations!X28:X128)</f>
        <v/>
      </c>
      <c r="X28" s="29" t="str">
        <f>IF(OR(ISERROR(XS_Analyzer_Calculations!BG27),B28="",ISERROR(XS_Analyzer_Calculations!BN27)),"",XS_Analyzer_Calculations!BN27)</f>
        <v/>
      </c>
      <c r="Y28" s="29" t="str">
        <f>IF(OR(ISERROR(XS_Analyzer_Calculations!BG27),X28=""),"",XS_Analyzer_Calculations!BH27)</f>
        <v/>
      </c>
      <c r="Z28" s="29" t="str">
        <f>IF(OR(ISERROR(XS_Analyzer_Calculations!BG27),X28=""),"",XS_Analyzer_Calculations!$O$18)</f>
        <v/>
      </c>
      <c r="AB28" s="34">
        <f>IFERROR(XS_AnalyzerSummary!AK26,0)</f>
        <v>2.0349999999999984</v>
      </c>
      <c r="AC28" s="34">
        <f>IFERROR(XS_AnalyzerSummary!AV26,0)</f>
        <v>2.5193351784106861</v>
      </c>
      <c r="AD28" s="34">
        <f>IFERROR(XS_AnalyzerSummary!AK26,0)</f>
        <v>2.0349999999999984</v>
      </c>
      <c r="AE28" s="34">
        <f>IFERROR(XS_AnalyzerSummary!AW26,0)</f>
        <v>1.3774800000000014</v>
      </c>
      <c r="AF28" s="34">
        <f>IFERROR(XS_AnalyzerSummary!AK26,0)</f>
        <v>2.0349999999999984</v>
      </c>
      <c r="AG28" s="34">
        <f>IFERROR(XS_AnalyzerSummary!BF26,0)</f>
        <v>5.4417419750295126</v>
      </c>
    </row>
    <row r="29" spans="2:33">
      <c r="B29" s="29" t="str">
        <f>IF(ISERROR(XS_Analyzer_Calculations!B29),"",XS_Analyzer_Calculations!B29)</f>
        <v/>
      </c>
      <c r="C29" s="29" t="str">
        <f>IF(ISERROR(XS_Analyzer_Calculations!C29),"",XS_Analyzer_Calculations!C29)</f>
        <v/>
      </c>
      <c r="D29" s="29" t="str">
        <f>IF(ISERROR(Data!D26),"",Data!D26)</f>
        <v/>
      </c>
      <c r="E29" s="2" t="str">
        <f>IF(F29&lt;&gt;"",IF(ISERROR(XS_Analyzer_Calculations!AH29),"",XS_Analyzer_Calculations!AH29),"")</f>
        <v/>
      </c>
      <c r="F29" s="2" t="str">
        <f>IF(IF(ISERROR(XS_Analyzer_Calculations!AF29),"",XS_Analyzer_Calculations!AF29)&lt;&gt;MAX($F$4:$F28),IF(ISERROR(XS_Analyzer_Calculations!AF29),"",XS_Analyzer_Calculations!AF29),"")</f>
        <v/>
      </c>
      <c r="G29" s="44" t="str">
        <f>IF(F29&lt;&gt;"",IF(ISERROR(XS_Analyzer_Calculations!W29),"",XS_Analyzer_Calculations!W29),"")</f>
        <v/>
      </c>
      <c r="H29" s="2" t="str">
        <f>IF(ISERROR(XS_Analyzer_Calculations!AE29),"",XS_Analyzer_Calculations!AE29)</f>
        <v/>
      </c>
      <c r="I29" s="44" t="str">
        <f>IF(ISERROR(XS_Analyzer_Calculations!W29),"",XS_Analyzer_Calculations!W29)</f>
        <v/>
      </c>
      <c r="J29" s="44" t="str">
        <f>IF(K29&lt;&gt;"",IF(ISERROR(XS_Analyzer_Calculations!AL29:AL129),"",XS_Analyzer_Calculations!AL29:AL129),"")</f>
        <v/>
      </c>
      <c r="K29" s="29" t="str">
        <f>IF(IF(ISERROR(XS_Analyzer_Calculations!AJ29:AJ129),"",XS_Analyzer_Calculations!AJ29:AJ129)&lt;&gt;MAX($K$4:$K28),IF(ISERROR(XS_Analyzer_Calculations!AJ29:AJ129),"",XS_Analyzer_Calculations!AJ29:AJ129),"")</f>
        <v/>
      </c>
      <c r="L29" s="58" t="str">
        <f>IF(K29&lt;&gt;"",IF(ISERROR(XS_Analyzer_Calculations!X29:X129),"",XS_Analyzer_Calculations!X29:X129),"")</f>
        <v/>
      </c>
      <c r="M29" s="29" t="str">
        <f>IF(ISERROR(XS_Analyzer_Calculations!AI29:AI129),"",XS_Analyzer_Calculations!AI29:AI129)</f>
        <v/>
      </c>
      <c r="N29" s="29" t="str">
        <f>IF(ISERROR(XS_Analyzer_Calculations!X29:X129),"",XS_Analyzer_Calculations!X29:X129)</f>
        <v/>
      </c>
      <c r="X29" s="29" t="str">
        <f>IF(OR(ISERROR(XS_Analyzer_Calculations!BG28),B29="",ISERROR(XS_Analyzer_Calculations!BN28)),"",XS_Analyzer_Calculations!BN28)</f>
        <v/>
      </c>
      <c r="Y29" s="29" t="str">
        <f>IF(OR(ISERROR(XS_Analyzer_Calculations!BG28),X29=""),"",XS_Analyzer_Calculations!BH28)</f>
        <v/>
      </c>
      <c r="Z29" s="29" t="str">
        <f>IF(OR(ISERROR(XS_Analyzer_Calculations!BG28),X29=""),"",XS_Analyzer_Calculations!$O$18)</f>
        <v/>
      </c>
      <c r="AB29" s="34">
        <f>IFERROR(XS_AnalyzerSummary!AK27,0)</f>
        <v>2.0799999999999983</v>
      </c>
      <c r="AC29" s="34">
        <f>IFERROR(XS_AnalyzerSummary!AV27,0)</f>
        <v>2.5398362384221298</v>
      </c>
      <c r="AD29" s="34">
        <f>IFERROR(XS_AnalyzerSummary!AK27,0)</f>
        <v>2.0799999999999983</v>
      </c>
      <c r="AE29" s="34">
        <f>IFERROR(XS_AnalyzerSummary!AW27,0)</f>
        <v>1.3943280000000016</v>
      </c>
      <c r="AF29" s="34">
        <f>IFERROR(XS_AnalyzerSummary!AK27,0)</f>
        <v>2.0799999999999983</v>
      </c>
      <c r="AG29" s="34">
        <f>IFERROR(XS_AnalyzerSummary!BF27,0)</f>
        <v>5.5106915033221302</v>
      </c>
    </row>
    <row r="30" spans="2:33">
      <c r="B30" s="29" t="str">
        <f>IF(ISERROR(XS_Analyzer_Calculations!B30),"",XS_Analyzer_Calculations!B30)</f>
        <v/>
      </c>
      <c r="C30" s="29" t="str">
        <f>IF(ISERROR(XS_Analyzer_Calculations!C30),"",XS_Analyzer_Calculations!C30)</f>
        <v/>
      </c>
      <c r="D30" s="29" t="str">
        <f>IF(ISERROR(Data!D27),"",Data!D27)</f>
        <v/>
      </c>
      <c r="E30" s="2" t="str">
        <f>IF(F30&lt;&gt;"",IF(ISERROR(XS_Analyzer_Calculations!AH30),"",XS_Analyzer_Calculations!AH30),"")</f>
        <v/>
      </c>
      <c r="F30" s="2" t="str">
        <f>IF(IF(ISERROR(XS_Analyzer_Calculations!AF30),"",XS_Analyzer_Calculations!AF30)&lt;&gt;MAX($F$4:$F29),IF(ISERROR(XS_Analyzer_Calculations!AF30),"",XS_Analyzer_Calculations!AF30),"")</f>
        <v/>
      </c>
      <c r="G30" s="44" t="str">
        <f>IF(F30&lt;&gt;"",IF(ISERROR(XS_Analyzer_Calculations!W30),"",XS_Analyzer_Calculations!W30),"")</f>
        <v/>
      </c>
      <c r="H30" s="2" t="str">
        <f>IF(ISERROR(XS_Analyzer_Calculations!AE30),"",XS_Analyzer_Calculations!AE30)</f>
        <v/>
      </c>
      <c r="I30" s="44" t="str">
        <f>IF(ISERROR(XS_Analyzer_Calculations!W30),"",XS_Analyzer_Calculations!W30)</f>
        <v/>
      </c>
      <c r="J30" s="44" t="str">
        <f>IF(K30&lt;&gt;"",IF(ISERROR(XS_Analyzer_Calculations!AL30:AL130),"",XS_Analyzer_Calculations!AL30:AL130),"")</f>
        <v/>
      </c>
      <c r="K30" s="29" t="str">
        <f>IF(IF(ISERROR(XS_Analyzer_Calculations!AJ30:AJ130),"",XS_Analyzer_Calculations!AJ30:AJ130)&lt;&gt;MAX($K$4:$K29),IF(ISERROR(XS_Analyzer_Calculations!AJ30:AJ130),"",XS_Analyzer_Calculations!AJ30:AJ130),"")</f>
        <v/>
      </c>
      <c r="L30" s="58" t="str">
        <f>IF(K30&lt;&gt;"",IF(ISERROR(XS_Analyzer_Calculations!X30:X130),"",XS_Analyzer_Calculations!X30:X130),"")</f>
        <v/>
      </c>
      <c r="M30" s="29" t="str">
        <f>IF(ISERROR(XS_Analyzer_Calculations!AI30:AI130),"",XS_Analyzer_Calculations!AI30:AI130)</f>
        <v/>
      </c>
      <c r="N30" s="29" t="str">
        <f>IF(ISERROR(XS_Analyzer_Calculations!X30:X130),"",XS_Analyzer_Calculations!X30:X130)</f>
        <v/>
      </c>
      <c r="X30" s="29" t="str">
        <f>IF(OR(ISERROR(XS_Analyzer_Calculations!BG29),B30="",ISERROR(XS_Analyzer_Calculations!BN29)),"",XS_Analyzer_Calculations!BN29)</f>
        <v/>
      </c>
      <c r="Y30" s="29" t="str">
        <f>IF(OR(ISERROR(XS_Analyzer_Calculations!BG29),X30=""),"",XS_Analyzer_Calculations!BH29)</f>
        <v/>
      </c>
      <c r="Z30" s="29" t="str">
        <f>IF(OR(ISERROR(XS_Analyzer_Calculations!BG29),X30=""),"",XS_Analyzer_Calculations!$O$18)</f>
        <v/>
      </c>
      <c r="AB30" s="34">
        <f>IFERROR(XS_AnalyzerSummary!AK28,0)</f>
        <v>2.1249999999999982</v>
      </c>
      <c r="AC30" s="34">
        <f>IFERROR(XS_AnalyzerSummary!AV28,0)</f>
        <v>2.5602548890904946</v>
      </c>
      <c r="AD30" s="34">
        <f>IFERROR(XS_AnalyzerSummary!AK28,0)</f>
        <v>2.1249999999999982</v>
      </c>
      <c r="AE30" s="34">
        <f>IFERROR(XS_AnalyzerSummary!AW28,0)</f>
        <v>1.4111760000000015</v>
      </c>
      <c r="AF30" s="34">
        <f>IFERROR(XS_AnalyzerSummary!AK28,0)</f>
        <v>2.1249999999999982</v>
      </c>
      <c r="AG30" s="34">
        <f>IFERROR(XS_AnalyzerSummary!BF28,0)</f>
        <v>5.5796758226872241</v>
      </c>
    </row>
    <row r="31" spans="2:33">
      <c r="B31" s="29" t="str">
        <f>IF(ISERROR(XS_Analyzer_Calculations!B31),"",XS_Analyzer_Calculations!B31)</f>
        <v/>
      </c>
      <c r="C31" s="29" t="str">
        <f>IF(ISERROR(XS_Analyzer_Calculations!C31),"",XS_Analyzer_Calculations!C31)</f>
        <v/>
      </c>
      <c r="D31" s="29" t="str">
        <f>IF(ISERROR(Data!D28),"",Data!D28)</f>
        <v/>
      </c>
      <c r="E31" s="2" t="str">
        <f>IF(F31&lt;&gt;"",IF(ISERROR(XS_Analyzer_Calculations!AH31),"",XS_Analyzer_Calculations!AH31),"")</f>
        <v/>
      </c>
      <c r="F31" s="2" t="str">
        <f>IF(IF(ISERROR(XS_Analyzer_Calculations!AF31),"",XS_Analyzer_Calculations!AF31)&lt;&gt;MAX($F$4:$F30),IF(ISERROR(XS_Analyzer_Calculations!AF31),"",XS_Analyzer_Calculations!AF31),"")</f>
        <v/>
      </c>
      <c r="G31" s="44" t="str">
        <f>IF(F31&lt;&gt;"",IF(ISERROR(XS_Analyzer_Calculations!W31),"",XS_Analyzer_Calculations!W31),"")</f>
        <v/>
      </c>
      <c r="H31" s="2" t="str">
        <f>IF(ISERROR(XS_Analyzer_Calculations!AE31),"",XS_Analyzer_Calculations!AE31)</f>
        <v/>
      </c>
      <c r="I31" s="44" t="str">
        <f>IF(ISERROR(XS_Analyzer_Calculations!W31),"",XS_Analyzer_Calculations!W31)</f>
        <v/>
      </c>
      <c r="J31" s="44" t="str">
        <f>IF(K31&lt;&gt;"",IF(ISERROR(XS_Analyzer_Calculations!AL31:AL131),"",XS_Analyzer_Calculations!AL31:AL131),"")</f>
        <v/>
      </c>
      <c r="K31" s="29" t="str">
        <f>IF(IF(ISERROR(XS_Analyzer_Calculations!AJ31:AJ131),"",XS_Analyzer_Calculations!AJ31:AJ131)&lt;&gt;MAX($K$4:$K30),IF(ISERROR(XS_Analyzer_Calculations!AJ31:AJ131),"",XS_Analyzer_Calculations!AJ31:AJ131),"")</f>
        <v/>
      </c>
      <c r="L31" s="58" t="str">
        <f>IF(K31&lt;&gt;"",IF(ISERROR(XS_Analyzer_Calculations!X31:X131),"",XS_Analyzer_Calculations!X31:X131),"")</f>
        <v/>
      </c>
      <c r="M31" s="29" t="str">
        <f>IF(ISERROR(XS_Analyzer_Calculations!AI31:AI131),"",XS_Analyzer_Calculations!AI31:AI131)</f>
        <v/>
      </c>
      <c r="N31" s="29" t="str">
        <f>IF(ISERROR(XS_Analyzer_Calculations!X31:X131),"",XS_Analyzer_Calculations!X31:X131)</f>
        <v/>
      </c>
      <c r="X31" s="29" t="str">
        <f>IF(OR(ISERROR(XS_Analyzer_Calculations!BG30),B31="",ISERROR(XS_Analyzer_Calculations!BN30)),"",XS_Analyzer_Calculations!BN30)</f>
        <v/>
      </c>
      <c r="Y31" s="29" t="str">
        <f>IF(OR(ISERROR(XS_Analyzer_Calculations!BG30),X31=""),"",XS_Analyzer_Calculations!BH30)</f>
        <v/>
      </c>
      <c r="Z31" s="29" t="str">
        <f>IF(OR(ISERROR(XS_Analyzer_Calculations!BG30),X31=""),"",XS_Analyzer_Calculations!$O$18)</f>
        <v/>
      </c>
      <c r="AB31" s="34">
        <f>IFERROR(XS_AnalyzerSummary!AK29,0)</f>
        <v>2.1699999999999982</v>
      </c>
      <c r="AC31" s="34">
        <f>IFERROR(XS_AnalyzerSummary!AV29,0)</f>
        <v>2.5805924397158537</v>
      </c>
      <c r="AD31" s="34">
        <f>IFERROR(XS_AnalyzerSummary!AK29,0)</f>
        <v>2.1699999999999982</v>
      </c>
      <c r="AE31" s="34">
        <f>IFERROR(XS_AnalyzerSummary!AW29,0)</f>
        <v>1.4280240000000015</v>
      </c>
      <c r="AF31" s="34">
        <f>IFERROR(XS_AnalyzerSummary!AK29,0)</f>
        <v>2.1699999999999982</v>
      </c>
      <c r="AG31" s="34">
        <f>IFERROR(XS_AnalyzerSummary!BF29,0)</f>
        <v>5.6486945374444719</v>
      </c>
    </row>
    <row r="32" spans="2:33">
      <c r="B32" s="29" t="str">
        <f>IF(ISERROR(XS_Analyzer_Calculations!B32),"",XS_Analyzer_Calculations!B32)</f>
        <v/>
      </c>
      <c r="C32" s="29" t="str">
        <f>IF(ISERROR(XS_Analyzer_Calculations!C32),"",XS_Analyzer_Calculations!C32)</f>
        <v/>
      </c>
      <c r="D32" s="29" t="str">
        <f>IF(ISERROR(Data!D29),"",Data!D29)</f>
        <v/>
      </c>
      <c r="E32" s="2" t="str">
        <f>IF(F32&lt;&gt;"",IF(ISERROR(XS_Analyzer_Calculations!AH32),"",XS_Analyzer_Calculations!AH32),"")</f>
        <v/>
      </c>
      <c r="F32" s="2" t="str">
        <f>IF(IF(ISERROR(XS_Analyzer_Calculations!AF32),"",XS_Analyzer_Calculations!AF32)&lt;&gt;MAX($F$4:$F31),IF(ISERROR(XS_Analyzer_Calculations!AF32),"",XS_Analyzer_Calculations!AF32),"")</f>
        <v/>
      </c>
      <c r="G32" s="44" t="str">
        <f>IF(F32&lt;&gt;"",IF(ISERROR(XS_Analyzer_Calculations!W32),"",XS_Analyzer_Calculations!W32),"")</f>
        <v/>
      </c>
      <c r="H32" s="2" t="str">
        <f>IF(ISERROR(XS_Analyzer_Calculations!AE32),"",XS_Analyzer_Calculations!AE32)</f>
        <v/>
      </c>
      <c r="I32" s="44" t="str">
        <f>IF(ISERROR(XS_Analyzer_Calculations!W32),"",XS_Analyzer_Calculations!W32)</f>
        <v/>
      </c>
      <c r="J32" s="44" t="str">
        <f>IF(K32&lt;&gt;"",IF(ISERROR(XS_Analyzer_Calculations!AL32:AL132),"",XS_Analyzer_Calculations!AL32:AL132),"")</f>
        <v/>
      </c>
      <c r="K32" s="29" t="str">
        <f>IF(IF(ISERROR(XS_Analyzer_Calculations!AJ32:AJ132),"",XS_Analyzer_Calculations!AJ32:AJ132)&lt;&gt;MAX($K$4:$K31),IF(ISERROR(XS_Analyzer_Calculations!AJ32:AJ132),"",XS_Analyzer_Calculations!AJ32:AJ132),"")</f>
        <v/>
      </c>
      <c r="L32" s="58" t="str">
        <f>IF(K32&lt;&gt;"",IF(ISERROR(XS_Analyzer_Calculations!X32:X132),"",XS_Analyzer_Calculations!X32:X132),"")</f>
        <v/>
      </c>
      <c r="M32" s="29" t="str">
        <f>IF(ISERROR(XS_Analyzer_Calculations!AI32:AI132),"",XS_Analyzer_Calculations!AI32:AI132)</f>
        <v/>
      </c>
      <c r="N32" s="29" t="str">
        <f>IF(ISERROR(XS_Analyzer_Calculations!X32:X132),"",XS_Analyzer_Calculations!X32:X132)</f>
        <v/>
      </c>
      <c r="X32" s="29" t="str">
        <f>IF(OR(ISERROR(XS_Analyzer_Calculations!BG31),B32="",ISERROR(XS_Analyzer_Calculations!BN31)),"",XS_Analyzer_Calculations!BN31)</f>
        <v/>
      </c>
      <c r="Y32" s="29" t="str">
        <f>IF(OR(ISERROR(XS_Analyzer_Calculations!BG31),X32=""),"",XS_Analyzer_Calculations!BH31)</f>
        <v/>
      </c>
      <c r="Z32" s="29" t="str">
        <f>IF(OR(ISERROR(XS_Analyzer_Calculations!BG31),X32=""),"",XS_Analyzer_Calculations!$O$18)</f>
        <v/>
      </c>
      <c r="AB32" s="34">
        <f>IFERROR(XS_AnalyzerSummary!AK30,0)</f>
        <v>2.2149999999999981</v>
      </c>
      <c r="AC32" s="34">
        <f>IFERROR(XS_AnalyzerSummary!AV30,0)</f>
        <v>2.6008501636230159</v>
      </c>
      <c r="AD32" s="34">
        <f>IFERROR(XS_AnalyzerSummary!AK30,0)</f>
        <v>2.2149999999999981</v>
      </c>
      <c r="AE32" s="34">
        <f>IFERROR(XS_AnalyzerSummary!AW30,0)</f>
        <v>1.4448720000000015</v>
      </c>
      <c r="AF32" s="34">
        <f>IFERROR(XS_AnalyzerSummary!AK30,0)</f>
        <v>2.2149999999999981</v>
      </c>
      <c r="AG32" s="34">
        <f>IFERROR(XS_AnalyzerSummary!BF30,0)</f>
        <v>5.7177472610033231</v>
      </c>
    </row>
    <row r="33" spans="2:33">
      <c r="B33" s="29" t="str">
        <f>IF(ISERROR(XS_Analyzer_Calculations!B33),"",XS_Analyzer_Calculations!B33)</f>
        <v/>
      </c>
      <c r="C33" s="29" t="str">
        <f>IF(ISERROR(XS_Analyzer_Calculations!C33),"",XS_Analyzer_Calculations!C33)</f>
        <v/>
      </c>
      <c r="D33" s="29" t="str">
        <f>IF(ISERROR(Data!D30),"",Data!D30)</f>
        <v/>
      </c>
      <c r="E33" s="2" t="str">
        <f>IF(F33&lt;&gt;"",IF(ISERROR(XS_Analyzer_Calculations!AH33),"",XS_Analyzer_Calculations!AH33),"")</f>
        <v/>
      </c>
      <c r="F33" s="2" t="str">
        <f>IF(IF(ISERROR(XS_Analyzer_Calculations!AF33),"",XS_Analyzer_Calculations!AF33)&lt;&gt;MAX($F$4:$F32),IF(ISERROR(XS_Analyzer_Calculations!AF33),"",XS_Analyzer_Calculations!AF33),"")</f>
        <v/>
      </c>
      <c r="G33" s="44" t="str">
        <f>IF(F33&lt;&gt;"",IF(ISERROR(XS_Analyzer_Calculations!W33),"",XS_Analyzer_Calculations!W33),"")</f>
        <v/>
      </c>
      <c r="H33" s="2" t="str">
        <f>IF(ISERROR(XS_Analyzer_Calculations!AE33),"",XS_Analyzer_Calculations!AE33)</f>
        <v/>
      </c>
      <c r="I33" s="44" t="str">
        <f>IF(ISERROR(XS_Analyzer_Calculations!W33),"",XS_Analyzer_Calculations!W33)</f>
        <v/>
      </c>
      <c r="J33" s="44" t="str">
        <f>IF(K33&lt;&gt;"",IF(ISERROR(XS_Analyzer_Calculations!AL33:AL133),"",XS_Analyzer_Calculations!AL33:AL133),"")</f>
        <v/>
      </c>
      <c r="K33" s="29" t="str">
        <f>IF(IF(ISERROR(XS_Analyzer_Calculations!AJ33:AJ133),"",XS_Analyzer_Calculations!AJ33:AJ133)&lt;&gt;MAX($K$4:$K32),IF(ISERROR(XS_Analyzer_Calculations!AJ33:AJ133),"",XS_Analyzer_Calculations!AJ33:AJ133),"")</f>
        <v/>
      </c>
      <c r="L33" s="58" t="str">
        <f>IF(K33&lt;&gt;"",IF(ISERROR(XS_Analyzer_Calculations!X33:X133),"",XS_Analyzer_Calculations!X33:X133),"")</f>
        <v/>
      </c>
      <c r="M33" s="29" t="str">
        <f>IF(ISERROR(XS_Analyzer_Calculations!AI33:AI133),"",XS_Analyzer_Calculations!AI33:AI133)</f>
        <v/>
      </c>
      <c r="N33" s="29" t="str">
        <f>IF(ISERROR(XS_Analyzer_Calculations!X33:X133),"",XS_Analyzer_Calculations!X33:X133)</f>
        <v/>
      </c>
      <c r="X33" s="29" t="str">
        <f>IF(OR(ISERROR(XS_Analyzer_Calculations!BG32),B33="",ISERROR(XS_Analyzer_Calculations!BN32)),"",XS_Analyzer_Calculations!BN32)</f>
        <v/>
      </c>
      <c r="Y33" s="29" t="str">
        <f>IF(OR(ISERROR(XS_Analyzer_Calculations!BG32),X33=""),"",XS_Analyzer_Calculations!BH32)</f>
        <v/>
      </c>
      <c r="Z33" s="29" t="str">
        <f>IF(OR(ISERROR(XS_Analyzer_Calculations!BG32),X33=""),"",XS_Analyzer_Calculations!$O$18)</f>
        <v/>
      </c>
      <c r="AB33" s="34">
        <f>IFERROR(XS_AnalyzerSummary!AK31,0)</f>
        <v>2.259999999999998</v>
      </c>
      <c r="AC33" s="34">
        <f>IFERROR(XS_AnalyzerSummary!AV31,0)</f>
        <v>2.6210292995572382</v>
      </c>
      <c r="AD33" s="34">
        <f>IFERROR(XS_AnalyzerSummary!AK31,0)</f>
        <v>2.259999999999998</v>
      </c>
      <c r="AE33" s="34">
        <f>IFERROR(XS_AnalyzerSummary!AW31,0)</f>
        <v>1.4617200000000015</v>
      </c>
      <c r="AF33" s="34">
        <f>IFERROR(XS_AnalyzerSummary!AK31,0)</f>
        <v>2.259999999999998</v>
      </c>
      <c r="AG33" s="34">
        <f>IFERROR(XS_AnalyzerSummary!BF31,0)</f>
        <v>5.7868336155511928</v>
      </c>
    </row>
    <row r="34" spans="2:33">
      <c r="B34" s="29" t="str">
        <f>IF(ISERROR(XS_Analyzer_Calculations!B34),"",XS_Analyzer_Calculations!B34)</f>
        <v/>
      </c>
      <c r="C34" s="29" t="str">
        <f>IF(ISERROR(XS_Analyzer_Calculations!C34),"",XS_Analyzer_Calculations!C34)</f>
        <v/>
      </c>
      <c r="D34" s="29" t="str">
        <f>IF(ISERROR(Data!D31),"",Data!D31)</f>
        <v/>
      </c>
      <c r="E34" s="2" t="str">
        <f>IF(F34&lt;&gt;"",IF(ISERROR(XS_Analyzer_Calculations!AH34),"",XS_Analyzer_Calculations!AH34),"")</f>
        <v/>
      </c>
      <c r="F34" s="2" t="str">
        <f>IF(IF(ISERROR(XS_Analyzer_Calculations!AF34),"",XS_Analyzer_Calculations!AF34)&lt;&gt;MAX($F$4:$F33),IF(ISERROR(XS_Analyzer_Calculations!AF34),"",XS_Analyzer_Calculations!AF34),"")</f>
        <v/>
      </c>
      <c r="G34" s="44" t="str">
        <f>IF(F34&lt;&gt;"",IF(ISERROR(XS_Analyzer_Calculations!W34),"",XS_Analyzer_Calculations!W34),"")</f>
        <v/>
      </c>
      <c r="H34" s="2" t="str">
        <f>IF(ISERROR(XS_Analyzer_Calculations!AE34),"",XS_Analyzer_Calculations!AE34)</f>
        <v/>
      </c>
      <c r="I34" s="44" t="str">
        <f>IF(ISERROR(XS_Analyzer_Calculations!W34),"",XS_Analyzer_Calculations!W34)</f>
        <v/>
      </c>
      <c r="J34" s="44" t="str">
        <f>IF(K34&lt;&gt;"",IF(ISERROR(XS_Analyzer_Calculations!AL34:AL134),"",XS_Analyzer_Calculations!AL34:AL134),"")</f>
        <v/>
      </c>
      <c r="K34" s="29" t="str">
        <f>IF(IF(ISERROR(XS_Analyzer_Calculations!AJ34:AJ134),"",XS_Analyzer_Calculations!AJ34:AJ134)&lt;&gt;MAX($K$4:$K33),IF(ISERROR(XS_Analyzer_Calculations!AJ34:AJ134),"",XS_Analyzer_Calculations!AJ34:AJ134),"")</f>
        <v/>
      </c>
      <c r="L34" s="58" t="str">
        <f>IF(K34&lt;&gt;"",IF(ISERROR(XS_Analyzer_Calculations!X34:X134),"",XS_Analyzer_Calculations!X34:X134),"")</f>
        <v/>
      </c>
      <c r="M34" s="29" t="str">
        <f>IF(ISERROR(XS_Analyzer_Calculations!AI34:AI134),"",XS_Analyzer_Calculations!AI34:AI134)</f>
        <v/>
      </c>
      <c r="N34" s="29" t="str">
        <f>IF(ISERROR(XS_Analyzer_Calculations!X34:X134),"",XS_Analyzer_Calculations!X34:X134)</f>
        <v/>
      </c>
      <c r="X34" s="29" t="str">
        <f>IF(OR(ISERROR(XS_Analyzer_Calculations!BG33),B34="",ISERROR(XS_Analyzer_Calculations!BN33)),"",XS_Analyzer_Calculations!BN33)</f>
        <v/>
      </c>
      <c r="Y34" s="29" t="str">
        <f>IF(OR(ISERROR(XS_Analyzer_Calculations!BG33),X34=""),"",XS_Analyzer_Calculations!BH33)</f>
        <v/>
      </c>
      <c r="Z34" s="29" t="str">
        <f>IF(OR(ISERROR(XS_Analyzer_Calculations!BG33),X34=""),"",XS_Analyzer_Calculations!$O$18)</f>
        <v/>
      </c>
      <c r="AB34" s="34">
        <f>IFERROR(XS_AnalyzerSummary!AK32,0)</f>
        <v>2.3049999999999979</v>
      </c>
      <c r="AC34" s="34">
        <f>IFERROR(XS_AnalyzerSummary!AV32,0)</f>
        <v>2.6411310530103482</v>
      </c>
      <c r="AD34" s="34">
        <f>IFERROR(XS_AnalyzerSummary!AK32,0)</f>
        <v>2.3049999999999979</v>
      </c>
      <c r="AE34" s="34">
        <f>IFERROR(XS_AnalyzerSummary!AW32,0)</f>
        <v>1.4785680000000017</v>
      </c>
      <c r="AF34" s="34">
        <f>IFERROR(XS_AnalyzerSummary!AK32,0)</f>
        <v>2.3049999999999979</v>
      </c>
      <c r="AG34" s="34">
        <f>IFERROR(XS_AnalyzerSummary!BF32,0)</f>
        <v>5.8559532317557892</v>
      </c>
    </row>
    <row r="35" spans="2:33">
      <c r="B35" s="29" t="str">
        <f>IF(ISERROR(XS_Analyzer_Calculations!B35),"",XS_Analyzer_Calculations!B35)</f>
        <v/>
      </c>
      <c r="C35" s="29" t="str">
        <f>IF(ISERROR(XS_Analyzer_Calculations!C35),"",XS_Analyzer_Calculations!C35)</f>
        <v/>
      </c>
      <c r="D35" s="29" t="str">
        <f>IF(ISERROR(Data!D32),"",Data!D32)</f>
        <v/>
      </c>
      <c r="E35" s="2" t="str">
        <f>IF(F35&lt;&gt;"",IF(ISERROR(XS_Analyzer_Calculations!AH35),"",XS_Analyzer_Calculations!AH35),"")</f>
        <v/>
      </c>
      <c r="F35" s="2" t="str">
        <f>IF(IF(ISERROR(XS_Analyzer_Calculations!AF35),"",XS_Analyzer_Calculations!AF35)&lt;&gt;MAX($F$4:$F34),IF(ISERROR(XS_Analyzer_Calculations!AF35),"",XS_Analyzer_Calculations!AF35),"")</f>
        <v/>
      </c>
      <c r="G35" s="44" t="str">
        <f>IF(F35&lt;&gt;"",IF(ISERROR(XS_Analyzer_Calculations!W35),"",XS_Analyzer_Calculations!W35),"")</f>
        <v/>
      </c>
      <c r="H35" s="2" t="str">
        <f>IF(ISERROR(XS_Analyzer_Calculations!AE35),"",XS_Analyzer_Calculations!AE35)</f>
        <v/>
      </c>
      <c r="I35" s="44" t="str">
        <f>IF(ISERROR(XS_Analyzer_Calculations!W35),"",XS_Analyzer_Calculations!W35)</f>
        <v/>
      </c>
      <c r="J35" s="44" t="str">
        <f>IF(K35&lt;&gt;"",IF(ISERROR(XS_Analyzer_Calculations!AL35:AL135),"",XS_Analyzer_Calculations!AL35:AL135),"")</f>
        <v/>
      </c>
      <c r="K35" s="29" t="str">
        <f>IF(IF(ISERROR(XS_Analyzer_Calculations!AJ35:AJ135),"",XS_Analyzer_Calculations!AJ35:AJ135)&lt;&gt;MAX($K$4:$K34),IF(ISERROR(XS_Analyzer_Calculations!AJ35:AJ135),"",XS_Analyzer_Calculations!AJ35:AJ135),"")</f>
        <v/>
      </c>
      <c r="L35" s="58" t="str">
        <f>IF(K35&lt;&gt;"",IF(ISERROR(XS_Analyzer_Calculations!X35:X135),"",XS_Analyzer_Calculations!X35:X135),"")</f>
        <v/>
      </c>
      <c r="M35" s="29" t="str">
        <f>IF(ISERROR(XS_Analyzer_Calculations!AI35:AI135),"",XS_Analyzer_Calculations!AI35:AI135)</f>
        <v/>
      </c>
      <c r="N35" s="29" t="str">
        <f>IF(ISERROR(XS_Analyzer_Calculations!X35:X135),"",XS_Analyzer_Calculations!X35:X135)</f>
        <v/>
      </c>
      <c r="X35" s="29" t="str">
        <f>IF(OR(ISERROR(XS_Analyzer_Calculations!BG34),B35="",ISERROR(XS_Analyzer_Calculations!BN34)),"",XS_Analyzer_Calculations!BN34)</f>
        <v/>
      </c>
      <c r="Y35" s="29" t="str">
        <f>IF(OR(ISERROR(XS_Analyzer_Calculations!BG34),X35=""),"",XS_Analyzer_Calculations!BH34)</f>
        <v/>
      </c>
      <c r="Z35" s="29" t="str">
        <f>IF(OR(ISERROR(XS_Analyzer_Calculations!BG34),X35=""),"",XS_Analyzer_Calculations!$O$18)</f>
        <v/>
      </c>
      <c r="AB35" s="34">
        <f>IFERROR(XS_AnalyzerSummary!AK33,0)</f>
        <v>2.3499999999999979</v>
      </c>
      <c r="AC35" s="34">
        <f>IFERROR(XS_AnalyzerSummary!AV33,0)</f>
        <v>2.6611565974815043</v>
      </c>
      <c r="AD35" s="34">
        <f>IFERROR(XS_AnalyzerSummary!AK33,0)</f>
        <v>2.3499999999999979</v>
      </c>
      <c r="AE35" s="34">
        <f>IFERROR(XS_AnalyzerSummary!AW33,0)</f>
        <v>1.4954160000000016</v>
      </c>
      <c r="AF35" s="34">
        <f>IFERROR(XS_AnalyzerSummary!AK33,0)</f>
        <v>2.3499999999999979</v>
      </c>
      <c r="AG35" s="34">
        <f>IFERROR(XS_AnalyzerSummary!BF33,0)</f>
        <v>5.9251057484808154</v>
      </c>
    </row>
    <row r="36" spans="2:33">
      <c r="B36" s="29" t="str">
        <f>IF(ISERROR(XS_Analyzer_Calculations!B36),"",XS_Analyzer_Calculations!B36)</f>
        <v/>
      </c>
      <c r="C36" s="29" t="str">
        <f>IF(ISERROR(XS_Analyzer_Calculations!C36),"",XS_Analyzer_Calculations!C36)</f>
        <v/>
      </c>
      <c r="D36" s="29" t="str">
        <f>IF(ISERROR(Data!D33),"",Data!D33)</f>
        <v/>
      </c>
      <c r="E36" s="2" t="str">
        <f>IF(F36&lt;&gt;"",IF(ISERROR(XS_Analyzer_Calculations!AH36),"",XS_Analyzer_Calculations!AH36),"")</f>
        <v/>
      </c>
      <c r="F36" s="2" t="str">
        <f>IF(IF(ISERROR(XS_Analyzer_Calculations!AF36),"",XS_Analyzer_Calculations!AF36)&lt;&gt;MAX($F$4:$F35),IF(ISERROR(XS_Analyzer_Calculations!AF36),"",XS_Analyzer_Calculations!AF36),"")</f>
        <v/>
      </c>
      <c r="G36" s="44" t="str">
        <f>IF(F36&lt;&gt;"",IF(ISERROR(XS_Analyzer_Calculations!W36),"",XS_Analyzer_Calculations!W36),"")</f>
        <v/>
      </c>
      <c r="H36" s="2" t="str">
        <f>IF(ISERROR(XS_Analyzer_Calculations!AE36),"",XS_Analyzer_Calculations!AE36)</f>
        <v/>
      </c>
      <c r="I36" s="44" t="str">
        <f>IF(ISERROR(XS_Analyzer_Calculations!W36),"",XS_Analyzer_Calculations!W36)</f>
        <v/>
      </c>
      <c r="J36" s="44" t="str">
        <f>IF(K36&lt;&gt;"",IF(ISERROR(XS_Analyzer_Calculations!AL36:AL136),"",XS_Analyzer_Calculations!AL36:AL136),"")</f>
        <v/>
      </c>
      <c r="K36" s="29" t="str">
        <f>IF(IF(ISERROR(XS_Analyzer_Calculations!AJ36:AJ136),"",XS_Analyzer_Calculations!AJ36:AJ136)&lt;&gt;MAX($K$4:$K35),IF(ISERROR(XS_Analyzer_Calculations!AJ36:AJ136),"",XS_Analyzer_Calculations!AJ36:AJ136),"")</f>
        <v/>
      </c>
      <c r="L36" s="58" t="str">
        <f>IF(K36&lt;&gt;"",IF(ISERROR(XS_Analyzer_Calculations!X36:X136),"",XS_Analyzer_Calculations!X36:X136),"")</f>
        <v/>
      </c>
      <c r="M36" s="29" t="str">
        <f>IF(ISERROR(XS_Analyzer_Calculations!AI36:AI136),"",XS_Analyzer_Calculations!AI36:AI136)</f>
        <v/>
      </c>
      <c r="N36" s="29" t="str">
        <f>IF(ISERROR(XS_Analyzer_Calculations!X36:X136),"",XS_Analyzer_Calculations!X36:X136)</f>
        <v/>
      </c>
      <c r="X36" s="29" t="str">
        <f>IF(OR(ISERROR(XS_Analyzer_Calculations!BG35),B36="",ISERROR(XS_Analyzer_Calculations!BN35)),"",XS_Analyzer_Calculations!BN35)</f>
        <v/>
      </c>
      <c r="Y36" s="29" t="str">
        <f>IF(OR(ISERROR(XS_Analyzer_Calculations!BG35),X36=""),"",XS_Analyzer_Calculations!BH35)</f>
        <v/>
      </c>
      <c r="Z36" s="29" t="str">
        <f>IF(OR(ISERROR(XS_Analyzer_Calculations!BG35),X36=""),"",XS_Analyzer_Calculations!$O$18)</f>
        <v/>
      </c>
      <c r="AB36" s="34">
        <f>IFERROR(XS_AnalyzerSummary!AK34,0)</f>
        <v>2.3949999999999978</v>
      </c>
      <c r="AC36" s="34">
        <f>IFERROR(XS_AnalyzerSummary!AV34,0)</f>
        <v>2.6811070756765156</v>
      </c>
      <c r="AD36" s="34">
        <f>IFERROR(XS_AnalyzerSummary!AK34,0)</f>
        <v>2.3949999999999978</v>
      </c>
      <c r="AE36" s="34">
        <f>IFERROR(XS_AnalyzerSummary!AW34,0)</f>
        <v>1.5122640000000014</v>
      </c>
      <c r="AF36" s="34">
        <f>IFERROR(XS_AnalyzerSummary!AK34,0)</f>
        <v>2.3949999999999978</v>
      </c>
      <c r="AG36" s="34">
        <f>IFERROR(XS_AnalyzerSummary!BF34,0)</f>
        <v>5.9942908125142678</v>
      </c>
    </row>
    <row r="37" spans="2:33">
      <c r="B37" s="29" t="str">
        <f>IF(ISERROR(XS_Analyzer_Calculations!B37),"",XS_Analyzer_Calculations!B37)</f>
        <v/>
      </c>
      <c r="C37" s="29" t="str">
        <f>IF(ISERROR(XS_Analyzer_Calculations!C37),"",XS_Analyzer_Calculations!C37)</f>
        <v/>
      </c>
      <c r="D37" s="29" t="str">
        <f>IF(ISERROR(Data!D34),"",Data!D34)</f>
        <v/>
      </c>
      <c r="E37" s="2" t="str">
        <f>IF(F37&lt;&gt;"",IF(ISERROR(XS_Analyzer_Calculations!AH37),"",XS_Analyzer_Calculations!AH37),"")</f>
        <v/>
      </c>
      <c r="F37" s="2" t="str">
        <f>IF(IF(ISERROR(XS_Analyzer_Calculations!AF37),"",XS_Analyzer_Calculations!AF37)&lt;&gt;MAX($F$4:$F36),IF(ISERROR(XS_Analyzer_Calculations!AF37),"",XS_Analyzer_Calculations!AF37),"")</f>
        <v/>
      </c>
      <c r="G37" s="44" t="str">
        <f>IF(F37&lt;&gt;"",IF(ISERROR(XS_Analyzer_Calculations!W37),"",XS_Analyzer_Calculations!W37),"")</f>
        <v/>
      </c>
      <c r="H37" s="2" t="str">
        <f>IF(ISERROR(XS_Analyzer_Calculations!AE37),"",XS_Analyzer_Calculations!AE37)</f>
        <v/>
      </c>
      <c r="I37" s="44" t="str">
        <f>IF(ISERROR(XS_Analyzer_Calculations!W37),"",XS_Analyzer_Calculations!W37)</f>
        <v/>
      </c>
      <c r="J37" s="44" t="str">
        <f>IF(K37&lt;&gt;"",IF(ISERROR(XS_Analyzer_Calculations!AL37:AL137),"",XS_Analyzer_Calculations!AL37:AL137),"")</f>
        <v/>
      </c>
      <c r="K37" s="29" t="str">
        <f>IF(IF(ISERROR(XS_Analyzer_Calculations!AJ37:AJ137),"",XS_Analyzer_Calculations!AJ37:AJ137)&lt;&gt;MAX($K$4:$K36),IF(ISERROR(XS_Analyzer_Calculations!AJ37:AJ137),"",XS_Analyzer_Calculations!AJ37:AJ137),"")</f>
        <v/>
      </c>
      <c r="L37" s="58" t="str">
        <f>IF(K37&lt;&gt;"",IF(ISERROR(XS_Analyzer_Calculations!X37:X137),"",XS_Analyzer_Calculations!X37:X137),"")</f>
        <v/>
      </c>
      <c r="M37" s="29" t="str">
        <f>IF(ISERROR(XS_Analyzer_Calculations!AI37:AI137),"",XS_Analyzer_Calculations!AI37:AI137)</f>
        <v/>
      </c>
      <c r="N37" s="29" t="str">
        <f>IF(ISERROR(XS_Analyzer_Calculations!X37:X137),"",XS_Analyzer_Calculations!X37:X137)</f>
        <v/>
      </c>
      <c r="X37" s="29" t="str">
        <f>IF(OR(ISERROR(XS_Analyzer_Calculations!BG36),B37="",ISERROR(XS_Analyzer_Calculations!BN36)),"",XS_Analyzer_Calculations!BN36)</f>
        <v/>
      </c>
      <c r="Y37" s="29" t="str">
        <f>IF(OR(ISERROR(XS_Analyzer_Calculations!BG36),X37=""),"",XS_Analyzer_Calculations!BH36)</f>
        <v/>
      </c>
      <c r="Z37" s="29" t="str">
        <f>IF(OR(ISERROR(XS_Analyzer_Calculations!BG36),X37=""),"",XS_Analyzer_Calculations!$O$18)</f>
        <v/>
      </c>
      <c r="AB37" s="34">
        <f>IFERROR(XS_AnalyzerSummary!AK35,0)</f>
        <v>2.4399999999999977</v>
      </c>
      <c r="AC37" s="34">
        <f>IFERROR(XS_AnalyzerSummary!AV35,0)</f>
        <v>2.7009836006493608</v>
      </c>
      <c r="AD37" s="34">
        <f>IFERROR(XS_AnalyzerSummary!AK35,0)</f>
        <v>2.4399999999999977</v>
      </c>
      <c r="AE37" s="34">
        <f>IFERROR(XS_AnalyzerSummary!AW35,0)</f>
        <v>1.5291120000000016</v>
      </c>
      <c r="AF37" s="34">
        <f>IFERROR(XS_AnalyzerSummary!AK35,0)</f>
        <v>2.4399999999999977</v>
      </c>
      <c r="AG37" s="34">
        <f>IFERROR(XS_AnalyzerSummary!BF35,0)</f>
        <v>6.0635080783086481</v>
      </c>
    </row>
    <row r="38" spans="2:33">
      <c r="B38" s="29" t="str">
        <f>IF(ISERROR(XS_Analyzer_Calculations!B38),"",XS_Analyzer_Calculations!B38)</f>
        <v/>
      </c>
      <c r="C38" s="29" t="str">
        <f>IF(ISERROR(XS_Analyzer_Calculations!C38),"",XS_Analyzer_Calculations!C38)</f>
        <v/>
      </c>
      <c r="D38" s="29" t="str">
        <f>IF(ISERROR(Data!D35),"",Data!D35)</f>
        <v/>
      </c>
      <c r="E38" s="2" t="str">
        <f>IF(F38&lt;&gt;"",IF(ISERROR(XS_Analyzer_Calculations!AH38),"",XS_Analyzer_Calculations!AH38),"")</f>
        <v/>
      </c>
      <c r="F38" s="2" t="str">
        <f>IF(IF(ISERROR(XS_Analyzer_Calculations!AF38),"",XS_Analyzer_Calculations!AF38)&lt;&gt;MAX($F$4:$F37),IF(ISERROR(XS_Analyzer_Calculations!AF38),"",XS_Analyzer_Calculations!AF38),"")</f>
        <v/>
      </c>
      <c r="G38" s="44" t="str">
        <f>IF(F38&lt;&gt;"",IF(ISERROR(XS_Analyzer_Calculations!W38),"",XS_Analyzer_Calculations!W38),"")</f>
        <v/>
      </c>
      <c r="H38" s="2" t="str">
        <f>IF(ISERROR(XS_Analyzer_Calculations!AE38),"",XS_Analyzer_Calculations!AE38)</f>
        <v/>
      </c>
      <c r="I38" s="44" t="str">
        <f>IF(ISERROR(XS_Analyzer_Calculations!W38),"",XS_Analyzer_Calculations!W38)</f>
        <v/>
      </c>
      <c r="J38" s="44" t="str">
        <f>IF(K38&lt;&gt;"",IF(ISERROR(XS_Analyzer_Calculations!AL38:AL138),"",XS_Analyzer_Calculations!AL38:AL138),"")</f>
        <v/>
      </c>
      <c r="K38" s="29" t="str">
        <f>IF(IF(ISERROR(XS_Analyzer_Calculations!AJ38:AJ138),"",XS_Analyzer_Calculations!AJ38:AJ138)&lt;&gt;MAX($K$4:$K37),IF(ISERROR(XS_Analyzer_Calculations!AJ38:AJ138),"",XS_Analyzer_Calculations!AJ38:AJ138),"")</f>
        <v/>
      </c>
      <c r="L38" s="58" t="str">
        <f>IF(K38&lt;&gt;"",IF(ISERROR(XS_Analyzer_Calculations!X38:X138),"",XS_Analyzer_Calculations!X38:X138),"")</f>
        <v/>
      </c>
      <c r="M38" s="29" t="str">
        <f>IF(ISERROR(XS_Analyzer_Calculations!AI38:AI138),"",XS_Analyzer_Calculations!AI38:AI138)</f>
        <v/>
      </c>
      <c r="N38" s="29" t="str">
        <f>IF(ISERROR(XS_Analyzer_Calculations!X38:X138),"",XS_Analyzer_Calculations!X38:X138)</f>
        <v/>
      </c>
      <c r="X38" s="29" t="str">
        <f>IF(OR(ISERROR(XS_Analyzer_Calculations!BG37),B38="",ISERROR(XS_Analyzer_Calculations!BN37)),"",XS_Analyzer_Calculations!BN37)</f>
        <v/>
      </c>
      <c r="Y38" s="29" t="str">
        <f>IF(OR(ISERROR(XS_Analyzer_Calculations!BG37),X38=""),"",XS_Analyzer_Calculations!BH37)</f>
        <v/>
      </c>
      <c r="Z38" s="29" t="str">
        <f>IF(OR(ISERROR(XS_Analyzer_Calculations!BG37),X38=""),"",XS_Analyzer_Calculations!$O$18)</f>
        <v/>
      </c>
      <c r="AB38" s="34">
        <f>IFERROR(XS_AnalyzerSummary!AK36,0)</f>
        <v>2.4849999999999977</v>
      </c>
      <c r="AC38" s="34">
        <f>IFERROR(XS_AnalyzerSummary!AV36,0)</f>
        <v>2.7207872568893023</v>
      </c>
      <c r="AD38" s="34">
        <f>IFERROR(XS_AnalyzerSummary!AK36,0)</f>
        <v>2.4849999999999977</v>
      </c>
      <c r="AE38" s="34">
        <f>IFERROR(XS_AnalyzerSummary!AW36,0)</f>
        <v>1.5459600000000016</v>
      </c>
      <c r="AF38" s="34">
        <f>IFERROR(XS_AnalyzerSummary!AK36,0)</f>
        <v>2.4849999999999977</v>
      </c>
      <c r="AG38" s="34">
        <f>IFERROR(XS_AnalyzerSummary!BF36,0)</f>
        <v>6.1327572077324737</v>
      </c>
    </row>
    <row r="39" spans="2:33">
      <c r="B39" s="29" t="str">
        <f>IF(ISERROR(XS_Analyzer_Calculations!B39),"",XS_Analyzer_Calculations!B39)</f>
        <v/>
      </c>
      <c r="C39" s="29" t="str">
        <f>IF(ISERROR(XS_Analyzer_Calculations!C39),"",XS_Analyzer_Calculations!C39)</f>
        <v/>
      </c>
      <c r="D39" s="29" t="str">
        <f>IF(ISERROR(Data!D36),"",Data!D36)</f>
        <v/>
      </c>
      <c r="E39" s="2" t="str">
        <f>IF(F39&lt;&gt;"",IF(ISERROR(XS_Analyzer_Calculations!AH39),"",XS_Analyzer_Calculations!AH39),"")</f>
        <v/>
      </c>
      <c r="F39" s="2" t="str">
        <f>IF(IF(ISERROR(XS_Analyzer_Calculations!AF39),"",XS_Analyzer_Calculations!AF39)&lt;&gt;MAX($F$4:$F38),IF(ISERROR(XS_Analyzer_Calculations!AF39),"",XS_Analyzer_Calculations!AF39),"")</f>
        <v/>
      </c>
      <c r="G39" s="44" t="str">
        <f>IF(F39&lt;&gt;"",IF(ISERROR(XS_Analyzer_Calculations!W39),"",XS_Analyzer_Calculations!W39),"")</f>
        <v/>
      </c>
      <c r="H39" s="2" t="str">
        <f>IF(ISERROR(XS_Analyzer_Calculations!AE39),"",XS_Analyzer_Calculations!AE39)</f>
        <v/>
      </c>
      <c r="I39" s="44" t="str">
        <f>IF(ISERROR(XS_Analyzer_Calculations!W39),"",XS_Analyzer_Calculations!W39)</f>
        <v/>
      </c>
      <c r="J39" s="44" t="str">
        <f>IF(K39&lt;&gt;"",IF(ISERROR(XS_Analyzer_Calculations!AL39:AL139),"",XS_Analyzer_Calculations!AL39:AL139),"")</f>
        <v/>
      </c>
      <c r="K39" s="29" t="str">
        <f>IF(IF(ISERROR(XS_Analyzer_Calculations!AJ39:AJ139),"",XS_Analyzer_Calculations!AJ39:AJ139)&lt;&gt;MAX($K$4:$K38),IF(ISERROR(XS_Analyzer_Calculations!AJ39:AJ139),"",XS_Analyzer_Calculations!AJ39:AJ139),"")</f>
        <v/>
      </c>
      <c r="L39" s="58" t="str">
        <f>IF(K39&lt;&gt;"",IF(ISERROR(XS_Analyzer_Calculations!X39:X139),"",XS_Analyzer_Calculations!X39:X139),"")</f>
        <v/>
      </c>
      <c r="M39" s="29" t="str">
        <f>IF(ISERROR(XS_Analyzer_Calculations!AI39:AI139),"",XS_Analyzer_Calculations!AI39:AI139)</f>
        <v/>
      </c>
      <c r="N39" s="29" t="str">
        <f>IF(ISERROR(XS_Analyzer_Calculations!X39:X139),"",XS_Analyzer_Calculations!X39:X139)</f>
        <v/>
      </c>
      <c r="X39" s="29" t="str">
        <f>IF(OR(ISERROR(XS_Analyzer_Calculations!BG38),B39="",ISERROR(XS_Analyzer_Calculations!BN38)),"",XS_Analyzer_Calculations!BN38)</f>
        <v/>
      </c>
      <c r="Y39" s="29" t="str">
        <f>IF(OR(ISERROR(XS_Analyzer_Calculations!BG38),X39=""),"",XS_Analyzer_Calculations!BH38)</f>
        <v/>
      </c>
      <c r="Z39" s="29" t="str">
        <f>IF(OR(ISERROR(XS_Analyzer_Calculations!BG38),X39=""),"",XS_Analyzer_Calculations!$O$18)</f>
        <v/>
      </c>
      <c r="AB39" s="34">
        <f>IFERROR(XS_AnalyzerSummary!AK37,0)</f>
        <v>2.5299999999999976</v>
      </c>
      <c r="AC39" s="34">
        <f>IFERROR(XS_AnalyzerSummary!AV37,0)</f>
        <v>2.7405191013567487</v>
      </c>
      <c r="AD39" s="34">
        <f>IFERROR(XS_AnalyzerSummary!AK37,0)</f>
        <v>2.5299999999999976</v>
      </c>
      <c r="AE39" s="34">
        <f>IFERROR(XS_AnalyzerSummary!AW37,0)</f>
        <v>1.5628080000000018</v>
      </c>
      <c r="AF39" s="34">
        <f>IFERROR(XS_AnalyzerSummary!AK37,0)</f>
        <v>2.5299999999999976</v>
      </c>
      <c r="AG39" s="34">
        <f>IFERROR(XS_AnalyzerSummary!BF37,0)</f>
        <v>6.2020378698324139</v>
      </c>
    </row>
    <row r="40" spans="2:33">
      <c r="B40" s="29" t="str">
        <f>IF(ISERROR(XS_Analyzer_Calculations!B40),"",XS_Analyzer_Calculations!B40)</f>
        <v/>
      </c>
      <c r="C40" s="29" t="str">
        <f>IF(ISERROR(XS_Analyzer_Calculations!C40),"",XS_Analyzer_Calculations!C40)</f>
        <v/>
      </c>
      <c r="D40" s="29" t="str">
        <f>IF(ISERROR(Data!D37),"",Data!D37)</f>
        <v/>
      </c>
      <c r="E40" s="2" t="str">
        <f>IF(F40&lt;&gt;"",IF(ISERROR(XS_Analyzer_Calculations!AH40),"",XS_Analyzer_Calculations!AH40),"")</f>
        <v/>
      </c>
      <c r="F40" s="2" t="str">
        <f>IF(IF(ISERROR(XS_Analyzer_Calculations!AF40),"",XS_Analyzer_Calculations!AF40)&lt;&gt;MAX($F$4:$F39),IF(ISERROR(XS_Analyzer_Calculations!AF40),"",XS_Analyzer_Calculations!AF40),"")</f>
        <v/>
      </c>
      <c r="G40" s="44" t="str">
        <f>IF(F40&lt;&gt;"",IF(ISERROR(XS_Analyzer_Calculations!W40),"",XS_Analyzer_Calculations!W40),"")</f>
        <v/>
      </c>
      <c r="H40" s="2" t="str">
        <f>IF(ISERROR(XS_Analyzer_Calculations!AE40),"",XS_Analyzer_Calculations!AE40)</f>
        <v/>
      </c>
      <c r="I40" s="44" t="str">
        <f>IF(ISERROR(XS_Analyzer_Calculations!W40),"",XS_Analyzer_Calculations!W40)</f>
        <v/>
      </c>
      <c r="J40" s="44" t="str">
        <f>IF(K40&lt;&gt;"",IF(ISERROR(XS_Analyzer_Calculations!AL40:AL140),"",XS_Analyzer_Calculations!AL40:AL140),"")</f>
        <v/>
      </c>
      <c r="K40" s="29" t="str">
        <f>IF(IF(ISERROR(XS_Analyzer_Calculations!AJ40:AJ140),"",XS_Analyzer_Calculations!AJ40:AJ140)&lt;&gt;MAX($K$4:$K39),IF(ISERROR(XS_Analyzer_Calculations!AJ40:AJ140),"",XS_Analyzer_Calculations!AJ40:AJ140),"")</f>
        <v/>
      </c>
      <c r="L40" s="58" t="str">
        <f>IF(K40&lt;&gt;"",IF(ISERROR(XS_Analyzer_Calculations!X40:X140),"",XS_Analyzer_Calculations!X40:X140),"")</f>
        <v/>
      </c>
      <c r="M40" s="29" t="str">
        <f>IF(ISERROR(XS_Analyzer_Calculations!AI40:AI140),"",XS_Analyzer_Calculations!AI40:AI140)</f>
        <v/>
      </c>
      <c r="N40" s="29" t="str">
        <f>IF(ISERROR(XS_Analyzer_Calculations!X40:X140),"",XS_Analyzer_Calculations!X40:X140)</f>
        <v/>
      </c>
      <c r="X40" s="29" t="str">
        <f>IF(OR(ISERROR(XS_Analyzer_Calculations!BG39),B40="",ISERROR(XS_Analyzer_Calculations!BN39)),"",XS_Analyzer_Calculations!BN39)</f>
        <v/>
      </c>
      <c r="Y40" s="29" t="str">
        <f>IF(OR(ISERROR(XS_Analyzer_Calculations!BG39),X40=""),"",XS_Analyzer_Calculations!BH39)</f>
        <v/>
      </c>
      <c r="Z40" s="29" t="str">
        <f>IF(OR(ISERROR(XS_Analyzer_Calculations!BG39),X40=""),"",XS_Analyzer_Calculations!$O$18)</f>
        <v/>
      </c>
      <c r="AB40" s="34">
        <f>IFERROR(XS_AnalyzerSummary!AK38,0)</f>
        <v>2.5749999999999975</v>
      </c>
      <c r="AC40" s="34">
        <f>IFERROR(XS_AnalyzerSummary!AV38,0)</f>
        <v>2.7601801644708077</v>
      </c>
      <c r="AD40" s="34">
        <f>IFERROR(XS_AnalyzerSummary!AK38,0)</f>
        <v>2.5749999999999975</v>
      </c>
      <c r="AE40" s="34">
        <f>IFERROR(XS_AnalyzerSummary!AW38,0)</f>
        <v>1.5796560000000015</v>
      </c>
      <c r="AF40" s="34">
        <f>IFERROR(XS_AnalyzerSummary!AK38,0)</f>
        <v>2.5749999999999975</v>
      </c>
      <c r="AG40" s="34">
        <f>IFERROR(XS_AnalyzerSummary!BF38,0)</f>
        <v>6.2713497406055581</v>
      </c>
    </row>
    <row r="41" spans="2:33">
      <c r="B41" s="29" t="str">
        <f>IF(ISERROR(XS_Analyzer_Calculations!B41),"",XS_Analyzer_Calculations!B41)</f>
        <v/>
      </c>
      <c r="C41" s="29" t="str">
        <f>IF(ISERROR(XS_Analyzer_Calculations!C41),"",XS_Analyzer_Calculations!C41)</f>
        <v/>
      </c>
      <c r="D41" s="29" t="str">
        <f>IF(ISERROR(Data!D38),"",Data!D38)</f>
        <v/>
      </c>
      <c r="E41" s="2" t="str">
        <f>IF(F41&lt;&gt;"",IF(ISERROR(XS_Analyzer_Calculations!AH41),"",XS_Analyzer_Calculations!AH41),"")</f>
        <v/>
      </c>
      <c r="F41" s="2" t="str">
        <f>IF(IF(ISERROR(XS_Analyzer_Calculations!AF41),"",XS_Analyzer_Calculations!AF41)&lt;&gt;MAX($F$4:$F40),IF(ISERROR(XS_Analyzer_Calculations!AF41),"",XS_Analyzer_Calculations!AF41),"")</f>
        <v/>
      </c>
      <c r="G41" s="44" t="str">
        <f>IF(F41&lt;&gt;"",IF(ISERROR(XS_Analyzer_Calculations!W41),"",XS_Analyzer_Calculations!W41),"")</f>
        <v/>
      </c>
      <c r="H41" s="2" t="str">
        <f>IF(ISERROR(XS_Analyzer_Calculations!AE41),"",XS_Analyzer_Calculations!AE41)</f>
        <v/>
      </c>
      <c r="I41" s="44" t="str">
        <f>IF(ISERROR(XS_Analyzer_Calculations!W41),"",XS_Analyzer_Calculations!W41)</f>
        <v/>
      </c>
      <c r="J41" s="44" t="str">
        <f>IF(K41&lt;&gt;"",IF(ISERROR(XS_Analyzer_Calculations!AL41:AL141),"",XS_Analyzer_Calculations!AL41:AL141),"")</f>
        <v/>
      </c>
      <c r="K41" s="29" t="str">
        <f>IF(IF(ISERROR(XS_Analyzer_Calculations!AJ41:AJ141),"",XS_Analyzer_Calculations!AJ41:AJ141)&lt;&gt;MAX($K$4:$K40),IF(ISERROR(XS_Analyzer_Calculations!AJ41:AJ141),"",XS_Analyzer_Calculations!AJ41:AJ141),"")</f>
        <v/>
      </c>
      <c r="L41" s="58" t="str">
        <f>IF(K41&lt;&gt;"",IF(ISERROR(XS_Analyzer_Calculations!X41:X141),"",XS_Analyzer_Calculations!X41:X141),"")</f>
        <v/>
      </c>
      <c r="M41" s="29" t="str">
        <f>IF(ISERROR(XS_Analyzer_Calculations!AI41:AI141),"",XS_Analyzer_Calculations!AI41:AI141)</f>
        <v/>
      </c>
      <c r="N41" s="29" t="str">
        <f>IF(ISERROR(XS_Analyzer_Calculations!X41:X141),"",XS_Analyzer_Calculations!X41:X141)</f>
        <v/>
      </c>
      <c r="X41" s="29" t="str">
        <f>IF(OR(ISERROR(XS_Analyzer_Calculations!BG40),B41="",ISERROR(XS_Analyzer_Calculations!BN40)),"",XS_Analyzer_Calculations!BN40)</f>
        <v/>
      </c>
      <c r="Y41" s="29" t="str">
        <f>IF(OR(ISERROR(XS_Analyzer_Calculations!BG40),X41=""),"",XS_Analyzer_Calculations!BH40)</f>
        <v/>
      </c>
      <c r="Z41" s="29" t="str">
        <f>IF(OR(ISERROR(XS_Analyzer_Calculations!BG40),X41=""),"",XS_Analyzer_Calculations!$O$18)</f>
        <v/>
      </c>
      <c r="AB41" s="34">
        <f>IFERROR(XS_AnalyzerSummary!AK39,0)</f>
        <v>2.6199999999999974</v>
      </c>
      <c r="AC41" s="34">
        <f>IFERROR(XS_AnalyzerSummary!AV39,0)</f>
        <v>2.7797714510512779</v>
      </c>
      <c r="AD41" s="34">
        <f>IFERROR(XS_AnalyzerSummary!AK39,0)</f>
        <v>2.6199999999999974</v>
      </c>
      <c r="AE41" s="34">
        <f>IFERROR(XS_AnalyzerSummary!AW39,0)</f>
        <v>1.5965040000000013</v>
      </c>
      <c r="AF41" s="34">
        <f>IFERROR(XS_AnalyzerSummary!AK39,0)</f>
        <v>2.6199999999999974</v>
      </c>
      <c r="AG41" s="34">
        <f>IFERROR(XS_AnalyzerSummary!BF39,0)</f>
        <v>6.3406925027812253</v>
      </c>
    </row>
    <row r="42" spans="2:33">
      <c r="B42" s="29" t="str">
        <f>IF(ISERROR(XS_Analyzer_Calculations!B42),"",XS_Analyzer_Calculations!B42)</f>
        <v/>
      </c>
      <c r="C42" s="29" t="str">
        <f>IF(ISERROR(XS_Analyzer_Calculations!C42),"",XS_Analyzer_Calculations!C42)</f>
        <v/>
      </c>
      <c r="D42" s="29" t="str">
        <f>IF(ISERROR(Data!D39),"",Data!D39)</f>
        <v/>
      </c>
      <c r="E42" s="2" t="str">
        <f>IF(F42&lt;&gt;"",IF(ISERROR(XS_Analyzer_Calculations!AH42),"",XS_Analyzer_Calculations!AH42),"")</f>
        <v/>
      </c>
      <c r="F42" s="2" t="str">
        <f>IF(IF(ISERROR(XS_Analyzer_Calculations!AF42),"",XS_Analyzer_Calculations!AF42)&lt;&gt;MAX($F$4:$F41),IF(ISERROR(XS_Analyzer_Calculations!AF42),"",XS_Analyzer_Calculations!AF42),"")</f>
        <v/>
      </c>
      <c r="G42" s="44" t="str">
        <f>IF(F42&lt;&gt;"",IF(ISERROR(XS_Analyzer_Calculations!W42),"",XS_Analyzer_Calculations!W42),"")</f>
        <v/>
      </c>
      <c r="H42" s="2" t="str">
        <f>IF(ISERROR(XS_Analyzer_Calculations!AE42),"",XS_Analyzer_Calculations!AE42)</f>
        <v/>
      </c>
      <c r="I42" s="44" t="str">
        <f>IF(ISERROR(XS_Analyzer_Calculations!W42),"",XS_Analyzer_Calculations!W42)</f>
        <v/>
      </c>
      <c r="J42" s="44" t="str">
        <f>IF(K42&lt;&gt;"",IF(ISERROR(XS_Analyzer_Calculations!AL42:AL142),"",XS_Analyzer_Calculations!AL42:AL142),"")</f>
        <v/>
      </c>
      <c r="K42" s="29" t="str">
        <f>IF(IF(ISERROR(XS_Analyzer_Calculations!AJ42:AJ142),"",XS_Analyzer_Calculations!AJ42:AJ142)&lt;&gt;MAX($K$4:$K41),IF(ISERROR(XS_Analyzer_Calculations!AJ42:AJ142),"",XS_Analyzer_Calculations!AJ42:AJ142),"")</f>
        <v/>
      </c>
      <c r="L42" s="58" t="str">
        <f>IF(K42&lt;&gt;"",IF(ISERROR(XS_Analyzer_Calculations!X42:X142),"",XS_Analyzer_Calculations!X42:X142),"")</f>
        <v/>
      </c>
      <c r="M42" s="29" t="str">
        <f>IF(ISERROR(XS_Analyzer_Calculations!AI42:AI142),"",XS_Analyzer_Calculations!AI42:AI142)</f>
        <v/>
      </c>
      <c r="N42" s="29" t="str">
        <f>IF(ISERROR(XS_Analyzer_Calculations!X42:X142),"",XS_Analyzer_Calculations!X42:X142)</f>
        <v/>
      </c>
      <c r="X42" s="29" t="str">
        <f>IF(OR(ISERROR(XS_Analyzer_Calculations!BG41),B42="",ISERROR(XS_Analyzer_Calculations!BN41)),"",XS_Analyzer_Calculations!BN41)</f>
        <v/>
      </c>
      <c r="Y42" s="29" t="str">
        <f>IF(OR(ISERROR(XS_Analyzer_Calculations!BG41),X42=""),"",XS_Analyzer_Calculations!BH41)</f>
        <v/>
      </c>
      <c r="Z42" s="29" t="str">
        <f>IF(OR(ISERROR(XS_Analyzer_Calculations!BG41),X42=""),"",XS_Analyzer_Calculations!$O$18)</f>
        <v/>
      </c>
      <c r="AB42" s="34">
        <f>IFERROR(XS_AnalyzerSummary!AK40,0)</f>
        <v>2.6649999999999974</v>
      </c>
      <c r="AC42" s="34">
        <f>IFERROR(XS_AnalyzerSummary!AV40,0)</f>
        <v>2.7992939412176256</v>
      </c>
      <c r="AD42" s="34">
        <f>IFERROR(XS_AnalyzerSummary!AK40,0)</f>
        <v>2.6649999999999974</v>
      </c>
      <c r="AE42" s="34">
        <f>IFERROR(XS_AnalyzerSummary!AW40,0)</f>
        <v>1.6133520000000017</v>
      </c>
      <c r="AF42" s="34">
        <f>IFERROR(XS_AnalyzerSummary!AK40,0)</f>
        <v>2.6649999999999974</v>
      </c>
      <c r="AG42" s="34">
        <f>IFERROR(XS_AnalyzerSummary!BF40,0)</f>
        <v>6.4100658456118618</v>
      </c>
    </row>
    <row r="43" spans="2:33">
      <c r="B43" s="29" t="str">
        <f>IF(ISERROR(XS_Analyzer_Calculations!B43),"",XS_Analyzer_Calculations!B43)</f>
        <v/>
      </c>
      <c r="C43" s="29" t="str">
        <f>IF(ISERROR(XS_Analyzer_Calculations!C43),"",XS_Analyzer_Calculations!C43)</f>
        <v/>
      </c>
      <c r="D43" s="29" t="str">
        <f>IF(ISERROR(Data!D40),"",Data!D40)</f>
        <v/>
      </c>
      <c r="E43" s="2" t="str">
        <f>IF(F43&lt;&gt;"",IF(ISERROR(XS_Analyzer_Calculations!AH43),"",XS_Analyzer_Calculations!AH43),"")</f>
        <v/>
      </c>
      <c r="F43" s="2" t="str">
        <f>IF(IF(ISERROR(XS_Analyzer_Calculations!AF43),"",XS_Analyzer_Calculations!AF43)&lt;&gt;MAX($F$4:$F42),IF(ISERROR(XS_Analyzer_Calculations!AF43),"",XS_Analyzer_Calculations!AF43),"")</f>
        <v/>
      </c>
      <c r="G43" s="44" t="str">
        <f>IF(F43&lt;&gt;"",IF(ISERROR(XS_Analyzer_Calculations!W43),"",XS_Analyzer_Calculations!W43),"")</f>
        <v/>
      </c>
      <c r="H43" s="2" t="str">
        <f>IF(ISERROR(XS_Analyzer_Calculations!AE43),"",XS_Analyzer_Calculations!AE43)</f>
        <v/>
      </c>
      <c r="I43" s="44" t="str">
        <f>IF(ISERROR(XS_Analyzer_Calculations!W43),"",XS_Analyzer_Calculations!W43)</f>
        <v/>
      </c>
      <c r="J43" s="44" t="str">
        <f>IF(K43&lt;&gt;"",IF(ISERROR(XS_Analyzer_Calculations!AL43:AL143),"",XS_Analyzer_Calculations!AL43:AL143),"")</f>
        <v/>
      </c>
      <c r="K43" s="29" t="str">
        <f>IF(IF(ISERROR(XS_Analyzer_Calculations!AJ43:AJ143),"",XS_Analyzer_Calculations!AJ43:AJ143)&lt;&gt;MAX($K$4:$K42),IF(ISERROR(XS_Analyzer_Calculations!AJ43:AJ143),"",XS_Analyzer_Calculations!AJ43:AJ143),"")</f>
        <v/>
      </c>
      <c r="L43" s="58" t="str">
        <f>IF(K43&lt;&gt;"",IF(ISERROR(XS_Analyzer_Calculations!X43:X143),"",XS_Analyzer_Calculations!X43:X143),"")</f>
        <v/>
      </c>
      <c r="M43" s="29" t="str">
        <f>IF(ISERROR(XS_Analyzer_Calculations!AI43:AI143),"",XS_Analyzer_Calculations!AI43:AI143)</f>
        <v/>
      </c>
      <c r="N43" s="29" t="str">
        <f>IF(ISERROR(XS_Analyzer_Calculations!X43:X143),"",XS_Analyzer_Calculations!X43:X143)</f>
        <v/>
      </c>
      <c r="X43" s="29" t="str">
        <f>IF(OR(ISERROR(XS_Analyzer_Calculations!BG42),B43="",ISERROR(XS_Analyzer_Calculations!BN42)),"",XS_Analyzer_Calculations!BN42)</f>
        <v/>
      </c>
      <c r="Y43" s="29" t="str">
        <f>IF(OR(ISERROR(XS_Analyzer_Calculations!BG42),X43=""),"",XS_Analyzer_Calculations!BH42)</f>
        <v/>
      </c>
      <c r="Z43" s="29" t="str">
        <f>IF(OR(ISERROR(XS_Analyzer_Calculations!BG42),X43=""),"",XS_Analyzer_Calculations!$O$18)</f>
        <v/>
      </c>
      <c r="AB43" s="34">
        <f>IFERROR(XS_AnalyzerSummary!AK41,0)</f>
        <v>2.7099999999999973</v>
      </c>
      <c r="AC43" s="34">
        <f>IFERROR(XS_AnalyzerSummary!AV41,0)</f>
        <v>2.8187485912473642</v>
      </c>
      <c r="AD43" s="34">
        <f>IFERROR(XS_AnalyzerSummary!AK41,0)</f>
        <v>2.7099999999999973</v>
      </c>
      <c r="AE43" s="34">
        <f>IFERROR(XS_AnalyzerSummary!AW41,0)</f>
        <v>1.6302000000000016</v>
      </c>
      <c r="AF43" s="34">
        <f>IFERROR(XS_AnalyzerSummary!AK41,0)</f>
        <v>2.7099999999999973</v>
      </c>
      <c r="AG43" s="34">
        <f>IFERROR(XS_AnalyzerSummary!BF41,0)</f>
        <v>6.4794694646725226</v>
      </c>
    </row>
    <row r="44" spans="2:33">
      <c r="B44" s="29" t="str">
        <f>IF(ISERROR(XS_Analyzer_Calculations!B44),"",XS_Analyzer_Calculations!B44)</f>
        <v/>
      </c>
      <c r="C44" s="29" t="str">
        <f>IF(ISERROR(XS_Analyzer_Calculations!C44),"",XS_Analyzer_Calculations!C44)</f>
        <v/>
      </c>
      <c r="D44" s="29" t="str">
        <f>IF(ISERROR(Data!D41),"",Data!D41)</f>
        <v/>
      </c>
      <c r="E44" s="2" t="str">
        <f>IF(F44&lt;&gt;"",IF(ISERROR(XS_Analyzer_Calculations!AH44),"",XS_Analyzer_Calculations!AH44),"")</f>
        <v/>
      </c>
      <c r="F44" s="2" t="str">
        <f>IF(IF(ISERROR(XS_Analyzer_Calculations!AF44),"",XS_Analyzer_Calculations!AF44)&lt;&gt;MAX($F$4:$F43),IF(ISERROR(XS_Analyzer_Calculations!AF44),"",XS_Analyzer_Calculations!AF44),"")</f>
        <v/>
      </c>
      <c r="G44" s="44" t="str">
        <f>IF(F44&lt;&gt;"",IF(ISERROR(XS_Analyzer_Calculations!W44),"",XS_Analyzer_Calculations!W44),"")</f>
        <v/>
      </c>
      <c r="H44" s="2" t="str">
        <f>IF(ISERROR(XS_Analyzer_Calculations!AE44),"",XS_Analyzer_Calculations!AE44)</f>
        <v/>
      </c>
      <c r="I44" s="44" t="str">
        <f>IF(ISERROR(XS_Analyzer_Calculations!W44),"",XS_Analyzer_Calculations!W44)</f>
        <v/>
      </c>
      <c r="J44" s="44" t="str">
        <f>IF(K44&lt;&gt;"",IF(ISERROR(XS_Analyzer_Calculations!AL44:AL144),"",XS_Analyzer_Calculations!AL44:AL144),"")</f>
        <v/>
      </c>
      <c r="K44" s="29" t="str">
        <f>IF(IF(ISERROR(XS_Analyzer_Calculations!AJ44:AJ144),"",XS_Analyzer_Calculations!AJ44:AJ144)&lt;&gt;MAX($K$4:$K43),IF(ISERROR(XS_Analyzer_Calculations!AJ44:AJ144),"",XS_Analyzer_Calculations!AJ44:AJ144),"")</f>
        <v/>
      </c>
      <c r="L44" s="58" t="str">
        <f>IF(K44&lt;&gt;"",IF(ISERROR(XS_Analyzer_Calculations!X44:X144),"",XS_Analyzer_Calculations!X44:X144),"")</f>
        <v/>
      </c>
      <c r="M44" s="29" t="str">
        <f>IF(ISERROR(XS_Analyzer_Calculations!AI44:AI144),"",XS_Analyzer_Calculations!AI44:AI144)</f>
        <v/>
      </c>
      <c r="N44" s="29" t="str">
        <f>IF(ISERROR(XS_Analyzer_Calculations!X44:X144),"",XS_Analyzer_Calculations!X44:X144)</f>
        <v/>
      </c>
      <c r="X44" s="29" t="str">
        <f>IF(OR(ISERROR(XS_Analyzer_Calculations!BG43),B44="",ISERROR(XS_Analyzer_Calculations!BN43)),"",XS_Analyzer_Calculations!BN43)</f>
        <v/>
      </c>
      <c r="Y44" s="29" t="str">
        <f>IF(OR(ISERROR(XS_Analyzer_Calculations!BG43),X44=""),"",XS_Analyzer_Calculations!BH43)</f>
        <v/>
      </c>
      <c r="Z44" s="29" t="str">
        <f>IF(OR(ISERROR(XS_Analyzer_Calculations!BG43),X44=""),"",XS_Analyzer_Calculations!$O$18)</f>
        <v/>
      </c>
      <c r="AB44" s="34">
        <f>IFERROR(XS_AnalyzerSummary!AK42,0)</f>
        <v>2.7549999999999972</v>
      </c>
      <c r="AC44" s="34">
        <f>IFERROR(XS_AnalyzerSummary!AV42,0)</f>
        <v>2.8381363343960357</v>
      </c>
      <c r="AD44" s="34">
        <f>IFERROR(XS_AnalyzerSummary!AK42,0)</f>
        <v>2.7549999999999972</v>
      </c>
      <c r="AE44" s="34">
        <f>IFERROR(XS_AnalyzerSummary!AW42,0)</f>
        <v>1.6470480000000012</v>
      </c>
      <c r="AF44" s="34">
        <f>IFERROR(XS_AnalyzerSummary!AK42,0)</f>
        <v>2.7549999999999972</v>
      </c>
      <c r="AG44" s="34">
        <f>IFERROR(XS_AnalyzerSummary!BF42,0)</f>
        <v>6.5489030616685229</v>
      </c>
    </row>
    <row r="45" spans="2:33">
      <c r="B45" s="29" t="str">
        <f>IF(ISERROR(XS_Analyzer_Calculations!B45),"",XS_Analyzer_Calculations!B45)</f>
        <v/>
      </c>
      <c r="C45" s="29" t="str">
        <f>IF(ISERROR(XS_Analyzer_Calculations!C45),"",XS_Analyzer_Calculations!C45)</f>
        <v/>
      </c>
      <c r="D45" s="29" t="str">
        <f>IF(ISERROR(Data!D42),"",Data!D42)</f>
        <v/>
      </c>
      <c r="E45" s="2" t="str">
        <f>IF(F45&lt;&gt;"",IF(ISERROR(XS_Analyzer_Calculations!AH45),"",XS_Analyzer_Calculations!AH45),"")</f>
        <v/>
      </c>
      <c r="F45" s="2" t="str">
        <f>IF(IF(ISERROR(XS_Analyzer_Calculations!AF45),"",XS_Analyzer_Calculations!AF45)&lt;&gt;MAX($F$4:$F44),IF(ISERROR(XS_Analyzer_Calculations!AF45),"",XS_Analyzer_Calculations!AF45),"")</f>
        <v/>
      </c>
      <c r="G45" s="44" t="str">
        <f>IF(F45&lt;&gt;"",IF(ISERROR(XS_Analyzer_Calculations!W45),"",XS_Analyzer_Calculations!W45),"")</f>
        <v/>
      </c>
      <c r="H45" s="2" t="str">
        <f>IF(ISERROR(XS_Analyzer_Calculations!AE45),"",XS_Analyzer_Calculations!AE45)</f>
        <v/>
      </c>
      <c r="I45" s="44" t="str">
        <f>IF(ISERROR(XS_Analyzer_Calculations!W45),"",XS_Analyzer_Calculations!W45)</f>
        <v/>
      </c>
      <c r="J45" s="44" t="str">
        <f>IF(K45&lt;&gt;"",IF(ISERROR(XS_Analyzer_Calculations!AL45:AL145),"",XS_Analyzer_Calculations!AL45:AL145),"")</f>
        <v/>
      </c>
      <c r="K45" s="29" t="str">
        <f>IF(IF(ISERROR(XS_Analyzer_Calculations!AJ45:AJ145),"",XS_Analyzer_Calculations!AJ45:AJ145)&lt;&gt;MAX($K$4:$K44),IF(ISERROR(XS_Analyzer_Calculations!AJ45:AJ145),"",XS_Analyzer_Calculations!AJ45:AJ145),"")</f>
        <v/>
      </c>
      <c r="L45" s="58" t="str">
        <f>IF(K45&lt;&gt;"",IF(ISERROR(XS_Analyzer_Calculations!X45:X145),"",XS_Analyzer_Calculations!X45:X145),"")</f>
        <v/>
      </c>
      <c r="M45" s="29" t="str">
        <f>IF(ISERROR(XS_Analyzer_Calculations!AI45:AI145),"",XS_Analyzer_Calculations!AI45:AI145)</f>
        <v/>
      </c>
      <c r="N45" s="29" t="str">
        <f>IF(ISERROR(XS_Analyzer_Calculations!X45:X145),"",XS_Analyzer_Calculations!X45:X145)</f>
        <v/>
      </c>
      <c r="X45" s="29" t="str">
        <f>IF(OR(ISERROR(XS_Analyzer_Calculations!BG44),B45="",ISERROR(XS_Analyzer_Calculations!BN44)),"",XS_Analyzer_Calculations!BN44)</f>
        <v/>
      </c>
      <c r="Y45" s="29" t="str">
        <f>IF(OR(ISERROR(XS_Analyzer_Calculations!BG44),X45=""),"",XS_Analyzer_Calculations!BH44)</f>
        <v/>
      </c>
      <c r="Z45" s="29" t="str">
        <f>IF(OR(ISERROR(XS_Analyzer_Calculations!BG44),X45=""),"",XS_Analyzer_Calculations!$O$18)</f>
        <v/>
      </c>
      <c r="AB45" s="34">
        <f>IFERROR(XS_AnalyzerSummary!AK43,0)</f>
        <v>2.7999999999999972</v>
      </c>
      <c r="AC45" s="34">
        <f>IFERROR(XS_AnalyzerSummary!AV43,0)</f>
        <v>2.8574580816809179</v>
      </c>
      <c r="AD45" s="34">
        <f>IFERROR(XS_AnalyzerSummary!AK43,0)</f>
        <v>2.7999999999999972</v>
      </c>
      <c r="AE45" s="34">
        <f>IFERROR(XS_AnalyzerSummary!AW43,0)</f>
        <v>1.6638960000000014</v>
      </c>
      <c r="AF45" s="34">
        <f>IFERROR(XS_AnalyzerSummary!AK43,0)</f>
        <v>2.7999999999999972</v>
      </c>
      <c r="AG45" s="34">
        <f>IFERROR(XS_AnalyzerSummary!BF43,0)</f>
        <v>6.6183663442508482</v>
      </c>
    </row>
    <row r="46" spans="2:33">
      <c r="B46" s="29" t="str">
        <f>IF(ISERROR(XS_Analyzer_Calculations!B46),"",XS_Analyzer_Calculations!B46)</f>
        <v/>
      </c>
      <c r="C46" s="29" t="str">
        <f>IF(ISERROR(XS_Analyzer_Calculations!C46),"",XS_Analyzer_Calculations!C46)</f>
        <v/>
      </c>
      <c r="D46" s="29" t="str">
        <f>IF(ISERROR(Data!D43),"",Data!D43)</f>
        <v/>
      </c>
      <c r="E46" s="2" t="str">
        <f>IF(F46&lt;&gt;"",IF(ISERROR(XS_Analyzer_Calculations!AH46),"",XS_Analyzer_Calculations!AH46),"")</f>
        <v/>
      </c>
      <c r="F46" s="2" t="str">
        <f>IF(IF(ISERROR(XS_Analyzer_Calculations!AF46),"",XS_Analyzer_Calculations!AF46)&lt;&gt;MAX($F$4:$F45),IF(ISERROR(XS_Analyzer_Calculations!AF46),"",XS_Analyzer_Calculations!AF46),"")</f>
        <v/>
      </c>
      <c r="G46" s="44" t="str">
        <f>IF(F46&lt;&gt;"",IF(ISERROR(XS_Analyzer_Calculations!W46),"",XS_Analyzer_Calculations!W46),"")</f>
        <v/>
      </c>
      <c r="H46" s="2" t="str">
        <f>IF(ISERROR(XS_Analyzer_Calculations!AE46),"",XS_Analyzer_Calculations!AE46)</f>
        <v/>
      </c>
      <c r="I46" s="44" t="str">
        <f>IF(ISERROR(XS_Analyzer_Calculations!W46),"",XS_Analyzer_Calculations!W46)</f>
        <v/>
      </c>
      <c r="J46" s="44" t="str">
        <f>IF(K46&lt;&gt;"",IF(ISERROR(XS_Analyzer_Calculations!AL46:AL146),"",XS_Analyzer_Calculations!AL46:AL146),"")</f>
        <v/>
      </c>
      <c r="K46" s="29" t="str">
        <f>IF(IF(ISERROR(XS_Analyzer_Calculations!AJ46:AJ146),"",XS_Analyzer_Calculations!AJ46:AJ146)&lt;&gt;MAX($K$4:$K45),IF(ISERROR(XS_Analyzer_Calculations!AJ46:AJ146),"",XS_Analyzer_Calculations!AJ46:AJ146),"")</f>
        <v/>
      </c>
      <c r="L46" s="58" t="str">
        <f>IF(K46&lt;&gt;"",IF(ISERROR(XS_Analyzer_Calculations!X46:X146),"",XS_Analyzer_Calculations!X46:X146),"")</f>
        <v/>
      </c>
      <c r="M46" s="29" t="str">
        <f>IF(ISERROR(XS_Analyzer_Calculations!AI46:AI146),"",XS_Analyzer_Calculations!AI46:AI146)</f>
        <v/>
      </c>
      <c r="N46" s="29" t="str">
        <f>IF(ISERROR(XS_Analyzer_Calculations!X46:X146),"",XS_Analyzer_Calculations!X46:X146)</f>
        <v/>
      </c>
      <c r="X46" s="29" t="str">
        <f>IF(OR(ISERROR(XS_Analyzer_Calculations!BG45),B46="",ISERROR(XS_Analyzer_Calculations!BN45)),"",XS_Analyzer_Calculations!BN45)</f>
        <v/>
      </c>
      <c r="Y46" s="29" t="str">
        <f>IF(OR(ISERROR(XS_Analyzer_Calculations!BG45),X46=""),"",XS_Analyzer_Calculations!BH45)</f>
        <v/>
      </c>
      <c r="Z46" s="29" t="str">
        <f>IF(OR(ISERROR(XS_Analyzer_Calculations!BG45),X46=""),"",XS_Analyzer_Calculations!$O$18)</f>
        <v/>
      </c>
      <c r="AB46" s="34">
        <f>IFERROR(XS_AnalyzerSummary!AK44,0)</f>
        <v>2.8449999999999971</v>
      </c>
      <c r="AC46" s="34">
        <f>IFERROR(XS_AnalyzerSummary!AV44,0)</f>
        <v>2.8767147226303957</v>
      </c>
      <c r="AD46" s="34">
        <f>IFERROR(XS_AnalyzerSummary!AK44,0)</f>
        <v>2.8449999999999971</v>
      </c>
      <c r="AE46" s="34">
        <f>IFERROR(XS_AnalyzerSummary!AW44,0)</f>
        <v>1.6807440000000013</v>
      </c>
      <c r="AF46" s="34">
        <f>IFERROR(XS_AnalyzerSummary!AK44,0)</f>
        <v>2.8449999999999971</v>
      </c>
      <c r="AG46" s="34">
        <f>IFERROR(XS_AnalyzerSummary!BF44,0)</f>
        <v>6.6878590258389154</v>
      </c>
    </row>
    <row r="47" spans="2:33">
      <c r="B47" s="29" t="str">
        <f>IF(ISERROR(XS_Analyzer_Calculations!B47),"",XS_Analyzer_Calculations!B47)</f>
        <v/>
      </c>
      <c r="C47" s="29" t="str">
        <f>IF(ISERROR(XS_Analyzer_Calculations!C47),"",XS_Analyzer_Calculations!C47)</f>
        <v/>
      </c>
      <c r="D47" s="29" t="str">
        <f>IF(ISERROR(Data!D44),"",Data!D44)</f>
        <v/>
      </c>
      <c r="E47" s="2" t="str">
        <f>IF(F47&lt;&gt;"",IF(ISERROR(XS_Analyzer_Calculations!AH47),"",XS_Analyzer_Calculations!AH47),"")</f>
        <v/>
      </c>
      <c r="F47" s="2" t="str">
        <f>IF(IF(ISERROR(XS_Analyzer_Calculations!AF47),"",XS_Analyzer_Calculations!AF47)&lt;&gt;MAX($F$4:$F46),IF(ISERROR(XS_Analyzer_Calculations!AF47),"",XS_Analyzer_Calculations!AF47),"")</f>
        <v/>
      </c>
      <c r="G47" s="44" t="str">
        <f>IF(F47&lt;&gt;"",IF(ISERROR(XS_Analyzer_Calculations!W47),"",XS_Analyzer_Calculations!W47),"")</f>
        <v/>
      </c>
      <c r="H47" s="2" t="str">
        <f>IF(ISERROR(XS_Analyzer_Calculations!AE47),"",XS_Analyzer_Calculations!AE47)</f>
        <v/>
      </c>
      <c r="I47" s="44" t="str">
        <f>IF(ISERROR(XS_Analyzer_Calculations!W47),"",XS_Analyzer_Calculations!W47)</f>
        <v/>
      </c>
      <c r="J47" s="44" t="str">
        <f>IF(K47&lt;&gt;"",IF(ISERROR(XS_Analyzer_Calculations!AL47:AL147),"",XS_Analyzer_Calculations!AL47:AL147),"")</f>
        <v/>
      </c>
      <c r="K47" s="29" t="str">
        <f>IF(IF(ISERROR(XS_Analyzer_Calculations!AJ47:AJ147),"",XS_Analyzer_Calculations!AJ47:AJ147)&lt;&gt;MAX($K$4:$K46),IF(ISERROR(XS_Analyzer_Calculations!AJ47:AJ147),"",XS_Analyzer_Calculations!AJ47:AJ147),"")</f>
        <v/>
      </c>
      <c r="L47" s="58" t="str">
        <f>IF(K47&lt;&gt;"",IF(ISERROR(XS_Analyzer_Calculations!X47:X147),"",XS_Analyzer_Calculations!X47:X147),"")</f>
        <v/>
      </c>
      <c r="M47" s="29" t="str">
        <f>IF(ISERROR(XS_Analyzer_Calculations!AI47:AI147),"",XS_Analyzer_Calculations!AI47:AI147)</f>
        <v/>
      </c>
      <c r="N47" s="29" t="str">
        <f>IF(ISERROR(XS_Analyzer_Calculations!X47:X147),"",XS_Analyzer_Calculations!X47:X147)</f>
        <v/>
      </c>
      <c r="X47" s="29" t="str">
        <f>IF(OR(ISERROR(XS_Analyzer_Calculations!BG46),B47="",ISERROR(XS_Analyzer_Calculations!BN46)),"",XS_Analyzer_Calculations!BN46)</f>
        <v/>
      </c>
      <c r="Y47" s="29" t="str">
        <f>IF(OR(ISERROR(XS_Analyzer_Calculations!BG46),X47=""),"",XS_Analyzer_Calculations!BH46)</f>
        <v/>
      </c>
      <c r="Z47" s="29" t="str">
        <f>IF(OR(ISERROR(XS_Analyzer_Calculations!BG46),X47=""),"",XS_Analyzer_Calculations!$O$18)</f>
        <v/>
      </c>
      <c r="AB47" s="34">
        <f>IFERROR(XS_AnalyzerSummary!AK45,0)</f>
        <v>2.889999999999997</v>
      </c>
      <c r="AC47" s="34">
        <f>IFERROR(XS_AnalyzerSummary!AV45,0)</f>
        <v>2.89590712600083</v>
      </c>
      <c r="AD47" s="34">
        <f>IFERROR(XS_AnalyzerSummary!AK45,0)</f>
        <v>2.889999999999997</v>
      </c>
      <c r="AE47" s="34">
        <f>IFERROR(XS_AnalyzerSummary!AW45,0)</f>
        <v>1.6975920000000018</v>
      </c>
      <c r="AF47" s="34">
        <f>IFERROR(XS_AnalyzerSummary!AK45,0)</f>
        <v>2.889999999999997</v>
      </c>
      <c r="AG47" s="34">
        <f>IFERROR(XS_AnalyzerSummary!BF45,0)</f>
        <v>6.7573808254503245</v>
      </c>
    </row>
    <row r="48" spans="2:33">
      <c r="B48" s="29" t="str">
        <f>IF(ISERROR(XS_Analyzer_Calculations!B48),"",XS_Analyzer_Calculations!B48)</f>
        <v/>
      </c>
      <c r="C48" s="29" t="str">
        <f>IF(ISERROR(XS_Analyzer_Calculations!C48),"",XS_Analyzer_Calculations!C48)</f>
        <v/>
      </c>
      <c r="D48" s="29" t="str">
        <f>IF(ISERROR(Data!D45),"",Data!D45)</f>
        <v/>
      </c>
      <c r="E48" s="2" t="str">
        <f>IF(F48&lt;&gt;"",IF(ISERROR(XS_Analyzer_Calculations!AH48),"",XS_Analyzer_Calculations!AH48),"")</f>
        <v/>
      </c>
      <c r="F48" s="2" t="str">
        <f>IF(IF(ISERROR(XS_Analyzer_Calculations!AF48),"",XS_Analyzer_Calculations!AF48)&lt;&gt;MAX($F$4:$F47),IF(ISERROR(XS_Analyzer_Calculations!AF48),"",XS_Analyzer_Calculations!AF48),"")</f>
        <v/>
      </c>
      <c r="G48" s="44" t="str">
        <f>IF(F48&lt;&gt;"",IF(ISERROR(XS_Analyzer_Calculations!W48),"",XS_Analyzer_Calculations!W48),"")</f>
        <v/>
      </c>
      <c r="H48" s="2" t="str">
        <f>IF(ISERROR(XS_Analyzer_Calculations!AE48),"",XS_Analyzer_Calculations!AE48)</f>
        <v/>
      </c>
      <c r="I48" s="44" t="str">
        <f>IF(ISERROR(XS_Analyzer_Calculations!W48),"",XS_Analyzer_Calculations!W48)</f>
        <v/>
      </c>
      <c r="J48" s="44" t="str">
        <f>IF(K48&lt;&gt;"",IF(ISERROR(XS_Analyzer_Calculations!AL48:AL148),"",XS_Analyzer_Calculations!AL48:AL148),"")</f>
        <v/>
      </c>
      <c r="K48" s="29" t="str">
        <f>IF(IF(ISERROR(XS_Analyzer_Calculations!AJ48:AJ148),"",XS_Analyzer_Calculations!AJ48:AJ148)&lt;&gt;MAX($K$4:$K47),IF(ISERROR(XS_Analyzer_Calculations!AJ48:AJ148),"",XS_Analyzer_Calculations!AJ48:AJ148),"")</f>
        <v/>
      </c>
      <c r="L48" s="58" t="str">
        <f>IF(K48&lt;&gt;"",IF(ISERROR(XS_Analyzer_Calculations!X48:X148),"",XS_Analyzer_Calculations!X48:X148),"")</f>
        <v/>
      </c>
      <c r="M48" s="29" t="str">
        <f>IF(ISERROR(XS_Analyzer_Calculations!AI48:AI148),"",XS_Analyzer_Calculations!AI48:AI148)</f>
        <v/>
      </c>
      <c r="N48" s="29" t="str">
        <f>IF(ISERROR(XS_Analyzer_Calculations!X48:X148),"",XS_Analyzer_Calculations!X48:X148)</f>
        <v/>
      </c>
      <c r="X48" s="29" t="str">
        <f>IF(OR(ISERROR(XS_Analyzer_Calculations!BG47),B48="",ISERROR(XS_Analyzer_Calculations!BN47)),"",XS_Analyzer_Calculations!BN47)</f>
        <v/>
      </c>
      <c r="Y48" s="29" t="str">
        <f>IF(OR(ISERROR(XS_Analyzer_Calculations!BG47),X48=""),"",XS_Analyzer_Calculations!BH47)</f>
        <v/>
      </c>
      <c r="Z48" s="29" t="str">
        <f>IF(OR(ISERROR(XS_Analyzer_Calculations!BG47),X48=""),"",XS_Analyzer_Calculations!$O$18)</f>
        <v/>
      </c>
      <c r="AB48" s="34">
        <f>IFERROR(XS_AnalyzerSummary!AK46,0)</f>
        <v>2.9349999999999969</v>
      </c>
      <c r="AC48" s="34">
        <f>IFERROR(XS_AnalyzerSummary!AV46,0)</f>
        <v>2.9150361404626493</v>
      </c>
      <c r="AD48" s="34">
        <f>IFERROR(XS_AnalyzerSummary!AK46,0)</f>
        <v>2.9349999999999969</v>
      </c>
      <c r="AE48" s="34">
        <f>IFERROR(XS_AnalyzerSummary!AW46,0)</f>
        <v>1.7144400000000013</v>
      </c>
      <c r="AF48" s="34">
        <f>IFERROR(XS_AnalyzerSummary!AK46,0)</f>
        <v>2.9349999999999969</v>
      </c>
      <c r="AG48" s="34">
        <f>IFERROR(XS_AnalyzerSummary!BF46,0)</f>
        <v>6.8269314675372978</v>
      </c>
    </row>
    <row r="49" spans="2:33">
      <c r="B49" s="29" t="str">
        <f>IF(ISERROR(XS_Analyzer_Calculations!B49),"",XS_Analyzer_Calculations!B49)</f>
        <v/>
      </c>
      <c r="C49" s="29" t="str">
        <f>IF(ISERROR(XS_Analyzer_Calculations!C49),"",XS_Analyzer_Calculations!C49)</f>
        <v/>
      </c>
      <c r="D49" s="29" t="str">
        <f>IF(ISERROR(Data!D46),"",Data!D46)</f>
        <v/>
      </c>
      <c r="E49" s="2" t="str">
        <f>IF(F49&lt;&gt;"",IF(ISERROR(XS_Analyzer_Calculations!AH49),"",XS_Analyzer_Calculations!AH49),"")</f>
        <v/>
      </c>
      <c r="F49" s="2" t="str">
        <f>IF(IF(ISERROR(XS_Analyzer_Calculations!AF49),"",XS_Analyzer_Calculations!AF49)&lt;&gt;MAX($F$4:$F48),IF(ISERROR(XS_Analyzer_Calculations!AF49),"",XS_Analyzer_Calculations!AF49),"")</f>
        <v/>
      </c>
      <c r="G49" s="44" t="str">
        <f>IF(F49&lt;&gt;"",IF(ISERROR(XS_Analyzer_Calculations!W49),"",XS_Analyzer_Calculations!W49),"")</f>
        <v/>
      </c>
      <c r="H49" s="2" t="str">
        <f>IF(ISERROR(XS_Analyzer_Calculations!AE49),"",XS_Analyzer_Calculations!AE49)</f>
        <v/>
      </c>
      <c r="I49" s="44" t="str">
        <f>IF(ISERROR(XS_Analyzer_Calculations!W49),"",XS_Analyzer_Calculations!W49)</f>
        <v/>
      </c>
      <c r="J49" s="44" t="str">
        <f>IF(K49&lt;&gt;"",IF(ISERROR(XS_Analyzer_Calculations!AL49:AL149),"",XS_Analyzer_Calculations!AL49:AL149),"")</f>
        <v/>
      </c>
      <c r="K49" s="29" t="str">
        <f>IF(IF(ISERROR(XS_Analyzer_Calculations!AJ49:AJ149),"",XS_Analyzer_Calculations!AJ49:AJ149)&lt;&gt;MAX($K$4:$K48),IF(ISERROR(XS_Analyzer_Calculations!AJ49:AJ149),"",XS_Analyzer_Calculations!AJ49:AJ149),"")</f>
        <v/>
      </c>
      <c r="L49" s="58" t="str">
        <f>IF(K49&lt;&gt;"",IF(ISERROR(XS_Analyzer_Calculations!X49:X149),"",XS_Analyzer_Calculations!X49:X149),"")</f>
        <v/>
      </c>
      <c r="M49" s="29" t="str">
        <f>IF(ISERROR(XS_Analyzer_Calculations!AI49:AI149),"",XS_Analyzer_Calculations!AI49:AI149)</f>
        <v/>
      </c>
      <c r="N49" s="29" t="str">
        <f>IF(ISERROR(XS_Analyzer_Calculations!X49:X149),"",XS_Analyzer_Calculations!X49:X149)</f>
        <v/>
      </c>
      <c r="X49" s="29" t="str">
        <f>IF(OR(ISERROR(XS_Analyzer_Calculations!BG48),B49="",ISERROR(XS_Analyzer_Calculations!BN48)),"",XS_Analyzer_Calculations!BN48)</f>
        <v/>
      </c>
      <c r="Y49" s="29" t="str">
        <f>IF(OR(ISERROR(XS_Analyzer_Calculations!BG48),X49=""),"",XS_Analyzer_Calculations!BH48)</f>
        <v/>
      </c>
      <c r="Z49" s="29" t="str">
        <f>IF(OR(ISERROR(XS_Analyzer_Calculations!BG48),X49=""),"",XS_Analyzer_Calculations!$O$18)</f>
        <v/>
      </c>
      <c r="AB49" s="34">
        <f>IFERROR(XS_AnalyzerSummary!AK47,0)</f>
        <v>2.9799999999999969</v>
      </c>
      <c r="AC49" s="34">
        <f>IFERROR(XS_AnalyzerSummary!AV47,0)</f>
        <v>2.9341025952572672</v>
      </c>
      <c r="AD49" s="34">
        <f>IFERROR(XS_AnalyzerSummary!AK47,0)</f>
        <v>2.9799999999999969</v>
      </c>
      <c r="AE49" s="34">
        <f>IFERROR(XS_AnalyzerSummary!AW47,0)</f>
        <v>1.7312880000000019</v>
      </c>
      <c r="AF49" s="34">
        <f>IFERROR(XS_AnalyzerSummary!AK47,0)</f>
        <v>2.9799999999999969</v>
      </c>
      <c r="AG49" s="34">
        <f>IFERROR(XS_AnalyzerSummary!BF47,0)</f>
        <v>6.8965106818294242</v>
      </c>
    </row>
    <row r="50" spans="2:33">
      <c r="B50" s="29" t="str">
        <f>IF(ISERROR(XS_Analyzer_Calculations!B50),"",XS_Analyzer_Calculations!B50)</f>
        <v/>
      </c>
      <c r="C50" s="29" t="str">
        <f>IF(ISERROR(XS_Analyzer_Calculations!C50),"",XS_Analyzer_Calculations!C50)</f>
        <v/>
      </c>
      <c r="D50" s="29" t="str">
        <f>IF(ISERROR(Data!D47),"",Data!D47)</f>
        <v/>
      </c>
      <c r="E50" s="2" t="str">
        <f>IF(F50&lt;&gt;"",IF(ISERROR(XS_Analyzer_Calculations!AH50),"",XS_Analyzer_Calculations!AH50),"")</f>
        <v/>
      </c>
      <c r="F50" s="2" t="str">
        <f>IF(IF(ISERROR(XS_Analyzer_Calculations!AF50),"",XS_Analyzer_Calculations!AF50)&lt;&gt;MAX($F$4:$F49),IF(ISERROR(XS_Analyzer_Calculations!AF50),"",XS_Analyzer_Calculations!AF50),"")</f>
        <v/>
      </c>
      <c r="G50" s="44" t="str">
        <f>IF(F50&lt;&gt;"",IF(ISERROR(XS_Analyzer_Calculations!W50),"",XS_Analyzer_Calculations!W50),"")</f>
        <v/>
      </c>
      <c r="H50" s="2" t="str">
        <f>IF(ISERROR(XS_Analyzer_Calculations!AE50),"",XS_Analyzer_Calculations!AE50)</f>
        <v/>
      </c>
      <c r="I50" s="44" t="str">
        <f>IF(ISERROR(XS_Analyzer_Calculations!W50),"",XS_Analyzer_Calculations!W50)</f>
        <v/>
      </c>
      <c r="J50" s="44" t="str">
        <f>IF(K50&lt;&gt;"",IF(ISERROR(XS_Analyzer_Calculations!AL50:AL150),"",XS_Analyzer_Calculations!AL50:AL150),"")</f>
        <v/>
      </c>
      <c r="K50" s="29" t="str">
        <f>IF(IF(ISERROR(XS_Analyzer_Calculations!AJ50:AJ150),"",XS_Analyzer_Calculations!AJ50:AJ150)&lt;&gt;MAX($K$4:$K49),IF(ISERROR(XS_Analyzer_Calculations!AJ50:AJ150),"",XS_Analyzer_Calculations!AJ50:AJ150),"")</f>
        <v/>
      </c>
      <c r="L50" s="58" t="str">
        <f>IF(K50&lt;&gt;"",IF(ISERROR(XS_Analyzer_Calculations!X50:X150),"",XS_Analyzer_Calculations!X50:X150),"")</f>
        <v/>
      </c>
      <c r="M50" s="29" t="str">
        <f>IF(ISERROR(XS_Analyzer_Calculations!AI50:AI150),"",XS_Analyzer_Calculations!AI50:AI150)</f>
        <v/>
      </c>
      <c r="N50" s="29" t="str">
        <f>IF(ISERROR(XS_Analyzer_Calculations!X50:X150),"",XS_Analyzer_Calculations!X50:X150)</f>
        <v/>
      </c>
      <c r="X50" s="29" t="str">
        <f>IF(OR(ISERROR(XS_Analyzer_Calculations!BG49),B50="",ISERROR(XS_Analyzer_Calculations!BN49)),"",XS_Analyzer_Calculations!BN49)</f>
        <v/>
      </c>
      <c r="Y50" s="29" t="str">
        <f>IF(OR(ISERROR(XS_Analyzer_Calculations!BG49),X50=""),"",XS_Analyzer_Calculations!BH49)</f>
        <v/>
      </c>
      <c r="Z50" s="29" t="str">
        <f>IF(OR(ISERROR(XS_Analyzer_Calculations!BG49),X50=""),"",XS_Analyzer_Calculations!$O$18)</f>
        <v/>
      </c>
      <c r="AB50" s="34">
        <f>IFERROR(XS_AnalyzerSummary!AK48,0)</f>
        <v>3.0249999999999968</v>
      </c>
      <c r="AC50" s="34">
        <f>IFERROR(XS_AnalyzerSummary!AV48,0)</f>
        <v>2.9531073008263422</v>
      </c>
      <c r="AD50" s="34">
        <f>IFERROR(XS_AnalyzerSummary!AK48,0)</f>
        <v>3.0249999999999968</v>
      </c>
      <c r="AE50" s="34">
        <f>IFERROR(XS_AnalyzerSummary!AW48,0)</f>
        <v>1.7481360000000015</v>
      </c>
      <c r="AF50" s="34">
        <f>IFERROR(XS_AnalyzerSummary!AK48,0)</f>
        <v>3.0249999999999968</v>
      </c>
      <c r="AG50" s="34">
        <f>IFERROR(XS_AnalyzerSummary!BF48,0)</f>
        <v>6.9661182031824396</v>
      </c>
    </row>
    <row r="51" spans="2:33">
      <c r="B51" s="29" t="str">
        <f>IF(ISERROR(XS_Analyzer_Calculations!B51),"",XS_Analyzer_Calculations!B51)</f>
        <v/>
      </c>
      <c r="C51" s="29" t="str">
        <f>IF(ISERROR(XS_Analyzer_Calculations!C51),"",XS_Analyzer_Calculations!C51)</f>
        <v/>
      </c>
      <c r="D51" s="29" t="str">
        <f>IF(ISERROR(Data!D48),"",Data!D48)</f>
        <v/>
      </c>
      <c r="E51" s="2" t="str">
        <f>IF(F51&lt;&gt;"",IF(ISERROR(XS_Analyzer_Calculations!AH51),"",XS_Analyzer_Calculations!AH51),"")</f>
        <v/>
      </c>
      <c r="F51" s="2" t="str">
        <f>IF(IF(ISERROR(XS_Analyzer_Calculations!AF51),"",XS_Analyzer_Calculations!AF51)&lt;&gt;MAX($F$4:$F50),IF(ISERROR(XS_Analyzer_Calculations!AF51),"",XS_Analyzer_Calculations!AF51),"")</f>
        <v/>
      </c>
      <c r="G51" s="44" t="str">
        <f>IF(F51&lt;&gt;"",IF(ISERROR(XS_Analyzer_Calculations!W51),"",XS_Analyzer_Calculations!W51),"")</f>
        <v/>
      </c>
      <c r="H51" s="2" t="str">
        <f>IF(ISERROR(XS_Analyzer_Calculations!AE51),"",XS_Analyzer_Calculations!AE51)</f>
        <v/>
      </c>
      <c r="I51" s="44" t="str">
        <f>IF(ISERROR(XS_Analyzer_Calculations!W51),"",XS_Analyzer_Calculations!W51)</f>
        <v/>
      </c>
      <c r="J51" s="44" t="str">
        <f>IF(K51&lt;&gt;"",IF(ISERROR(XS_Analyzer_Calculations!AL51:AL151),"",XS_Analyzer_Calculations!AL51:AL151),"")</f>
        <v/>
      </c>
      <c r="K51" s="29" t="str">
        <f>IF(IF(ISERROR(XS_Analyzer_Calculations!AJ51:AJ151),"",XS_Analyzer_Calculations!AJ51:AJ151)&lt;&gt;MAX($K$4:$K50),IF(ISERROR(XS_Analyzer_Calculations!AJ51:AJ151),"",XS_Analyzer_Calculations!AJ51:AJ151),"")</f>
        <v/>
      </c>
      <c r="L51" s="58" t="str">
        <f>IF(K51&lt;&gt;"",IF(ISERROR(XS_Analyzer_Calculations!X51:X151),"",XS_Analyzer_Calculations!X51:X151),"")</f>
        <v/>
      </c>
      <c r="M51" s="29" t="str">
        <f>IF(ISERROR(XS_Analyzer_Calculations!AI51:AI151),"",XS_Analyzer_Calculations!AI51:AI151)</f>
        <v/>
      </c>
      <c r="N51" s="29" t="str">
        <f>IF(ISERROR(XS_Analyzer_Calculations!X51:X151),"",XS_Analyzer_Calculations!X51:X151)</f>
        <v/>
      </c>
      <c r="X51" s="29" t="str">
        <f>IF(OR(ISERROR(XS_Analyzer_Calculations!BG50),B51="",ISERROR(XS_Analyzer_Calculations!BN50)),"",XS_Analyzer_Calculations!BN50)</f>
        <v/>
      </c>
      <c r="Y51" s="29" t="str">
        <f>IF(OR(ISERROR(XS_Analyzer_Calculations!BG50),X51=""),"",XS_Analyzer_Calculations!BH50)</f>
        <v/>
      </c>
      <c r="Z51" s="29" t="str">
        <f>IF(OR(ISERROR(XS_Analyzer_Calculations!BG50),X51=""),"",XS_Analyzer_Calculations!$O$18)</f>
        <v/>
      </c>
      <c r="AB51" s="34">
        <f>IFERROR(XS_AnalyzerSummary!AK49,0)</f>
        <v>3.0699999999999967</v>
      </c>
      <c r="AC51" s="34">
        <f>IFERROR(XS_AnalyzerSummary!AV49,0)</f>
        <v>2.9720510494147989</v>
      </c>
      <c r="AD51" s="34">
        <f>IFERROR(XS_AnalyzerSummary!AK49,0)</f>
        <v>3.0699999999999967</v>
      </c>
      <c r="AE51" s="34">
        <f>IFERROR(XS_AnalyzerSummary!AW49,0)</f>
        <v>1.7649840000000019</v>
      </c>
      <c r="AF51" s="34">
        <f>IFERROR(XS_AnalyzerSummary!AK49,0)</f>
        <v>3.0699999999999967</v>
      </c>
      <c r="AG51" s="34">
        <f>IFERROR(XS_AnalyzerSummary!BF49,0)</f>
        <v>7.0357537714327476</v>
      </c>
    </row>
    <row r="52" spans="2:33">
      <c r="B52" s="29" t="str">
        <f>IF(ISERROR(XS_Analyzer_Calculations!B52),"",XS_Analyzer_Calculations!B52)</f>
        <v/>
      </c>
      <c r="C52" s="29" t="str">
        <f>IF(ISERROR(XS_Analyzer_Calculations!C52),"",XS_Analyzer_Calculations!C52)</f>
        <v/>
      </c>
      <c r="D52" s="29" t="str">
        <f>IF(ISERROR(Data!D49),"",Data!D49)</f>
        <v/>
      </c>
      <c r="E52" s="2" t="str">
        <f>IF(F52&lt;&gt;"",IF(ISERROR(XS_Analyzer_Calculations!AH52),"",XS_Analyzer_Calculations!AH52),"")</f>
        <v/>
      </c>
      <c r="F52" s="2" t="str">
        <f>IF(IF(ISERROR(XS_Analyzer_Calculations!AF52),"",XS_Analyzer_Calculations!AF52)&lt;&gt;MAX($F$4:$F51),IF(ISERROR(XS_Analyzer_Calculations!AF52),"",XS_Analyzer_Calculations!AF52),"")</f>
        <v/>
      </c>
      <c r="G52" s="44" t="str">
        <f>IF(F52&lt;&gt;"",IF(ISERROR(XS_Analyzer_Calculations!W52),"",XS_Analyzer_Calculations!W52),"")</f>
        <v/>
      </c>
      <c r="H52" s="2" t="str">
        <f>IF(ISERROR(XS_Analyzer_Calculations!AE52),"",XS_Analyzer_Calculations!AE52)</f>
        <v/>
      </c>
      <c r="I52" s="44" t="str">
        <f>IF(ISERROR(XS_Analyzer_Calculations!W52),"",XS_Analyzer_Calculations!W52)</f>
        <v/>
      </c>
      <c r="J52" s="44" t="str">
        <f>IF(K52&lt;&gt;"",IF(ISERROR(XS_Analyzer_Calculations!AL52:AL152),"",XS_Analyzer_Calculations!AL52:AL152),"")</f>
        <v/>
      </c>
      <c r="K52" s="29" t="str">
        <f>IF(IF(ISERROR(XS_Analyzer_Calculations!AJ52:AJ152),"",XS_Analyzer_Calculations!AJ52:AJ152)&lt;&gt;MAX($K$4:$K51),IF(ISERROR(XS_Analyzer_Calculations!AJ52:AJ152),"",XS_Analyzer_Calculations!AJ52:AJ152),"")</f>
        <v/>
      </c>
      <c r="L52" s="58" t="str">
        <f>IF(K52&lt;&gt;"",IF(ISERROR(XS_Analyzer_Calculations!X52:X152),"",XS_Analyzer_Calculations!X52:X152),"")</f>
        <v/>
      </c>
      <c r="M52" s="29" t="str">
        <f>IF(ISERROR(XS_Analyzer_Calculations!AI52:AI152),"",XS_Analyzer_Calculations!AI52:AI152)</f>
        <v/>
      </c>
      <c r="N52" s="29" t="str">
        <f>IF(ISERROR(XS_Analyzer_Calculations!X52:X152),"",XS_Analyzer_Calculations!X52:X152)</f>
        <v/>
      </c>
      <c r="X52" s="29" t="str">
        <f>IF(OR(ISERROR(XS_Analyzer_Calculations!BG51),B52="",ISERROR(XS_Analyzer_Calculations!BN51)),"",XS_Analyzer_Calculations!BN51)</f>
        <v/>
      </c>
      <c r="Y52" s="29" t="str">
        <f>IF(OR(ISERROR(XS_Analyzer_Calculations!BG51),X52=""),"",XS_Analyzer_Calculations!BH51)</f>
        <v/>
      </c>
      <c r="Z52" s="29" t="str">
        <f>IF(OR(ISERROR(XS_Analyzer_Calculations!BG51),X52=""),"",XS_Analyzer_Calculations!$O$18)</f>
        <v/>
      </c>
      <c r="AB52" s="34">
        <f>IFERROR(XS_AnalyzerSummary!AK50,0)</f>
        <v>3.1149999999999967</v>
      </c>
      <c r="AC52" s="34">
        <f>IFERROR(XS_AnalyzerSummary!AV50,0)</f>
        <v>2.9909346156489387</v>
      </c>
      <c r="AD52" s="34">
        <f>IFERROR(XS_AnalyzerSummary!AK50,0)</f>
        <v>3.1149999999999967</v>
      </c>
      <c r="AE52" s="34">
        <f>IFERROR(XS_AnalyzerSummary!AW50,0)</f>
        <v>1.7818320000000014</v>
      </c>
      <c r="AF52" s="34">
        <f>IFERROR(XS_AnalyzerSummary!AK50,0)</f>
        <v>3.1149999999999967</v>
      </c>
      <c r="AG52" s="34">
        <f>IFERROR(XS_AnalyzerSummary!BF50,0)</f>
        <v>7.1054171312574352</v>
      </c>
    </row>
    <row r="53" spans="2:33">
      <c r="B53" s="29" t="str">
        <f>IF(ISERROR(XS_Analyzer_Calculations!B53),"",XS_Analyzer_Calculations!B53)</f>
        <v/>
      </c>
      <c r="C53" s="29" t="str">
        <f>IF(ISERROR(XS_Analyzer_Calculations!C53),"",XS_Analyzer_Calculations!C53)</f>
        <v/>
      </c>
      <c r="D53" s="29" t="str">
        <f>IF(ISERROR(Data!D50),"",Data!D50)</f>
        <v/>
      </c>
      <c r="E53" s="2" t="str">
        <f>IF(F53&lt;&gt;"",IF(ISERROR(XS_Analyzer_Calculations!AH53),"",XS_Analyzer_Calculations!AH53),"")</f>
        <v/>
      </c>
      <c r="F53" s="2" t="str">
        <f>IF(IF(ISERROR(XS_Analyzer_Calculations!AF53),"",XS_Analyzer_Calculations!AF53)&lt;&gt;MAX($F$4:$F52),IF(ISERROR(XS_Analyzer_Calculations!AF53),"",XS_Analyzer_Calculations!AF53),"")</f>
        <v/>
      </c>
      <c r="G53" s="44" t="str">
        <f>IF(F53&lt;&gt;"",IF(ISERROR(XS_Analyzer_Calculations!W53),"",XS_Analyzer_Calculations!W53),"")</f>
        <v/>
      </c>
      <c r="H53" s="2" t="str">
        <f>IF(ISERROR(XS_Analyzer_Calculations!AE53),"",XS_Analyzer_Calculations!AE53)</f>
        <v/>
      </c>
      <c r="I53" s="44" t="str">
        <f>IF(ISERROR(XS_Analyzer_Calculations!W53),"",XS_Analyzer_Calculations!W53)</f>
        <v/>
      </c>
      <c r="J53" s="44" t="str">
        <f>IF(K53&lt;&gt;"",IF(ISERROR(XS_Analyzer_Calculations!AL53:AL153),"",XS_Analyzer_Calculations!AL53:AL153),"")</f>
        <v/>
      </c>
      <c r="K53" s="29" t="str">
        <f>IF(IF(ISERROR(XS_Analyzer_Calculations!AJ53:AJ153),"",XS_Analyzer_Calculations!AJ53:AJ153)&lt;&gt;MAX($K$4:$K52),IF(ISERROR(XS_Analyzer_Calculations!AJ53:AJ153),"",XS_Analyzer_Calculations!AJ53:AJ153),"")</f>
        <v/>
      </c>
      <c r="L53" s="58" t="str">
        <f>IF(K53&lt;&gt;"",IF(ISERROR(XS_Analyzer_Calculations!X53:X153),"",XS_Analyzer_Calculations!X53:X153),"")</f>
        <v/>
      </c>
      <c r="M53" s="29" t="str">
        <f>IF(ISERROR(XS_Analyzer_Calculations!AI53:AI153),"",XS_Analyzer_Calculations!AI53:AI153)</f>
        <v/>
      </c>
      <c r="N53" s="29" t="str">
        <f>IF(ISERROR(XS_Analyzer_Calculations!X53:X153),"",XS_Analyzer_Calculations!X53:X153)</f>
        <v/>
      </c>
      <c r="X53" s="29" t="str">
        <f>IF(OR(ISERROR(XS_Analyzer_Calculations!BG52),B53="",ISERROR(XS_Analyzer_Calculations!BN52)),"",XS_Analyzer_Calculations!BN52)</f>
        <v/>
      </c>
      <c r="Y53" s="29" t="str">
        <f>IF(OR(ISERROR(XS_Analyzer_Calculations!BG52),X53=""),"",XS_Analyzer_Calculations!BH52)</f>
        <v/>
      </c>
      <c r="Z53" s="29" t="str">
        <f>IF(OR(ISERROR(XS_Analyzer_Calculations!BG52),X53=""),"",XS_Analyzer_Calculations!$O$18)</f>
        <v/>
      </c>
      <c r="AB53" s="34">
        <f>IFERROR(XS_AnalyzerSummary!AK51,0)</f>
        <v>3.1599999999999966</v>
      </c>
      <c r="AC53" s="34">
        <f>IFERROR(XS_AnalyzerSummary!AV51,0)</f>
        <v>3.0097587570909088</v>
      </c>
      <c r="AD53" s="34">
        <f>IFERROR(XS_AnalyzerSummary!AK51,0)</f>
        <v>3.1599999999999966</v>
      </c>
      <c r="AE53" s="34">
        <f>IFERROR(XS_AnalyzerSummary!AW51,0)</f>
        <v>1.7986800000000021</v>
      </c>
      <c r="AF53" s="34">
        <f>IFERROR(XS_AnalyzerSummary!AK51,0)</f>
        <v>3.1599999999999966</v>
      </c>
      <c r="AG53" s="34">
        <f>IFERROR(XS_AnalyzerSummary!BF51,0)</f>
        <v>7.1751080320394589</v>
      </c>
    </row>
    <row r="54" spans="2:33">
      <c r="B54" s="29" t="str">
        <f>IF(ISERROR(XS_Analyzer_Calculations!B54),"",XS_Analyzer_Calculations!B54)</f>
        <v/>
      </c>
      <c r="C54" s="29" t="str">
        <f>IF(ISERROR(XS_Analyzer_Calculations!C54),"",XS_Analyzer_Calculations!C54)</f>
        <v/>
      </c>
      <c r="D54" s="29" t="str">
        <f>IF(ISERROR(Data!D51),"",Data!D51)</f>
        <v/>
      </c>
      <c r="E54" s="2" t="str">
        <f>IF(F54&lt;&gt;"",IF(ISERROR(XS_Analyzer_Calculations!AH54),"",XS_Analyzer_Calculations!AH54),"")</f>
        <v/>
      </c>
      <c r="F54" s="2" t="str">
        <f>IF(IF(ISERROR(XS_Analyzer_Calculations!AF54),"",XS_Analyzer_Calculations!AF54)&lt;&gt;MAX($F$4:$F53),IF(ISERROR(XS_Analyzer_Calculations!AF54),"",XS_Analyzer_Calculations!AF54),"")</f>
        <v/>
      </c>
      <c r="G54" s="44" t="str">
        <f>IF(F54&lt;&gt;"",IF(ISERROR(XS_Analyzer_Calculations!W54),"",XS_Analyzer_Calculations!W54),"")</f>
        <v/>
      </c>
      <c r="H54" s="2" t="str">
        <f>IF(ISERROR(XS_Analyzer_Calculations!AE54),"",XS_Analyzer_Calculations!AE54)</f>
        <v/>
      </c>
      <c r="I54" s="44" t="str">
        <f>IF(ISERROR(XS_Analyzer_Calculations!W54),"",XS_Analyzer_Calculations!W54)</f>
        <v/>
      </c>
      <c r="J54" s="44" t="str">
        <f>IF(K54&lt;&gt;"",IF(ISERROR(XS_Analyzer_Calculations!AL54:AL154),"",XS_Analyzer_Calculations!AL54:AL154),"")</f>
        <v/>
      </c>
      <c r="K54" s="29" t="str">
        <f>IF(IF(ISERROR(XS_Analyzer_Calculations!AJ54:AJ154),"",XS_Analyzer_Calculations!AJ54:AJ154)&lt;&gt;MAX($K$4:$K53),IF(ISERROR(XS_Analyzer_Calculations!AJ54:AJ154),"",XS_Analyzer_Calculations!AJ54:AJ154),"")</f>
        <v/>
      </c>
      <c r="L54" s="58" t="str">
        <f>IF(K54&lt;&gt;"",IF(ISERROR(XS_Analyzer_Calculations!X54:X154),"",XS_Analyzer_Calculations!X54:X154),"")</f>
        <v/>
      </c>
      <c r="M54" s="29" t="str">
        <f>IF(ISERROR(XS_Analyzer_Calculations!AI54:AI154),"",XS_Analyzer_Calculations!AI54:AI154)</f>
        <v/>
      </c>
      <c r="N54" s="29" t="str">
        <f>IF(ISERROR(XS_Analyzer_Calculations!X54:X154),"",XS_Analyzer_Calculations!X54:X154)</f>
        <v/>
      </c>
      <c r="X54" s="29" t="str">
        <f>IF(OR(ISERROR(XS_Analyzer_Calculations!BG53),B54="",ISERROR(XS_Analyzer_Calculations!BN53)),"",XS_Analyzer_Calculations!BN53)</f>
        <v/>
      </c>
      <c r="Y54" s="29" t="str">
        <f>IF(OR(ISERROR(XS_Analyzer_Calculations!BG53),X54=""),"",XS_Analyzer_Calculations!BH53)</f>
        <v/>
      </c>
      <c r="Z54" s="29" t="str">
        <f>IF(OR(ISERROR(XS_Analyzer_Calculations!BG53),X54=""),"",XS_Analyzer_Calculations!$O$18)</f>
        <v/>
      </c>
      <c r="AB54" s="34">
        <f>IFERROR(XS_AnalyzerSummary!AK52,0)</f>
        <v>3.2049999999999965</v>
      </c>
      <c r="AC54" s="34">
        <f>IFERROR(XS_AnalyzerSummary!AV52,0)</f>
        <v>3.028524214770683</v>
      </c>
      <c r="AD54" s="34">
        <f>IFERROR(XS_AnalyzerSummary!AK52,0)</f>
        <v>3.2049999999999965</v>
      </c>
      <c r="AE54" s="34">
        <f>IFERROR(XS_AnalyzerSummary!AW52,0)</f>
        <v>1.8155280000000014</v>
      </c>
      <c r="AF54" s="34">
        <f>IFERROR(XS_AnalyzerSummary!AK52,0)</f>
        <v>3.2049999999999965</v>
      </c>
      <c r="AG54" s="34">
        <f>IFERROR(XS_AnalyzerSummary!BF52,0)</f>
        <v>7.2448262277378568</v>
      </c>
    </row>
    <row r="55" spans="2:33">
      <c r="B55" s="29" t="str">
        <f>IF(ISERROR(XS_Analyzer_Calculations!B55),"",XS_Analyzer_Calculations!B55)</f>
        <v/>
      </c>
      <c r="C55" s="29" t="str">
        <f>IF(ISERROR(XS_Analyzer_Calculations!C55),"",XS_Analyzer_Calculations!C55)</f>
        <v/>
      </c>
      <c r="D55" s="29" t="str">
        <f>IF(ISERROR(Data!D52),"",Data!D52)</f>
        <v/>
      </c>
      <c r="E55" s="2" t="str">
        <f>IF(F55&lt;&gt;"",IF(ISERROR(XS_Analyzer_Calculations!AH55),"",XS_Analyzer_Calculations!AH55),"")</f>
        <v/>
      </c>
      <c r="F55" s="2" t="str">
        <f>IF(IF(ISERROR(XS_Analyzer_Calculations!AF55),"",XS_Analyzer_Calculations!AF55)&lt;&gt;MAX($F$4:$F54),IF(ISERROR(XS_Analyzer_Calculations!AF55),"",XS_Analyzer_Calculations!AF55),"")</f>
        <v/>
      </c>
      <c r="G55" s="44" t="str">
        <f>IF(F55&lt;&gt;"",IF(ISERROR(XS_Analyzer_Calculations!W55),"",XS_Analyzer_Calculations!W55),"")</f>
        <v/>
      </c>
      <c r="H55" s="2" t="str">
        <f>IF(ISERROR(XS_Analyzer_Calculations!AE55),"",XS_Analyzer_Calculations!AE55)</f>
        <v/>
      </c>
      <c r="I55" s="44" t="str">
        <f>IF(ISERROR(XS_Analyzer_Calculations!W55),"",XS_Analyzer_Calculations!W55)</f>
        <v/>
      </c>
      <c r="J55" s="44" t="str">
        <f>IF(K55&lt;&gt;"",IF(ISERROR(XS_Analyzer_Calculations!AL55:AL155),"",XS_Analyzer_Calculations!AL55:AL155),"")</f>
        <v/>
      </c>
      <c r="K55" s="29" t="str">
        <f>IF(IF(ISERROR(XS_Analyzer_Calculations!AJ55:AJ155),"",XS_Analyzer_Calculations!AJ55:AJ155)&lt;&gt;MAX($K$4:$K54),IF(ISERROR(XS_Analyzer_Calculations!AJ55:AJ155),"",XS_Analyzer_Calculations!AJ55:AJ155),"")</f>
        <v/>
      </c>
      <c r="L55" s="58" t="str">
        <f>IF(K55&lt;&gt;"",IF(ISERROR(XS_Analyzer_Calculations!X55:X155),"",XS_Analyzer_Calculations!X55:X155),"")</f>
        <v/>
      </c>
      <c r="M55" s="29" t="str">
        <f>IF(ISERROR(XS_Analyzer_Calculations!AI55:AI155),"",XS_Analyzer_Calculations!AI55:AI155)</f>
        <v/>
      </c>
      <c r="N55" s="29" t="str">
        <f>IF(ISERROR(XS_Analyzer_Calculations!X55:X155),"",XS_Analyzer_Calculations!X55:X155)</f>
        <v/>
      </c>
      <c r="X55" s="29" t="str">
        <f>IF(OR(ISERROR(XS_Analyzer_Calculations!BG54),B55="",ISERROR(XS_Analyzer_Calculations!BN54)),"",XS_Analyzer_Calculations!BN54)</f>
        <v/>
      </c>
      <c r="Y55" s="29" t="str">
        <f>IF(OR(ISERROR(XS_Analyzer_Calculations!BG54),X55=""),"",XS_Analyzer_Calculations!BH54)</f>
        <v/>
      </c>
      <c r="Z55" s="29" t="str">
        <f>IF(OR(ISERROR(XS_Analyzer_Calculations!BG54),X55=""),"",XS_Analyzer_Calculations!$O$18)</f>
        <v/>
      </c>
      <c r="AB55" s="34">
        <f>IFERROR(XS_AnalyzerSummary!AK53,0)</f>
        <v>3.2499999999999964</v>
      </c>
      <c r="AC55" s="34">
        <f>IFERROR(XS_AnalyzerSummary!AV53,0)</f>
        <v>3.0472317136967009</v>
      </c>
      <c r="AD55" s="34">
        <f>IFERROR(XS_AnalyzerSummary!AK53,0)</f>
        <v>3.2499999999999964</v>
      </c>
      <c r="AE55" s="34">
        <f>IFERROR(XS_AnalyzerSummary!AW53,0)</f>
        <v>1.8323760000000016</v>
      </c>
      <c r="AF55" s="34">
        <f>IFERROR(XS_AnalyzerSummary!AK53,0)</f>
        <v>3.2499999999999964</v>
      </c>
      <c r="AG55" s="34">
        <f>IFERROR(XS_AnalyzerSummary!BF53,0)</f>
        <v>7.3145714767626613</v>
      </c>
    </row>
    <row r="56" spans="2:33">
      <c r="B56" s="29" t="str">
        <f>IF(ISERROR(XS_Analyzer_Calculations!B56),"",XS_Analyzer_Calculations!B56)</f>
        <v/>
      </c>
      <c r="C56" s="29" t="str">
        <f>IF(ISERROR(XS_Analyzer_Calculations!C56),"",XS_Analyzer_Calculations!C56)</f>
        <v/>
      </c>
      <c r="D56" s="29" t="str">
        <f>IF(ISERROR(Data!D53),"",Data!D53)</f>
        <v/>
      </c>
      <c r="E56" s="2" t="str">
        <f>IF(F56&lt;&gt;"",IF(ISERROR(XS_Analyzer_Calculations!AH56),"",XS_Analyzer_Calculations!AH56),"")</f>
        <v/>
      </c>
      <c r="F56" s="2" t="str">
        <f>IF(IF(ISERROR(XS_Analyzer_Calculations!AF56),"",XS_Analyzer_Calculations!AF56)&lt;&gt;MAX($F$4:$F55),IF(ISERROR(XS_Analyzer_Calculations!AF56),"",XS_Analyzer_Calculations!AF56),"")</f>
        <v/>
      </c>
      <c r="G56" s="44" t="str">
        <f>IF(F56&lt;&gt;"",IF(ISERROR(XS_Analyzer_Calculations!W56),"",XS_Analyzer_Calculations!W56),"")</f>
        <v/>
      </c>
      <c r="H56" s="2" t="str">
        <f>IF(ISERROR(XS_Analyzer_Calculations!AE56),"",XS_Analyzer_Calculations!AE56)</f>
        <v/>
      </c>
      <c r="I56" s="44" t="str">
        <f>IF(ISERROR(XS_Analyzer_Calculations!W56),"",XS_Analyzer_Calculations!W56)</f>
        <v/>
      </c>
      <c r="J56" s="44" t="str">
        <f>IF(K56&lt;&gt;"",IF(ISERROR(XS_Analyzer_Calculations!AL56:AL156),"",XS_Analyzer_Calculations!AL56:AL156),"")</f>
        <v/>
      </c>
      <c r="K56" s="29" t="str">
        <f>IF(IF(ISERROR(XS_Analyzer_Calculations!AJ56:AJ156),"",XS_Analyzer_Calculations!AJ56:AJ156)&lt;&gt;MAX($K$4:$K55),IF(ISERROR(XS_Analyzer_Calculations!AJ56:AJ156),"",XS_Analyzer_Calculations!AJ56:AJ156),"")</f>
        <v/>
      </c>
      <c r="L56" s="58" t="str">
        <f>IF(K56&lt;&gt;"",IF(ISERROR(XS_Analyzer_Calculations!X56:X156),"",XS_Analyzer_Calculations!X56:X156),"")</f>
        <v/>
      </c>
      <c r="M56" s="29" t="str">
        <f>IF(ISERROR(XS_Analyzer_Calculations!AI56:AI156),"",XS_Analyzer_Calculations!AI56:AI156)</f>
        <v/>
      </c>
      <c r="N56" s="29" t="str">
        <f>IF(ISERROR(XS_Analyzer_Calculations!X56:X156),"",XS_Analyzer_Calculations!X56:X156)</f>
        <v/>
      </c>
      <c r="X56" s="29" t="str">
        <f>IF(OR(ISERROR(XS_Analyzer_Calculations!BG55),B56="",ISERROR(XS_Analyzer_Calculations!BN55)),"",XS_Analyzer_Calculations!BN55)</f>
        <v/>
      </c>
      <c r="Y56" s="29" t="str">
        <f>IF(OR(ISERROR(XS_Analyzer_Calculations!BG55),X56=""),"",XS_Analyzer_Calculations!BH55)</f>
        <v/>
      </c>
      <c r="Z56" s="29" t="str">
        <f>IF(OR(ISERROR(XS_Analyzer_Calculations!BG55),X56=""),"",XS_Analyzer_Calculations!$O$18)</f>
        <v/>
      </c>
      <c r="AB56" s="34">
        <f>IFERROR(XS_AnalyzerSummary!AK54,0)</f>
        <v>3.2949999999999964</v>
      </c>
      <c r="AC56" s="34">
        <f>IFERROR(XS_AnalyzerSummary!AV54,0)</f>
        <v>3.0658819633461731</v>
      </c>
      <c r="AD56" s="34">
        <f>IFERROR(XS_AnalyzerSummary!AK54,0)</f>
        <v>3.2949999999999964</v>
      </c>
      <c r="AE56" s="34">
        <f>IFERROR(XS_AnalyzerSummary!AW54,0)</f>
        <v>1.8492240000000013</v>
      </c>
      <c r="AF56" s="34">
        <f>IFERROR(XS_AnalyzerSummary!AK54,0)</f>
        <v>3.2949999999999964</v>
      </c>
      <c r="AG56" s="34">
        <f>IFERROR(XS_AnalyzerSummary!BF54,0)</f>
        <v>7.3843435418543892</v>
      </c>
    </row>
    <row r="57" spans="2:33">
      <c r="B57" s="29" t="str">
        <f>IF(ISERROR(XS_Analyzer_Calculations!B57),"",XS_Analyzer_Calculations!B57)</f>
        <v/>
      </c>
      <c r="C57" s="29" t="str">
        <f>IF(ISERROR(XS_Analyzer_Calculations!C57),"",XS_Analyzer_Calculations!C57)</f>
        <v/>
      </c>
      <c r="D57" s="29" t="str">
        <f>IF(ISERROR(Data!D54),"",Data!D54)</f>
        <v/>
      </c>
      <c r="E57" s="2" t="str">
        <f>IF(F57&lt;&gt;"",IF(ISERROR(XS_Analyzer_Calculations!AH57),"",XS_Analyzer_Calculations!AH57),"")</f>
        <v/>
      </c>
      <c r="F57" s="2" t="str">
        <f>IF(IF(ISERROR(XS_Analyzer_Calculations!AF57),"",XS_Analyzer_Calculations!AF57)&lt;&gt;MAX($F$4:$F56),IF(ISERROR(XS_Analyzer_Calculations!AF57),"",XS_Analyzer_Calculations!AF57),"")</f>
        <v/>
      </c>
      <c r="G57" s="44" t="str">
        <f>IF(F57&lt;&gt;"",IF(ISERROR(XS_Analyzer_Calculations!W57),"",XS_Analyzer_Calculations!W57),"")</f>
        <v/>
      </c>
      <c r="H57" s="2" t="str">
        <f>IF(ISERROR(XS_Analyzer_Calculations!AE57),"",XS_Analyzer_Calculations!AE57)</f>
        <v/>
      </c>
      <c r="I57" s="44" t="str">
        <f>IF(ISERROR(XS_Analyzer_Calculations!W57),"",XS_Analyzer_Calculations!W57)</f>
        <v/>
      </c>
      <c r="J57" s="44" t="str">
        <f>IF(K57&lt;&gt;"",IF(ISERROR(XS_Analyzer_Calculations!AL57:AL157),"",XS_Analyzer_Calculations!AL57:AL157),"")</f>
        <v/>
      </c>
      <c r="K57" s="29" t="str">
        <f>IF(IF(ISERROR(XS_Analyzer_Calculations!AJ57:AJ157),"",XS_Analyzer_Calculations!AJ57:AJ157)&lt;&gt;MAX($K$4:$K56),IF(ISERROR(XS_Analyzer_Calculations!AJ57:AJ157),"",XS_Analyzer_Calculations!AJ57:AJ157),"")</f>
        <v/>
      </c>
      <c r="L57" s="58" t="str">
        <f>IF(K57&lt;&gt;"",IF(ISERROR(XS_Analyzer_Calculations!X57:X157),"",XS_Analyzer_Calculations!X57:X157),"")</f>
        <v/>
      </c>
      <c r="M57" s="29" t="str">
        <f>IF(ISERROR(XS_Analyzer_Calculations!AI57:AI157),"",XS_Analyzer_Calculations!AI57:AI157)</f>
        <v/>
      </c>
      <c r="N57" s="29" t="str">
        <f>IF(ISERROR(XS_Analyzer_Calculations!X57:X157),"",XS_Analyzer_Calculations!X57:X157)</f>
        <v/>
      </c>
      <c r="X57" s="29" t="str">
        <f>IF(OR(ISERROR(XS_Analyzer_Calculations!BG56),B57="",ISERROR(XS_Analyzer_Calculations!BN56)),"",XS_Analyzer_Calculations!BN56)</f>
        <v/>
      </c>
      <c r="Y57" s="29" t="str">
        <f>IF(OR(ISERROR(XS_Analyzer_Calculations!BG56),X57=""),"",XS_Analyzer_Calculations!BH56)</f>
        <v/>
      </c>
      <c r="Z57" s="29" t="str">
        <f>IF(OR(ISERROR(XS_Analyzer_Calculations!BG56),X57=""),"",XS_Analyzer_Calculations!$O$18)</f>
        <v/>
      </c>
      <c r="AB57" s="34">
        <f>IFERROR(XS_AnalyzerSummary!AK55,0)</f>
        <v>3.3399999999999963</v>
      </c>
      <c r="AC57" s="34">
        <f>IFERROR(XS_AnalyzerSummary!AV55,0)</f>
        <v>3.0844756581360735</v>
      </c>
      <c r="AD57" s="34">
        <f>IFERROR(XS_AnalyzerSummary!AK55,0)</f>
        <v>3.3399999999999963</v>
      </c>
      <c r="AE57" s="34">
        <f>IFERROR(XS_AnalyzerSummary!AW55,0)</f>
        <v>1.8660720000000015</v>
      </c>
      <c r="AF57" s="34">
        <f>IFERROR(XS_AnalyzerSummary!AK55,0)</f>
        <v>3.3399999999999963</v>
      </c>
      <c r="AG57" s="34">
        <f>IFERROR(XS_AnalyzerSummary!BF55,0)</f>
        <v>7.454142189967814</v>
      </c>
    </row>
    <row r="58" spans="2:33">
      <c r="B58" s="29" t="str">
        <f>IF(ISERROR(XS_Analyzer_Calculations!B58),"",XS_Analyzer_Calculations!B58)</f>
        <v/>
      </c>
      <c r="C58" s="29" t="str">
        <f>IF(ISERROR(XS_Analyzer_Calculations!C58),"",XS_Analyzer_Calculations!C58)</f>
        <v/>
      </c>
      <c r="D58" s="29" t="str">
        <f>IF(ISERROR(Data!D55),"",Data!D55)</f>
        <v/>
      </c>
      <c r="E58" s="2" t="str">
        <f>IF(F58&lt;&gt;"",IF(ISERROR(XS_Analyzer_Calculations!AH58),"",XS_Analyzer_Calculations!AH58),"")</f>
        <v/>
      </c>
      <c r="F58" s="2" t="str">
        <f>IF(IF(ISERROR(XS_Analyzer_Calculations!AF58),"",XS_Analyzer_Calculations!AF58)&lt;&gt;MAX($F$4:$F57),IF(ISERROR(XS_Analyzer_Calculations!AF58),"",XS_Analyzer_Calculations!AF58),"")</f>
        <v/>
      </c>
      <c r="G58" s="44" t="str">
        <f>IF(F58&lt;&gt;"",IF(ISERROR(XS_Analyzer_Calculations!W58),"",XS_Analyzer_Calculations!W58),"")</f>
        <v/>
      </c>
      <c r="H58" s="2" t="str">
        <f>IF(ISERROR(XS_Analyzer_Calculations!AE58),"",XS_Analyzer_Calculations!AE58)</f>
        <v/>
      </c>
      <c r="I58" s="44" t="str">
        <f>IF(ISERROR(XS_Analyzer_Calculations!W58),"",XS_Analyzer_Calculations!W58)</f>
        <v/>
      </c>
      <c r="J58" s="44" t="str">
        <f>IF(K58&lt;&gt;"",IF(ISERROR(XS_Analyzer_Calculations!AL58:AL158),"",XS_Analyzer_Calculations!AL58:AL158),"")</f>
        <v/>
      </c>
      <c r="K58" s="29" t="str">
        <f>IF(IF(ISERROR(XS_Analyzer_Calculations!AJ58:AJ158),"",XS_Analyzer_Calculations!AJ58:AJ158)&lt;&gt;MAX($K$4:$K57),IF(ISERROR(XS_Analyzer_Calculations!AJ58:AJ158),"",XS_Analyzer_Calculations!AJ58:AJ158),"")</f>
        <v/>
      </c>
      <c r="L58" s="58" t="str">
        <f>IF(K58&lt;&gt;"",IF(ISERROR(XS_Analyzer_Calculations!X58:X158),"",XS_Analyzer_Calculations!X58:X158),"")</f>
        <v/>
      </c>
      <c r="M58" s="29" t="str">
        <f>IF(ISERROR(XS_Analyzer_Calculations!AI58:AI158),"",XS_Analyzer_Calculations!AI58:AI158)</f>
        <v/>
      </c>
      <c r="N58" s="29" t="str">
        <f>IF(ISERROR(XS_Analyzer_Calculations!X58:X158),"",XS_Analyzer_Calculations!X58:X158)</f>
        <v/>
      </c>
      <c r="X58" s="29" t="str">
        <f>IF(OR(ISERROR(XS_Analyzer_Calculations!BG57),B58="",ISERROR(XS_Analyzer_Calculations!BN57)),"",XS_Analyzer_Calculations!BN57)</f>
        <v/>
      </c>
      <c r="Y58" s="29" t="str">
        <f>IF(OR(ISERROR(XS_Analyzer_Calculations!BG57),X58=""),"",XS_Analyzer_Calculations!BH57)</f>
        <v/>
      </c>
      <c r="Z58" s="29" t="str">
        <f>IF(OR(ISERROR(XS_Analyzer_Calculations!BG57),X58=""),"",XS_Analyzer_Calculations!$O$18)</f>
        <v/>
      </c>
      <c r="AB58" s="34">
        <f>IFERROR(XS_AnalyzerSummary!AK56,0)</f>
        <v>3.3849999999999962</v>
      </c>
      <c r="AC58" s="34">
        <f>IFERROR(XS_AnalyzerSummary!AV56,0)</f>
        <v>3.1030134778757139</v>
      </c>
      <c r="AD58" s="34">
        <f>IFERROR(XS_AnalyzerSummary!AK56,0)</f>
        <v>3.3849999999999962</v>
      </c>
      <c r="AE58" s="34">
        <f>IFERROR(XS_AnalyzerSummary!AW56,0)</f>
        <v>1.8829200000000015</v>
      </c>
      <c r="AF58" s="34">
        <f>IFERROR(XS_AnalyzerSummary!AK56,0)</f>
        <v>3.3849999999999962</v>
      </c>
      <c r="AG58" s="34">
        <f>IFERROR(XS_AnalyzerSummary!BF56,0)</f>
        <v>7.5239671921599136</v>
      </c>
    </row>
    <row r="59" spans="2:33">
      <c r="B59" s="29" t="str">
        <f>IF(ISERROR(XS_Analyzer_Calculations!B59),"",XS_Analyzer_Calculations!B59)</f>
        <v/>
      </c>
      <c r="C59" s="29" t="str">
        <f>IF(ISERROR(XS_Analyzer_Calculations!C59),"",XS_Analyzer_Calculations!C59)</f>
        <v/>
      </c>
      <c r="D59" s="29" t="str">
        <f>IF(ISERROR(Data!D56),"",Data!D56)</f>
        <v/>
      </c>
      <c r="E59" s="2" t="str">
        <f>IF(F59&lt;&gt;"",IF(ISERROR(XS_Analyzer_Calculations!AH59),"",XS_Analyzer_Calculations!AH59),"")</f>
        <v/>
      </c>
      <c r="F59" s="2" t="str">
        <f>IF(IF(ISERROR(XS_Analyzer_Calculations!AF59),"",XS_Analyzer_Calculations!AF59)&lt;&gt;MAX($F$4:$F58),IF(ISERROR(XS_Analyzer_Calculations!AF59),"",XS_Analyzer_Calculations!AF59),"")</f>
        <v/>
      </c>
      <c r="G59" s="44" t="str">
        <f>IF(F59&lt;&gt;"",IF(ISERROR(XS_Analyzer_Calculations!W59),"",XS_Analyzer_Calculations!W59),"")</f>
        <v/>
      </c>
      <c r="H59" s="2" t="str">
        <f>IF(ISERROR(XS_Analyzer_Calculations!AE59),"",XS_Analyzer_Calculations!AE59)</f>
        <v/>
      </c>
      <c r="I59" s="44" t="str">
        <f>IF(ISERROR(XS_Analyzer_Calculations!W59),"",XS_Analyzer_Calculations!W59)</f>
        <v/>
      </c>
      <c r="J59" s="44" t="str">
        <f>IF(K59&lt;&gt;"",IF(ISERROR(XS_Analyzer_Calculations!AL59:AL159),"",XS_Analyzer_Calculations!AL59:AL159),"")</f>
        <v/>
      </c>
      <c r="K59" s="29" t="str">
        <f>IF(IF(ISERROR(XS_Analyzer_Calculations!AJ59:AJ159),"",XS_Analyzer_Calculations!AJ59:AJ159)&lt;&gt;MAX($K$4:$K58),IF(ISERROR(XS_Analyzer_Calculations!AJ59:AJ159),"",XS_Analyzer_Calculations!AJ59:AJ159),"")</f>
        <v/>
      </c>
      <c r="L59" s="58" t="str">
        <f>IF(K59&lt;&gt;"",IF(ISERROR(XS_Analyzer_Calculations!X59:X159),"",XS_Analyzer_Calculations!X59:X159),"")</f>
        <v/>
      </c>
      <c r="M59" s="29" t="str">
        <f>IF(ISERROR(XS_Analyzer_Calculations!AI59:AI159),"",XS_Analyzer_Calculations!AI59:AI159)</f>
        <v/>
      </c>
      <c r="N59" s="29" t="str">
        <f>IF(ISERROR(XS_Analyzer_Calculations!X59:X159),"",XS_Analyzer_Calculations!X59:X159)</f>
        <v/>
      </c>
      <c r="X59" s="29" t="str">
        <f>IF(OR(ISERROR(XS_Analyzer_Calculations!BG58),B59="",ISERROR(XS_Analyzer_Calculations!BN58)),"",XS_Analyzer_Calculations!BN58)</f>
        <v/>
      </c>
      <c r="Y59" s="29" t="str">
        <f>IF(OR(ISERROR(XS_Analyzer_Calculations!BG58),X59=""),"",XS_Analyzer_Calculations!BH58)</f>
        <v/>
      </c>
      <c r="Z59" s="29" t="str">
        <f>IF(OR(ISERROR(XS_Analyzer_Calculations!BG58),X59=""),"",XS_Analyzer_Calculations!$O$18)</f>
        <v/>
      </c>
      <c r="AB59" s="34">
        <f>IFERROR(XS_AnalyzerSummary!AK57,0)</f>
        <v>3.4299999999999962</v>
      </c>
      <c r="AC59" s="34">
        <f>IFERROR(XS_AnalyzerSummary!AV57,0)</f>
        <v>3.1214960882018108</v>
      </c>
      <c r="AD59" s="34">
        <f>IFERROR(XS_AnalyzerSummary!AK57,0)</f>
        <v>3.4299999999999962</v>
      </c>
      <c r="AE59" s="34">
        <f>IFERROR(XS_AnalyzerSummary!AW57,0)</f>
        <v>1.8997680000000015</v>
      </c>
      <c r="AF59" s="34">
        <f>IFERROR(XS_AnalyzerSummary!AK57,0)</f>
        <v>3.4299999999999962</v>
      </c>
      <c r="AG59" s="34">
        <f>IFERROR(XS_AnalyzerSummary!BF57,0)</f>
        <v>7.5938183234817416</v>
      </c>
    </row>
    <row r="60" spans="2:33">
      <c r="B60" s="29" t="str">
        <f>IF(ISERROR(XS_Analyzer_Calculations!B60),"",XS_Analyzer_Calculations!B60)</f>
        <v/>
      </c>
      <c r="C60" s="29" t="str">
        <f>IF(ISERROR(XS_Analyzer_Calculations!C60),"",XS_Analyzer_Calculations!C60)</f>
        <v/>
      </c>
      <c r="D60" s="29" t="str">
        <f>IF(ISERROR(Data!D57),"",Data!D57)</f>
        <v/>
      </c>
      <c r="E60" s="2" t="str">
        <f>IF(F60&lt;&gt;"",IF(ISERROR(XS_Analyzer_Calculations!AH60),"",XS_Analyzer_Calculations!AH60),"")</f>
        <v/>
      </c>
      <c r="F60" s="2" t="str">
        <f>IF(IF(ISERROR(XS_Analyzer_Calculations!AF60),"",XS_Analyzer_Calculations!AF60)&lt;&gt;MAX($F$4:$F59),IF(ISERROR(XS_Analyzer_Calculations!AF60),"",XS_Analyzer_Calculations!AF60),"")</f>
        <v/>
      </c>
      <c r="G60" s="44" t="str">
        <f>IF(F60&lt;&gt;"",IF(ISERROR(XS_Analyzer_Calculations!W60),"",XS_Analyzer_Calculations!W60),"")</f>
        <v/>
      </c>
      <c r="H60" s="2" t="str">
        <f>IF(ISERROR(XS_Analyzer_Calculations!AE60),"",XS_Analyzer_Calculations!AE60)</f>
        <v/>
      </c>
      <c r="I60" s="44" t="str">
        <f>IF(ISERROR(XS_Analyzer_Calculations!W60),"",XS_Analyzer_Calculations!W60)</f>
        <v/>
      </c>
      <c r="J60" s="44" t="str">
        <f>IF(K60&lt;&gt;"",IF(ISERROR(XS_Analyzer_Calculations!AL60:AL160),"",XS_Analyzer_Calculations!AL60:AL160),"")</f>
        <v/>
      </c>
      <c r="K60" s="29" t="str">
        <f>IF(IF(ISERROR(XS_Analyzer_Calculations!AJ60:AJ160),"",XS_Analyzer_Calculations!AJ60:AJ160)&lt;&gt;MAX($K$4:$K59),IF(ISERROR(XS_Analyzer_Calculations!AJ60:AJ160),"",XS_Analyzer_Calculations!AJ60:AJ160),"")</f>
        <v/>
      </c>
      <c r="L60" s="58" t="str">
        <f>IF(K60&lt;&gt;"",IF(ISERROR(XS_Analyzer_Calculations!X60:X160),"",XS_Analyzer_Calculations!X60:X160),"")</f>
        <v/>
      </c>
      <c r="M60" s="29" t="str">
        <f>IF(ISERROR(XS_Analyzer_Calculations!AI60:AI160),"",XS_Analyzer_Calculations!AI60:AI160)</f>
        <v/>
      </c>
      <c r="N60" s="29" t="str">
        <f>IF(ISERROR(XS_Analyzer_Calculations!X60:X160),"",XS_Analyzer_Calculations!X60:X160)</f>
        <v/>
      </c>
      <c r="X60" s="29" t="str">
        <f>IF(OR(ISERROR(XS_Analyzer_Calculations!BG59),B60="",ISERROR(XS_Analyzer_Calculations!BN59)),"",XS_Analyzer_Calculations!BN59)</f>
        <v/>
      </c>
      <c r="Y60" s="29" t="str">
        <f>IF(OR(ISERROR(XS_Analyzer_Calculations!BG59),X60=""),"",XS_Analyzer_Calculations!BH59)</f>
        <v/>
      </c>
      <c r="Z60" s="29" t="str">
        <f>IF(OR(ISERROR(XS_Analyzer_Calculations!BG59),X60=""),"",XS_Analyzer_Calculations!$O$18)</f>
        <v/>
      </c>
      <c r="AB60" s="34">
        <f>IFERROR(XS_AnalyzerSummary!AK58,0)</f>
        <v>3.4749999999999961</v>
      </c>
      <c r="AC60" s="34">
        <f>IFERROR(XS_AnalyzerSummary!AV58,0)</f>
        <v>3.1399241409968539</v>
      </c>
      <c r="AD60" s="34">
        <f>IFERROR(XS_AnalyzerSummary!AK58,0)</f>
        <v>3.4749999999999961</v>
      </c>
      <c r="AE60" s="34">
        <f>IFERROR(XS_AnalyzerSummary!AW58,0)</f>
        <v>1.9166160000000014</v>
      </c>
      <c r="AF60" s="34">
        <f>IFERROR(XS_AnalyzerSummary!AK58,0)</f>
        <v>3.4749999999999961</v>
      </c>
      <c r="AG60" s="34">
        <f>IFERROR(XS_AnalyzerSummary!BF58,0)</f>
        <v>7.663695362874094</v>
      </c>
    </row>
    <row r="61" spans="2:33">
      <c r="B61" s="29" t="str">
        <f>IF(ISERROR(XS_Analyzer_Calculations!B61),"",XS_Analyzer_Calculations!B61)</f>
        <v/>
      </c>
      <c r="C61" s="29" t="str">
        <f>IF(ISERROR(XS_Analyzer_Calculations!C61),"",XS_Analyzer_Calculations!C61)</f>
        <v/>
      </c>
      <c r="D61" s="29" t="str">
        <f>IF(ISERROR(Data!D58),"",Data!D58)</f>
        <v/>
      </c>
      <c r="E61" s="2" t="str">
        <f>IF(F61&lt;&gt;"",IF(ISERROR(XS_Analyzer_Calculations!AH61),"",XS_Analyzer_Calculations!AH61),"")</f>
        <v/>
      </c>
      <c r="F61" s="2" t="str">
        <f>IF(IF(ISERROR(XS_Analyzer_Calculations!AF61),"",XS_Analyzer_Calculations!AF61)&lt;&gt;MAX($F$4:$F60),IF(ISERROR(XS_Analyzer_Calculations!AF61),"",XS_Analyzer_Calculations!AF61),"")</f>
        <v/>
      </c>
      <c r="G61" s="44" t="str">
        <f>IF(F61&lt;&gt;"",IF(ISERROR(XS_Analyzer_Calculations!W61),"",XS_Analyzer_Calculations!W61),"")</f>
        <v/>
      </c>
      <c r="H61" s="2" t="str">
        <f>IF(ISERROR(XS_Analyzer_Calculations!AE61),"",XS_Analyzer_Calculations!AE61)</f>
        <v/>
      </c>
      <c r="I61" s="44" t="str">
        <f>IF(ISERROR(XS_Analyzer_Calculations!W61),"",XS_Analyzer_Calculations!W61)</f>
        <v/>
      </c>
      <c r="J61" s="44" t="str">
        <f>IF(K61&lt;&gt;"",IF(ISERROR(XS_Analyzer_Calculations!AL61:AL161),"",XS_Analyzer_Calculations!AL61:AL161),"")</f>
        <v/>
      </c>
      <c r="K61" s="29" t="str">
        <f>IF(IF(ISERROR(XS_Analyzer_Calculations!AJ61:AJ161),"",XS_Analyzer_Calculations!AJ61:AJ161)&lt;&gt;MAX($K$4:$K60),IF(ISERROR(XS_Analyzer_Calculations!AJ61:AJ161),"",XS_Analyzer_Calculations!AJ61:AJ161),"")</f>
        <v/>
      </c>
      <c r="L61" s="58" t="str">
        <f>IF(K61&lt;&gt;"",IF(ISERROR(XS_Analyzer_Calculations!X61:X161),"",XS_Analyzer_Calculations!X61:X161),"")</f>
        <v/>
      </c>
      <c r="M61" s="29" t="str">
        <f>IF(ISERROR(XS_Analyzer_Calculations!AI61:AI161),"",XS_Analyzer_Calculations!AI61:AI161)</f>
        <v/>
      </c>
      <c r="N61" s="29" t="str">
        <f>IF(ISERROR(XS_Analyzer_Calculations!X61:X161),"",XS_Analyzer_Calculations!X61:X161)</f>
        <v/>
      </c>
      <c r="X61" s="29" t="str">
        <f>IF(OR(ISERROR(XS_Analyzer_Calculations!BG60),B61="",ISERROR(XS_Analyzer_Calculations!BN60)),"",XS_Analyzer_Calculations!BN60)</f>
        <v/>
      </c>
      <c r="Y61" s="29" t="str">
        <f>IF(OR(ISERROR(XS_Analyzer_Calculations!BG60),X61=""),"",XS_Analyzer_Calculations!BH60)</f>
        <v/>
      </c>
      <c r="Z61" s="29" t="str">
        <f>IF(OR(ISERROR(XS_Analyzer_Calculations!BG60),X61=""),"",XS_Analyzer_Calculations!$O$18)</f>
        <v/>
      </c>
      <c r="AB61" s="34">
        <f>IFERROR(XS_AnalyzerSummary!AK59,0)</f>
        <v>3.519999999999996</v>
      </c>
      <c r="AC61" s="34">
        <f>IFERROR(XS_AnalyzerSummary!AV59,0)</f>
        <v>3.1582982747915471</v>
      </c>
      <c r="AD61" s="34">
        <f>IFERROR(XS_AnalyzerSummary!AK59,0)</f>
        <v>3.519999999999996</v>
      </c>
      <c r="AE61" s="34">
        <f>IFERROR(XS_AnalyzerSummary!AW59,0)</f>
        <v>1.9334640000000016</v>
      </c>
      <c r="AF61" s="34">
        <f>IFERROR(XS_AnalyzerSummary!AK59,0)</f>
        <v>3.519999999999996</v>
      </c>
      <c r="AG61" s="34">
        <f>IFERROR(XS_AnalyzerSummary!BF59,0)</f>
        <v>7.7335980930667843</v>
      </c>
    </row>
    <row r="62" spans="2:33">
      <c r="B62" s="29" t="str">
        <f>IF(ISERROR(XS_Analyzer_Calculations!B62),"",XS_Analyzer_Calculations!B62)</f>
        <v/>
      </c>
      <c r="C62" s="29" t="str">
        <f>IF(ISERROR(XS_Analyzer_Calculations!C62),"",XS_Analyzer_Calculations!C62)</f>
        <v/>
      </c>
      <c r="D62" s="29" t="str">
        <f>IF(ISERROR(Data!D59),"",Data!D59)</f>
        <v/>
      </c>
      <c r="E62" s="2" t="str">
        <f>IF(F62&lt;&gt;"",IF(ISERROR(XS_Analyzer_Calculations!AH62),"",XS_Analyzer_Calculations!AH62),"")</f>
        <v/>
      </c>
      <c r="F62" s="2" t="str">
        <f>IF(IF(ISERROR(XS_Analyzer_Calculations!AF62),"",XS_Analyzer_Calculations!AF62)&lt;&gt;MAX($F$4:$F61),IF(ISERROR(XS_Analyzer_Calculations!AF62),"",XS_Analyzer_Calculations!AF62),"")</f>
        <v/>
      </c>
      <c r="G62" s="44" t="str">
        <f>IF(F62&lt;&gt;"",IF(ISERROR(XS_Analyzer_Calculations!W62),"",XS_Analyzer_Calculations!W62),"")</f>
        <v/>
      </c>
      <c r="H62" s="2" t="str">
        <f>IF(ISERROR(XS_Analyzer_Calculations!AE62),"",XS_Analyzer_Calculations!AE62)</f>
        <v/>
      </c>
      <c r="I62" s="44" t="str">
        <f>IF(ISERROR(XS_Analyzer_Calculations!W62),"",XS_Analyzer_Calculations!W62)</f>
        <v/>
      </c>
      <c r="J62" s="44" t="str">
        <f>IF(K62&lt;&gt;"",IF(ISERROR(XS_Analyzer_Calculations!AL62:AL162),"",XS_Analyzer_Calculations!AL62:AL162),"")</f>
        <v/>
      </c>
      <c r="K62" s="29" t="str">
        <f>IF(IF(ISERROR(XS_Analyzer_Calculations!AJ62:AJ162),"",XS_Analyzer_Calculations!AJ62:AJ162)&lt;&gt;MAX($K$4:$K61),IF(ISERROR(XS_Analyzer_Calculations!AJ62:AJ162),"",XS_Analyzer_Calculations!AJ62:AJ162),"")</f>
        <v/>
      </c>
      <c r="L62" s="58" t="str">
        <f>IF(K62&lt;&gt;"",IF(ISERROR(XS_Analyzer_Calculations!X62:X162),"",XS_Analyzer_Calculations!X62:X162),"")</f>
        <v/>
      </c>
      <c r="M62" s="29" t="str">
        <f>IF(ISERROR(XS_Analyzer_Calculations!AI62:AI162),"",XS_Analyzer_Calculations!AI62:AI162)</f>
        <v/>
      </c>
      <c r="N62" s="29" t="str">
        <f>IF(ISERROR(XS_Analyzer_Calculations!X62:X162),"",XS_Analyzer_Calculations!X62:X162)</f>
        <v/>
      </c>
      <c r="X62" s="29" t="str">
        <f>IF(OR(ISERROR(XS_Analyzer_Calculations!BG61),B62="",ISERROR(XS_Analyzer_Calculations!BN61)),"",XS_Analyzer_Calculations!BN61)</f>
        <v/>
      </c>
      <c r="Y62" s="29" t="str">
        <f>IF(OR(ISERROR(XS_Analyzer_Calculations!BG61),X62=""),"",XS_Analyzer_Calculations!BH61)</f>
        <v/>
      </c>
      <c r="Z62" s="29" t="str">
        <f>IF(OR(ISERROR(XS_Analyzer_Calculations!BG61),X62=""),"",XS_Analyzer_Calculations!$O$18)</f>
        <v/>
      </c>
      <c r="AB62" s="34">
        <f>IFERROR(XS_AnalyzerSummary!AK60,0)</f>
        <v>3.5649999999999959</v>
      </c>
      <c r="AC62" s="34">
        <f>IFERROR(XS_AnalyzerSummary!AV60,0)</f>
        <v>3.1766191151520906</v>
      </c>
      <c r="AD62" s="34">
        <f>IFERROR(XS_AnalyzerSummary!AK60,0)</f>
        <v>3.5649999999999959</v>
      </c>
      <c r="AE62" s="34">
        <f>IFERROR(XS_AnalyzerSummary!AW60,0)</f>
        <v>1.9503120000000016</v>
      </c>
      <c r="AF62" s="34">
        <f>IFERROR(XS_AnalyzerSummary!AK60,0)</f>
        <v>3.5649999999999959</v>
      </c>
      <c r="AG62" s="34">
        <f>IFERROR(XS_AnalyzerSummary!BF60,0)</f>
        <v>7.8035263004813809</v>
      </c>
    </row>
    <row r="63" spans="2:33">
      <c r="B63" s="29" t="str">
        <f>IF(ISERROR(XS_Analyzer_Calculations!B63),"",XS_Analyzer_Calculations!B63)</f>
        <v/>
      </c>
      <c r="C63" s="29" t="str">
        <f>IF(ISERROR(XS_Analyzer_Calculations!C63),"",XS_Analyzer_Calculations!C63)</f>
        <v/>
      </c>
      <c r="D63" s="29" t="str">
        <f>IF(ISERROR(Data!D60),"",Data!D60)</f>
        <v/>
      </c>
      <c r="E63" s="2" t="str">
        <f>IF(F63&lt;&gt;"",IF(ISERROR(XS_Analyzer_Calculations!AH63),"",XS_Analyzer_Calculations!AH63),"")</f>
        <v/>
      </c>
      <c r="F63" s="2" t="str">
        <f>IF(IF(ISERROR(XS_Analyzer_Calculations!AF63),"",XS_Analyzer_Calculations!AF63)&lt;&gt;MAX($F$4:$F62),IF(ISERROR(XS_Analyzer_Calculations!AF63),"",XS_Analyzer_Calculations!AF63),"")</f>
        <v/>
      </c>
      <c r="G63" s="44" t="str">
        <f>IF(F63&lt;&gt;"",IF(ISERROR(XS_Analyzer_Calculations!W63),"",XS_Analyzer_Calculations!W63),"")</f>
        <v/>
      </c>
      <c r="H63" s="2" t="str">
        <f>IF(ISERROR(XS_Analyzer_Calculations!AE63),"",XS_Analyzer_Calculations!AE63)</f>
        <v/>
      </c>
      <c r="I63" s="44" t="str">
        <f>IF(ISERROR(XS_Analyzer_Calculations!W63),"",XS_Analyzer_Calculations!W63)</f>
        <v/>
      </c>
      <c r="J63" s="44" t="str">
        <f>IF(K63&lt;&gt;"",IF(ISERROR(XS_Analyzer_Calculations!AL63:AL163),"",XS_Analyzer_Calculations!AL63:AL163),"")</f>
        <v/>
      </c>
      <c r="K63" s="29" t="str">
        <f>IF(IF(ISERROR(XS_Analyzer_Calculations!AJ63:AJ163),"",XS_Analyzer_Calculations!AJ63:AJ163)&lt;&gt;MAX($K$4:$K62),IF(ISERROR(XS_Analyzer_Calculations!AJ63:AJ163),"",XS_Analyzer_Calculations!AJ63:AJ163),"")</f>
        <v/>
      </c>
      <c r="L63" s="58" t="str">
        <f>IF(K63&lt;&gt;"",IF(ISERROR(XS_Analyzer_Calculations!X63:X163),"",XS_Analyzer_Calculations!X63:X163),"")</f>
        <v/>
      </c>
      <c r="M63" s="29" t="str">
        <f>IF(ISERROR(XS_Analyzer_Calculations!AI63:AI163),"",XS_Analyzer_Calculations!AI63:AI163)</f>
        <v/>
      </c>
      <c r="N63" s="29" t="str">
        <f>IF(ISERROR(XS_Analyzer_Calculations!X63:X163),"",XS_Analyzer_Calculations!X63:X163)</f>
        <v/>
      </c>
      <c r="X63" s="29" t="str">
        <f>IF(OR(ISERROR(XS_Analyzer_Calculations!BG62),B63="",ISERROR(XS_Analyzer_Calculations!BN62)),"",XS_Analyzer_Calculations!BN62)</f>
        <v/>
      </c>
      <c r="Y63" s="29" t="str">
        <f>IF(OR(ISERROR(XS_Analyzer_Calculations!BG62),X63=""),"",XS_Analyzer_Calculations!BH62)</f>
        <v/>
      </c>
      <c r="Z63" s="29" t="str">
        <f>IF(OR(ISERROR(XS_Analyzer_Calculations!BG62),X63=""),"",XS_Analyzer_Calculations!$O$18)</f>
        <v/>
      </c>
      <c r="AB63" s="34">
        <f>IFERROR(XS_AnalyzerSummary!AK61,0)</f>
        <v>3.6099999999999959</v>
      </c>
      <c r="AC63" s="34">
        <f>IFERROR(XS_AnalyzerSummary!AV61,0)</f>
        <v>3.1948872750529786</v>
      </c>
      <c r="AD63" s="34">
        <f>IFERROR(XS_AnalyzerSummary!AK61,0)</f>
        <v>3.6099999999999959</v>
      </c>
      <c r="AE63" s="34">
        <f>IFERROR(XS_AnalyzerSummary!AW61,0)</f>
        <v>1.9671600000000016</v>
      </c>
      <c r="AF63" s="34">
        <f>IFERROR(XS_AnalyzerSummary!AK61,0)</f>
        <v>3.6099999999999959</v>
      </c>
      <c r="AG63" s="34">
        <f>IFERROR(XS_AnalyzerSummary!BF61,0)</f>
        <v>7.8734797751372483</v>
      </c>
    </row>
    <row r="64" spans="2:33">
      <c r="B64" s="29" t="str">
        <f>IF(ISERROR(XS_Analyzer_Calculations!B64),"",XS_Analyzer_Calculations!B64)</f>
        <v/>
      </c>
      <c r="C64" s="29" t="str">
        <f>IF(ISERROR(XS_Analyzer_Calculations!C64),"",XS_Analyzer_Calculations!C64)</f>
        <v/>
      </c>
      <c r="D64" s="29" t="str">
        <f>IF(ISERROR(Data!D61),"",Data!D61)</f>
        <v/>
      </c>
      <c r="E64" s="2" t="str">
        <f>IF(F64&lt;&gt;"",IF(ISERROR(XS_Analyzer_Calculations!AH64),"",XS_Analyzer_Calculations!AH64),"")</f>
        <v/>
      </c>
      <c r="F64" s="2" t="str">
        <f>IF(IF(ISERROR(XS_Analyzer_Calculations!AF64),"",XS_Analyzer_Calculations!AF64)&lt;&gt;MAX($F$4:$F63),IF(ISERROR(XS_Analyzer_Calculations!AF64),"",XS_Analyzer_Calculations!AF64),"")</f>
        <v/>
      </c>
      <c r="G64" s="44" t="str">
        <f>IF(F64&lt;&gt;"",IF(ISERROR(XS_Analyzer_Calculations!W64),"",XS_Analyzer_Calculations!W64),"")</f>
        <v/>
      </c>
      <c r="H64" s="2" t="str">
        <f>IF(ISERROR(XS_Analyzer_Calculations!AE64),"",XS_Analyzer_Calculations!AE64)</f>
        <v/>
      </c>
      <c r="I64" s="44" t="str">
        <f>IF(ISERROR(XS_Analyzer_Calculations!W64),"",XS_Analyzer_Calculations!W64)</f>
        <v/>
      </c>
      <c r="J64" s="44" t="str">
        <f>IF(K64&lt;&gt;"",IF(ISERROR(XS_Analyzer_Calculations!AL64:AL164),"",XS_Analyzer_Calculations!AL64:AL164),"")</f>
        <v/>
      </c>
      <c r="K64" s="29" t="str">
        <f>IF(IF(ISERROR(XS_Analyzer_Calculations!AJ64:AJ164),"",XS_Analyzer_Calculations!AJ64:AJ164)&lt;&gt;MAX($K$4:$K63),IF(ISERROR(XS_Analyzer_Calculations!AJ64:AJ164),"",XS_Analyzer_Calculations!AJ64:AJ164),"")</f>
        <v/>
      </c>
      <c r="L64" s="58" t="str">
        <f>IF(K64&lt;&gt;"",IF(ISERROR(XS_Analyzer_Calculations!X64:X164),"",XS_Analyzer_Calculations!X64:X164),"")</f>
        <v/>
      </c>
      <c r="M64" s="29" t="str">
        <f>IF(ISERROR(XS_Analyzer_Calculations!AI64:AI164),"",XS_Analyzer_Calculations!AI64:AI164)</f>
        <v/>
      </c>
      <c r="N64" s="29" t="str">
        <f>IF(ISERROR(XS_Analyzer_Calculations!X64:X164),"",XS_Analyzer_Calculations!X64:X164)</f>
        <v/>
      </c>
      <c r="X64" s="29" t="str">
        <f>IF(OR(ISERROR(XS_Analyzer_Calculations!BG63),B64="",ISERROR(XS_Analyzer_Calculations!BN63)),"",XS_Analyzer_Calculations!BN63)</f>
        <v/>
      </c>
      <c r="Y64" s="29" t="str">
        <f>IF(OR(ISERROR(XS_Analyzer_Calculations!BG63),X64=""),"",XS_Analyzer_Calculations!BH63)</f>
        <v/>
      </c>
      <c r="Z64" s="29" t="str">
        <f>IF(OR(ISERROR(XS_Analyzer_Calculations!BG63),X64=""),"",XS_Analyzer_Calculations!$O$18)</f>
        <v/>
      </c>
      <c r="AB64" s="34">
        <f>IFERROR(XS_AnalyzerSummary!AK62,0)</f>
        <v>3.6549999999999958</v>
      </c>
      <c r="AC64" s="34">
        <f>IFERROR(XS_AnalyzerSummary!AV62,0)</f>
        <v>3.2131033552359809</v>
      </c>
      <c r="AD64" s="34">
        <f>IFERROR(XS_AnalyzerSummary!AK62,0)</f>
        <v>3.6549999999999958</v>
      </c>
      <c r="AE64" s="34">
        <f>IFERROR(XS_AnalyzerSummary!AW62,0)</f>
        <v>1.9840080000000015</v>
      </c>
      <c r="AF64" s="34">
        <f>IFERROR(XS_AnalyzerSummary!AK62,0)</f>
        <v>3.6549999999999958</v>
      </c>
      <c r="AG64" s="34">
        <f>IFERROR(XS_AnalyzerSummary!BF62,0)</f>
        <v>7.9434583105607812</v>
      </c>
    </row>
    <row r="65" spans="2:33">
      <c r="B65" s="29" t="str">
        <f>IF(ISERROR(XS_Analyzer_Calculations!B65),"",XS_Analyzer_Calculations!B65)</f>
        <v/>
      </c>
      <c r="C65" s="29" t="str">
        <f>IF(ISERROR(XS_Analyzer_Calculations!C65),"",XS_Analyzer_Calculations!C65)</f>
        <v/>
      </c>
      <c r="D65" s="29" t="str">
        <f>IF(ISERROR(Data!D62),"",Data!D62)</f>
        <v/>
      </c>
      <c r="E65" s="2" t="str">
        <f>IF(F65&lt;&gt;"",IF(ISERROR(XS_Analyzer_Calculations!AH65),"",XS_Analyzer_Calculations!AH65),"")</f>
        <v/>
      </c>
      <c r="F65" s="2" t="str">
        <f>IF(IF(ISERROR(XS_Analyzer_Calculations!AF65),"",XS_Analyzer_Calculations!AF65)&lt;&gt;MAX($F$4:$F64),IF(ISERROR(XS_Analyzer_Calculations!AF65),"",XS_Analyzer_Calculations!AF65),"")</f>
        <v/>
      </c>
      <c r="G65" s="44" t="str">
        <f>IF(F65&lt;&gt;"",IF(ISERROR(XS_Analyzer_Calculations!W65),"",XS_Analyzer_Calculations!W65),"")</f>
        <v/>
      </c>
      <c r="H65" s="2" t="str">
        <f>IF(ISERROR(XS_Analyzer_Calculations!AE65),"",XS_Analyzer_Calculations!AE65)</f>
        <v/>
      </c>
      <c r="I65" s="44" t="str">
        <f>IF(ISERROR(XS_Analyzer_Calculations!W65),"",XS_Analyzer_Calculations!W65)</f>
        <v/>
      </c>
      <c r="J65" s="44" t="str">
        <f>IF(K65&lt;&gt;"",IF(ISERROR(XS_Analyzer_Calculations!AL65:AL165),"",XS_Analyzer_Calculations!AL65:AL165),"")</f>
        <v/>
      </c>
      <c r="K65" s="29" t="str">
        <f>IF(IF(ISERROR(XS_Analyzer_Calculations!AJ65:AJ165),"",XS_Analyzer_Calculations!AJ65:AJ165)&lt;&gt;MAX($K$4:$K64),IF(ISERROR(XS_Analyzer_Calculations!AJ65:AJ165),"",XS_Analyzer_Calculations!AJ65:AJ165),"")</f>
        <v/>
      </c>
      <c r="L65" s="58" t="str">
        <f>IF(K65&lt;&gt;"",IF(ISERROR(XS_Analyzer_Calculations!X65:X165),"",XS_Analyzer_Calculations!X65:X165),"")</f>
        <v/>
      </c>
      <c r="M65" s="29" t="str">
        <f>IF(ISERROR(XS_Analyzer_Calculations!AI65:AI165),"",XS_Analyzer_Calculations!AI65:AI165)</f>
        <v/>
      </c>
      <c r="N65" s="29" t="str">
        <f>IF(ISERROR(XS_Analyzer_Calculations!X65:X165),"",XS_Analyzer_Calculations!X65:X165)</f>
        <v/>
      </c>
      <c r="X65" s="29" t="str">
        <f>IF(OR(ISERROR(XS_Analyzer_Calculations!BG64),B65="",ISERROR(XS_Analyzer_Calculations!BN64)),"",XS_Analyzer_Calculations!BN64)</f>
        <v/>
      </c>
      <c r="Y65" s="29" t="str">
        <f>IF(OR(ISERROR(XS_Analyzer_Calculations!BG64),X65=""),"",XS_Analyzer_Calculations!BH64)</f>
        <v/>
      </c>
      <c r="Z65" s="29" t="str">
        <f>IF(OR(ISERROR(XS_Analyzer_Calculations!BG64),X65=""),"",XS_Analyzer_Calculations!$O$18)</f>
        <v/>
      </c>
      <c r="AB65" s="34">
        <f>IFERROR(XS_AnalyzerSummary!AK63,0)</f>
        <v>3.6999999999999957</v>
      </c>
      <c r="AC65" s="34">
        <f>IFERROR(XS_AnalyzerSummary!AV63,0)</f>
        <v>3.2312679445559298</v>
      </c>
      <c r="AD65" s="34">
        <f>IFERROR(XS_AnalyzerSummary!AK63,0)</f>
        <v>3.6999999999999957</v>
      </c>
      <c r="AE65" s="34">
        <f>IFERROR(XS_AnalyzerSummary!AW63,0)</f>
        <v>2.0008560000000015</v>
      </c>
      <c r="AF65" s="34">
        <f>IFERROR(XS_AnalyzerSummary!AK63,0)</f>
        <v>3.6999999999999957</v>
      </c>
      <c r="AG65" s="34">
        <f>IFERROR(XS_AnalyzerSummary!BF63,0)</f>
        <v>8.0134617036976561</v>
      </c>
    </row>
    <row r="66" spans="2:33">
      <c r="B66" s="29" t="str">
        <f>IF(ISERROR(XS_Analyzer_Calculations!B66),"",XS_Analyzer_Calculations!B66)</f>
        <v/>
      </c>
      <c r="C66" s="29" t="str">
        <f>IF(ISERROR(XS_Analyzer_Calculations!C66),"",XS_Analyzer_Calculations!C66)</f>
        <v/>
      </c>
      <c r="D66" s="29" t="str">
        <f>IF(ISERROR(Data!D63),"",Data!D63)</f>
        <v/>
      </c>
      <c r="E66" s="2" t="str">
        <f>IF(F66&lt;&gt;"",IF(ISERROR(XS_Analyzer_Calculations!AH66),"",XS_Analyzer_Calculations!AH66),"")</f>
        <v/>
      </c>
      <c r="F66" s="2" t="str">
        <f>IF(IF(ISERROR(XS_Analyzer_Calculations!AF66),"",XS_Analyzer_Calculations!AF66)&lt;&gt;MAX($F$4:$F65),IF(ISERROR(XS_Analyzer_Calculations!AF66),"",XS_Analyzer_Calculations!AF66),"")</f>
        <v/>
      </c>
      <c r="G66" s="44" t="str">
        <f>IF(F66&lt;&gt;"",IF(ISERROR(XS_Analyzer_Calculations!W66),"",XS_Analyzer_Calculations!W66),"")</f>
        <v/>
      </c>
      <c r="H66" s="2" t="str">
        <f>IF(ISERROR(XS_Analyzer_Calculations!AE66),"",XS_Analyzer_Calculations!AE66)</f>
        <v/>
      </c>
      <c r="I66" s="44" t="str">
        <f>IF(ISERROR(XS_Analyzer_Calculations!W66),"",XS_Analyzer_Calculations!W66)</f>
        <v/>
      </c>
      <c r="J66" s="44" t="str">
        <f>IF(K66&lt;&gt;"",IF(ISERROR(XS_Analyzer_Calculations!AL66:AL166),"",XS_Analyzer_Calculations!AL66:AL166),"")</f>
        <v/>
      </c>
      <c r="K66" s="29" t="str">
        <f>IF(IF(ISERROR(XS_Analyzer_Calculations!AJ66:AJ166),"",XS_Analyzer_Calculations!AJ66:AJ166)&lt;&gt;MAX($K$4:$K65),IF(ISERROR(XS_Analyzer_Calculations!AJ66:AJ166),"",XS_Analyzer_Calculations!AJ66:AJ166),"")</f>
        <v/>
      </c>
      <c r="L66" s="58" t="str">
        <f>IF(K66&lt;&gt;"",IF(ISERROR(XS_Analyzer_Calculations!X66:X166),"",XS_Analyzer_Calculations!X66:X166),"")</f>
        <v/>
      </c>
      <c r="M66" s="29" t="str">
        <f>IF(ISERROR(XS_Analyzer_Calculations!AI66:AI166),"",XS_Analyzer_Calculations!AI66:AI166)</f>
        <v/>
      </c>
      <c r="N66" s="29" t="str">
        <f>IF(ISERROR(XS_Analyzer_Calculations!X66:X166),"",XS_Analyzer_Calculations!X66:X166)</f>
        <v/>
      </c>
      <c r="X66" s="29" t="str">
        <f>IF(OR(ISERROR(XS_Analyzer_Calculations!BG65),B66="",ISERROR(XS_Analyzer_Calculations!BN65)),"",XS_Analyzer_Calculations!BN65)</f>
        <v/>
      </c>
      <c r="Y66" s="29" t="str">
        <f>IF(OR(ISERROR(XS_Analyzer_Calculations!BG65),X66=""),"",XS_Analyzer_Calculations!BH65)</f>
        <v/>
      </c>
      <c r="Z66" s="29" t="str">
        <f>IF(OR(ISERROR(XS_Analyzer_Calculations!BG65),X66=""),"",XS_Analyzer_Calculations!$O$18)</f>
        <v/>
      </c>
      <c r="AB66" s="34">
        <f>IFERROR(XS_AnalyzerSummary!AK64,0)</f>
        <v>3.7449999999999957</v>
      </c>
      <c r="AC66" s="34">
        <f>IFERROR(XS_AnalyzerSummary!AV64,0)</f>
        <v>3.2493816203139176</v>
      </c>
      <c r="AD66" s="34">
        <f>IFERROR(XS_AnalyzerSummary!AK64,0)</f>
        <v>3.7449999999999957</v>
      </c>
      <c r="AE66" s="34">
        <f>IFERROR(XS_AnalyzerSummary!AW64,0)</f>
        <v>2.0177040000000113</v>
      </c>
      <c r="AF66" s="34">
        <f>IFERROR(XS_AnalyzerSummary!AK64,0)</f>
        <v>3.7449999999999957</v>
      </c>
      <c r="AG66" s="34">
        <f>IFERROR(XS_AnalyzerSummary!BF64,0)</f>
        <v>8.0834897548280011</v>
      </c>
    </row>
    <row r="67" spans="2:33">
      <c r="B67" s="29" t="str">
        <f>IF(ISERROR(XS_Analyzer_Calculations!B67),"",XS_Analyzer_Calculations!B67)</f>
        <v/>
      </c>
      <c r="C67" s="29" t="str">
        <f>IF(ISERROR(XS_Analyzer_Calculations!C67),"",XS_Analyzer_Calculations!C67)</f>
        <v/>
      </c>
      <c r="D67" s="29" t="str">
        <f>IF(ISERROR(Data!D64),"",Data!D64)</f>
        <v/>
      </c>
      <c r="E67" s="2" t="str">
        <f>IF(F67&lt;&gt;"",IF(ISERROR(XS_Analyzer_Calculations!AH67),"",XS_Analyzer_Calculations!AH67),"")</f>
        <v/>
      </c>
      <c r="F67" s="2" t="str">
        <f>IF(IF(ISERROR(XS_Analyzer_Calculations!AF67),"",XS_Analyzer_Calculations!AF67)&lt;&gt;MAX($F$4:$F66),IF(ISERROR(XS_Analyzer_Calculations!AF67),"",XS_Analyzer_Calculations!AF67),"")</f>
        <v/>
      </c>
      <c r="G67" s="44" t="str">
        <f>IF(F67&lt;&gt;"",IF(ISERROR(XS_Analyzer_Calculations!W67),"",XS_Analyzer_Calculations!W67),"")</f>
        <v/>
      </c>
      <c r="H67" s="2" t="str">
        <f>IF(ISERROR(XS_Analyzer_Calculations!AE67),"",XS_Analyzer_Calculations!AE67)</f>
        <v/>
      </c>
      <c r="I67" s="44" t="str">
        <f>IF(ISERROR(XS_Analyzer_Calculations!W67),"",XS_Analyzer_Calculations!W67)</f>
        <v/>
      </c>
      <c r="J67" s="44" t="str">
        <f>IF(K67&lt;&gt;"",IF(ISERROR(XS_Analyzer_Calculations!AL67:AL167),"",XS_Analyzer_Calculations!AL67:AL167),"")</f>
        <v/>
      </c>
      <c r="K67" s="29" t="str">
        <f>IF(IF(ISERROR(XS_Analyzer_Calculations!AJ67:AJ167),"",XS_Analyzer_Calculations!AJ67:AJ167)&lt;&gt;MAX($K$4:$K66),IF(ISERROR(XS_Analyzer_Calculations!AJ67:AJ167),"",XS_Analyzer_Calculations!AJ67:AJ167),"")</f>
        <v/>
      </c>
      <c r="L67" s="58" t="str">
        <f>IF(K67&lt;&gt;"",IF(ISERROR(XS_Analyzer_Calculations!X67:X167),"",XS_Analyzer_Calculations!X67:X167),"")</f>
        <v/>
      </c>
      <c r="M67" s="29" t="str">
        <f>IF(ISERROR(XS_Analyzer_Calculations!AI67:AI167),"",XS_Analyzer_Calculations!AI67:AI167)</f>
        <v/>
      </c>
      <c r="N67" s="29" t="str">
        <f>IF(ISERROR(XS_Analyzer_Calculations!X67:X167),"",XS_Analyzer_Calculations!X67:X167)</f>
        <v/>
      </c>
      <c r="X67" s="29" t="str">
        <f>IF(OR(ISERROR(XS_Analyzer_Calculations!BG66),B67="",ISERROR(XS_Analyzer_Calculations!BN66)),"",XS_Analyzer_Calculations!BN66)</f>
        <v/>
      </c>
      <c r="Y67" s="29" t="str">
        <f>IF(OR(ISERROR(XS_Analyzer_Calculations!BG66),X67=""),"",XS_Analyzer_Calculations!BH66)</f>
        <v/>
      </c>
      <c r="Z67" s="29" t="str">
        <f>IF(OR(ISERROR(XS_Analyzer_Calculations!BG66),X67=""),"",XS_Analyzer_Calculations!$O$18)</f>
        <v/>
      </c>
      <c r="AB67" s="34">
        <f>IFERROR(XS_AnalyzerSummary!AK65,0)</f>
        <v>3.7899999999999956</v>
      </c>
      <c r="AC67" s="34">
        <f>IFERROR(XS_AnalyzerSummary!AV65,0)</f>
        <v>3.267444948578397</v>
      </c>
      <c r="AD67" s="34">
        <f>IFERROR(XS_AnalyzerSummary!AK65,0)</f>
        <v>3.7899999999999956</v>
      </c>
      <c r="AE67" s="34">
        <f>IFERROR(XS_AnalyzerSummary!AW65,0)</f>
        <v>2.0345519999999921</v>
      </c>
      <c r="AF67" s="34">
        <f>IFERROR(XS_AnalyzerSummary!AK65,0)</f>
        <v>3.7899999999999956</v>
      </c>
      <c r="AG67" s="34">
        <f>IFERROR(XS_AnalyzerSummary!BF65,0)</f>
        <v>8.1535422674843634</v>
      </c>
    </row>
    <row r="68" spans="2:33">
      <c r="B68" s="29" t="str">
        <f>IF(ISERROR(XS_Analyzer_Calculations!B68),"",XS_Analyzer_Calculations!B68)</f>
        <v/>
      </c>
      <c r="C68" s="29" t="str">
        <f>IF(ISERROR(XS_Analyzer_Calculations!C68),"",XS_Analyzer_Calculations!C68)</f>
        <v/>
      </c>
      <c r="D68" s="29" t="str">
        <f>IF(ISERROR(Data!D65),"",Data!D65)</f>
        <v/>
      </c>
      <c r="E68" s="2" t="str">
        <f>IF(F68&lt;&gt;"",IF(ISERROR(XS_Analyzer_Calculations!AH68),"",XS_Analyzer_Calculations!AH68),"")</f>
        <v/>
      </c>
      <c r="F68" s="2" t="str">
        <f>IF(IF(ISERROR(XS_Analyzer_Calculations!AF68),"",XS_Analyzer_Calculations!AF68)&lt;&gt;MAX($F$4:$F67),IF(ISERROR(XS_Analyzer_Calculations!AF68),"",XS_Analyzer_Calculations!AF68),"")</f>
        <v/>
      </c>
      <c r="G68" s="44" t="str">
        <f>IF(F68&lt;&gt;"",IF(ISERROR(XS_Analyzer_Calculations!W68),"",XS_Analyzer_Calculations!W68),"")</f>
        <v/>
      </c>
      <c r="H68" s="2" t="str">
        <f>IF(ISERROR(XS_Analyzer_Calculations!AE68),"",XS_Analyzer_Calculations!AE68)</f>
        <v/>
      </c>
      <c r="I68" s="44" t="str">
        <f>IF(ISERROR(XS_Analyzer_Calculations!W68),"",XS_Analyzer_Calculations!W68)</f>
        <v/>
      </c>
      <c r="J68" s="44" t="str">
        <f>IF(K68&lt;&gt;"",IF(ISERROR(XS_Analyzer_Calculations!AL68:AL168),"",XS_Analyzer_Calculations!AL68:AL168),"")</f>
        <v/>
      </c>
      <c r="K68" s="29" t="str">
        <f>IF(IF(ISERROR(XS_Analyzer_Calculations!AJ68:AJ168),"",XS_Analyzer_Calculations!AJ68:AJ168)&lt;&gt;MAX($K$4:$K67),IF(ISERROR(XS_Analyzer_Calculations!AJ68:AJ168),"",XS_Analyzer_Calculations!AJ68:AJ168),"")</f>
        <v/>
      </c>
      <c r="L68" s="58" t="str">
        <f>IF(K68&lt;&gt;"",IF(ISERROR(XS_Analyzer_Calculations!X68:X168),"",XS_Analyzer_Calculations!X68:X168),"")</f>
        <v/>
      </c>
      <c r="M68" s="29" t="str">
        <f>IF(ISERROR(XS_Analyzer_Calculations!AI68:AI168),"",XS_Analyzer_Calculations!AI68:AI168)</f>
        <v/>
      </c>
      <c r="N68" s="29" t="str">
        <f>IF(ISERROR(XS_Analyzer_Calculations!X68:X168),"",XS_Analyzer_Calculations!X68:X168)</f>
        <v/>
      </c>
      <c r="X68" s="29" t="str">
        <f>IF(OR(ISERROR(XS_Analyzer_Calculations!BG67),B68="",ISERROR(XS_Analyzer_Calculations!BN67)),"",XS_Analyzer_Calculations!BN67)</f>
        <v/>
      </c>
      <c r="Y68" s="29" t="str">
        <f>IF(OR(ISERROR(XS_Analyzer_Calculations!BG67),X68=""),"",XS_Analyzer_Calculations!BH67)</f>
        <v/>
      </c>
      <c r="Z68" s="29" t="str">
        <f>IF(OR(ISERROR(XS_Analyzer_Calculations!BG67),X68=""),"",XS_Analyzer_Calculations!$O$18)</f>
        <v/>
      </c>
      <c r="AB68" s="34">
        <f>IFERROR(XS_AnalyzerSummary!AK66,0)</f>
        <v>3.8349999999999955</v>
      </c>
      <c r="AC68" s="34">
        <f>IFERROR(XS_AnalyzerSummary!AV66,0)</f>
        <v>3.2854584844949466</v>
      </c>
      <c r="AD68" s="34">
        <f>IFERROR(XS_AnalyzerSummary!AK66,0)</f>
        <v>3.8349999999999955</v>
      </c>
      <c r="AE68" s="34">
        <f>IFERROR(XS_AnalyzerSummary!AW66,0)</f>
        <v>2.0513999999999917</v>
      </c>
      <c r="AF68" s="34">
        <f>IFERROR(XS_AnalyzerSummary!AK66,0)</f>
        <v>3.8349999999999955</v>
      </c>
      <c r="AG68" s="34">
        <f>IFERROR(XS_AnalyzerSummary!BF66,0)</f>
        <v>8.2236190483723579</v>
      </c>
    </row>
    <row r="69" spans="2:33">
      <c r="B69" s="29" t="str">
        <f>IF(ISERROR(XS_Analyzer_Calculations!B69),"",XS_Analyzer_Calculations!B69)</f>
        <v/>
      </c>
      <c r="C69" s="29" t="str">
        <f>IF(ISERROR(XS_Analyzer_Calculations!C69),"",XS_Analyzer_Calculations!C69)</f>
        <v/>
      </c>
      <c r="D69" s="29" t="str">
        <f>IF(ISERROR(Data!D66),"",Data!D66)</f>
        <v/>
      </c>
      <c r="E69" s="2" t="str">
        <f>IF(F69&lt;&gt;"",IF(ISERROR(XS_Analyzer_Calculations!AH69),"",XS_Analyzer_Calculations!AH69),"")</f>
        <v/>
      </c>
      <c r="F69" s="2" t="str">
        <f>IF(IF(ISERROR(XS_Analyzer_Calculations!AF69),"",XS_Analyzer_Calculations!AF69)&lt;&gt;MAX($F$4:$F68),IF(ISERROR(XS_Analyzer_Calculations!AF69),"",XS_Analyzer_Calculations!AF69),"")</f>
        <v/>
      </c>
      <c r="G69" s="44" t="str">
        <f>IF(F69&lt;&gt;"",IF(ISERROR(XS_Analyzer_Calculations!W69),"",XS_Analyzer_Calculations!W69),"")</f>
        <v/>
      </c>
      <c r="H69" s="2" t="str">
        <f>IF(ISERROR(XS_Analyzer_Calculations!AE69),"",XS_Analyzer_Calculations!AE69)</f>
        <v/>
      </c>
      <c r="I69" s="44" t="str">
        <f>IF(ISERROR(XS_Analyzer_Calculations!W69),"",XS_Analyzer_Calculations!W69)</f>
        <v/>
      </c>
      <c r="J69" s="44" t="str">
        <f>IF(K69&lt;&gt;"",IF(ISERROR(XS_Analyzer_Calculations!AL69:AL169),"",XS_Analyzer_Calculations!AL69:AL169),"")</f>
        <v/>
      </c>
      <c r="K69" s="29" t="str">
        <f>IF(IF(ISERROR(XS_Analyzer_Calculations!AJ69:AJ169),"",XS_Analyzer_Calculations!AJ69:AJ169)&lt;&gt;MAX($K$4:$K68),IF(ISERROR(XS_Analyzer_Calculations!AJ69:AJ169),"",XS_Analyzer_Calculations!AJ69:AJ169),"")</f>
        <v/>
      </c>
      <c r="L69" s="58" t="str">
        <f>IF(K69&lt;&gt;"",IF(ISERROR(XS_Analyzer_Calculations!X69:X169),"",XS_Analyzer_Calculations!X69:X169),"")</f>
        <v/>
      </c>
      <c r="M69" s="29" t="str">
        <f>IF(ISERROR(XS_Analyzer_Calculations!AI69:AI169),"",XS_Analyzer_Calculations!AI69:AI169)</f>
        <v/>
      </c>
      <c r="N69" s="29" t="str">
        <f>IF(ISERROR(XS_Analyzer_Calculations!X69:X169),"",XS_Analyzer_Calculations!X69:X169)</f>
        <v/>
      </c>
      <c r="X69" s="29" t="str">
        <f>IF(OR(ISERROR(XS_Analyzer_Calculations!BG68),B69="",ISERROR(XS_Analyzer_Calculations!BN68)),"",XS_Analyzer_Calculations!BN68)</f>
        <v/>
      </c>
      <c r="Y69" s="29" t="str">
        <f>IF(OR(ISERROR(XS_Analyzer_Calculations!BG68),X69=""),"",XS_Analyzer_Calculations!BH68)</f>
        <v/>
      </c>
      <c r="Z69" s="29" t="str">
        <f>IF(OR(ISERROR(XS_Analyzer_Calculations!BG68),X69=""),"",XS_Analyzer_Calculations!$O$18)</f>
        <v/>
      </c>
      <c r="AB69" s="34">
        <f>IFERROR(XS_AnalyzerSummary!AK67,0)</f>
        <v>3.8799999999999955</v>
      </c>
      <c r="AC69" s="34">
        <f>IFERROR(XS_AnalyzerSummary!AV67,0)</f>
        <v>3.3034227725847769</v>
      </c>
      <c r="AD69" s="34">
        <f>IFERROR(XS_AnalyzerSummary!AK67,0)</f>
        <v>3.8799999999999955</v>
      </c>
      <c r="AE69" s="34">
        <f>IFERROR(XS_AnalyzerSummary!AW67,0)</f>
        <v>2.0682480000000116</v>
      </c>
      <c r="AF69" s="34">
        <f>IFERROR(XS_AnalyzerSummary!AK67,0)</f>
        <v>3.8799999999999955</v>
      </c>
      <c r="AG69" s="34">
        <f>IFERROR(XS_AnalyzerSummary!BF67,0)</f>
        <v>8.2937199072938643</v>
      </c>
    </row>
    <row r="70" spans="2:33">
      <c r="B70" s="29" t="str">
        <f>IF(ISERROR(XS_Analyzer_Calculations!B70),"",XS_Analyzer_Calculations!B70)</f>
        <v/>
      </c>
      <c r="C70" s="29" t="str">
        <f>IF(ISERROR(XS_Analyzer_Calculations!C70),"",XS_Analyzer_Calculations!C70)</f>
        <v/>
      </c>
      <c r="D70" s="29" t="str">
        <f>IF(ISERROR(Data!D67),"",Data!D67)</f>
        <v/>
      </c>
      <c r="E70" s="2" t="str">
        <f>IF(F70&lt;&gt;"",IF(ISERROR(XS_Analyzer_Calculations!AH70),"",XS_Analyzer_Calculations!AH70),"")</f>
        <v/>
      </c>
      <c r="F70" s="2" t="str">
        <f>IF(IF(ISERROR(XS_Analyzer_Calculations!AF70),"",XS_Analyzer_Calculations!AF70)&lt;&gt;MAX($F$4:$F69),IF(ISERROR(XS_Analyzer_Calculations!AF70),"",XS_Analyzer_Calculations!AF70),"")</f>
        <v/>
      </c>
      <c r="G70" s="44" t="str">
        <f>IF(F70&lt;&gt;"",IF(ISERROR(XS_Analyzer_Calculations!W70),"",XS_Analyzer_Calculations!W70),"")</f>
        <v/>
      </c>
      <c r="H70" s="2" t="str">
        <f>IF(ISERROR(XS_Analyzer_Calculations!AE70),"",XS_Analyzer_Calculations!AE70)</f>
        <v/>
      </c>
      <c r="I70" s="44" t="str">
        <f>IF(ISERROR(XS_Analyzer_Calculations!W70),"",XS_Analyzer_Calculations!W70)</f>
        <v/>
      </c>
      <c r="J70" s="44" t="str">
        <f>IF(K70&lt;&gt;"",IF(ISERROR(XS_Analyzer_Calculations!AL70:AL170),"",XS_Analyzer_Calculations!AL70:AL170),"")</f>
        <v/>
      </c>
      <c r="K70" s="29" t="str">
        <f>IF(IF(ISERROR(XS_Analyzer_Calculations!AJ70:AJ170),"",XS_Analyzer_Calculations!AJ70:AJ170)&lt;&gt;MAX($K$4:$K69),IF(ISERROR(XS_Analyzer_Calculations!AJ70:AJ170),"",XS_Analyzer_Calculations!AJ70:AJ170),"")</f>
        <v/>
      </c>
      <c r="L70" s="58" t="str">
        <f>IF(K70&lt;&gt;"",IF(ISERROR(XS_Analyzer_Calculations!X70:X170),"",XS_Analyzer_Calculations!X70:X170),"")</f>
        <v/>
      </c>
      <c r="M70" s="29" t="str">
        <f>IF(ISERROR(XS_Analyzer_Calculations!AI70:AI170),"",XS_Analyzer_Calculations!AI70:AI170)</f>
        <v/>
      </c>
      <c r="N70" s="29" t="str">
        <f>IF(ISERROR(XS_Analyzer_Calculations!X70:X170),"",XS_Analyzer_Calculations!X70:X170)</f>
        <v/>
      </c>
      <c r="X70" s="29" t="str">
        <f>IF(OR(ISERROR(XS_Analyzer_Calculations!BG69),B70="",ISERROR(XS_Analyzer_Calculations!BN69)),"",XS_Analyzer_Calculations!BN69)</f>
        <v/>
      </c>
      <c r="Y70" s="29" t="str">
        <f>IF(OR(ISERROR(XS_Analyzer_Calculations!BG69),X70=""),"",XS_Analyzer_Calculations!BH69)</f>
        <v/>
      </c>
      <c r="Z70" s="29" t="str">
        <f>IF(OR(ISERROR(XS_Analyzer_Calculations!BG69),X70=""),"",XS_Analyzer_Calculations!$O$18)</f>
        <v/>
      </c>
      <c r="AB70" s="34">
        <f>IFERROR(XS_AnalyzerSummary!AK68,0)</f>
        <v>3.9249999999999954</v>
      </c>
      <c r="AC70" s="34">
        <f>IFERROR(XS_AnalyzerSummary!AV68,0)</f>
        <v>3.3213383470328401</v>
      </c>
      <c r="AD70" s="34">
        <f>IFERROR(XS_AnalyzerSummary!AK68,0)</f>
        <v>3.9249999999999954</v>
      </c>
      <c r="AE70" s="34">
        <f>IFERROR(XS_AnalyzerSummary!AW68,0)</f>
        <v>2.0850960000000107</v>
      </c>
      <c r="AF70" s="34">
        <f>IFERROR(XS_AnalyzerSummary!AK68,0)</f>
        <v>3.9249999999999954</v>
      </c>
      <c r="AG70" s="34">
        <f>IFERROR(XS_AnalyzerSummary!BF68,0)</f>
        <v>8.3638446570727289</v>
      </c>
    </row>
    <row r="71" spans="2:33">
      <c r="B71" s="29" t="str">
        <f>IF(ISERROR(XS_Analyzer_Calculations!B71),"",XS_Analyzer_Calculations!B71)</f>
        <v/>
      </c>
      <c r="C71" s="29" t="str">
        <f>IF(ISERROR(XS_Analyzer_Calculations!C71),"",XS_Analyzer_Calculations!C71)</f>
        <v/>
      </c>
      <c r="D71" s="29" t="str">
        <f>IF(ISERROR(Data!D68),"",Data!D68)</f>
        <v/>
      </c>
      <c r="E71" s="2" t="str">
        <f>IF(F71&lt;&gt;"",IF(ISERROR(XS_Analyzer_Calculations!AH71),"",XS_Analyzer_Calculations!AH71),"")</f>
        <v/>
      </c>
      <c r="F71" s="2" t="str">
        <f>IF(IF(ISERROR(XS_Analyzer_Calculations!AF71),"",XS_Analyzer_Calculations!AF71)&lt;&gt;MAX($F$4:$F70),IF(ISERROR(XS_Analyzer_Calculations!AF71),"",XS_Analyzer_Calculations!AF71),"")</f>
        <v/>
      </c>
      <c r="G71" s="44" t="str">
        <f>IF(F71&lt;&gt;"",IF(ISERROR(XS_Analyzer_Calculations!W71),"",XS_Analyzer_Calculations!W71),"")</f>
        <v/>
      </c>
      <c r="H71" s="2" t="str">
        <f>IF(ISERROR(XS_Analyzer_Calculations!AE71),"",XS_Analyzer_Calculations!AE71)</f>
        <v/>
      </c>
      <c r="I71" s="44" t="str">
        <f>IF(ISERROR(XS_Analyzer_Calculations!W71),"",XS_Analyzer_Calculations!W71)</f>
        <v/>
      </c>
      <c r="J71" s="44" t="str">
        <f>IF(K71&lt;&gt;"",IF(ISERROR(XS_Analyzer_Calculations!AL71:AL171),"",XS_Analyzer_Calculations!AL71:AL171),"")</f>
        <v/>
      </c>
      <c r="K71" s="29" t="str">
        <f>IF(IF(ISERROR(XS_Analyzer_Calculations!AJ71:AJ171),"",XS_Analyzer_Calculations!AJ71:AJ171)&lt;&gt;MAX($K$4:$K70),IF(ISERROR(XS_Analyzer_Calculations!AJ71:AJ171),"",XS_Analyzer_Calculations!AJ71:AJ171),"")</f>
        <v/>
      </c>
      <c r="L71" s="58" t="str">
        <f>IF(K71&lt;&gt;"",IF(ISERROR(XS_Analyzer_Calculations!X71:X171),"",XS_Analyzer_Calculations!X71:X171),"")</f>
        <v/>
      </c>
      <c r="M71" s="29" t="str">
        <f>IF(ISERROR(XS_Analyzer_Calculations!AI71:AI171),"",XS_Analyzer_Calculations!AI71:AI171)</f>
        <v/>
      </c>
      <c r="N71" s="29" t="str">
        <f>IF(ISERROR(XS_Analyzer_Calculations!X71:X171),"",XS_Analyzer_Calculations!X71:X171)</f>
        <v/>
      </c>
      <c r="X71" s="29" t="str">
        <f>IF(OR(ISERROR(XS_Analyzer_Calculations!BG70),B71="",ISERROR(XS_Analyzer_Calculations!BN70)),"",XS_Analyzer_Calculations!BN70)</f>
        <v/>
      </c>
      <c r="Y71" s="29" t="str">
        <f>IF(OR(ISERROR(XS_Analyzer_Calculations!BG70),X71=""),"",XS_Analyzer_Calculations!BH70)</f>
        <v/>
      </c>
      <c r="Z71" s="29" t="str">
        <f>IF(OR(ISERROR(XS_Analyzer_Calculations!BG70),X71=""),"",XS_Analyzer_Calculations!$O$18)</f>
        <v/>
      </c>
      <c r="AB71" s="34">
        <f>IFERROR(XS_AnalyzerSummary!AK69,0)</f>
        <v>3.9699999999999953</v>
      </c>
      <c r="AC71" s="34">
        <f>IFERROR(XS_AnalyzerSummary!AV69,0)</f>
        <v>3.3392057319659485</v>
      </c>
      <c r="AD71" s="34">
        <f>IFERROR(XS_AnalyzerSummary!AK69,0)</f>
        <v>3.9699999999999953</v>
      </c>
      <c r="AE71" s="34">
        <f>IFERROR(XS_AnalyzerSummary!AW69,0)</f>
        <v>2.1019439999999916</v>
      </c>
      <c r="AF71" s="34">
        <f>IFERROR(XS_AnalyzerSummary!AK69,0)</f>
        <v>3.9699999999999953</v>
      </c>
      <c r="AG71" s="34">
        <f>IFERROR(XS_AnalyzerSummary!BF69,0)</f>
        <v>8.4339931134827868</v>
      </c>
    </row>
    <row r="72" spans="2:33">
      <c r="B72" s="29" t="str">
        <f>IF(ISERROR(XS_Analyzer_Calculations!B72),"",XS_Analyzer_Calculations!B72)</f>
        <v/>
      </c>
      <c r="C72" s="29" t="str">
        <f>IF(ISERROR(XS_Analyzer_Calculations!C72),"",XS_Analyzer_Calculations!C72)</f>
        <v/>
      </c>
      <c r="D72" s="29" t="str">
        <f>IF(ISERROR(Data!D69),"",Data!D69)</f>
        <v/>
      </c>
      <c r="E72" s="2" t="str">
        <f>IF(F72&lt;&gt;"",IF(ISERROR(XS_Analyzer_Calculations!AH72),"",XS_Analyzer_Calculations!AH72),"")</f>
        <v/>
      </c>
      <c r="F72" s="2" t="str">
        <f>IF(IF(ISERROR(XS_Analyzer_Calculations!AF72),"",XS_Analyzer_Calculations!AF72)&lt;&gt;MAX($F$4:$F71),IF(ISERROR(XS_Analyzer_Calculations!AF72),"",XS_Analyzer_Calculations!AF72),"")</f>
        <v/>
      </c>
      <c r="G72" s="44" t="str">
        <f>IF(F72&lt;&gt;"",IF(ISERROR(XS_Analyzer_Calculations!W72),"",XS_Analyzer_Calculations!W72),"")</f>
        <v/>
      </c>
      <c r="H72" s="2" t="str">
        <f>IF(ISERROR(XS_Analyzer_Calculations!AE72),"",XS_Analyzer_Calculations!AE72)</f>
        <v/>
      </c>
      <c r="I72" s="44" t="str">
        <f>IF(ISERROR(XS_Analyzer_Calculations!W72),"",XS_Analyzer_Calculations!W72)</f>
        <v/>
      </c>
      <c r="J72" s="44" t="str">
        <f>IF(K72&lt;&gt;"",IF(ISERROR(XS_Analyzer_Calculations!AL72:AL172),"",XS_Analyzer_Calculations!AL72:AL172),"")</f>
        <v/>
      </c>
      <c r="K72" s="29" t="str">
        <f>IF(IF(ISERROR(XS_Analyzer_Calculations!AJ72:AJ172),"",XS_Analyzer_Calculations!AJ72:AJ172)&lt;&gt;MAX($K$4:$K71),IF(ISERROR(XS_Analyzer_Calculations!AJ72:AJ172),"",XS_Analyzer_Calculations!AJ72:AJ172),"")</f>
        <v/>
      </c>
      <c r="L72" s="58" t="str">
        <f>IF(K72&lt;&gt;"",IF(ISERROR(XS_Analyzer_Calculations!X72:X172),"",XS_Analyzer_Calculations!X72:X172),"")</f>
        <v/>
      </c>
      <c r="M72" s="29" t="str">
        <f>IF(ISERROR(XS_Analyzer_Calculations!AI72:AI172),"",XS_Analyzer_Calculations!AI72:AI172)</f>
        <v/>
      </c>
      <c r="N72" s="29" t="str">
        <f>IF(ISERROR(XS_Analyzer_Calculations!X72:X172),"",XS_Analyzer_Calculations!X72:X172)</f>
        <v/>
      </c>
      <c r="X72" s="29" t="str">
        <f>IF(OR(ISERROR(XS_Analyzer_Calculations!BG71),B72="",ISERROR(XS_Analyzer_Calculations!BN71)),"",XS_Analyzer_Calculations!BN71)</f>
        <v/>
      </c>
      <c r="Y72" s="29" t="str">
        <f>IF(OR(ISERROR(XS_Analyzer_Calculations!BG71),X72=""),"",XS_Analyzer_Calculations!BH71)</f>
        <v/>
      </c>
      <c r="Z72" s="29" t="str">
        <f>IF(OR(ISERROR(XS_Analyzer_Calculations!BG71),X72=""),"",XS_Analyzer_Calculations!$O$18)</f>
        <v/>
      </c>
      <c r="AB72" s="34">
        <f>IFERROR(XS_AnalyzerSummary!AK70,0)</f>
        <v>4.0149999999999952</v>
      </c>
      <c r="AC72" s="34">
        <f>IFERROR(XS_AnalyzerSummary!AV70,0)</f>
        <v>3.3570254417211602</v>
      </c>
      <c r="AD72" s="34">
        <f>IFERROR(XS_AnalyzerSummary!AK70,0)</f>
        <v>4.0149999999999952</v>
      </c>
      <c r="AE72" s="34">
        <f>IFERROR(XS_AnalyzerSummary!AW70,0)</f>
        <v>2.1187919999999911</v>
      </c>
      <c r="AF72" s="34">
        <f>IFERROR(XS_AnalyzerSummary!AK70,0)</f>
        <v>4.0149999999999952</v>
      </c>
      <c r="AG72" s="34">
        <f>IFERROR(XS_AnalyzerSummary!BF70,0)</f>
        <v>8.5041650951782035</v>
      </c>
    </row>
    <row r="73" spans="2:33">
      <c r="B73" s="29" t="str">
        <f>IF(ISERROR(XS_Analyzer_Calculations!B73),"",XS_Analyzer_Calculations!B73)</f>
        <v/>
      </c>
      <c r="C73" s="29" t="str">
        <f>IF(ISERROR(XS_Analyzer_Calculations!C73),"",XS_Analyzer_Calculations!C73)</f>
        <v/>
      </c>
      <c r="D73" s="29" t="str">
        <f>IF(ISERROR(Data!D70),"",Data!D70)</f>
        <v/>
      </c>
      <c r="E73" s="2" t="str">
        <f>IF(F73&lt;&gt;"",IF(ISERROR(XS_Analyzer_Calculations!AH73),"",XS_Analyzer_Calculations!AH73),"")</f>
        <v/>
      </c>
      <c r="F73" s="2" t="str">
        <f>IF(IF(ISERROR(XS_Analyzer_Calculations!AF73),"",XS_Analyzer_Calculations!AF73)&lt;&gt;MAX($F$4:$F72),IF(ISERROR(XS_Analyzer_Calculations!AF73),"",XS_Analyzer_Calculations!AF73),"")</f>
        <v/>
      </c>
      <c r="G73" s="44" t="str">
        <f>IF(F73&lt;&gt;"",IF(ISERROR(XS_Analyzer_Calculations!W73),"",XS_Analyzer_Calculations!W73),"")</f>
        <v/>
      </c>
      <c r="H73" s="2" t="str">
        <f>IF(ISERROR(XS_Analyzer_Calculations!AE73),"",XS_Analyzer_Calculations!AE73)</f>
        <v/>
      </c>
      <c r="I73" s="44" t="str">
        <f>IF(ISERROR(XS_Analyzer_Calculations!W73),"",XS_Analyzer_Calculations!W73)</f>
        <v/>
      </c>
      <c r="J73" s="44" t="str">
        <f>IF(K73&lt;&gt;"",IF(ISERROR(XS_Analyzer_Calculations!AL73:AL173),"",XS_Analyzer_Calculations!AL73:AL173),"")</f>
        <v/>
      </c>
      <c r="K73" s="29" t="str">
        <f>IF(IF(ISERROR(XS_Analyzer_Calculations!AJ73:AJ173),"",XS_Analyzer_Calculations!AJ73:AJ173)&lt;&gt;MAX($K$4:$K72),IF(ISERROR(XS_Analyzer_Calculations!AJ73:AJ173),"",XS_Analyzer_Calculations!AJ73:AJ173),"")</f>
        <v/>
      </c>
      <c r="L73" s="58" t="str">
        <f>IF(K73&lt;&gt;"",IF(ISERROR(XS_Analyzer_Calculations!X73:X173),"",XS_Analyzer_Calculations!X73:X173),"")</f>
        <v/>
      </c>
      <c r="M73" s="29" t="str">
        <f>IF(ISERROR(XS_Analyzer_Calculations!AI73:AI173),"",XS_Analyzer_Calculations!AI73:AI173)</f>
        <v/>
      </c>
      <c r="N73" s="29" t="str">
        <f>IF(ISERROR(XS_Analyzer_Calculations!X73:X173),"",XS_Analyzer_Calculations!X73:X173)</f>
        <v/>
      </c>
      <c r="X73" s="29" t="str">
        <f>IF(OR(ISERROR(XS_Analyzer_Calculations!BG72),B73="",ISERROR(XS_Analyzer_Calculations!BN72)),"",XS_Analyzer_Calculations!BN72)</f>
        <v/>
      </c>
      <c r="Y73" s="29" t="str">
        <f>IF(OR(ISERROR(XS_Analyzer_Calculations!BG72),X73=""),"",XS_Analyzer_Calculations!BH72)</f>
        <v/>
      </c>
      <c r="Z73" s="29" t="str">
        <f>IF(OR(ISERROR(XS_Analyzer_Calculations!BG72),X73=""),"",XS_Analyzer_Calculations!$O$18)</f>
        <v/>
      </c>
      <c r="AB73" s="34">
        <f>IFERROR(XS_AnalyzerSummary!AK71,0)</f>
        <v>4.0599999999999952</v>
      </c>
      <c r="AC73" s="34">
        <f>IFERROR(XS_AnalyzerSummary!AV71,0)</f>
        <v>3.3747979811048476</v>
      </c>
      <c r="AD73" s="34">
        <f>IFERROR(XS_AnalyzerSummary!AK71,0)</f>
        <v>4.0599999999999952</v>
      </c>
      <c r="AE73" s="34">
        <f>IFERROR(XS_AnalyzerSummary!AW71,0)</f>
        <v>2.1356400000000115</v>
      </c>
      <c r="AF73" s="34">
        <f>IFERROR(XS_AnalyzerSummary!AK71,0)</f>
        <v>4.0599999999999952</v>
      </c>
      <c r="AG73" s="34">
        <f>IFERROR(XS_AnalyzerSummary!BF71,0)</f>
        <v>8.5743604236259667</v>
      </c>
    </row>
    <row r="74" spans="2:33">
      <c r="B74" s="29" t="str">
        <f>IF(ISERROR(XS_Analyzer_Calculations!B74),"",XS_Analyzer_Calculations!B74)</f>
        <v/>
      </c>
      <c r="C74" s="29" t="str">
        <f>IF(ISERROR(XS_Analyzer_Calculations!C74),"",XS_Analyzer_Calculations!C74)</f>
        <v/>
      </c>
      <c r="D74" s="29" t="str">
        <f>IF(ISERROR(Data!D71),"",Data!D71)</f>
        <v/>
      </c>
      <c r="E74" s="2" t="str">
        <f>IF(F74&lt;&gt;"",IF(ISERROR(XS_Analyzer_Calculations!AH74),"",XS_Analyzer_Calculations!AH74),"")</f>
        <v/>
      </c>
      <c r="F74" s="2" t="str">
        <f>IF(IF(ISERROR(XS_Analyzer_Calculations!AF74),"",XS_Analyzer_Calculations!AF74)&lt;&gt;MAX($F$4:$F73),IF(ISERROR(XS_Analyzer_Calculations!AF74),"",XS_Analyzer_Calculations!AF74),"")</f>
        <v/>
      </c>
      <c r="G74" s="44" t="str">
        <f>IF(F74&lt;&gt;"",IF(ISERROR(XS_Analyzer_Calculations!W74),"",XS_Analyzer_Calculations!W74),"")</f>
        <v/>
      </c>
      <c r="H74" s="2" t="str">
        <f>IF(ISERROR(XS_Analyzer_Calculations!AE74),"",XS_Analyzer_Calculations!AE74)</f>
        <v/>
      </c>
      <c r="I74" s="44" t="str">
        <f>IF(ISERROR(XS_Analyzer_Calculations!W74),"",XS_Analyzer_Calculations!W74)</f>
        <v/>
      </c>
      <c r="J74" s="44" t="str">
        <f>IF(K74&lt;&gt;"",IF(ISERROR(XS_Analyzer_Calculations!AL74:AL174),"",XS_Analyzer_Calculations!AL74:AL174),"")</f>
        <v/>
      </c>
      <c r="K74" s="29" t="str">
        <f>IF(IF(ISERROR(XS_Analyzer_Calculations!AJ74:AJ174),"",XS_Analyzer_Calculations!AJ74:AJ174)&lt;&gt;MAX($K$4:$K73),IF(ISERROR(XS_Analyzer_Calculations!AJ74:AJ174),"",XS_Analyzer_Calculations!AJ74:AJ174),"")</f>
        <v/>
      </c>
      <c r="L74" s="58" t="str">
        <f>IF(K74&lt;&gt;"",IF(ISERROR(XS_Analyzer_Calculations!X74:X174),"",XS_Analyzer_Calculations!X74:X174),"")</f>
        <v/>
      </c>
      <c r="M74" s="29" t="str">
        <f>IF(ISERROR(XS_Analyzer_Calculations!AI74:AI174),"",XS_Analyzer_Calculations!AI74:AI174)</f>
        <v/>
      </c>
      <c r="N74" s="29" t="str">
        <f>IF(ISERROR(XS_Analyzer_Calculations!X74:X174),"",XS_Analyzer_Calculations!X74:X174)</f>
        <v/>
      </c>
      <c r="X74" s="29" t="str">
        <f>IF(OR(ISERROR(XS_Analyzer_Calculations!BG73),B74="",ISERROR(XS_Analyzer_Calculations!BN73)),"",XS_Analyzer_Calculations!BN73)</f>
        <v/>
      </c>
      <c r="Y74" s="29" t="str">
        <f>IF(OR(ISERROR(XS_Analyzer_Calculations!BG73),X74=""),"",XS_Analyzer_Calculations!BH73)</f>
        <v/>
      </c>
      <c r="Z74" s="29" t="str">
        <f>IF(OR(ISERROR(XS_Analyzer_Calculations!BG73),X74=""),"",XS_Analyzer_Calculations!$O$18)</f>
        <v/>
      </c>
      <c r="AB74" s="34">
        <f>IFERROR(XS_AnalyzerSummary!AK72,0)</f>
        <v>4.1049999999999951</v>
      </c>
      <c r="AC74" s="34">
        <f>IFERROR(XS_AnalyzerSummary!AV72,0)</f>
        <v>3.3925238456430034</v>
      </c>
      <c r="AD74" s="34">
        <f>IFERROR(XS_AnalyzerSummary!AK72,0)</f>
        <v>4.1049999999999951</v>
      </c>
      <c r="AE74" s="34">
        <f>IFERROR(XS_AnalyzerSummary!AW72,0)</f>
        <v>2.1524880000000115</v>
      </c>
      <c r="AF74" s="34">
        <f>IFERROR(XS_AnalyzerSummary!AK72,0)</f>
        <v>4.1049999999999951</v>
      </c>
      <c r="AG74" s="34">
        <f>IFERROR(XS_AnalyzerSummary!BF72,0)</f>
        <v>8.6445789230405019</v>
      </c>
    </row>
    <row r="75" spans="2:33">
      <c r="B75" s="29" t="str">
        <f>IF(ISERROR(XS_Analyzer_Calculations!B75),"",XS_Analyzer_Calculations!B75)</f>
        <v/>
      </c>
      <c r="C75" s="29" t="str">
        <f>IF(ISERROR(XS_Analyzer_Calculations!C75),"",XS_Analyzer_Calculations!C75)</f>
        <v/>
      </c>
      <c r="D75" s="29" t="str">
        <f>IF(ISERROR(Data!D72),"",Data!D72)</f>
        <v/>
      </c>
      <c r="E75" s="2" t="str">
        <f>IF(F75&lt;&gt;"",IF(ISERROR(XS_Analyzer_Calculations!AH75),"",XS_Analyzer_Calculations!AH75),"")</f>
        <v/>
      </c>
      <c r="F75" s="2" t="str">
        <f>IF(IF(ISERROR(XS_Analyzer_Calculations!AF75),"",XS_Analyzer_Calculations!AF75)&lt;&gt;MAX($F$4:$F74),IF(ISERROR(XS_Analyzer_Calculations!AF75),"",XS_Analyzer_Calculations!AF75),"")</f>
        <v/>
      </c>
      <c r="G75" s="44" t="str">
        <f>IF(F75&lt;&gt;"",IF(ISERROR(XS_Analyzer_Calculations!W75),"",XS_Analyzer_Calculations!W75),"")</f>
        <v/>
      </c>
      <c r="H75" s="2" t="str">
        <f>IF(ISERROR(XS_Analyzer_Calculations!AE75),"",XS_Analyzer_Calculations!AE75)</f>
        <v/>
      </c>
      <c r="I75" s="44" t="str">
        <f>IF(ISERROR(XS_Analyzer_Calculations!W75),"",XS_Analyzer_Calculations!W75)</f>
        <v/>
      </c>
      <c r="J75" s="44" t="str">
        <f>IF(K75&lt;&gt;"",IF(ISERROR(XS_Analyzer_Calculations!AL75:AL175),"",XS_Analyzer_Calculations!AL75:AL175),"")</f>
        <v/>
      </c>
      <c r="K75" s="29" t="str">
        <f>IF(IF(ISERROR(XS_Analyzer_Calculations!AJ75:AJ175),"",XS_Analyzer_Calculations!AJ75:AJ175)&lt;&gt;MAX($K$4:$K74),IF(ISERROR(XS_Analyzer_Calculations!AJ75:AJ175),"",XS_Analyzer_Calculations!AJ75:AJ175),"")</f>
        <v/>
      </c>
      <c r="L75" s="58" t="str">
        <f>IF(K75&lt;&gt;"",IF(ISERROR(XS_Analyzer_Calculations!X75:X175),"",XS_Analyzer_Calculations!X75:X175),"")</f>
        <v/>
      </c>
      <c r="M75" s="29" t="str">
        <f>IF(ISERROR(XS_Analyzer_Calculations!AI75:AI175),"",XS_Analyzer_Calculations!AI75:AI175)</f>
        <v/>
      </c>
      <c r="N75" s="29" t="str">
        <f>IF(ISERROR(XS_Analyzer_Calculations!X75:X175),"",XS_Analyzer_Calculations!X75:X175)</f>
        <v/>
      </c>
      <c r="X75" s="29" t="str">
        <f>IF(OR(ISERROR(XS_Analyzer_Calculations!BG74),B75="",ISERROR(XS_Analyzer_Calculations!BN74)),"",XS_Analyzer_Calculations!BN74)</f>
        <v/>
      </c>
      <c r="Y75" s="29" t="str">
        <f>IF(OR(ISERROR(XS_Analyzer_Calculations!BG74),X75=""),"",XS_Analyzer_Calculations!BH74)</f>
        <v/>
      </c>
      <c r="Z75" s="29" t="str">
        <f>IF(OR(ISERROR(XS_Analyzer_Calculations!BG74),X75=""),"",XS_Analyzer_Calculations!$O$18)</f>
        <v/>
      </c>
      <c r="AB75" s="34">
        <f>IFERROR(XS_AnalyzerSummary!AK73,0)</f>
        <v>4.149999999999995</v>
      </c>
      <c r="AC75" s="34">
        <f>IFERROR(XS_AnalyzerSummary!AV73,0)</f>
        <v>3.4102035218231461</v>
      </c>
      <c r="AD75" s="34">
        <f>IFERROR(XS_AnalyzerSummary!AK73,0)</f>
        <v>4.149999999999995</v>
      </c>
      <c r="AE75" s="34">
        <f>IFERROR(XS_AnalyzerSummary!AW73,0)</f>
        <v>2.169335999999991</v>
      </c>
      <c r="AF75" s="34">
        <f>IFERROR(XS_AnalyzerSummary!AK73,0)</f>
        <v>4.149999999999995</v>
      </c>
      <c r="AG75" s="34">
        <f>IFERROR(XS_AnalyzerSummary!BF73,0)</f>
        <v>8.7148204203202901</v>
      </c>
    </row>
    <row r="76" spans="2:33">
      <c r="B76" s="29" t="str">
        <f>IF(ISERROR(XS_Analyzer_Calculations!B76),"",XS_Analyzer_Calculations!B76)</f>
        <v/>
      </c>
      <c r="C76" s="29" t="str">
        <f>IF(ISERROR(XS_Analyzer_Calculations!C76),"",XS_Analyzer_Calculations!C76)</f>
        <v/>
      </c>
      <c r="D76" s="29" t="str">
        <f>IF(ISERROR(Data!D73),"",Data!D73)</f>
        <v/>
      </c>
      <c r="E76" s="2" t="str">
        <f>IF(F76&lt;&gt;"",IF(ISERROR(XS_Analyzer_Calculations!AH76),"",XS_Analyzer_Calculations!AH76),"")</f>
        <v/>
      </c>
      <c r="F76" s="2" t="str">
        <f>IF(IF(ISERROR(XS_Analyzer_Calculations!AF76),"",XS_Analyzer_Calculations!AF76)&lt;&gt;MAX($F$4:$F75),IF(ISERROR(XS_Analyzer_Calculations!AF76),"",XS_Analyzer_Calculations!AF76),"")</f>
        <v/>
      </c>
      <c r="G76" s="44" t="str">
        <f>IF(F76&lt;&gt;"",IF(ISERROR(XS_Analyzer_Calculations!W76),"",XS_Analyzer_Calculations!W76),"")</f>
        <v/>
      </c>
      <c r="H76" s="2" t="str">
        <f>IF(ISERROR(XS_Analyzer_Calculations!AE76),"",XS_Analyzer_Calculations!AE76)</f>
        <v/>
      </c>
      <c r="I76" s="44" t="str">
        <f>IF(ISERROR(XS_Analyzer_Calculations!W76),"",XS_Analyzer_Calculations!W76)</f>
        <v/>
      </c>
      <c r="J76" s="44" t="str">
        <f>IF(K76&lt;&gt;"",IF(ISERROR(XS_Analyzer_Calculations!AL76:AL176),"",XS_Analyzer_Calculations!AL76:AL176),"")</f>
        <v/>
      </c>
      <c r="K76" s="29" t="str">
        <f>IF(IF(ISERROR(XS_Analyzer_Calculations!AJ76:AJ176),"",XS_Analyzer_Calculations!AJ76:AJ176)&lt;&gt;MAX($K$4:$K75),IF(ISERROR(XS_Analyzer_Calculations!AJ76:AJ176),"",XS_Analyzer_Calculations!AJ76:AJ176),"")</f>
        <v/>
      </c>
      <c r="L76" s="58" t="str">
        <f>IF(K76&lt;&gt;"",IF(ISERROR(XS_Analyzer_Calculations!X76:X176),"",XS_Analyzer_Calculations!X76:X176),"")</f>
        <v/>
      </c>
      <c r="M76" s="29" t="str">
        <f>IF(ISERROR(XS_Analyzer_Calculations!AI76:AI176),"",XS_Analyzer_Calculations!AI76:AI176)</f>
        <v/>
      </c>
      <c r="N76" s="29" t="str">
        <f>IF(ISERROR(XS_Analyzer_Calculations!X76:X176),"",XS_Analyzer_Calculations!X76:X176)</f>
        <v/>
      </c>
      <c r="X76" s="29" t="str">
        <f>IF(OR(ISERROR(XS_Analyzer_Calculations!BG75),B76="",ISERROR(XS_Analyzer_Calculations!BN75)),"",XS_Analyzer_Calculations!BN75)</f>
        <v/>
      </c>
      <c r="Y76" s="29" t="str">
        <f>IF(OR(ISERROR(XS_Analyzer_Calculations!BG75),X76=""),"",XS_Analyzer_Calculations!BH75)</f>
        <v/>
      </c>
      <c r="Z76" s="29" t="str">
        <f>IF(OR(ISERROR(XS_Analyzer_Calculations!BG75),X76=""),"",XS_Analyzer_Calculations!$O$18)</f>
        <v/>
      </c>
      <c r="AB76" s="34">
        <f>IFERROR(XS_AnalyzerSummary!AK74,0)</f>
        <v>4.194999999999995</v>
      </c>
      <c r="AC76" s="34">
        <f>IFERROR(XS_AnalyzerSummary!AV74,0)</f>
        <v>3.4278374873280177</v>
      </c>
      <c r="AD76" s="34">
        <f>IFERROR(XS_AnalyzerSummary!AK74,0)</f>
        <v>4.194999999999995</v>
      </c>
      <c r="AE76" s="34">
        <f>IFERROR(XS_AnalyzerSummary!AW74,0)</f>
        <v>2.1861839999999906</v>
      </c>
      <c r="AF76" s="34">
        <f>IFERROR(XS_AnalyzerSummary!AK74,0)</f>
        <v>4.194999999999995</v>
      </c>
      <c r="AG76" s="34">
        <f>IFERROR(XS_AnalyzerSummary!BF74,0)</f>
        <v>8.7850847449864329</v>
      </c>
    </row>
    <row r="77" spans="2:33">
      <c r="B77" s="29" t="str">
        <f>IF(ISERROR(XS_Analyzer_Calculations!B77),"",XS_Analyzer_Calculations!B77)</f>
        <v/>
      </c>
      <c r="C77" s="29" t="str">
        <f>IF(ISERROR(XS_Analyzer_Calculations!C77),"",XS_Analyzer_Calculations!C77)</f>
        <v/>
      </c>
      <c r="D77" s="29" t="str">
        <f>IF(ISERROR(Data!D74),"",Data!D74)</f>
        <v/>
      </c>
      <c r="E77" s="2" t="str">
        <f>IF(F77&lt;&gt;"",IF(ISERROR(XS_Analyzer_Calculations!AH77),"",XS_Analyzer_Calculations!AH77),"")</f>
        <v/>
      </c>
      <c r="F77" s="2" t="str">
        <f>IF(IF(ISERROR(XS_Analyzer_Calculations!AF77),"",XS_Analyzer_Calculations!AF77)&lt;&gt;MAX($F$4:$F76),IF(ISERROR(XS_Analyzer_Calculations!AF77),"",XS_Analyzer_Calculations!AF77),"")</f>
        <v/>
      </c>
      <c r="G77" s="44" t="str">
        <f>IF(F77&lt;&gt;"",IF(ISERROR(XS_Analyzer_Calculations!W77),"",XS_Analyzer_Calculations!W77),"")</f>
        <v/>
      </c>
      <c r="H77" s="2" t="str">
        <f>IF(ISERROR(XS_Analyzer_Calculations!AE77),"",XS_Analyzer_Calculations!AE77)</f>
        <v/>
      </c>
      <c r="I77" s="44" t="str">
        <f>IF(ISERROR(XS_Analyzer_Calculations!W77),"",XS_Analyzer_Calculations!W77)</f>
        <v/>
      </c>
      <c r="J77" s="44" t="str">
        <f>IF(K77&lt;&gt;"",IF(ISERROR(XS_Analyzer_Calculations!AL77:AL177),"",XS_Analyzer_Calculations!AL77:AL177),"")</f>
        <v/>
      </c>
      <c r="K77" s="29" t="str">
        <f>IF(IF(ISERROR(XS_Analyzer_Calculations!AJ77:AJ177),"",XS_Analyzer_Calculations!AJ77:AJ177)&lt;&gt;MAX($K$4:$K76),IF(ISERROR(XS_Analyzer_Calculations!AJ77:AJ177),"",XS_Analyzer_Calculations!AJ77:AJ177),"")</f>
        <v/>
      </c>
      <c r="L77" s="58" t="str">
        <f>IF(K77&lt;&gt;"",IF(ISERROR(XS_Analyzer_Calculations!X77:X177),"",XS_Analyzer_Calculations!X77:X177),"")</f>
        <v/>
      </c>
      <c r="M77" s="29" t="str">
        <f>IF(ISERROR(XS_Analyzer_Calculations!AI77:AI177),"",XS_Analyzer_Calculations!AI77:AI177)</f>
        <v/>
      </c>
      <c r="N77" s="29" t="str">
        <f>IF(ISERROR(XS_Analyzer_Calculations!X77:X177),"",XS_Analyzer_Calculations!X77:X177)</f>
        <v/>
      </c>
      <c r="X77" s="29" t="str">
        <f>IF(OR(ISERROR(XS_Analyzer_Calculations!BG76),B77="",ISERROR(XS_Analyzer_Calculations!BN76)),"",XS_Analyzer_Calculations!BN76)</f>
        <v/>
      </c>
      <c r="Y77" s="29" t="str">
        <f>IF(OR(ISERROR(XS_Analyzer_Calculations!BG76),X77=""),"",XS_Analyzer_Calculations!BH76)</f>
        <v/>
      </c>
      <c r="Z77" s="29" t="str">
        <f>IF(OR(ISERROR(XS_Analyzer_Calculations!BG76),X77=""),"",XS_Analyzer_Calculations!$O$18)</f>
        <v/>
      </c>
      <c r="AB77" s="34">
        <f>IFERROR(XS_AnalyzerSummary!AK75,0)</f>
        <v>4.2399999999999949</v>
      </c>
      <c r="AC77" s="34">
        <f>IFERROR(XS_AnalyzerSummary!AV75,0)</f>
        <v>3.4454262112613994</v>
      </c>
      <c r="AD77" s="34">
        <f>IFERROR(XS_AnalyzerSummary!AK75,0)</f>
        <v>4.2399999999999949</v>
      </c>
      <c r="AE77" s="34">
        <f>IFERROR(XS_AnalyzerSummary!AW75,0)</f>
        <v>2.2030320000000119</v>
      </c>
      <c r="AF77" s="34">
        <f>IFERROR(XS_AnalyzerSummary!AK75,0)</f>
        <v>4.2399999999999949</v>
      </c>
      <c r="AG77" s="34">
        <f>IFERROR(XS_AnalyzerSummary!BF75,0)</f>
        <v>8.8553717291230782</v>
      </c>
    </row>
    <row r="78" spans="2:33">
      <c r="B78" s="29" t="str">
        <f>IF(ISERROR(XS_Analyzer_Calculations!B78),"",XS_Analyzer_Calculations!B78)</f>
        <v/>
      </c>
      <c r="C78" s="29" t="str">
        <f>IF(ISERROR(XS_Analyzer_Calculations!C78),"",XS_Analyzer_Calculations!C78)</f>
        <v/>
      </c>
      <c r="D78" s="29" t="str">
        <f>IF(ISERROR(Data!D75),"",Data!D75)</f>
        <v/>
      </c>
      <c r="E78" s="2" t="str">
        <f>IF(F78&lt;&gt;"",IF(ISERROR(XS_Analyzer_Calculations!AH78),"",XS_Analyzer_Calculations!AH78),"")</f>
        <v/>
      </c>
      <c r="F78" s="2" t="str">
        <f>IF(IF(ISERROR(XS_Analyzer_Calculations!AF78),"",XS_Analyzer_Calculations!AF78)&lt;&gt;MAX($F$4:$F77),IF(ISERROR(XS_Analyzer_Calculations!AF78),"",XS_Analyzer_Calculations!AF78),"")</f>
        <v/>
      </c>
      <c r="G78" s="44" t="str">
        <f>IF(F78&lt;&gt;"",IF(ISERROR(XS_Analyzer_Calculations!W78),"",XS_Analyzer_Calculations!W78),"")</f>
        <v/>
      </c>
      <c r="H78" s="2" t="str">
        <f>IF(ISERROR(XS_Analyzer_Calculations!AE78),"",XS_Analyzer_Calculations!AE78)</f>
        <v/>
      </c>
      <c r="I78" s="44" t="str">
        <f>IF(ISERROR(XS_Analyzer_Calculations!W78),"",XS_Analyzer_Calculations!W78)</f>
        <v/>
      </c>
      <c r="J78" s="44" t="str">
        <f>IF(K78&lt;&gt;"",IF(ISERROR(XS_Analyzer_Calculations!AL78:AL178),"",XS_Analyzer_Calculations!AL78:AL178),"")</f>
        <v/>
      </c>
      <c r="K78" s="29" t="str">
        <f>IF(IF(ISERROR(XS_Analyzer_Calculations!AJ78:AJ178),"",XS_Analyzer_Calculations!AJ78:AJ178)&lt;&gt;MAX($K$4:$K77),IF(ISERROR(XS_Analyzer_Calculations!AJ78:AJ178),"",XS_Analyzer_Calculations!AJ78:AJ178),"")</f>
        <v/>
      </c>
      <c r="L78" s="58" t="str">
        <f>IF(K78&lt;&gt;"",IF(ISERROR(XS_Analyzer_Calculations!X78:X178),"",XS_Analyzer_Calculations!X78:X178),"")</f>
        <v/>
      </c>
      <c r="M78" s="29" t="str">
        <f>IF(ISERROR(XS_Analyzer_Calculations!AI78:AI178),"",XS_Analyzer_Calculations!AI78:AI178)</f>
        <v/>
      </c>
      <c r="N78" s="29" t="str">
        <f>IF(ISERROR(XS_Analyzer_Calculations!X78:X178),"",XS_Analyzer_Calculations!X78:X178)</f>
        <v/>
      </c>
      <c r="X78" s="29" t="str">
        <f>IF(OR(ISERROR(XS_Analyzer_Calculations!BG77),B78="",ISERROR(XS_Analyzer_Calculations!BN77)),"",XS_Analyzer_Calculations!BN77)</f>
        <v/>
      </c>
      <c r="Y78" s="29" t="str">
        <f>IF(OR(ISERROR(XS_Analyzer_Calculations!BG77),X78=""),"",XS_Analyzer_Calculations!BH77)</f>
        <v/>
      </c>
      <c r="Z78" s="29" t="str">
        <f>IF(OR(ISERROR(XS_Analyzer_Calculations!BG77),X78=""),"",XS_Analyzer_Calculations!$O$18)</f>
        <v/>
      </c>
      <c r="AB78" s="34">
        <f>IFERROR(XS_AnalyzerSummary!AK76,0)</f>
        <v>4.2849999999999948</v>
      </c>
      <c r="AC78" s="34">
        <f>IFERROR(XS_AnalyzerSummary!AV76,0)</f>
        <v>3.462970154366539</v>
      </c>
      <c r="AD78" s="34">
        <f>IFERROR(XS_AnalyzerSummary!AK76,0)</f>
        <v>4.2849999999999948</v>
      </c>
      <c r="AE78" s="34">
        <f>IFERROR(XS_AnalyzerSummary!AW76,0)</f>
        <v>2.2198800000000118</v>
      </c>
      <c r="AF78" s="34">
        <f>IFERROR(XS_AnalyzerSummary!AK76,0)</f>
        <v>4.2849999999999948</v>
      </c>
      <c r="AG78" s="34">
        <f>IFERROR(XS_AnalyzerSummary!BF76,0)</f>
        <v>8.9256812073196716</v>
      </c>
    </row>
    <row r="79" spans="2:33">
      <c r="B79" s="29" t="str">
        <f>IF(ISERROR(XS_Analyzer_Calculations!B79),"",XS_Analyzer_Calculations!B79)</f>
        <v/>
      </c>
      <c r="C79" s="29" t="str">
        <f>IF(ISERROR(XS_Analyzer_Calculations!C79),"",XS_Analyzer_Calculations!C79)</f>
        <v/>
      </c>
      <c r="D79" s="29" t="str">
        <f>IF(ISERROR(Data!D76),"",Data!D76)</f>
        <v/>
      </c>
      <c r="E79" s="2" t="str">
        <f>IF(F79&lt;&gt;"",IF(ISERROR(XS_Analyzer_Calculations!AH79),"",XS_Analyzer_Calculations!AH79),"")</f>
        <v/>
      </c>
      <c r="F79" s="2" t="str">
        <f>IF(IF(ISERROR(XS_Analyzer_Calculations!AF79),"",XS_Analyzer_Calculations!AF79)&lt;&gt;MAX($F$4:$F78),IF(ISERROR(XS_Analyzer_Calculations!AF79),"",XS_Analyzer_Calculations!AF79),"")</f>
        <v/>
      </c>
      <c r="G79" s="44" t="str">
        <f>IF(F79&lt;&gt;"",IF(ISERROR(XS_Analyzer_Calculations!W79),"",XS_Analyzer_Calculations!W79),"")</f>
        <v/>
      </c>
      <c r="H79" s="2" t="str">
        <f>IF(ISERROR(XS_Analyzer_Calculations!AE79),"",XS_Analyzer_Calculations!AE79)</f>
        <v/>
      </c>
      <c r="I79" s="44" t="str">
        <f>IF(ISERROR(XS_Analyzer_Calculations!W79),"",XS_Analyzer_Calculations!W79)</f>
        <v/>
      </c>
      <c r="J79" s="44" t="str">
        <f>IF(K79&lt;&gt;"",IF(ISERROR(XS_Analyzer_Calculations!AL79:AL179),"",XS_Analyzer_Calculations!AL79:AL179),"")</f>
        <v/>
      </c>
      <c r="K79" s="29" t="str">
        <f>IF(IF(ISERROR(XS_Analyzer_Calculations!AJ79:AJ179),"",XS_Analyzer_Calculations!AJ79:AJ179)&lt;&gt;MAX($K$4:$K78),IF(ISERROR(XS_Analyzer_Calculations!AJ79:AJ179),"",XS_Analyzer_Calculations!AJ79:AJ179),"")</f>
        <v/>
      </c>
      <c r="L79" s="58" t="str">
        <f>IF(K79&lt;&gt;"",IF(ISERROR(XS_Analyzer_Calculations!X79:X179),"",XS_Analyzer_Calculations!X79:X179),"")</f>
        <v/>
      </c>
      <c r="M79" s="29" t="str">
        <f>IF(ISERROR(XS_Analyzer_Calculations!AI79:AI179),"",XS_Analyzer_Calculations!AI79:AI179)</f>
        <v/>
      </c>
      <c r="N79" s="29" t="str">
        <f>IF(ISERROR(XS_Analyzer_Calculations!X79:X179),"",XS_Analyzer_Calculations!X79:X179)</f>
        <v/>
      </c>
      <c r="X79" s="29" t="str">
        <f>IF(OR(ISERROR(XS_Analyzer_Calculations!BG78),B79="",ISERROR(XS_Analyzer_Calculations!BN78)),"",XS_Analyzer_Calculations!BN78)</f>
        <v/>
      </c>
      <c r="Y79" s="29" t="str">
        <f>IF(OR(ISERROR(XS_Analyzer_Calculations!BG78),X79=""),"",XS_Analyzer_Calculations!BH78)</f>
        <v/>
      </c>
      <c r="Z79" s="29" t="str">
        <f>IF(OR(ISERROR(XS_Analyzer_Calculations!BG78),X79=""),"",XS_Analyzer_Calculations!$O$18)</f>
        <v/>
      </c>
      <c r="AB79" s="34">
        <f>IFERROR(XS_AnalyzerSummary!AK77,0)</f>
        <v>4.3299999999999947</v>
      </c>
      <c r="AC79" s="34">
        <f>IFERROR(XS_AnalyzerSummary!AV77,0)</f>
        <v>3.4804697692374789</v>
      </c>
      <c r="AD79" s="34">
        <f>IFERROR(XS_AnalyzerSummary!AK77,0)</f>
        <v>4.3299999999999947</v>
      </c>
      <c r="AE79" s="34">
        <f>IFERROR(XS_AnalyzerSummary!AW77,0)</f>
        <v>2.2367279999999905</v>
      </c>
      <c r="AF79" s="34">
        <f>IFERROR(XS_AnalyzerSummary!AK77,0)</f>
        <v>4.3299999999999947</v>
      </c>
      <c r="AG79" s="34">
        <f>IFERROR(XS_AnalyzerSummary!BF77,0)</f>
        <v>8.9960130166148922</v>
      </c>
    </row>
    <row r="80" spans="2:33">
      <c r="B80" s="29" t="str">
        <f>IF(ISERROR(XS_Analyzer_Calculations!B80),"",XS_Analyzer_Calculations!B80)</f>
        <v/>
      </c>
      <c r="C80" s="29" t="str">
        <f>IF(ISERROR(XS_Analyzer_Calculations!C80),"",XS_Analyzer_Calculations!C80)</f>
        <v/>
      </c>
      <c r="D80" s="29" t="str">
        <f>IF(ISERROR(Data!D77),"",Data!D77)</f>
        <v/>
      </c>
      <c r="E80" s="2" t="str">
        <f>IF(F80&lt;&gt;"",IF(ISERROR(XS_Analyzer_Calculations!AH80),"",XS_Analyzer_Calculations!AH80),"")</f>
        <v/>
      </c>
      <c r="F80" s="2" t="str">
        <f>IF(IF(ISERROR(XS_Analyzer_Calculations!AF80),"",XS_Analyzer_Calculations!AF80)&lt;&gt;MAX($F$4:$F79),IF(ISERROR(XS_Analyzer_Calculations!AF80),"",XS_Analyzer_Calculations!AF80),"")</f>
        <v/>
      </c>
      <c r="G80" s="44" t="str">
        <f>IF(F80&lt;&gt;"",IF(ISERROR(XS_Analyzer_Calculations!W80),"",XS_Analyzer_Calculations!W80),"")</f>
        <v/>
      </c>
      <c r="H80" s="2" t="str">
        <f>IF(ISERROR(XS_Analyzer_Calculations!AE80),"",XS_Analyzer_Calculations!AE80)</f>
        <v/>
      </c>
      <c r="I80" s="44" t="str">
        <f>IF(ISERROR(XS_Analyzer_Calculations!W80),"",XS_Analyzer_Calculations!W80)</f>
        <v/>
      </c>
      <c r="J80" s="44" t="str">
        <f>IF(K80&lt;&gt;"",IF(ISERROR(XS_Analyzer_Calculations!AL80:AL180),"",XS_Analyzer_Calculations!AL80:AL180),"")</f>
        <v/>
      </c>
      <c r="K80" s="29" t="str">
        <f>IF(IF(ISERROR(XS_Analyzer_Calculations!AJ80:AJ180),"",XS_Analyzer_Calculations!AJ80:AJ180)&lt;&gt;MAX($K$4:$K79),IF(ISERROR(XS_Analyzer_Calculations!AJ80:AJ180),"",XS_Analyzer_Calculations!AJ80:AJ180),"")</f>
        <v/>
      </c>
      <c r="L80" s="58" t="str">
        <f>IF(K80&lt;&gt;"",IF(ISERROR(XS_Analyzer_Calculations!X80:X180),"",XS_Analyzer_Calculations!X80:X180),"")</f>
        <v/>
      </c>
      <c r="M80" s="29" t="str">
        <f>IF(ISERROR(XS_Analyzer_Calculations!AI80:AI180),"",XS_Analyzer_Calculations!AI80:AI180)</f>
        <v/>
      </c>
      <c r="N80" s="29" t="str">
        <f>IF(ISERROR(XS_Analyzer_Calculations!X80:X180),"",XS_Analyzer_Calculations!X80:X180)</f>
        <v/>
      </c>
      <c r="X80" s="29" t="str">
        <f>IF(OR(ISERROR(XS_Analyzer_Calculations!BG79),B80="",ISERROR(XS_Analyzer_Calculations!BN79)),"",XS_Analyzer_Calculations!BN79)</f>
        <v/>
      </c>
      <c r="Y80" s="29" t="str">
        <f>IF(OR(ISERROR(XS_Analyzer_Calculations!BG79),X80=""),"",XS_Analyzer_Calculations!BH79)</f>
        <v/>
      </c>
      <c r="Z80" s="29" t="str">
        <f>IF(OR(ISERROR(XS_Analyzer_Calculations!BG79),X80=""),"",XS_Analyzer_Calculations!$O$18)</f>
        <v/>
      </c>
      <c r="AB80" s="34">
        <f>IFERROR(XS_AnalyzerSummary!AK78,0)</f>
        <v>4.3749999999999947</v>
      </c>
      <c r="AC80" s="34">
        <f>IFERROR(XS_AnalyzerSummary!AV78,0)</f>
        <v>3.4979255005234262</v>
      </c>
      <c r="AD80" s="34">
        <f>IFERROR(XS_AnalyzerSummary!AK78,0)</f>
        <v>4.3749999999999947</v>
      </c>
      <c r="AE80" s="34">
        <f>IFERROR(XS_AnalyzerSummary!AW78,0)</f>
        <v>2.2535759999999905</v>
      </c>
      <c r="AF80" s="34">
        <f>IFERROR(XS_AnalyzerSummary!AK78,0)</f>
        <v>4.3749999999999947</v>
      </c>
      <c r="AG80" s="34">
        <f>IFERROR(XS_AnalyzerSummary!BF78,0)</f>
        <v>9.0663669964422748</v>
      </c>
    </row>
    <row r="81" spans="2:33">
      <c r="B81" s="29" t="str">
        <f>IF(ISERROR(XS_Analyzer_Calculations!B81),"",XS_Analyzer_Calculations!B81)</f>
        <v/>
      </c>
      <c r="C81" s="29" t="str">
        <f>IF(ISERROR(XS_Analyzer_Calculations!C81),"",XS_Analyzer_Calculations!C81)</f>
        <v/>
      </c>
      <c r="D81" s="29" t="str">
        <f>IF(ISERROR(Data!D78),"",Data!D78)</f>
        <v/>
      </c>
      <c r="E81" s="2" t="str">
        <f>IF(F81&lt;&gt;"",IF(ISERROR(XS_Analyzer_Calculations!AH81),"",XS_Analyzer_Calculations!AH81),"")</f>
        <v/>
      </c>
      <c r="F81" s="2" t="str">
        <f>IF(IF(ISERROR(XS_Analyzer_Calculations!AF81),"",XS_Analyzer_Calculations!AF81)&lt;&gt;MAX($F$4:$F80),IF(ISERROR(XS_Analyzer_Calculations!AF81),"",XS_Analyzer_Calculations!AF81),"")</f>
        <v/>
      </c>
      <c r="G81" s="44" t="str">
        <f>IF(F81&lt;&gt;"",IF(ISERROR(XS_Analyzer_Calculations!W81),"",XS_Analyzer_Calculations!W81),"")</f>
        <v/>
      </c>
      <c r="H81" s="2" t="str">
        <f>IF(ISERROR(XS_Analyzer_Calculations!AE81),"",XS_Analyzer_Calculations!AE81)</f>
        <v/>
      </c>
      <c r="I81" s="44" t="str">
        <f>IF(ISERROR(XS_Analyzer_Calculations!W81),"",XS_Analyzer_Calculations!W81)</f>
        <v/>
      </c>
      <c r="J81" s="44" t="str">
        <f>IF(K81&lt;&gt;"",IF(ISERROR(XS_Analyzer_Calculations!AL81:AL181),"",XS_Analyzer_Calculations!AL81:AL181),"")</f>
        <v/>
      </c>
      <c r="K81" s="29" t="str">
        <f>IF(IF(ISERROR(XS_Analyzer_Calculations!AJ81:AJ181),"",XS_Analyzer_Calculations!AJ81:AJ181)&lt;&gt;MAX($K$4:$K80),IF(ISERROR(XS_Analyzer_Calculations!AJ81:AJ181),"",XS_Analyzer_Calculations!AJ81:AJ181),"")</f>
        <v/>
      </c>
      <c r="L81" s="58" t="str">
        <f>IF(K81&lt;&gt;"",IF(ISERROR(XS_Analyzer_Calculations!X81:X181),"",XS_Analyzer_Calculations!X81:X181),"")</f>
        <v/>
      </c>
      <c r="M81" s="29" t="str">
        <f>IF(ISERROR(XS_Analyzer_Calculations!AI81:AI181),"",XS_Analyzer_Calculations!AI81:AI181)</f>
        <v/>
      </c>
      <c r="N81" s="29" t="str">
        <f>IF(ISERROR(XS_Analyzer_Calculations!X81:X181),"",XS_Analyzer_Calculations!X81:X181)</f>
        <v/>
      </c>
      <c r="X81" s="29" t="str">
        <f>IF(OR(ISERROR(XS_Analyzer_Calculations!BG80),B81="",ISERROR(XS_Analyzer_Calculations!BN80)),"",XS_Analyzer_Calculations!BN80)</f>
        <v/>
      </c>
      <c r="Y81" s="29" t="str">
        <f>IF(OR(ISERROR(XS_Analyzer_Calculations!BG80),X81=""),"",XS_Analyzer_Calculations!BH80)</f>
        <v/>
      </c>
      <c r="Z81" s="29" t="str">
        <f>IF(OR(ISERROR(XS_Analyzer_Calculations!BG80),X81=""),"",XS_Analyzer_Calculations!$O$18)</f>
        <v/>
      </c>
      <c r="AB81" s="34">
        <f>IFERROR(XS_AnalyzerSummary!AK79,0)</f>
        <v>4.4199999999999946</v>
      </c>
      <c r="AC81" s="34">
        <f>IFERROR(XS_AnalyzerSummary!AV79,0)</f>
        <v>3.515337785126416</v>
      </c>
      <c r="AD81" s="34">
        <f>IFERROR(XS_AnalyzerSummary!AK79,0)</f>
        <v>4.4199999999999946</v>
      </c>
      <c r="AE81" s="34">
        <f>IFERROR(XS_AnalyzerSummary!AW79,0)</f>
        <v>2.2704240000000122</v>
      </c>
      <c r="AF81" s="34">
        <f>IFERROR(XS_AnalyzerSummary!AK79,0)</f>
        <v>4.4199999999999946</v>
      </c>
      <c r="AG81" s="34">
        <f>IFERROR(XS_AnalyzerSummary!BF79,0)</f>
        <v>9.1367429885774545</v>
      </c>
    </row>
    <row r="82" spans="2:33">
      <c r="B82" s="29" t="str">
        <f>IF(ISERROR(XS_Analyzer_Calculations!B82),"",XS_Analyzer_Calculations!B82)</f>
        <v/>
      </c>
      <c r="C82" s="29" t="str">
        <f>IF(ISERROR(XS_Analyzer_Calculations!C82),"",XS_Analyzer_Calculations!C82)</f>
        <v/>
      </c>
      <c r="D82" s="29" t="str">
        <f>IF(ISERROR(Data!D79),"",Data!D79)</f>
        <v/>
      </c>
      <c r="E82" s="2" t="str">
        <f>IF(F82&lt;&gt;"",IF(ISERROR(XS_Analyzer_Calculations!AH82),"",XS_Analyzer_Calculations!AH82),"")</f>
        <v/>
      </c>
      <c r="F82" s="2" t="str">
        <f>IF(IF(ISERROR(XS_Analyzer_Calculations!AF82),"",XS_Analyzer_Calculations!AF82)&lt;&gt;MAX($F$4:$F81),IF(ISERROR(XS_Analyzer_Calculations!AF82),"",XS_Analyzer_Calculations!AF82),"")</f>
        <v/>
      </c>
      <c r="G82" s="44" t="str">
        <f>IF(F82&lt;&gt;"",IF(ISERROR(XS_Analyzer_Calculations!W82),"",XS_Analyzer_Calculations!W82),"")</f>
        <v/>
      </c>
      <c r="H82" s="2" t="str">
        <f>IF(ISERROR(XS_Analyzer_Calculations!AE82),"",XS_Analyzer_Calculations!AE82)</f>
        <v/>
      </c>
      <c r="I82" s="44" t="str">
        <f>IF(ISERROR(XS_Analyzer_Calculations!W82),"",XS_Analyzer_Calculations!W82)</f>
        <v/>
      </c>
      <c r="J82" s="44" t="str">
        <f>IF(K82&lt;&gt;"",IF(ISERROR(XS_Analyzer_Calculations!AL82:AL182),"",XS_Analyzer_Calculations!AL82:AL182),"")</f>
        <v/>
      </c>
      <c r="K82" s="29" t="str">
        <f>IF(IF(ISERROR(XS_Analyzer_Calculations!AJ82:AJ182),"",XS_Analyzer_Calculations!AJ82:AJ182)&lt;&gt;MAX($K$4:$K81),IF(ISERROR(XS_Analyzer_Calculations!AJ82:AJ182),"",XS_Analyzer_Calculations!AJ82:AJ182),"")</f>
        <v/>
      </c>
      <c r="L82" s="58" t="str">
        <f>IF(K82&lt;&gt;"",IF(ISERROR(XS_Analyzer_Calculations!X82:X182),"",XS_Analyzer_Calculations!X82:X182),"")</f>
        <v/>
      </c>
      <c r="M82" s="29" t="str">
        <f>IF(ISERROR(XS_Analyzer_Calculations!AI82:AI182),"",XS_Analyzer_Calculations!AI82:AI182)</f>
        <v/>
      </c>
      <c r="N82" s="29" t="str">
        <f>IF(ISERROR(XS_Analyzer_Calculations!X82:X182),"",XS_Analyzer_Calculations!X82:X182)</f>
        <v/>
      </c>
      <c r="X82" s="29" t="str">
        <f>IF(OR(ISERROR(XS_Analyzer_Calculations!BG81),B82="",ISERROR(XS_Analyzer_Calculations!BN81)),"",XS_Analyzer_Calculations!BN81)</f>
        <v/>
      </c>
      <c r="Y82" s="29" t="str">
        <f>IF(OR(ISERROR(XS_Analyzer_Calculations!BG81),X82=""),"",XS_Analyzer_Calculations!BH81)</f>
        <v/>
      </c>
      <c r="Z82" s="29" t="str">
        <f>IF(OR(ISERROR(XS_Analyzer_Calculations!BG81),X82=""),"",XS_Analyzer_Calculations!$O$18)</f>
        <v/>
      </c>
      <c r="AB82" s="34">
        <f>IFERROR(XS_AnalyzerSummary!AK80,0)</f>
        <v>4.4649999999999945</v>
      </c>
      <c r="AC82" s="34">
        <f>IFERROR(XS_AnalyzerSummary!AV80,0)</f>
        <v>3.532707052392702</v>
      </c>
      <c r="AD82" s="34">
        <f>IFERROR(XS_AnalyzerSummary!AK80,0)</f>
        <v>4.4649999999999945</v>
      </c>
      <c r="AE82" s="34">
        <f>IFERROR(XS_AnalyzerSummary!AW80,0)</f>
        <v>2.2872720000000122</v>
      </c>
      <c r="AF82" s="34">
        <f>IFERROR(XS_AnalyzerSummary!AK80,0)</f>
        <v>4.4649999999999945</v>
      </c>
      <c r="AG82" s="34">
        <f>IFERROR(XS_AnalyzerSummary!BF80,0)</f>
        <v>9.2071408370869179</v>
      </c>
    </row>
    <row r="83" spans="2:33">
      <c r="B83" s="29" t="str">
        <f>IF(ISERROR(XS_Analyzer_Calculations!B83),"",XS_Analyzer_Calculations!B83)</f>
        <v/>
      </c>
      <c r="C83" s="29" t="str">
        <f>IF(ISERROR(XS_Analyzer_Calculations!C83),"",XS_Analyzer_Calculations!C83)</f>
        <v/>
      </c>
      <c r="D83" s="29" t="str">
        <f>IF(ISERROR(Data!D80),"",Data!D80)</f>
        <v/>
      </c>
      <c r="E83" s="2" t="str">
        <f>IF(F83&lt;&gt;"",IF(ISERROR(XS_Analyzer_Calculations!AH83),"",XS_Analyzer_Calculations!AH83),"")</f>
        <v/>
      </c>
      <c r="F83" s="2" t="str">
        <f>IF(IF(ISERROR(XS_Analyzer_Calculations!AF83),"",XS_Analyzer_Calculations!AF83)&lt;&gt;MAX($F$4:$F82),IF(ISERROR(XS_Analyzer_Calculations!AF83),"",XS_Analyzer_Calculations!AF83),"")</f>
        <v/>
      </c>
      <c r="G83" s="44" t="str">
        <f>IF(F83&lt;&gt;"",IF(ISERROR(XS_Analyzer_Calculations!W83),"",XS_Analyzer_Calculations!W83),"")</f>
        <v/>
      </c>
      <c r="H83" s="2" t="str">
        <f>IF(ISERROR(XS_Analyzer_Calculations!AE83),"",XS_Analyzer_Calculations!AE83)</f>
        <v/>
      </c>
      <c r="I83" s="44" t="str">
        <f>IF(ISERROR(XS_Analyzer_Calculations!W83),"",XS_Analyzer_Calculations!W83)</f>
        <v/>
      </c>
      <c r="J83" s="44" t="str">
        <f>IF(K83&lt;&gt;"",IF(ISERROR(XS_Analyzer_Calculations!AL83:AL183),"",XS_Analyzer_Calculations!AL83:AL183),"")</f>
        <v/>
      </c>
      <c r="K83" s="29" t="str">
        <f>IF(IF(ISERROR(XS_Analyzer_Calculations!AJ83:AJ183),"",XS_Analyzer_Calculations!AJ83:AJ183)&lt;&gt;MAX($K$4:$K82),IF(ISERROR(XS_Analyzer_Calculations!AJ83:AJ183),"",XS_Analyzer_Calculations!AJ83:AJ183),"")</f>
        <v/>
      </c>
      <c r="L83" s="58" t="str">
        <f>IF(K83&lt;&gt;"",IF(ISERROR(XS_Analyzer_Calculations!X83:X183),"",XS_Analyzer_Calculations!X83:X183),"")</f>
        <v/>
      </c>
      <c r="M83" s="29" t="str">
        <f>IF(ISERROR(XS_Analyzer_Calculations!AI83:AI183),"",XS_Analyzer_Calculations!AI83:AI183)</f>
        <v/>
      </c>
      <c r="N83" s="29" t="str">
        <f>IF(ISERROR(XS_Analyzer_Calculations!X83:X183),"",XS_Analyzer_Calculations!X83:X183)</f>
        <v/>
      </c>
      <c r="X83" s="29" t="str">
        <f>IF(OR(ISERROR(XS_Analyzer_Calculations!BG82),B83="",ISERROR(XS_Analyzer_Calculations!BN82)),"",XS_Analyzer_Calculations!BN82)</f>
        <v/>
      </c>
      <c r="Y83" s="29" t="str">
        <f>IF(OR(ISERROR(XS_Analyzer_Calculations!BG82),X83=""),"",XS_Analyzer_Calculations!BH82)</f>
        <v/>
      </c>
      <c r="Z83" s="29" t="str">
        <f>IF(OR(ISERROR(XS_Analyzer_Calculations!BG82),X83=""),"",XS_Analyzer_Calculations!$O$18)</f>
        <v/>
      </c>
      <c r="AB83" s="34">
        <f>IFERROR(XS_AnalyzerSummary!AK81,0)</f>
        <v>4.5099999999999945</v>
      </c>
      <c r="AC83" s="34">
        <f>IFERROR(XS_AnalyzerSummary!AV81,0)</f>
        <v>3.5500337242981472</v>
      </c>
      <c r="AD83" s="34">
        <f>IFERROR(XS_AnalyzerSummary!AK81,0)</f>
        <v>4.5099999999999945</v>
      </c>
      <c r="AE83" s="34">
        <f>IFERROR(XS_AnalyzerSummary!AW81,0)</f>
        <v>2.3041199999999904</v>
      </c>
      <c r="AF83" s="34">
        <f>IFERROR(XS_AnalyzerSummary!AK81,0)</f>
        <v>4.5099999999999945</v>
      </c>
      <c r="AG83" s="34">
        <f>IFERROR(XS_AnalyzerSummary!BF81,0)</f>
        <v>9.2775603882782818</v>
      </c>
    </row>
    <row r="84" spans="2:33">
      <c r="B84" s="29" t="str">
        <f>IF(ISERROR(XS_Analyzer_Calculations!B84),"",XS_Analyzer_Calculations!B84)</f>
        <v/>
      </c>
      <c r="C84" s="29" t="str">
        <f>IF(ISERROR(XS_Analyzer_Calculations!C84),"",XS_Analyzer_Calculations!C84)</f>
        <v/>
      </c>
      <c r="D84" s="29" t="str">
        <f>IF(ISERROR(Data!D81),"",Data!D81)</f>
        <v/>
      </c>
      <c r="E84" s="2" t="str">
        <f>IF(F84&lt;&gt;"",IF(ISERROR(XS_Analyzer_Calculations!AH84),"",XS_Analyzer_Calculations!AH84),"")</f>
        <v/>
      </c>
      <c r="F84" s="2" t="str">
        <f>IF(IF(ISERROR(XS_Analyzer_Calculations!AF84),"",XS_Analyzer_Calculations!AF84)&lt;&gt;MAX($F$4:$F83),IF(ISERROR(XS_Analyzer_Calculations!AF84),"",XS_Analyzer_Calculations!AF84),"")</f>
        <v/>
      </c>
      <c r="G84" s="44" t="str">
        <f>IF(F84&lt;&gt;"",IF(ISERROR(XS_Analyzer_Calculations!W84),"",XS_Analyzer_Calculations!W84),"")</f>
        <v/>
      </c>
      <c r="H84" s="2" t="str">
        <f>IF(ISERROR(XS_Analyzer_Calculations!AE84),"",XS_Analyzer_Calculations!AE84)</f>
        <v/>
      </c>
      <c r="I84" s="44" t="str">
        <f>IF(ISERROR(XS_Analyzer_Calculations!W84),"",XS_Analyzer_Calculations!W84)</f>
        <v/>
      </c>
      <c r="J84" s="44" t="str">
        <f>IF(K84&lt;&gt;"",IF(ISERROR(XS_Analyzer_Calculations!AL84:AL184),"",XS_Analyzer_Calculations!AL84:AL184),"")</f>
        <v/>
      </c>
      <c r="K84" s="29" t="str">
        <f>IF(IF(ISERROR(XS_Analyzer_Calculations!AJ84:AJ184),"",XS_Analyzer_Calculations!AJ84:AJ184)&lt;&gt;MAX($K$4:$K83),IF(ISERROR(XS_Analyzer_Calculations!AJ84:AJ184),"",XS_Analyzer_Calculations!AJ84:AJ184),"")</f>
        <v/>
      </c>
      <c r="L84" s="58" t="str">
        <f>IF(K84&lt;&gt;"",IF(ISERROR(XS_Analyzer_Calculations!X84:X184),"",XS_Analyzer_Calculations!X84:X184),"")</f>
        <v/>
      </c>
      <c r="M84" s="29" t="str">
        <f>IF(ISERROR(XS_Analyzer_Calculations!AI84:AI184),"",XS_Analyzer_Calculations!AI84:AI184)</f>
        <v/>
      </c>
      <c r="N84" s="29" t="str">
        <f>IF(ISERROR(XS_Analyzer_Calculations!X84:X184),"",XS_Analyzer_Calculations!X84:X184)</f>
        <v/>
      </c>
      <c r="X84" s="29" t="str">
        <f>IF(OR(ISERROR(XS_Analyzer_Calculations!BG83),B84="",ISERROR(XS_Analyzer_Calculations!BN83)),"",XS_Analyzer_Calculations!BN83)</f>
        <v/>
      </c>
      <c r="Y84" s="29" t="str">
        <f>IF(OR(ISERROR(XS_Analyzer_Calculations!BG83),X84=""),"",XS_Analyzer_Calculations!BH83)</f>
        <v/>
      </c>
      <c r="Z84" s="29" t="str">
        <f>IF(OR(ISERROR(XS_Analyzer_Calculations!BG83),X84=""),"",XS_Analyzer_Calculations!$O$18)</f>
        <v/>
      </c>
      <c r="AB84" s="34">
        <f>IFERROR(XS_AnalyzerSummary!AK82,0)</f>
        <v>4.5549999999999944</v>
      </c>
      <c r="AC84" s="34">
        <f>IFERROR(XS_AnalyzerSummary!AV82,0)</f>
        <v>3.5673182156276564</v>
      </c>
      <c r="AD84" s="34">
        <f>IFERROR(XS_AnalyzerSummary!AK82,0)</f>
        <v>4.5549999999999944</v>
      </c>
      <c r="AE84" s="34">
        <f>IFERROR(XS_AnalyzerSummary!AW82,0)</f>
        <v>2.3209679999999904</v>
      </c>
      <c r="AF84" s="34">
        <f>IFERROR(XS_AnalyzerSummary!AK82,0)</f>
        <v>4.5549999999999944</v>
      </c>
      <c r="AG84" s="34">
        <f>IFERROR(XS_AnalyzerSummary!BF82,0)</f>
        <v>9.34800149065196</v>
      </c>
    </row>
    <row r="85" spans="2:33">
      <c r="B85" s="29" t="str">
        <f>IF(ISERROR(XS_Analyzer_Calculations!B85),"",XS_Analyzer_Calculations!B85)</f>
        <v/>
      </c>
      <c r="C85" s="29" t="str">
        <f>IF(ISERROR(XS_Analyzer_Calculations!C85),"",XS_Analyzer_Calculations!C85)</f>
        <v/>
      </c>
      <c r="D85" s="29" t="str">
        <f>IF(ISERROR(Data!D82),"",Data!D82)</f>
        <v/>
      </c>
      <c r="E85" s="2" t="str">
        <f>IF(F85&lt;&gt;"",IF(ISERROR(XS_Analyzer_Calculations!AH85),"",XS_Analyzer_Calculations!AH85),"")</f>
        <v/>
      </c>
      <c r="F85" s="2" t="str">
        <f>IF(IF(ISERROR(XS_Analyzer_Calculations!AF85),"",XS_Analyzer_Calculations!AF85)&lt;&gt;MAX($F$4:$F84),IF(ISERROR(XS_Analyzer_Calculations!AF85),"",XS_Analyzer_Calculations!AF85),"")</f>
        <v/>
      </c>
      <c r="G85" s="44" t="str">
        <f>IF(F85&lt;&gt;"",IF(ISERROR(XS_Analyzer_Calculations!W85),"",XS_Analyzer_Calculations!W85),"")</f>
        <v/>
      </c>
      <c r="H85" s="2" t="str">
        <f>IF(ISERROR(XS_Analyzer_Calculations!AE85),"",XS_Analyzer_Calculations!AE85)</f>
        <v/>
      </c>
      <c r="I85" s="44" t="str">
        <f>IF(ISERROR(XS_Analyzer_Calculations!W85),"",XS_Analyzer_Calculations!W85)</f>
        <v/>
      </c>
      <c r="J85" s="44" t="str">
        <f>IF(K85&lt;&gt;"",IF(ISERROR(XS_Analyzer_Calculations!AL85:AL185),"",XS_Analyzer_Calculations!AL85:AL185),"")</f>
        <v/>
      </c>
      <c r="K85" s="29" t="str">
        <f>IF(IF(ISERROR(XS_Analyzer_Calculations!AJ85:AJ185),"",XS_Analyzer_Calculations!AJ85:AJ185)&lt;&gt;MAX($K$4:$K84),IF(ISERROR(XS_Analyzer_Calculations!AJ85:AJ185),"",XS_Analyzer_Calculations!AJ85:AJ185),"")</f>
        <v/>
      </c>
      <c r="L85" s="58" t="str">
        <f>IF(K85&lt;&gt;"",IF(ISERROR(XS_Analyzer_Calculations!X85:X185),"",XS_Analyzer_Calculations!X85:X185),"")</f>
        <v/>
      </c>
      <c r="M85" s="29" t="str">
        <f>IF(ISERROR(XS_Analyzer_Calculations!AI85:AI185),"",XS_Analyzer_Calculations!AI85:AI185)</f>
        <v/>
      </c>
      <c r="N85" s="29" t="str">
        <f>IF(ISERROR(XS_Analyzer_Calculations!X85:X185),"",XS_Analyzer_Calculations!X85:X185)</f>
        <v/>
      </c>
      <c r="X85" s="29" t="str">
        <f>IF(OR(ISERROR(XS_Analyzer_Calculations!BG84),B85="",ISERROR(XS_Analyzer_Calculations!BN84)),"",XS_Analyzer_Calculations!BN84)</f>
        <v/>
      </c>
      <c r="Y85" s="29" t="str">
        <f>IF(OR(ISERROR(XS_Analyzer_Calculations!BG84),X85=""),"",XS_Analyzer_Calculations!BH84)</f>
        <v/>
      </c>
      <c r="Z85" s="29" t="str">
        <f>IF(OR(ISERROR(XS_Analyzer_Calculations!BG84),X85=""),"",XS_Analyzer_Calculations!$O$18)</f>
        <v/>
      </c>
      <c r="AB85" s="34">
        <f>IFERROR(XS_AnalyzerSummary!AK83,0)</f>
        <v>4.5999999999999943</v>
      </c>
      <c r="AC85" s="34">
        <f>IFERROR(XS_AnalyzerSummary!AV83,0)</f>
        <v>3.5845609341488807</v>
      </c>
      <c r="AD85" s="34">
        <f>IFERROR(XS_AnalyzerSummary!AK83,0)</f>
        <v>4.5999999999999943</v>
      </c>
      <c r="AE85" s="34">
        <f>IFERROR(XS_AnalyzerSummary!AW83,0)</f>
        <v>2.3378160000000126</v>
      </c>
      <c r="AF85" s="34">
        <f>IFERROR(XS_AnalyzerSummary!AK83,0)</f>
        <v>4.5999999999999943</v>
      </c>
      <c r="AG85" s="34">
        <f>IFERROR(XS_AnalyzerSummary!BF83,0)</f>
        <v>9.4184639948542657</v>
      </c>
    </row>
    <row r="86" spans="2:33">
      <c r="B86" s="29" t="str">
        <f>IF(ISERROR(XS_Analyzer_Calculations!B86),"",XS_Analyzer_Calculations!B86)</f>
        <v/>
      </c>
      <c r="C86" s="29" t="str">
        <f>IF(ISERROR(XS_Analyzer_Calculations!C86),"",XS_Analyzer_Calculations!C86)</f>
        <v/>
      </c>
      <c r="D86" s="29" t="str">
        <f>IF(ISERROR(Data!D83),"",Data!D83)</f>
        <v/>
      </c>
      <c r="E86" s="2" t="str">
        <f>IF(F86&lt;&gt;"",IF(ISERROR(XS_Analyzer_Calculations!AH86),"",XS_Analyzer_Calculations!AH86),"")</f>
        <v/>
      </c>
      <c r="F86" s="2" t="str">
        <f>IF(IF(ISERROR(XS_Analyzer_Calculations!AF86),"",XS_Analyzer_Calculations!AF86)&lt;&gt;MAX($F$4:$F85),IF(ISERROR(XS_Analyzer_Calculations!AF86),"",XS_Analyzer_Calculations!AF86),"")</f>
        <v/>
      </c>
      <c r="G86" s="44" t="str">
        <f>IF(F86&lt;&gt;"",IF(ISERROR(XS_Analyzer_Calculations!W86),"",XS_Analyzer_Calculations!W86),"")</f>
        <v/>
      </c>
      <c r="H86" s="2" t="str">
        <f>IF(ISERROR(XS_Analyzer_Calculations!AE86),"",XS_Analyzer_Calculations!AE86)</f>
        <v/>
      </c>
      <c r="I86" s="44" t="str">
        <f>IF(ISERROR(XS_Analyzer_Calculations!W86),"",XS_Analyzer_Calculations!W86)</f>
        <v/>
      </c>
      <c r="J86" s="44" t="str">
        <f>IF(K86&lt;&gt;"",IF(ISERROR(XS_Analyzer_Calculations!AL86:AL186),"",XS_Analyzer_Calculations!AL86:AL186),"")</f>
        <v/>
      </c>
      <c r="K86" s="29" t="str">
        <f>IF(IF(ISERROR(XS_Analyzer_Calculations!AJ86:AJ186),"",XS_Analyzer_Calculations!AJ86:AJ186)&lt;&gt;MAX($K$4:$K85),IF(ISERROR(XS_Analyzer_Calculations!AJ86:AJ186),"",XS_Analyzer_Calculations!AJ86:AJ186),"")</f>
        <v/>
      </c>
      <c r="L86" s="58" t="str">
        <f>IF(K86&lt;&gt;"",IF(ISERROR(XS_Analyzer_Calculations!X86:X186),"",XS_Analyzer_Calculations!X86:X186),"")</f>
        <v/>
      </c>
      <c r="M86" s="29" t="str">
        <f>IF(ISERROR(XS_Analyzer_Calculations!AI86:AI186),"",XS_Analyzer_Calculations!AI86:AI186)</f>
        <v/>
      </c>
      <c r="N86" s="29" t="str">
        <f>IF(ISERROR(XS_Analyzer_Calculations!X86:X186),"",XS_Analyzer_Calculations!X86:X186)</f>
        <v/>
      </c>
      <c r="X86" s="29" t="str">
        <f>IF(OR(ISERROR(XS_Analyzer_Calculations!BG85),B86="",ISERROR(XS_Analyzer_Calculations!BN85)),"",XS_Analyzer_Calculations!BN85)</f>
        <v/>
      </c>
      <c r="Y86" s="29" t="str">
        <f>IF(OR(ISERROR(XS_Analyzer_Calculations!BG85),X86=""),"",XS_Analyzer_Calculations!BH85)</f>
        <v/>
      </c>
      <c r="Z86" s="29" t="str">
        <f>IF(OR(ISERROR(XS_Analyzer_Calculations!BG85),X86=""),"",XS_Analyzer_Calculations!$O$18)</f>
        <v/>
      </c>
      <c r="AB86" s="34">
        <f>IFERROR(XS_AnalyzerSummary!AK84,0)</f>
        <v>4.6449999999999942</v>
      </c>
      <c r="AC86" s="34">
        <f>IFERROR(XS_AnalyzerSummary!AV84,0)</f>
        <v>3.6017622807805885</v>
      </c>
      <c r="AD86" s="34">
        <f>IFERROR(XS_AnalyzerSummary!AK84,0)</f>
        <v>4.6449999999999942</v>
      </c>
      <c r="AE86" s="34">
        <f>IFERROR(XS_AnalyzerSummary!AW84,0)</f>
        <v>2.3546640000000125</v>
      </c>
      <c r="AF86" s="34">
        <f>IFERROR(XS_AnalyzerSummary!AK84,0)</f>
        <v>4.6449999999999942</v>
      </c>
      <c r="AG86" s="34">
        <f>IFERROR(XS_AnalyzerSummary!BF84,0)</f>
        <v>9.4889477536318125</v>
      </c>
    </row>
    <row r="87" spans="2:33">
      <c r="B87" s="29" t="str">
        <f>IF(ISERROR(XS_Analyzer_Calculations!B87),"",XS_Analyzer_Calculations!B87)</f>
        <v/>
      </c>
      <c r="C87" s="29" t="str">
        <f>IF(ISERROR(XS_Analyzer_Calculations!C87),"",XS_Analyzer_Calculations!C87)</f>
        <v/>
      </c>
      <c r="D87" s="29" t="str">
        <f>IF(ISERROR(Data!D84),"",Data!D84)</f>
        <v/>
      </c>
      <c r="E87" s="2" t="str">
        <f>IF(F87&lt;&gt;"",IF(ISERROR(XS_Analyzer_Calculations!AH87),"",XS_Analyzer_Calculations!AH87),"")</f>
        <v/>
      </c>
      <c r="F87" s="2" t="str">
        <f>IF(IF(ISERROR(XS_Analyzer_Calculations!AF87),"",XS_Analyzer_Calculations!AF87)&lt;&gt;MAX($F$4:$F86),IF(ISERROR(XS_Analyzer_Calculations!AF87),"",XS_Analyzer_Calculations!AF87),"")</f>
        <v/>
      </c>
      <c r="G87" s="44" t="str">
        <f>IF(F87&lt;&gt;"",IF(ISERROR(XS_Analyzer_Calculations!W87),"",XS_Analyzer_Calculations!W87),"")</f>
        <v/>
      </c>
      <c r="H87" s="2" t="str">
        <f>IF(ISERROR(XS_Analyzer_Calculations!AE87),"",XS_Analyzer_Calculations!AE87)</f>
        <v/>
      </c>
      <c r="I87" s="44" t="str">
        <f>IF(ISERROR(XS_Analyzer_Calculations!W87),"",XS_Analyzer_Calculations!W87)</f>
        <v/>
      </c>
      <c r="J87" s="44" t="str">
        <f>IF(K87&lt;&gt;"",IF(ISERROR(XS_Analyzer_Calculations!AL87:AL187),"",XS_Analyzer_Calculations!AL87:AL187),"")</f>
        <v/>
      </c>
      <c r="K87" s="29" t="str">
        <f>IF(IF(ISERROR(XS_Analyzer_Calculations!AJ87:AJ187),"",XS_Analyzer_Calculations!AJ87:AJ187)&lt;&gt;MAX($K$4:$K86),IF(ISERROR(XS_Analyzer_Calculations!AJ87:AJ187),"",XS_Analyzer_Calculations!AJ87:AJ187),"")</f>
        <v/>
      </c>
      <c r="L87" s="58" t="str">
        <f>IF(K87&lt;&gt;"",IF(ISERROR(XS_Analyzer_Calculations!X87:X187),"",XS_Analyzer_Calculations!X87:X187),"")</f>
        <v/>
      </c>
      <c r="M87" s="29" t="str">
        <f>IF(ISERROR(XS_Analyzer_Calculations!AI87:AI187),"",XS_Analyzer_Calculations!AI87:AI187)</f>
        <v/>
      </c>
      <c r="N87" s="29" t="str">
        <f>IF(ISERROR(XS_Analyzer_Calculations!X87:X187),"",XS_Analyzer_Calculations!X87:X187)</f>
        <v/>
      </c>
      <c r="X87" s="29" t="str">
        <f>IF(OR(ISERROR(XS_Analyzer_Calculations!BG86),B87="",ISERROR(XS_Analyzer_Calculations!BN86)),"",XS_Analyzer_Calculations!BN86)</f>
        <v/>
      </c>
      <c r="Y87" s="29" t="str">
        <f>IF(OR(ISERROR(XS_Analyzer_Calculations!BG86),X87=""),"",XS_Analyzer_Calculations!BH86)</f>
        <v/>
      </c>
      <c r="Z87" s="29" t="str">
        <f>IF(OR(ISERROR(XS_Analyzer_Calculations!BG86),X87=""),"",XS_Analyzer_Calculations!$O$18)</f>
        <v/>
      </c>
      <c r="AB87" s="34">
        <f>IFERROR(XS_AnalyzerSummary!AK85,0)</f>
        <v>4.6899999999999942</v>
      </c>
      <c r="AC87" s="34">
        <f>IFERROR(XS_AnalyzerSummary!AV85,0)</f>
        <v>3.618922649755917</v>
      </c>
      <c r="AD87" s="34">
        <f>IFERROR(XS_AnalyzerSummary!AK85,0)</f>
        <v>4.6899999999999942</v>
      </c>
      <c r="AE87" s="34">
        <f>IFERROR(XS_AnalyzerSummary!AW85,0)</f>
        <v>2.3715119999999903</v>
      </c>
      <c r="AF87" s="34">
        <f>IFERROR(XS_AnalyzerSummary!AK85,0)</f>
        <v>4.6899999999999942</v>
      </c>
      <c r="AG87" s="34">
        <f>IFERROR(XS_AnalyzerSummary!BF85,0)</f>
        <v>9.559452621787214</v>
      </c>
    </row>
    <row r="88" spans="2:33">
      <c r="B88" s="29" t="str">
        <f>IF(ISERROR(XS_Analyzer_Calculations!B88),"",XS_Analyzer_Calculations!B88)</f>
        <v/>
      </c>
      <c r="C88" s="29" t="str">
        <f>IF(ISERROR(XS_Analyzer_Calculations!C88),"",XS_Analyzer_Calculations!C88)</f>
        <v/>
      </c>
      <c r="D88" s="29" t="str">
        <f>IF(ISERROR(Data!D85),"",Data!D85)</f>
        <v/>
      </c>
      <c r="E88" s="2" t="str">
        <f>IF(F88&lt;&gt;"",IF(ISERROR(XS_Analyzer_Calculations!AH88),"",XS_Analyzer_Calculations!AH88),"")</f>
        <v/>
      </c>
      <c r="F88" s="2" t="str">
        <f>IF(IF(ISERROR(XS_Analyzer_Calculations!AF88),"",XS_Analyzer_Calculations!AF88)&lt;&gt;MAX($F$4:$F87),IF(ISERROR(XS_Analyzer_Calculations!AF88),"",XS_Analyzer_Calculations!AF88),"")</f>
        <v/>
      </c>
      <c r="G88" s="44" t="str">
        <f>IF(F88&lt;&gt;"",IF(ISERROR(XS_Analyzer_Calculations!W88),"",XS_Analyzer_Calculations!W88),"")</f>
        <v/>
      </c>
      <c r="H88" s="2" t="str">
        <f>IF(ISERROR(XS_Analyzer_Calculations!AE88),"",XS_Analyzer_Calculations!AE88)</f>
        <v/>
      </c>
      <c r="I88" s="44" t="str">
        <f>IF(ISERROR(XS_Analyzer_Calculations!W88),"",XS_Analyzer_Calculations!W88)</f>
        <v/>
      </c>
      <c r="J88" s="44" t="str">
        <f>IF(K88&lt;&gt;"",IF(ISERROR(XS_Analyzer_Calculations!AL88:AL188),"",XS_Analyzer_Calculations!AL88:AL188),"")</f>
        <v/>
      </c>
      <c r="K88" s="29" t="str">
        <f>IF(IF(ISERROR(XS_Analyzer_Calculations!AJ88:AJ188),"",XS_Analyzer_Calculations!AJ88:AJ188)&lt;&gt;MAX($K$4:$K87),IF(ISERROR(XS_Analyzer_Calculations!AJ88:AJ188),"",XS_Analyzer_Calculations!AJ88:AJ188),"")</f>
        <v/>
      </c>
      <c r="L88" s="58" t="str">
        <f>IF(K88&lt;&gt;"",IF(ISERROR(XS_Analyzer_Calculations!X88:X188),"",XS_Analyzer_Calculations!X88:X188),"")</f>
        <v/>
      </c>
      <c r="M88" s="29" t="str">
        <f>IF(ISERROR(XS_Analyzer_Calculations!AI88:AI188),"",XS_Analyzer_Calculations!AI88:AI188)</f>
        <v/>
      </c>
      <c r="N88" s="29" t="str">
        <f>IF(ISERROR(XS_Analyzer_Calculations!X88:X188),"",XS_Analyzer_Calculations!X88:X188)</f>
        <v/>
      </c>
      <c r="X88" s="29" t="str">
        <f>IF(OR(ISERROR(XS_Analyzer_Calculations!BG87),B88="",ISERROR(XS_Analyzer_Calculations!BN87)),"",XS_Analyzer_Calculations!BN87)</f>
        <v/>
      </c>
      <c r="Y88" s="29" t="str">
        <f>IF(OR(ISERROR(XS_Analyzer_Calculations!BG87),X88=""),"",XS_Analyzer_Calculations!BH87)</f>
        <v/>
      </c>
      <c r="Z88" s="29" t="str">
        <f>IF(OR(ISERROR(XS_Analyzer_Calculations!BG87),X88=""),"",XS_Analyzer_Calculations!$O$18)</f>
        <v/>
      </c>
      <c r="AB88" s="34">
        <f>IFERROR(XS_AnalyzerSummary!AK86,0)</f>
        <v>4.7349999999999941</v>
      </c>
      <c r="AC88" s="34">
        <f>IFERROR(XS_AnalyzerSummary!AV86,0)</f>
        <v>3.6360424287805158</v>
      </c>
      <c r="AD88" s="34">
        <f>IFERROR(XS_AnalyzerSummary!AK86,0)</f>
        <v>4.7349999999999941</v>
      </c>
      <c r="AE88" s="34">
        <f>IFERROR(XS_AnalyzerSummary!AW86,0)</f>
        <v>2.3883599999999898</v>
      </c>
      <c r="AF88" s="34">
        <f>IFERROR(XS_AnalyzerSummary!AK86,0)</f>
        <v>4.7349999999999941</v>
      </c>
      <c r="AG88" s="34">
        <f>IFERROR(XS_AnalyzerSummary!BF86,0)</f>
        <v>9.6299784561360084</v>
      </c>
    </row>
    <row r="89" spans="2:33">
      <c r="B89" s="29" t="str">
        <f>IF(ISERROR(XS_Analyzer_Calculations!B89),"",XS_Analyzer_Calculations!B89)</f>
        <v/>
      </c>
      <c r="C89" s="29" t="str">
        <f>IF(ISERROR(XS_Analyzer_Calculations!C89),"",XS_Analyzer_Calculations!C89)</f>
        <v/>
      </c>
      <c r="D89" s="29" t="str">
        <f>IF(ISERROR(Data!D86),"",Data!D86)</f>
        <v/>
      </c>
      <c r="E89" s="2" t="str">
        <f>IF(F89&lt;&gt;"",IF(ISERROR(XS_Analyzer_Calculations!AH89),"",XS_Analyzer_Calculations!AH89),"")</f>
        <v/>
      </c>
      <c r="F89" s="2" t="str">
        <f>IF(IF(ISERROR(XS_Analyzer_Calculations!AF89),"",XS_Analyzer_Calculations!AF89)&lt;&gt;MAX($F$4:$F88),IF(ISERROR(XS_Analyzer_Calculations!AF89),"",XS_Analyzer_Calculations!AF89),"")</f>
        <v/>
      </c>
      <c r="G89" s="44" t="str">
        <f>IF(F89&lt;&gt;"",IF(ISERROR(XS_Analyzer_Calculations!W89),"",XS_Analyzer_Calculations!W89),"")</f>
        <v/>
      </c>
      <c r="H89" s="2" t="str">
        <f>IF(ISERROR(XS_Analyzer_Calculations!AE89),"",XS_Analyzer_Calculations!AE89)</f>
        <v/>
      </c>
      <c r="I89" s="44" t="str">
        <f>IF(ISERROR(XS_Analyzer_Calculations!W89),"",XS_Analyzer_Calculations!W89)</f>
        <v/>
      </c>
      <c r="J89" s="44" t="str">
        <f>IF(K89&lt;&gt;"",IF(ISERROR(XS_Analyzer_Calculations!AL89:AL189),"",XS_Analyzer_Calculations!AL89:AL189),"")</f>
        <v/>
      </c>
      <c r="K89" s="29" t="str">
        <f>IF(IF(ISERROR(XS_Analyzer_Calculations!AJ89:AJ189),"",XS_Analyzer_Calculations!AJ89:AJ189)&lt;&gt;MAX($K$4:$K88),IF(ISERROR(XS_Analyzer_Calculations!AJ89:AJ189),"",XS_Analyzer_Calculations!AJ89:AJ189),"")</f>
        <v/>
      </c>
      <c r="L89" s="58" t="str">
        <f>IF(K89&lt;&gt;"",IF(ISERROR(XS_Analyzer_Calculations!X89:X189),"",XS_Analyzer_Calculations!X89:X189),"")</f>
        <v/>
      </c>
      <c r="M89" s="29" t="str">
        <f>IF(ISERROR(XS_Analyzer_Calculations!AI89:AI189),"",XS_Analyzer_Calculations!AI89:AI189)</f>
        <v/>
      </c>
      <c r="N89" s="29" t="str">
        <f>IF(ISERROR(XS_Analyzer_Calculations!X89:X189),"",XS_Analyzer_Calculations!X89:X189)</f>
        <v/>
      </c>
      <c r="X89" s="29" t="str">
        <f>IF(OR(ISERROR(XS_Analyzer_Calculations!BG88),B89="",ISERROR(XS_Analyzer_Calculations!BN88)),"",XS_Analyzer_Calculations!BN88)</f>
        <v/>
      </c>
      <c r="Y89" s="29" t="str">
        <f>IF(OR(ISERROR(XS_Analyzer_Calculations!BG88),X89=""),"",XS_Analyzer_Calculations!BH88)</f>
        <v/>
      </c>
      <c r="Z89" s="29" t="str">
        <f>IF(OR(ISERROR(XS_Analyzer_Calculations!BG88),X89=""),"",XS_Analyzer_Calculations!$O$18)</f>
        <v/>
      </c>
      <c r="AB89" s="34">
        <f>IFERROR(XS_AnalyzerSummary!AK87,0)</f>
        <v>4.779999999999994</v>
      </c>
      <c r="AC89" s="34">
        <f>IFERROR(XS_AnalyzerSummary!AV87,0)</f>
        <v>3.6531219991857622</v>
      </c>
      <c r="AD89" s="34">
        <f>IFERROR(XS_AnalyzerSummary!AK87,0)</f>
        <v>4.779999999999994</v>
      </c>
      <c r="AE89" s="34">
        <f>IFERROR(XS_AnalyzerSummary!AW87,0)</f>
        <v>2.4052080000000124</v>
      </c>
      <c r="AF89" s="34">
        <f>IFERROR(XS_AnalyzerSummary!AK87,0)</f>
        <v>4.779999999999994</v>
      </c>
      <c r="AG89" s="34">
        <f>IFERROR(XS_AnalyzerSummary!BF87,0)</f>
        <v>9.7005251154648207</v>
      </c>
    </row>
    <row r="90" spans="2:33">
      <c r="B90" s="29" t="str">
        <f>IF(ISERROR(XS_Analyzer_Calculations!B90),"",XS_Analyzer_Calculations!B90)</f>
        <v/>
      </c>
      <c r="C90" s="29" t="str">
        <f>IF(ISERROR(XS_Analyzer_Calculations!C90),"",XS_Analyzer_Calculations!C90)</f>
        <v/>
      </c>
      <c r="D90" s="29" t="str">
        <f>IF(ISERROR(Data!D87),"",Data!D87)</f>
        <v/>
      </c>
      <c r="E90" s="2" t="str">
        <f>IF(F90&lt;&gt;"",IF(ISERROR(XS_Analyzer_Calculations!AH90),"",XS_Analyzer_Calculations!AH90),"")</f>
        <v/>
      </c>
      <c r="F90" s="2" t="str">
        <f>IF(IF(ISERROR(XS_Analyzer_Calculations!AF90),"",XS_Analyzer_Calculations!AF90)&lt;&gt;MAX($F$4:$F89),IF(ISERROR(XS_Analyzer_Calculations!AF90),"",XS_Analyzer_Calculations!AF90),"")</f>
        <v/>
      </c>
      <c r="G90" s="44" t="str">
        <f>IF(F90&lt;&gt;"",IF(ISERROR(XS_Analyzer_Calculations!W90),"",XS_Analyzer_Calculations!W90),"")</f>
        <v/>
      </c>
      <c r="H90" s="2" t="str">
        <f>IF(ISERROR(XS_Analyzer_Calculations!AE90),"",XS_Analyzer_Calculations!AE90)</f>
        <v/>
      </c>
      <c r="I90" s="44" t="str">
        <f>IF(ISERROR(XS_Analyzer_Calculations!W90),"",XS_Analyzer_Calculations!W90)</f>
        <v/>
      </c>
      <c r="J90" s="44" t="str">
        <f>IF(K90&lt;&gt;"",IF(ISERROR(XS_Analyzer_Calculations!AL90:AL190),"",XS_Analyzer_Calculations!AL90:AL190),"")</f>
        <v/>
      </c>
      <c r="K90" s="29" t="str">
        <f>IF(IF(ISERROR(XS_Analyzer_Calculations!AJ90:AJ190),"",XS_Analyzer_Calculations!AJ90:AJ190)&lt;&gt;MAX($K$4:$K89),IF(ISERROR(XS_Analyzer_Calculations!AJ90:AJ190),"",XS_Analyzer_Calculations!AJ90:AJ190),"")</f>
        <v/>
      </c>
      <c r="L90" s="58" t="str">
        <f>IF(K90&lt;&gt;"",IF(ISERROR(XS_Analyzer_Calculations!X90:X190),"",XS_Analyzer_Calculations!X90:X190),"")</f>
        <v/>
      </c>
      <c r="M90" s="29" t="str">
        <f>IF(ISERROR(XS_Analyzer_Calculations!AI90:AI190),"",XS_Analyzer_Calculations!AI90:AI190)</f>
        <v/>
      </c>
      <c r="N90" s="29" t="str">
        <f>IF(ISERROR(XS_Analyzer_Calculations!X90:X190),"",XS_Analyzer_Calculations!X90:X190)</f>
        <v/>
      </c>
      <c r="X90" s="29" t="str">
        <f>IF(OR(ISERROR(XS_Analyzer_Calculations!BG89),B90="",ISERROR(XS_Analyzer_Calculations!BN89)),"",XS_Analyzer_Calculations!BN89)</f>
        <v/>
      </c>
      <c r="Y90" s="29" t="str">
        <f>IF(OR(ISERROR(XS_Analyzer_Calculations!BG89),X90=""),"",XS_Analyzer_Calculations!BH89)</f>
        <v/>
      </c>
      <c r="Z90" s="29" t="str">
        <f>IF(OR(ISERROR(XS_Analyzer_Calculations!BG89),X90=""),"",XS_Analyzer_Calculations!$O$18)</f>
        <v/>
      </c>
      <c r="AB90" s="34">
        <f>IFERROR(XS_AnalyzerSummary!AK88,0)</f>
        <v>4.824999999999994</v>
      </c>
      <c r="AC90" s="34">
        <f>IFERROR(XS_AnalyzerSummary!AV88,0)</f>
        <v>3.6701617360774357</v>
      </c>
      <c r="AD90" s="34">
        <f>IFERROR(XS_AnalyzerSummary!AK88,0)</f>
        <v>4.824999999999994</v>
      </c>
      <c r="AE90" s="34">
        <f>IFERROR(XS_AnalyzerSummary!AW88,0)</f>
        <v>2.4220560000000124</v>
      </c>
      <c r="AF90" s="34">
        <f>IFERROR(XS_AnalyzerSummary!AK88,0)</f>
        <v>4.824999999999994</v>
      </c>
      <c r="AG90" s="34">
        <f>IFERROR(XS_AnalyzerSummary!BF88,0)</f>
        <v>9.7710924604906442</v>
      </c>
    </row>
    <row r="91" spans="2:33">
      <c r="B91" s="29" t="str">
        <f>IF(ISERROR(XS_Analyzer_Calculations!B91),"",XS_Analyzer_Calculations!B91)</f>
        <v/>
      </c>
      <c r="C91" s="29" t="str">
        <f>IF(ISERROR(XS_Analyzer_Calculations!C91),"",XS_Analyzer_Calculations!C91)</f>
        <v/>
      </c>
      <c r="D91" s="29" t="str">
        <f>IF(ISERROR(Data!D88),"",Data!D88)</f>
        <v/>
      </c>
      <c r="E91" s="2" t="str">
        <f>IF(F91&lt;&gt;"",IF(ISERROR(XS_Analyzer_Calculations!AH91),"",XS_Analyzer_Calculations!AH91),"")</f>
        <v/>
      </c>
      <c r="F91" s="2" t="str">
        <f>IF(IF(ISERROR(XS_Analyzer_Calculations!AF91),"",XS_Analyzer_Calculations!AF91)&lt;&gt;MAX($F$4:$F90),IF(ISERROR(XS_Analyzer_Calculations!AF91),"",XS_Analyzer_Calculations!AF91),"")</f>
        <v/>
      </c>
      <c r="G91" s="44" t="str">
        <f>IF(F91&lt;&gt;"",IF(ISERROR(XS_Analyzer_Calculations!W91),"",XS_Analyzer_Calculations!W91),"")</f>
        <v/>
      </c>
      <c r="H91" s="2" t="str">
        <f>IF(ISERROR(XS_Analyzer_Calculations!AE91),"",XS_Analyzer_Calculations!AE91)</f>
        <v/>
      </c>
      <c r="I91" s="44" t="str">
        <f>IF(ISERROR(XS_Analyzer_Calculations!W91),"",XS_Analyzer_Calculations!W91)</f>
        <v/>
      </c>
      <c r="J91" s="44" t="str">
        <f>IF(K91&lt;&gt;"",IF(ISERROR(XS_Analyzer_Calculations!AL91:AL191),"",XS_Analyzer_Calculations!AL91:AL191),"")</f>
        <v/>
      </c>
      <c r="K91" s="29" t="str">
        <f>IF(IF(ISERROR(XS_Analyzer_Calculations!AJ91:AJ191),"",XS_Analyzer_Calculations!AJ91:AJ191)&lt;&gt;MAX($K$4:$K90),IF(ISERROR(XS_Analyzer_Calculations!AJ91:AJ191),"",XS_Analyzer_Calculations!AJ91:AJ191),"")</f>
        <v/>
      </c>
      <c r="L91" s="58" t="str">
        <f>IF(K91&lt;&gt;"",IF(ISERROR(XS_Analyzer_Calculations!X91:X191),"",XS_Analyzer_Calculations!X91:X191),"")</f>
        <v/>
      </c>
      <c r="M91" s="29" t="str">
        <f>IF(ISERROR(XS_Analyzer_Calculations!AI91:AI191),"",XS_Analyzer_Calculations!AI91:AI191)</f>
        <v/>
      </c>
      <c r="N91" s="29" t="str">
        <f>IF(ISERROR(XS_Analyzer_Calculations!X91:X191),"",XS_Analyzer_Calculations!X91:X191)</f>
        <v/>
      </c>
      <c r="X91" s="29" t="str">
        <f>IF(OR(ISERROR(XS_Analyzer_Calculations!BG90),B91="",ISERROR(XS_Analyzer_Calculations!BN90)),"",XS_Analyzer_Calculations!BN90)</f>
        <v/>
      </c>
      <c r="Y91" s="29" t="str">
        <f>IF(OR(ISERROR(XS_Analyzer_Calculations!BG90),X91=""),"",XS_Analyzer_Calculations!BH90)</f>
        <v/>
      </c>
      <c r="Z91" s="29" t="str">
        <f>IF(OR(ISERROR(XS_Analyzer_Calculations!BG90),X91=""),"",XS_Analyzer_Calculations!$O$18)</f>
        <v/>
      </c>
      <c r="AB91" s="34">
        <f>IFERROR(XS_AnalyzerSummary!AK89,0)</f>
        <v>4.8699999999999939</v>
      </c>
      <c r="AC91" s="34">
        <f>IFERROR(XS_AnalyzerSummary!AV89,0)</f>
        <v>3.6871620084799885</v>
      </c>
      <c r="AD91" s="34">
        <f>IFERROR(XS_AnalyzerSummary!AK89,0)</f>
        <v>4.8699999999999939</v>
      </c>
      <c r="AE91" s="34">
        <f>IFERROR(XS_AnalyzerSummary!AW89,0)</f>
        <v>2.4389039999999897</v>
      </c>
      <c r="AF91" s="34">
        <f>IFERROR(XS_AnalyzerSummary!AK89,0)</f>
        <v>4.8699999999999939</v>
      </c>
      <c r="AG91" s="34">
        <f>IFERROR(XS_AnalyzerSummary!BF89,0)</f>
        <v>9.8416803538212445</v>
      </c>
    </row>
    <row r="92" spans="2:33">
      <c r="B92" s="29" t="str">
        <f>IF(ISERROR(XS_Analyzer_Calculations!B92),"",XS_Analyzer_Calculations!B92)</f>
        <v/>
      </c>
      <c r="C92" s="29" t="str">
        <f>IF(ISERROR(XS_Analyzer_Calculations!C92),"",XS_Analyzer_Calculations!C92)</f>
        <v/>
      </c>
      <c r="D92" s="29" t="str">
        <f>IF(ISERROR(Data!D89),"",Data!D89)</f>
        <v/>
      </c>
      <c r="E92" s="2" t="str">
        <f>IF(F92&lt;&gt;"",IF(ISERROR(XS_Analyzer_Calculations!AH92),"",XS_Analyzer_Calculations!AH92),"")</f>
        <v/>
      </c>
      <c r="F92" s="2" t="str">
        <f>IF(IF(ISERROR(XS_Analyzer_Calculations!AF92),"",XS_Analyzer_Calculations!AF92)&lt;&gt;MAX($F$4:$F91),IF(ISERROR(XS_Analyzer_Calculations!AF92),"",XS_Analyzer_Calculations!AF92),"")</f>
        <v/>
      </c>
      <c r="G92" s="44" t="str">
        <f>IF(F92&lt;&gt;"",IF(ISERROR(XS_Analyzer_Calculations!W92),"",XS_Analyzer_Calculations!W92),"")</f>
        <v/>
      </c>
      <c r="H92" s="2" t="str">
        <f>IF(ISERROR(XS_Analyzer_Calculations!AE92),"",XS_Analyzer_Calculations!AE92)</f>
        <v/>
      </c>
      <c r="I92" s="44" t="str">
        <f>IF(ISERROR(XS_Analyzer_Calculations!W92),"",XS_Analyzer_Calculations!W92)</f>
        <v/>
      </c>
      <c r="J92" s="44" t="str">
        <f>IF(K92&lt;&gt;"",IF(ISERROR(XS_Analyzer_Calculations!AL92:AL192),"",XS_Analyzer_Calculations!AL92:AL192),"")</f>
        <v/>
      </c>
      <c r="K92" s="29" t="str">
        <f>IF(IF(ISERROR(XS_Analyzer_Calculations!AJ92:AJ192),"",XS_Analyzer_Calculations!AJ92:AJ192)&lt;&gt;MAX($K$4:$K91),IF(ISERROR(XS_Analyzer_Calculations!AJ92:AJ192),"",XS_Analyzer_Calculations!AJ92:AJ192),"")</f>
        <v/>
      </c>
      <c r="L92" s="58" t="str">
        <f>IF(K92&lt;&gt;"",IF(ISERROR(XS_Analyzer_Calculations!X92:X192),"",XS_Analyzer_Calculations!X92:X192),"")</f>
        <v/>
      </c>
      <c r="M92" s="29" t="str">
        <f>IF(ISERROR(XS_Analyzer_Calculations!AI92:AI192),"",XS_Analyzer_Calculations!AI92:AI192)</f>
        <v/>
      </c>
      <c r="N92" s="29" t="str">
        <f>IF(ISERROR(XS_Analyzer_Calculations!X92:X192),"",XS_Analyzer_Calculations!X92:X192)</f>
        <v/>
      </c>
      <c r="X92" s="29" t="str">
        <f>IF(OR(ISERROR(XS_Analyzer_Calculations!BG91),B92="",ISERROR(XS_Analyzer_Calculations!BN91)),"",XS_Analyzer_Calculations!BN91)</f>
        <v/>
      </c>
      <c r="Y92" s="29" t="str">
        <f>IF(OR(ISERROR(XS_Analyzer_Calculations!BG91),X92=""),"",XS_Analyzer_Calculations!BH91)</f>
        <v/>
      </c>
      <c r="Z92" s="29" t="str">
        <f>IF(OR(ISERROR(XS_Analyzer_Calculations!BG91),X92=""),"",XS_Analyzer_Calculations!$O$18)</f>
        <v/>
      </c>
      <c r="AB92" s="34">
        <f>IFERROR(XS_AnalyzerSummary!AK90,0)</f>
        <v>4.9149999999999938</v>
      </c>
      <c r="AC92" s="34">
        <f>IFERROR(XS_AnalyzerSummary!AV90,0)</f>
        <v>3.7041231794764293</v>
      </c>
      <c r="AD92" s="34">
        <f>IFERROR(XS_AnalyzerSummary!AK90,0)</f>
        <v>4.9149999999999938</v>
      </c>
      <c r="AE92" s="34">
        <f>IFERROR(XS_AnalyzerSummary!AW90,0)</f>
        <v>2.4557519999999893</v>
      </c>
      <c r="AF92" s="34">
        <f>IFERROR(XS_AnalyzerSummary!AK90,0)</f>
        <v>4.9149999999999938</v>
      </c>
      <c r="AG92" s="34">
        <f>IFERROR(XS_AnalyzerSummary!BF90,0)</f>
        <v>9.9122886599166637</v>
      </c>
    </row>
    <row r="93" spans="2:33">
      <c r="B93" s="29" t="str">
        <f>IF(ISERROR(XS_Analyzer_Calculations!B93),"",XS_Analyzer_Calculations!B93)</f>
        <v/>
      </c>
      <c r="C93" s="29" t="str">
        <f>IF(ISERROR(XS_Analyzer_Calculations!C93),"",XS_Analyzer_Calculations!C93)</f>
        <v/>
      </c>
      <c r="D93" s="29" t="str">
        <f>IF(ISERROR(Data!D90),"",Data!D90)</f>
        <v/>
      </c>
      <c r="E93" s="2" t="str">
        <f>IF(F93&lt;&gt;"",IF(ISERROR(XS_Analyzer_Calculations!AH93),"",XS_Analyzer_Calculations!AH93),"")</f>
        <v/>
      </c>
      <c r="F93" s="2" t="str">
        <f>IF(IF(ISERROR(XS_Analyzer_Calculations!AF93),"",XS_Analyzer_Calculations!AF93)&lt;&gt;MAX($F$4:$F92),IF(ISERROR(XS_Analyzer_Calculations!AF93),"",XS_Analyzer_Calculations!AF93),"")</f>
        <v/>
      </c>
      <c r="G93" s="44" t="str">
        <f>IF(F93&lt;&gt;"",IF(ISERROR(XS_Analyzer_Calculations!W93),"",XS_Analyzer_Calculations!W93),"")</f>
        <v/>
      </c>
      <c r="H93" s="2" t="str">
        <f>IF(ISERROR(XS_Analyzer_Calculations!AE93),"",XS_Analyzer_Calculations!AE93)</f>
        <v/>
      </c>
      <c r="I93" s="44" t="str">
        <f>IF(ISERROR(XS_Analyzer_Calculations!W93),"",XS_Analyzer_Calculations!W93)</f>
        <v/>
      </c>
      <c r="J93" s="44" t="str">
        <f>IF(K93&lt;&gt;"",IF(ISERROR(XS_Analyzer_Calculations!AL93:AL193),"",XS_Analyzer_Calculations!AL93:AL193),"")</f>
        <v/>
      </c>
      <c r="K93" s="29" t="str">
        <f>IF(IF(ISERROR(XS_Analyzer_Calculations!AJ93:AJ193),"",XS_Analyzer_Calculations!AJ93:AJ193)&lt;&gt;MAX($K$4:$K92),IF(ISERROR(XS_Analyzer_Calculations!AJ93:AJ193),"",XS_Analyzer_Calculations!AJ93:AJ193),"")</f>
        <v/>
      </c>
      <c r="L93" s="58" t="str">
        <f>IF(K93&lt;&gt;"",IF(ISERROR(XS_Analyzer_Calculations!X93:X193),"",XS_Analyzer_Calculations!X93:X193),"")</f>
        <v/>
      </c>
      <c r="M93" s="29" t="str">
        <f>IF(ISERROR(XS_Analyzer_Calculations!AI93:AI193),"",XS_Analyzer_Calculations!AI93:AI193)</f>
        <v/>
      </c>
      <c r="N93" s="29" t="str">
        <f>IF(ISERROR(XS_Analyzer_Calculations!X93:X193),"",XS_Analyzer_Calculations!X93:X193)</f>
        <v/>
      </c>
      <c r="X93" s="29" t="str">
        <f>IF(OR(ISERROR(XS_Analyzer_Calculations!BG92),B93="",ISERROR(XS_Analyzer_Calculations!BN92)),"",XS_Analyzer_Calculations!BN92)</f>
        <v/>
      </c>
      <c r="Y93" s="29" t="str">
        <f>IF(OR(ISERROR(XS_Analyzer_Calculations!BG92),X93=""),"",XS_Analyzer_Calculations!BH92)</f>
        <v/>
      </c>
      <c r="Z93" s="29" t="str">
        <f>IF(OR(ISERROR(XS_Analyzer_Calculations!BG92),X93=""),"",XS_Analyzer_Calculations!$O$18)</f>
        <v/>
      </c>
      <c r="AB93" s="34">
        <f>IFERROR(XS_AnalyzerSummary!AK91,0)</f>
        <v>4.9599999999999937</v>
      </c>
      <c r="AC93" s="34">
        <f>IFERROR(XS_AnalyzerSummary!AV91,0)</f>
        <v>3.7210456063439512</v>
      </c>
      <c r="AD93" s="34">
        <f>IFERROR(XS_AnalyzerSummary!AK91,0)</f>
        <v>4.9599999999999937</v>
      </c>
      <c r="AE93" s="34">
        <f>IFERROR(XS_AnalyzerSummary!AW91,0)</f>
        <v>2.4726000000000132</v>
      </c>
      <c r="AF93" s="34">
        <f>IFERROR(XS_AnalyzerSummary!AK91,0)</f>
        <v>4.9599999999999937</v>
      </c>
      <c r="AG93" s="34">
        <f>IFERROR(XS_AnalyzerSummary!BF91,0)</f>
        <v>9.9829172450517412</v>
      </c>
    </row>
    <row r="94" spans="2:33">
      <c r="B94" s="29" t="str">
        <f>IF(ISERROR(XS_Analyzer_Calculations!B94),"",XS_Analyzer_Calculations!B94)</f>
        <v/>
      </c>
      <c r="C94" s="29" t="str">
        <f>IF(ISERROR(XS_Analyzer_Calculations!C94),"",XS_Analyzer_Calculations!C94)</f>
        <v/>
      </c>
      <c r="D94" s="29" t="str">
        <f>IF(ISERROR(Data!D91),"",Data!D91)</f>
        <v/>
      </c>
      <c r="E94" s="2" t="str">
        <f>IF(F94&lt;&gt;"",IF(ISERROR(XS_Analyzer_Calculations!AH94),"",XS_Analyzer_Calculations!AH94),"")</f>
        <v/>
      </c>
      <c r="F94" s="2" t="str">
        <f>IF(IF(ISERROR(XS_Analyzer_Calculations!AF94),"",XS_Analyzer_Calculations!AF94)&lt;&gt;MAX($F$4:$F93),IF(ISERROR(XS_Analyzer_Calculations!AF94),"",XS_Analyzer_Calculations!AF94),"")</f>
        <v/>
      </c>
      <c r="G94" s="44" t="str">
        <f>IF(F94&lt;&gt;"",IF(ISERROR(XS_Analyzer_Calculations!W94),"",XS_Analyzer_Calculations!W94),"")</f>
        <v/>
      </c>
      <c r="H94" s="2" t="str">
        <f>IF(ISERROR(XS_Analyzer_Calculations!AE94),"",XS_Analyzer_Calculations!AE94)</f>
        <v/>
      </c>
      <c r="I94" s="44" t="str">
        <f>IF(ISERROR(XS_Analyzer_Calculations!W94),"",XS_Analyzer_Calculations!W94)</f>
        <v/>
      </c>
      <c r="J94" s="44" t="str">
        <f>IF(K94&lt;&gt;"",IF(ISERROR(XS_Analyzer_Calculations!AL94:AL194),"",XS_Analyzer_Calculations!AL94:AL194),"")</f>
        <v/>
      </c>
      <c r="K94" s="29" t="str">
        <f>IF(IF(ISERROR(XS_Analyzer_Calculations!AJ94:AJ194),"",XS_Analyzer_Calculations!AJ94:AJ194)&lt;&gt;MAX($K$4:$K93),IF(ISERROR(XS_Analyzer_Calculations!AJ94:AJ194),"",XS_Analyzer_Calculations!AJ94:AJ194),"")</f>
        <v/>
      </c>
      <c r="L94" s="58" t="str">
        <f>IF(K94&lt;&gt;"",IF(ISERROR(XS_Analyzer_Calculations!X94:X194),"",XS_Analyzer_Calculations!X94:X194),"")</f>
        <v/>
      </c>
      <c r="M94" s="29" t="str">
        <f>IF(ISERROR(XS_Analyzer_Calculations!AI94:AI194),"",XS_Analyzer_Calculations!AI94:AI194)</f>
        <v/>
      </c>
      <c r="N94" s="29" t="str">
        <f>IF(ISERROR(XS_Analyzer_Calculations!X94:X194),"",XS_Analyzer_Calculations!X94:X194)</f>
        <v/>
      </c>
      <c r="X94" s="29" t="str">
        <f>IF(OR(ISERROR(XS_Analyzer_Calculations!BG93),B94="",ISERROR(XS_Analyzer_Calculations!BN93)),"",XS_Analyzer_Calculations!BN93)</f>
        <v/>
      </c>
      <c r="Y94" s="29" t="str">
        <f>IF(OR(ISERROR(XS_Analyzer_Calculations!BG93),X94=""),"",XS_Analyzer_Calculations!BH93)</f>
        <v/>
      </c>
      <c r="Z94" s="29" t="str">
        <f>IF(OR(ISERROR(XS_Analyzer_Calculations!BG93),X94=""),"",XS_Analyzer_Calculations!$O$18)</f>
        <v/>
      </c>
      <c r="AB94" s="34">
        <f>IFERROR(XS_AnalyzerSummary!AK92,0)</f>
        <v>5.0049999999999937</v>
      </c>
      <c r="AC94" s="34">
        <f>IFERROR(XS_AnalyzerSummary!AV92,0)</f>
        <v>3.9131708978825612</v>
      </c>
      <c r="AD94" s="34">
        <f>IFERROR(XS_AnalyzerSummary!AK92,0)</f>
        <v>5.0049999999999937</v>
      </c>
      <c r="AE94" s="34">
        <f>IFERROR(XS_AnalyzerSummary!AW92,0)</f>
        <v>2.6665491810600259</v>
      </c>
      <c r="AF94" s="34">
        <f>IFERROR(XS_AnalyzerSummary!AK92,0)</f>
        <v>5.0049999999999937</v>
      </c>
      <c r="AG94" s="34">
        <f>IFERROR(XS_AnalyzerSummary!BF92,0)</f>
        <v>10.03943462534127</v>
      </c>
    </row>
    <row r="95" spans="2:33">
      <c r="B95" s="29" t="str">
        <f>IF(ISERROR(XS_Analyzer_Calculations!B95),"",XS_Analyzer_Calculations!B95)</f>
        <v/>
      </c>
      <c r="C95" s="29" t="str">
        <f>IF(ISERROR(XS_Analyzer_Calculations!C95),"",XS_Analyzer_Calculations!C95)</f>
        <v/>
      </c>
      <c r="D95" s="29" t="str">
        <f>IF(ISERROR(Data!D92),"",Data!D92)</f>
        <v/>
      </c>
      <c r="E95" s="2" t="str">
        <f>IF(F95&lt;&gt;"",IF(ISERROR(XS_Analyzer_Calculations!AH95),"",XS_Analyzer_Calculations!AH95),"")</f>
        <v/>
      </c>
      <c r="F95" s="2" t="str">
        <f>IF(IF(ISERROR(XS_Analyzer_Calculations!AF95),"",XS_Analyzer_Calculations!AF95)&lt;&gt;MAX($F$4:$F94),IF(ISERROR(XS_Analyzer_Calculations!AF95),"",XS_Analyzer_Calculations!AF95),"")</f>
        <v/>
      </c>
      <c r="G95" s="44" t="str">
        <f>IF(F95&lt;&gt;"",IF(ISERROR(XS_Analyzer_Calculations!W95),"",XS_Analyzer_Calculations!W95),"")</f>
        <v/>
      </c>
      <c r="H95" s="2" t="str">
        <f>IF(ISERROR(XS_Analyzer_Calculations!AE95),"",XS_Analyzer_Calculations!AE95)</f>
        <v/>
      </c>
      <c r="I95" s="44" t="str">
        <f>IF(ISERROR(XS_Analyzer_Calculations!W95),"",XS_Analyzer_Calculations!W95)</f>
        <v/>
      </c>
      <c r="J95" s="44" t="str">
        <f>IF(K95&lt;&gt;"",IF(ISERROR(XS_Analyzer_Calculations!AL95:AL195),"",XS_Analyzer_Calculations!AL95:AL195),"")</f>
        <v/>
      </c>
      <c r="K95" s="29" t="str">
        <f>IF(IF(ISERROR(XS_Analyzer_Calculations!AJ95:AJ195),"",XS_Analyzer_Calculations!AJ95:AJ195)&lt;&gt;MAX($K$4:$K94),IF(ISERROR(XS_Analyzer_Calculations!AJ95:AJ195),"",XS_Analyzer_Calculations!AJ95:AJ195),"")</f>
        <v/>
      </c>
      <c r="L95" s="58" t="str">
        <f>IF(K95&lt;&gt;"",IF(ISERROR(XS_Analyzer_Calculations!X95:X195),"",XS_Analyzer_Calculations!X95:X195),"")</f>
        <v/>
      </c>
      <c r="M95" s="29" t="str">
        <f>IF(ISERROR(XS_Analyzer_Calculations!AI95:AI195),"",XS_Analyzer_Calculations!AI95:AI195)</f>
        <v/>
      </c>
      <c r="N95" s="29" t="str">
        <f>IF(ISERROR(XS_Analyzer_Calculations!X95:X195),"",XS_Analyzer_Calculations!X95:X195)</f>
        <v/>
      </c>
      <c r="X95" s="29" t="str">
        <f>IF(OR(ISERROR(XS_Analyzer_Calculations!BG94),B95="",ISERROR(XS_Analyzer_Calculations!BN94)),"",XS_Analyzer_Calculations!BN94)</f>
        <v/>
      </c>
      <c r="Y95" s="29" t="str">
        <f>IF(OR(ISERROR(XS_Analyzer_Calculations!BG94),X95=""),"",XS_Analyzer_Calculations!BH94)</f>
        <v/>
      </c>
      <c r="Z95" s="29" t="str">
        <f>IF(OR(ISERROR(XS_Analyzer_Calculations!BG94),X95=""),"",XS_Analyzer_Calculations!$O$18)</f>
        <v/>
      </c>
      <c r="AB95" s="34">
        <f>IFERROR(XS_AnalyzerSummary!AK93,0)</f>
        <v>5.0499999999999936</v>
      </c>
      <c r="AC95" s="34">
        <f>IFERROR(XS_AnalyzerSummary!AV93,0)</f>
        <v>3.8990240466614683</v>
      </c>
      <c r="AD95" s="34">
        <f>IFERROR(XS_AnalyzerSummary!AK93,0)</f>
        <v>5.0499999999999936</v>
      </c>
      <c r="AE95" s="34">
        <f>IFERROR(XS_AnalyzerSummary!AW93,0)</f>
        <v>2.6521021402475982</v>
      </c>
      <c r="AF95" s="34">
        <f>IFERROR(XS_AnalyzerSummary!AK93,0)</f>
        <v>5.0499999999999936</v>
      </c>
      <c r="AG95" s="34">
        <f>IFERROR(XS_AnalyzerSummary!BF93,0)</f>
        <v>9.9829172450517589</v>
      </c>
    </row>
    <row r="96" spans="2:33">
      <c r="B96" s="29" t="str">
        <f>IF(ISERROR(XS_Analyzer_Calculations!B96),"",XS_Analyzer_Calculations!B96)</f>
        <v/>
      </c>
      <c r="C96" s="29" t="str">
        <f>IF(ISERROR(XS_Analyzer_Calculations!C96),"",XS_Analyzer_Calculations!C96)</f>
        <v/>
      </c>
      <c r="D96" s="29" t="str">
        <f>IF(ISERROR(Data!D93),"",Data!D93)</f>
        <v/>
      </c>
      <c r="E96" s="2" t="str">
        <f>IF(F96&lt;&gt;"",IF(ISERROR(XS_Analyzer_Calculations!AH96),"",XS_Analyzer_Calculations!AH96),"")</f>
        <v/>
      </c>
      <c r="F96" s="2" t="str">
        <f>IF(IF(ISERROR(XS_Analyzer_Calculations!AF96),"",XS_Analyzer_Calculations!AF96)&lt;&gt;MAX($F$4:$F95),IF(ISERROR(XS_Analyzer_Calculations!AF96),"",XS_Analyzer_Calculations!AF96),"")</f>
        <v/>
      </c>
      <c r="G96" s="44" t="str">
        <f>IF(F96&lt;&gt;"",IF(ISERROR(XS_Analyzer_Calculations!W96),"",XS_Analyzer_Calculations!W96),"")</f>
        <v/>
      </c>
      <c r="H96" s="2" t="str">
        <f>IF(ISERROR(XS_Analyzer_Calculations!AE96),"",XS_Analyzer_Calculations!AE96)</f>
        <v/>
      </c>
      <c r="I96" s="44" t="str">
        <f>IF(ISERROR(XS_Analyzer_Calculations!W96),"",XS_Analyzer_Calculations!W96)</f>
        <v/>
      </c>
      <c r="J96" s="44" t="str">
        <f>IF(K96&lt;&gt;"",IF(ISERROR(XS_Analyzer_Calculations!AL96:AL196),"",XS_Analyzer_Calculations!AL96:AL196),"")</f>
        <v/>
      </c>
      <c r="K96" s="29" t="str">
        <f>IF(IF(ISERROR(XS_Analyzer_Calculations!AJ96:AJ196),"",XS_Analyzer_Calculations!AJ96:AJ196)&lt;&gt;MAX($K$4:$K95),IF(ISERROR(XS_Analyzer_Calculations!AJ96:AJ196),"",XS_Analyzer_Calculations!AJ96:AJ196),"")</f>
        <v/>
      </c>
      <c r="L96" s="58" t="str">
        <f>IF(K96&lt;&gt;"",IF(ISERROR(XS_Analyzer_Calculations!X96:X196),"",XS_Analyzer_Calculations!X96:X196),"")</f>
        <v/>
      </c>
      <c r="M96" s="29" t="str">
        <f>IF(ISERROR(XS_Analyzer_Calculations!AI96:AI196),"",XS_Analyzer_Calculations!AI96:AI196)</f>
        <v/>
      </c>
      <c r="N96" s="29" t="str">
        <f>IF(ISERROR(XS_Analyzer_Calculations!X96:X196),"",XS_Analyzer_Calculations!X96:X196)</f>
        <v/>
      </c>
      <c r="X96" s="29" t="str">
        <f>IF(OR(ISERROR(XS_Analyzer_Calculations!BG95),B96="",ISERROR(XS_Analyzer_Calculations!BN95)),"",XS_Analyzer_Calculations!BN95)</f>
        <v/>
      </c>
      <c r="Y96" s="29" t="str">
        <f>IF(OR(ISERROR(XS_Analyzer_Calculations!BG95),X96=""),"",XS_Analyzer_Calculations!BH95)</f>
        <v/>
      </c>
      <c r="Z96" s="29" t="str">
        <f>IF(OR(ISERROR(XS_Analyzer_Calculations!BG95),X96=""),"",XS_Analyzer_Calculations!$O$18)</f>
        <v/>
      </c>
      <c r="AB96" s="34">
        <f>IFERROR(XS_AnalyzerSummary!AK94,0)</f>
        <v>5.0949999999999935</v>
      </c>
      <c r="AC96" s="34">
        <f>IFERROR(XS_AnalyzerSummary!AV94,0)</f>
        <v>3.8848514841396535</v>
      </c>
      <c r="AD96" s="34">
        <f>IFERROR(XS_AnalyzerSummary!AK94,0)</f>
        <v>5.0949999999999935</v>
      </c>
      <c r="AE96" s="34">
        <f>IFERROR(XS_AnalyzerSummary!AW94,0)</f>
        <v>2.6376550994351935</v>
      </c>
      <c r="AF96" s="34">
        <f>IFERROR(XS_AnalyzerSummary!AK94,0)</f>
        <v>5.0949999999999935</v>
      </c>
      <c r="AG96" s="34">
        <f>IFERROR(XS_AnalyzerSummary!BF94,0)</f>
        <v>9.9264127588682047</v>
      </c>
    </row>
    <row r="97" spans="2:33">
      <c r="B97" s="29" t="str">
        <f>IF(ISERROR(XS_Analyzer_Calculations!B97),"",XS_Analyzer_Calculations!B97)</f>
        <v/>
      </c>
      <c r="C97" s="29" t="str">
        <f>IF(ISERROR(XS_Analyzer_Calculations!C97),"",XS_Analyzer_Calculations!C97)</f>
        <v/>
      </c>
      <c r="D97" s="29" t="str">
        <f>IF(ISERROR(Data!D94),"",Data!D94)</f>
        <v/>
      </c>
      <c r="E97" s="2" t="str">
        <f>IF(F97&lt;&gt;"",IF(ISERROR(XS_Analyzer_Calculations!AH97),"",XS_Analyzer_Calculations!AH97),"")</f>
        <v/>
      </c>
      <c r="F97" s="2" t="str">
        <f>IF(IF(ISERROR(XS_Analyzer_Calculations!AF97),"",XS_Analyzer_Calculations!AF97)&lt;&gt;MAX($F$4:$F96),IF(ISERROR(XS_Analyzer_Calculations!AF97),"",XS_Analyzer_Calculations!AF97),"")</f>
        <v/>
      </c>
      <c r="G97" s="44" t="str">
        <f>IF(F97&lt;&gt;"",IF(ISERROR(XS_Analyzer_Calculations!W97),"",XS_Analyzer_Calculations!W97),"")</f>
        <v/>
      </c>
      <c r="H97" s="2" t="str">
        <f>IF(ISERROR(XS_Analyzer_Calculations!AE97),"",XS_Analyzer_Calculations!AE97)</f>
        <v/>
      </c>
      <c r="I97" s="44" t="str">
        <f>IF(ISERROR(XS_Analyzer_Calculations!W97),"",XS_Analyzer_Calculations!W97)</f>
        <v/>
      </c>
      <c r="J97" s="44" t="str">
        <f>IF(K97&lt;&gt;"",IF(ISERROR(XS_Analyzer_Calculations!AL97:AL197),"",XS_Analyzer_Calculations!AL97:AL197),"")</f>
        <v/>
      </c>
      <c r="K97" s="29" t="str">
        <f>IF(IF(ISERROR(XS_Analyzer_Calculations!AJ97:AJ197),"",XS_Analyzer_Calculations!AJ97:AJ197)&lt;&gt;MAX($K$4:$K96),IF(ISERROR(XS_Analyzer_Calculations!AJ97:AJ197),"",XS_Analyzer_Calculations!AJ97:AJ197),"")</f>
        <v/>
      </c>
      <c r="L97" s="58" t="str">
        <f>IF(K97&lt;&gt;"",IF(ISERROR(XS_Analyzer_Calculations!X97:X197),"",XS_Analyzer_Calculations!X97:X197),"")</f>
        <v/>
      </c>
      <c r="M97" s="29" t="str">
        <f>IF(ISERROR(XS_Analyzer_Calculations!AI97:AI197),"",XS_Analyzer_Calculations!AI97:AI197)</f>
        <v/>
      </c>
      <c r="N97" s="29" t="str">
        <f>IF(ISERROR(XS_Analyzer_Calculations!X97:X197),"",XS_Analyzer_Calculations!X97:X197)</f>
        <v/>
      </c>
      <c r="X97" s="29" t="str">
        <f>IF(OR(ISERROR(XS_Analyzer_Calculations!BG96),B97="",ISERROR(XS_Analyzer_Calculations!BN96)),"",XS_Analyzer_Calculations!BN96)</f>
        <v/>
      </c>
      <c r="Y97" s="29" t="str">
        <f>IF(OR(ISERROR(XS_Analyzer_Calculations!BG96),X97=""),"",XS_Analyzer_Calculations!BH96)</f>
        <v/>
      </c>
      <c r="Z97" s="29" t="str">
        <f>IF(OR(ISERROR(XS_Analyzer_Calculations!BG96),X97=""),"",XS_Analyzer_Calculations!$O$18)</f>
        <v/>
      </c>
      <c r="AB97" s="34">
        <f>IFERROR(XS_AnalyzerSummary!AK95,0)</f>
        <v>5.1399999999999935</v>
      </c>
      <c r="AC97" s="34">
        <f>IFERROR(XS_AnalyzerSummary!AV95,0)</f>
        <v>3.8706530223747957</v>
      </c>
      <c r="AD97" s="34">
        <f>IFERROR(XS_AnalyzerSummary!AK95,0)</f>
        <v>5.1399999999999935</v>
      </c>
      <c r="AE97" s="34">
        <f>IFERROR(XS_AnalyzerSummary!AW95,0)</f>
        <v>2.6232080586227879</v>
      </c>
      <c r="AF97" s="34">
        <f>IFERROR(XS_AnalyzerSummary!AK95,0)</f>
        <v>5.1399999999999935</v>
      </c>
      <c r="AG97" s="34">
        <f>IFERROR(XS_AnalyzerSummary!BF95,0)</f>
        <v>9.8699212342565161</v>
      </c>
    </row>
    <row r="98" spans="2:33">
      <c r="B98" s="29" t="str">
        <f>IF(ISERROR(XS_Analyzer_Calculations!B98),"",XS_Analyzer_Calculations!B98)</f>
        <v/>
      </c>
      <c r="C98" s="29" t="str">
        <f>IF(ISERROR(XS_Analyzer_Calculations!C98),"",XS_Analyzer_Calculations!C98)</f>
        <v/>
      </c>
      <c r="D98" s="29" t="str">
        <f>IF(ISERROR(Data!D95),"",Data!D95)</f>
        <v/>
      </c>
      <c r="E98" s="2" t="str">
        <f>IF(F98&lt;&gt;"",IF(ISERROR(XS_Analyzer_Calculations!AH98),"",XS_Analyzer_Calculations!AH98),"")</f>
        <v/>
      </c>
      <c r="F98" s="2" t="str">
        <f>IF(IF(ISERROR(XS_Analyzer_Calculations!AF98),"",XS_Analyzer_Calculations!AF98)&lt;&gt;MAX($F$4:$F97),IF(ISERROR(XS_Analyzer_Calculations!AF98),"",XS_Analyzer_Calculations!AF98),"")</f>
        <v/>
      </c>
      <c r="G98" s="44" t="str">
        <f>IF(F98&lt;&gt;"",IF(ISERROR(XS_Analyzer_Calculations!W98),"",XS_Analyzer_Calculations!W98),"")</f>
        <v/>
      </c>
      <c r="H98" s="2" t="str">
        <f>IF(ISERROR(XS_Analyzer_Calculations!AE98),"",XS_Analyzer_Calculations!AE98)</f>
        <v/>
      </c>
      <c r="I98" s="44" t="str">
        <f>IF(ISERROR(XS_Analyzer_Calculations!W98),"",XS_Analyzer_Calculations!W98)</f>
        <v/>
      </c>
      <c r="J98" s="44" t="str">
        <f>IF(K98&lt;&gt;"",IF(ISERROR(XS_Analyzer_Calculations!AL98:AL198),"",XS_Analyzer_Calculations!AL98:AL198),"")</f>
        <v/>
      </c>
      <c r="K98" s="29" t="str">
        <f>IF(IF(ISERROR(XS_Analyzer_Calculations!AJ98:AJ198),"",XS_Analyzer_Calculations!AJ98:AJ198)&lt;&gt;MAX($K$4:$K97),IF(ISERROR(XS_Analyzer_Calculations!AJ98:AJ198),"",XS_Analyzer_Calculations!AJ98:AJ198),"")</f>
        <v/>
      </c>
      <c r="L98" s="58" t="str">
        <f>IF(K98&lt;&gt;"",IF(ISERROR(XS_Analyzer_Calculations!X98:X198),"",XS_Analyzer_Calculations!X98:X198),"")</f>
        <v/>
      </c>
      <c r="M98" s="29" t="str">
        <f>IF(ISERROR(XS_Analyzer_Calculations!AI98:AI198),"",XS_Analyzer_Calculations!AI98:AI198)</f>
        <v/>
      </c>
      <c r="N98" s="29" t="str">
        <f>IF(ISERROR(XS_Analyzer_Calculations!X98:X198),"",XS_Analyzer_Calculations!X98:X198)</f>
        <v/>
      </c>
      <c r="X98" s="29" t="str">
        <f>IF(OR(ISERROR(XS_Analyzer_Calculations!BG97),B98="",ISERROR(XS_Analyzer_Calculations!BN97)),"",XS_Analyzer_Calculations!BN97)</f>
        <v/>
      </c>
      <c r="Y98" s="29" t="str">
        <f>IF(OR(ISERROR(XS_Analyzer_Calculations!BG97),X98=""),"",XS_Analyzer_Calculations!BH97)</f>
        <v/>
      </c>
      <c r="Z98" s="29" t="str">
        <f>IF(OR(ISERROR(XS_Analyzer_Calculations!BG97),X98=""),"",XS_Analyzer_Calculations!$O$18)</f>
        <v/>
      </c>
      <c r="AB98" s="34">
        <f>IFERROR(XS_AnalyzerSummary!AK96,0)</f>
        <v>5.1849999999999934</v>
      </c>
      <c r="AC98" s="34">
        <f>IFERROR(XS_AnalyzerSummary!AV96,0)</f>
        <v>3.8564284710071792</v>
      </c>
      <c r="AD98" s="34">
        <f>IFERROR(XS_AnalyzerSummary!AK96,0)</f>
        <v>5.1849999999999934</v>
      </c>
      <c r="AE98" s="34">
        <f>IFERROR(XS_AnalyzerSummary!AW96,0)</f>
        <v>2.6087610178103833</v>
      </c>
      <c r="AF98" s="34">
        <f>IFERROR(XS_AnalyzerSummary!AK96,0)</f>
        <v>5.1849999999999934</v>
      </c>
      <c r="AG98" s="34">
        <f>IFERROR(XS_AnalyzerSummary!BF96,0)</f>
        <v>9.813442739408055</v>
      </c>
    </row>
    <row r="99" spans="2:33">
      <c r="B99" s="29" t="str">
        <f>IF(ISERROR(XS_Analyzer_Calculations!B99),"",XS_Analyzer_Calculations!B99)</f>
        <v/>
      </c>
      <c r="C99" s="29" t="str">
        <f>IF(ISERROR(XS_Analyzer_Calculations!C99),"",XS_Analyzer_Calculations!C99)</f>
        <v/>
      </c>
      <c r="D99" s="29" t="str">
        <f>IF(ISERROR(Data!D96),"",Data!D96)</f>
        <v/>
      </c>
      <c r="E99" s="2" t="str">
        <f>IF(F99&lt;&gt;"",IF(ISERROR(XS_Analyzer_Calculations!AH99),"",XS_Analyzer_Calculations!AH99),"")</f>
        <v/>
      </c>
      <c r="F99" s="2" t="str">
        <f>IF(IF(ISERROR(XS_Analyzer_Calculations!AF99),"",XS_Analyzer_Calculations!AF99)&lt;&gt;MAX($F$4:$F98),IF(ISERROR(XS_Analyzer_Calculations!AF99),"",XS_Analyzer_Calculations!AF99),"")</f>
        <v/>
      </c>
      <c r="G99" s="44" t="str">
        <f>IF(F99&lt;&gt;"",IF(ISERROR(XS_Analyzer_Calculations!W99),"",XS_Analyzer_Calculations!W99),"")</f>
        <v/>
      </c>
      <c r="H99" s="2" t="str">
        <f>IF(ISERROR(XS_Analyzer_Calculations!AE99),"",XS_Analyzer_Calculations!AE99)</f>
        <v/>
      </c>
      <c r="I99" s="44" t="str">
        <f>IF(ISERROR(XS_Analyzer_Calculations!W99),"",XS_Analyzer_Calculations!W99)</f>
        <v/>
      </c>
      <c r="J99" s="44" t="str">
        <f>IF(K99&lt;&gt;"",IF(ISERROR(XS_Analyzer_Calculations!AL99:AL199),"",XS_Analyzer_Calculations!AL99:AL199),"")</f>
        <v/>
      </c>
      <c r="K99" s="29" t="str">
        <f>IF(IF(ISERROR(XS_Analyzer_Calculations!AJ99:AJ199),"",XS_Analyzer_Calculations!AJ99:AJ199)&lt;&gt;MAX($K$4:$K98),IF(ISERROR(XS_Analyzer_Calculations!AJ99:AJ199),"",XS_Analyzer_Calculations!AJ99:AJ199),"")</f>
        <v/>
      </c>
      <c r="L99" s="58" t="str">
        <f>IF(K99&lt;&gt;"",IF(ISERROR(XS_Analyzer_Calculations!X99:X199),"",XS_Analyzer_Calculations!X99:X199),"")</f>
        <v/>
      </c>
      <c r="M99" s="29" t="str">
        <f>IF(ISERROR(XS_Analyzer_Calculations!AI99:AI199),"",XS_Analyzer_Calculations!AI99:AI199)</f>
        <v/>
      </c>
      <c r="N99" s="29" t="str">
        <f>IF(ISERROR(XS_Analyzer_Calculations!X99:X199),"",XS_Analyzer_Calculations!X99:X199)</f>
        <v/>
      </c>
      <c r="X99" s="29" t="str">
        <f>IF(OR(ISERROR(XS_Analyzer_Calculations!BG98),B99="",ISERROR(XS_Analyzer_Calculations!BN98)),"",XS_Analyzer_Calculations!BN98)</f>
        <v/>
      </c>
      <c r="Y99" s="29" t="str">
        <f>IF(OR(ISERROR(XS_Analyzer_Calculations!BG98),X99=""),"",XS_Analyzer_Calculations!BH98)</f>
        <v/>
      </c>
      <c r="Z99" s="29" t="str">
        <f>IF(OR(ISERROR(XS_Analyzer_Calculations!BG98),X99=""),"",XS_Analyzer_Calculations!$O$18)</f>
        <v/>
      </c>
      <c r="AB99" s="34">
        <f>IFERROR(XS_AnalyzerSummary!AK97,0)</f>
        <v>5.2299999999999933</v>
      </c>
      <c r="AC99" s="34">
        <f>IFERROR(XS_AnalyzerSummary!AV97,0)</f>
        <v>3.842177637215018</v>
      </c>
      <c r="AD99" s="34">
        <f>IFERROR(XS_AnalyzerSummary!AK97,0)</f>
        <v>5.2299999999999933</v>
      </c>
      <c r="AE99" s="34">
        <f>IFERROR(XS_AnalyzerSummary!AW97,0)</f>
        <v>2.5943139769980008</v>
      </c>
      <c r="AF99" s="34">
        <f>IFERROR(XS_AnalyzerSummary!AK97,0)</f>
        <v>5.2299999999999933</v>
      </c>
      <c r="AG99" s="34">
        <f>IFERROR(XS_AnalyzerSummary!BF97,0)</f>
        <v>9.7569773432514779</v>
      </c>
    </row>
    <row r="100" spans="2:33">
      <c r="B100" s="29" t="str">
        <f>IF(ISERROR(XS_Analyzer_Calculations!B100),"",XS_Analyzer_Calculations!B100)</f>
        <v/>
      </c>
      <c r="C100" s="29" t="str">
        <f>IF(ISERROR(XS_Analyzer_Calculations!C100),"",XS_Analyzer_Calculations!C100)</f>
        <v/>
      </c>
      <c r="D100" s="29" t="str">
        <f>IF(ISERROR(Data!D97),"",Data!D97)</f>
        <v/>
      </c>
      <c r="E100" s="2" t="str">
        <f>IF(F100&lt;&gt;"",IF(ISERROR(XS_Analyzer_Calculations!AH100),"",XS_Analyzer_Calculations!AH100),"")</f>
        <v/>
      </c>
      <c r="F100" s="2" t="str">
        <f>IF(IF(ISERROR(XS_Analyzer_Calculations!AF100),"",XS_Analyzer_Calculations!AF100)&lt;&gt;MAX($F$4:$F99),IF(ISERROR(XS_Analyzer_Calculations!AF100),"",XS_Analyzer_Calculations!AF100),"")</f>
        <v/>
      </c>
      <c r="G100" s="44" t="str">
        <f>IF(F100&lt;&gt;"",IF(ISERROR(XS_Analyzer_Calculations!W100),"",XS_Analyzer_Calculations!W100),"")</f>
        <v/>
      </c>
      <c r="H100" s="2" t="str">
        <f>IF(ISERROR(XS_Analyzer_Calculations!AE100),"",XS_Analyzer_Calculations!AE100)</f>
        <v/>
      </c>
      <c r="I100" s="44" t="str">
        <f>IF(ISERROR(XS_Analyzer_Calculations!W100),"",XS_Analyzer_Calculations!W100)</f>
        <v/>
      </c>
      <c r="J100" s="44" t="str">
        <f>IF(K100&lt;&gt;"",IF(ISERROR(XS_Analyzer_Calculations!AL100:AL200),"",XS_Analyzer_Calculations!AL100:AL200),"")</f>
        <v/>
      </c>
      <c r="K100" s="29" t="str">
        <f>IF(IF(ISERROR(XS_Analyzer_Calculations!AJ100:AJ200),"",XS_Analyzer_Calculations!AJ100:AJ200)&lt;&gt;MAX($K$4:$K99),IF(ISERROR(XS_Analyzer_Calculations!AJ100:AJ200),"",XS_Analyzer_Calculations!AJ100:AJ200),"")</f>
        <v/>
      </c>
      <c r="L100" s="58" t="str">
        <f>IF(K100&lt;&gt;"",IF(ISERROR(XS_Analyzer_Calculations!X100:X200),"",XS_Analyzer_Calculations!X100:X200),"")</f>
        <v/>
      </c>
      <c r="M100" s="29" t="str">
        <f>IF(ISERROR(XS_Analyzer_Calculations!AI100:AI200),"",XS_Analyzer_Calculations!AI100:AI200)</f>
        <v/>
      </c>
      <c r="N100" s="29" t="str">
        <f>IF(ISERROR(XS_Analyzer_Calculations!X100:X200),"",XS_Analyzer_Calculations!X100:X200)</f>
        <v/>
      </c>
      <c r="X100" s="29" t="str">
        <f>IF(OR(ISERROR(XS_Analyzer_Calculations!BG99),B100="",ISERROR(XS_Analyzer_Calculations!BN99)),"",XS_Analyzer_Calculations!BN99)</f>
        <v/>
      </c>
      <c r="Y100" s="29" t="str">
        <f>IF(OR(ISERROR(XS_Analyzer_Calculations!BG99),X100=""),"",XS_Analyzer_Calculations!BH99)</f>
        <v/>
      </c>
      <c r="Z100" s="29" t="str">
        <f>IF(OR(ISERROR(XS_Analyzer_Calculations!BG99),X100=""),"",XS_Analyzer_Calculations!$O$18)</f>
        <v/>
      </c>
      <c r="AB100" s="34">
        <f>IFERROR(XS_AnalyzerSummary!AK98,0)</f>
        <v>5.2749999999999932</v>
      </c>
      <c r="AC100" s="34">
        <f>IFERROR(XS_AnalyzerSummary!AV98,0)</f>
        <v>3.8279003256686073</v>
      </c>
      <c r="AD100" s="34">
        <f>IFERROR(XS_AnalyzerSummary!AK98,0)</f>
        <v>5.2749999999999932</v>
      </c>
      <c r="AE100" s="34">
        <f>IFERROR(XS_AnalyzerSummary!AW98,0)</f>
        <v>2.5798669361855731</v>
      </c>
      <c r="AF100" s="34">
        <f>IFERROR(XS_AnalyzerSummary!AK98,0)</f>
        <v>5.2749999999999932</v>
      </c>
      <c r="AG100" s="34">
        <f>IFERROR(XS_AnalyzerSummary!BF98,0)</f>
        <v>9.7005251154648402</v>
      </c>
    </row>
    <row r="101" spans="2:33">
      <c r="B101" s="29" t="str">
        <f>IF(ISERROR(XS_Analyzer_Calculations!B101),"",XS_Analyzer_Calculations!B101)</f>
        <v/>
      </c>
      <c r="C101" s="29" t="str">
        <f>IF(ISERROR(XS_Analyzer_Calculations!C101),"",XS_Analyzer_Calculations!C101)</f>
        <v/>
      </c>
      <c r="D101" s="29" t="str">
        <f>IF(ISERROR(Data!D98),"",Data!D98)</f>
        <v/>
      </c>
      <c r="E101" s="2" t="str">
        <f>IF(F101&lt;&gt;"",IF(ISERROR(XS_Analyzer_Calculations!AH101),"",XS_Analyzer_Calculations!AH101),"")</f>
        <v/>
      </c>
      <c r="F101" s="2" t="str">
        <f>IF(IF(ISERROR(XS_Analyzer_Calculations!AF101),"",XS_Analyzer_Calculations!AF101)&lt;&gt;MAX($F$4:$F100),IF(ISERROR(XS_Analyzer_Calculations!AF101),"",XS_Analyzer_Calculations!AF101),"")</f>
        <v/>
      </c>
      <c r="G101" s="44" t="str">
        <f>IF(F101&lt;&gt;"",IF(ISERROR(XS_Analyzer_Calculations!W101),"",XS_Analyzer_Calculations!W101),"")</f>
        <v/>
      </c>
      <c r="H101" s="2" t="str">
        <f>IF(ISERROR(XS_Analyzer_Calculations!AE101),"",XS_Analyzer_Calculations!AE101)</f>
        <v/>
      </c>
      <c r="I101" s="44" t="str">
        <f>IF(ISERROR(XS_Analyzer_Calculations!W101),"",XS_Analyzer_Calculations!W101)</f>
        <v/>
      </c>
      <c r="J101" s="44" t="str">
        <f>IF(K101&lt;&gt;"",IF(ISERROR(XS_Analyzer_Calculations!AL101:AL201),"",XS_Analyzer_Calculations!AL101:AL201),"")</f>
        <v/>
      </c>
      <c r="K101" s="29" t="str">
        <f>IF(IF(ISERROR(XS_Analyzer_Calculations!AJ101:AJ201),"",XS_Analyzer_Calculations!AJ101:AJ201)&lt;&gt;MAX($K$4:$K100),IF(ISERROR(XS_Analyzer_Calculations!AJ101:AJ201),"",XS_Analyzer_Calculations!AJ101:AJ201),"")</f>
        <v/>
      </c>
      <c r="L101" s="58" t="str">
        <f>IF(K101&lt;&gt;"",IF(ISERROR(XS_Analyzer_Calculations!X101:X201),"",XS_Analyzer_Calculations!X101:X201),"")</f>
        <v/>
      </c>
      <c r="M101" s="29" t="str">
        <f>IF(ISERROR(XS_Analyzer_Calculations!AI101:AI201),"",XS_Analyzer_Calculations!AI101:AI201)</f>
        <v/>
      </c>
      <c r="N101" s="29" t="str">
        <f>IF(ISERROR(XS_Analyzer_Calculations!X101:X201),"",XS_Analyzer_Calculations!X101:X201)</f>
        <v/>
      </c>
      <c r="X101" s="29" t="str">
        <f>IF(OR(ISERROR(XS_Analyzer_Calculations!BG100),B101="",ISERROR(XS_Analyzer_Calculations!BN100)),"",XS_Analyzer_Calculations!BN100)</f>
        <v/>
      </c>
      <c r="Y101" s="29" t="str">
        <f>IF(OR(ISERROR(XS_Analyzer_Calculations!BG100),X101=""),"",XS_Analyzer_Calculations!BH100)</f>
        <v/>
      </c>
      <c r="Z101" s="29" t="str">
        <f>IF(OR(ISERROR(XS_Analyzer_Calculations!BG100),X101=""),"",XS_Analyzer_Calculations!$O$18)</f>
        <v/>
      </c>
      <c r="AB101" s="34">
        <f>IFERROR(XS_AnalyzerSummary!AK99,0)</f>
        <v>5.3199999999999932</v>
      </c>
      <c r="AC101" s="34">
        <f>IFERROR(XS_AnalyzerSummary!AV99,0)</f>
        <v>3.8135963384836811</v>
      </c>
      <c r="AD101" s="34">
        <f>IFERROR(XS_AnalyzerSummary!AK99,0)</f>
        <v>5.3199999999999932</v>
      </c>
      <c r="AE101" s="34">
        <f>IFERROR(XS_AnalyzerSummary!AW99,0)</f>
        <v>2.5654198953731684</v>
      </c>
      <c r="AF101" s="34">
        <f>IFERROR(XS_AnalyzerSummary!AK99,0)</f>
        <v>5.3199999999999932</v>
      </c>
      <c r="AG101" s="34">
        <f>IFERROR(XS_AnalyzerSummary!BF99,0)</f>
        <v>9.644086126487986</v>
      </c>
    </row>
    <row r="102" spans="2:33">
      <c r="B102" s="29" t="str">
        <f>IF(ISERROR(XS_Analyzer_Calculations!B102),"",XS_Analyzer_Calculations!B102)</f>
        <v/>
      </c>
      <c r="C102" s="29" t="str">
        <f>IF(ISERROR(XS_Analyzer_Calculations!C102),"",XS_Analyzer_Calculations!C102)</f>
        <v/>
      </c>
      <c r="D102" s="29" t="str">
        <f>IF(ISERROR(Data!D99),"",Data!D99)</f>
        <v/>
      </c>
      <c r="E102" s="2" t="str">
        <f>IF(F102&lt;&gt;"",IF(ISERROR(XS_Analyzer_Calculations!AH102),"",XS_Analyzer_Calculations!AH102),"")</f>
        <v/>
      </c>
      <c r="F102" s="2" t="str">
        <f>IF(IF(ISERROR(XS_Analyzer_Calculations!AF102),"",XS_Analyzer_Calculations!AF102)&lt;&gt;MAX($F$4:$F101),IF(ISERROR(XS_Analyzer_Calculations!AF102),"",XS_Analyzer_Calculations!AF102),"")</f>
        <v/>
      </c>
      <c r="G102" s="44" t="str">
        <f>IF(F102&lt;&gt;"",IF(ISERROR(XS_Analyzer_Calculations!W102),"",XS_Analyzer_Calculations!W102),"")</f>
        <v/>
      </c>
      <c r="H102" s="2" t="str">
        <f>IF(ISERROR(XS_Analyzer_Calculations!AE102),"",XS_Analyzer_Calculations!AE102)</f>
        <v/>
      </c>
      <c r="I102" s="44" t="str">
        <f>IF(ISERROR(XS_Analyzer_Calculations!W102),"",XS_Analyzer_Calculations!W102)</f>
        <v/>
      </c>
      <c r="J102" s="44" t="str">
        <f>IF(K102&lt;&gt;"",IF(ISERROR(XS_Analyzer_Calculations!AL102:AL202),"",XS_Analyzer_Calculations!AL102:AL202),"")</f>
        <v/>
      </c>
      <c r="K102" s="29" t="str">
        <f>IF(IF(ISERROR(XS_Analyzer_Calculations!AJ102:AJ202),"",XS_Analyzer_Calculations!AJ102:AJ202)&lt;&gt;MAX($K$4:$K101),IF(ISERROR(XS_Analyzer_Calculations!AJ102:AJ202),"",XS_Analyzer_Calculations!AJ102:AJ202),"")</f>
        <v/>
      </c>
      <c r="L102" s="58" t="str">
        <f>IF(K102&lt;&gt;"",IF(ISERROR(XS_Analyzer_Calculations!X102:X202),"",XS_Analyzer_Calculations!X102:X202),"")</f>
        <v/>
      </c>
      <c r="M102" s="29" t="str">
        <f>IF(ISERROR(XS_Analyzer_Calculations!AI102:AI202),"",XS_Analyzer_Calculations!AI102:AI202)</f>
        <v/>
      </c>
      <c r="N102" s="29" t="str">
        <f>IF(ISERROR(XS_Analyzer_Calculations!X102:X202),"",XS_Analyzer_Calculations!X102:X202)</f>
        <v/>
      </c>
      <c r="X102" s="29" t="str">
        <f>IF(OR(ISERROR(XS_Analyzer_Calculations!BG101),B102="",ISERROR(XS_Analyzer_Calculations!BN101)),"",XS_Analyzer_Calculations!BN101)</f>
        <v/>
      </c>
      <c r="Y102" s="29" t="str">
        <f>IF(OR(ISERROR(XS_Analyzer_Calculations!BG101),X102=""),"",XS_Analyzer_Calculations!BH101)</f>
        <v/>
      </c>
      <c r="Z102" s="29" t="str">
        <f>IF(OR(ISERROR(XS_Analyzer_Calculations!BG101),X102=""),"",XS_Analyzer_Calculations!$O$18)</f>
        <v/>
      </c>
      <c r="AB102" s="34">
        <f>IFERROR(XS_AnalyzerSummary!AK100,0)</f>
        <v>5.3649999999999931</v>
      </c>
      <c r="AC102" s="34">
        <f>IFERROR(XS_AnalyzerSummary!AV100,0)</f>
        <v>3.7992654751731969</v>
      </c>
      <c r="AD102" s="34">
        <f>IFERROR(XS_AnalyzerSummary!AK100,0)</f>
        <v>5.3649999999999931</v>
      </c>
      <c r="AE102" s="34">
        <f>IFERROR(XS_AnalyzerSummary!AW100,0)</f>
        <v>2.5509728545607633</v>
      </c>
      <c r="AF102" s="34">
        <f>IFERROR(XS_AnalyzerSummary!AK100,0)</f>
        <v>5.3649999999999931</v>
      </c>
      <c r="AG102" s="34">
        <f>IFERROR(XS_AnalyzerSummary!BF100,0)</f>
        <v>9.5876604475351979</v>
      </c>
    </row>
    <row r="103" spans="2:33">
      <c r="B103" s="29" t="str">
        <f>IF(ISERROR(XS_Analyzer_Calculations!B103),"",XS_Analyzer_Calculations!B103)</f>
        <v/>
      </c>
      <c r="C103" s="29" t="str">
        <f>IF(ISERROR(XS_Analyzer_Calculations!C103),"",XS_Analyzer_Calculations!C103)</f>
        <v/>
      </c>
      <c r="D103" s="29" t="str">
        <f>IF(ISERROR(Data!D100),"",Data!D100)</f>
        <v/>
      </c>
      <c r="E103" s="2" t="str">
        <f>IF(F103&lt;&gt;"",IF(ISERROR(XS_Analyzer_Calculations!AH103),"",XS_Analyzer_Calculations!AH103),"")</f>
        <v/>
      </c>
      <c r="F103" s="2" t="str">
        <f>IF(IF(ISERROR(XS_Analyzer_Calculations!AF103),"",XS_Analyzer_Calculations!AF103)&lt;&gt;MAX($F$4:$F102),IF(ISERROR(XS_Analyzer_Calculations!AF103),"",XS_Analyzer_Calculations!AF103),"")</f>
        <v/>
      </c>
      <c r="G103" s="44" t="str">
        <f>IF(F103&lt;&gt;"",IF(ISERROR(XS_Analyzer_Calculations!W103),"",XS_Analyzer_Calculations!W103),"")</f>
        <v/>
      </c>
      <c r="H103" s="2" t="str">
        <f>IF(ISERROR(XS_Analyzer_Calculations!AE103),"",XS_Analyzer_Calculations!AE103)</f>
        <v/>
      </c>
      <c r="I103" s="44" t="str">
        <f>IF(ISERROR(XS_Analyzer_Calculations!W103),"",XS_Analyzer_Calculations!W103)</f>
        <v/>
      </c>
      <c r="J103" s="44" t="str">
        <f>IF(K103&lt;&gt;"",IF(ISERROR(XS_Analyzer_Calculations!AL103:AL203),"",XS_Analyzer_Calculations!AL103:AL203),"")</f>
        <v/>
      </c>
      <c r="K103" s="29" t="str">
        <f>IF(IF(ISERROR(XS_Analyzer_Calculations!AJ103:AJ203),"",XS_Analyzer_Calculations!AJ103:AJ203)&lt;&gt;MAX($K$4:$K102),IF(ISERROR(XS_Analyzer_Calculations!AJ103:AJ203),"",XS_Analyzer_Calculations!AJ103:AJ203),"")</f>
        <v/>
      </c>
      <c r="L103" s="58" t="str">
        <f>IF(K103&lt;&gt;"",IF(ISERROR(XS_Analyzer_Calculations!X103:X203),"",XS_Analyzer_Calculations!X103:X203),"")</f>
        <v/>
      </c>
      <c r="M103" s="29" t="str">
        <f>IF(ISERROR(XS_Analyzer_Calculations!AI103:AI203),"",XS_Analyzer_Calculations!AI103:AI203)</f>
        <v/>
      </c>
      <c r="N103" s="29" t="str">
        <f>IF(ISERROR(XS_Analyzer_Calculations!X103:X203),"",XS_Analyzer_Calculations!X103:X203)</f>
        <v/>
      </c>
      <c r="X103" s="29" t="str">
        <f>IF(OR(ISERROR(XS_Analyzer_Calculations!BG102),B103="",ISERROR(XS_Analyzer_Calculations!BN102)),"",XS_Analyzer_Calculations!BN102)</f>
        <v/>
      </c>
      <c r="Y103" s="29" t="str">
        <f>IF(OR(ISERROR(XS_Analyzer_Calculations!BG102),X103=""),"",XS_Analyzer_Calculations!BH102)</f>
        <v/>
      </c>
      <c r="Z103" s="29" t="str">
        <f>IF(OR(ISERROR(XS_Analyzer_Calculations!BG102),X103=""),"",XS_Analyzer_Calculations!$O$18)</f>
        <v/>
      </c>
      <c r="AB103" s="34">
        <f>IFERROR(XS_AnalyzerSummary!AK101,0)</f>
        <v>5.409999999999993</v>
      </c>
      <c r="AC103" s="34">
        <f>IFERROR(XS_AnalyzerSummary!AV101,0)</f>
        <v>3.7849075325982575</v>
      </c>
      <c r="AD103" s="34">
        <f>IFERROR(XS_AnalyzerSummary!AK101,0)</f>
        <v>5.409999999999993</v>
      </c>
      <c r="AE103" s="34">
        <f>IFERROR(XS_AnalyzerSummary!AW101,0)</f>
        <v>2.5365258137483586</v>
      </c>
      <c r="AF103" s="34">
        <f>IFERROR(XS_AnalyzerSummary!AK101,0)</f>
        <v>5.409999999999993</v>
      </c>
      <c r="AG103" s="34">
        <f>IFERROR(XS_AnalyzerSummary!BF101,0)</f>
        <v>9.5312481506081301</v>
      </c>
    </row>
    <row r="104" spans="2:33">
      <c r="B104" s="29" t="str">
        <f>IF(ISERROR(XS_Analyzer_Calculations!B104),"",XS_Analyzer_Calculations!B104)</f>
        <v/>
      </c>
      <c r="C104" s="29" t="str">
        <f>IF(ISERROR(XS_Analyzer_Calculations!C104),"",XS_Analyzer_Calculations!C104)</f>
        <v/>
      </c>
      <c r="D104" s="29" t="str">
        <f>IF(ISERROR(Data!D101),"",Data!D101)</f>
        <v/>
      </c>
      <c r="E104" s="2" t="str">
        <f>IF(F104&lt;&gt;"",IF(ISERROR(XS_Analyzer_Calculations!AH104),"",XS_Analyzer_Calculations!AH104),"")</f>
        <v/>
      </c>
      <c r="F104" s="2" t="str">
        <f>IF(IF(ISERROR(XS_Analyzer_Calculations!AF104),"",XS_Analyzer_Calculations!AF104)&lt;&gt;MAX($F$4:$F103),IF(ISERROR(XS_Analyzer_Calculations!AF104),"",XS_Analyzer_Calculations!AF104),"")</f>
        <v/>
      </c>
      <c r="G104" s="44" t="str">
        <f>IF(F104&lt;&gt;"",IF(ISERROR(XS_Analyzer_Calculations!W104),"",XS_Analyzer_Calculations!W104),"")</f>
        <v/>
      </c>
      <c r="H104" s="2" t="str">
        <f>IF(ISERROR(XS_Analyzer_Calculations!AE104),"",XS_Analyzer_Calculations!AE104)</f>
        <v/>
      </c>
      <c r="I104" s="44" t="str">
        <f>IF(ISERROR(XS_Analyzer_Calculations!W104),"",XS_Analyzer_Calculations!W104)</f>
        <v/>
      </c>
      <c r="J104" s="44" t="str">
        <f>IF(K104&lt;&gt;"",IF(ISERROR(XS_Analyzer_Calculations!AL104:AL204),"",XS_Analyzer_Calculations!AL104:AL204),"")</f>
        <v/>
      </c>
      <c r="K104" s="29" t="str">
        <f>IF(IF(ISERROR(XS_Analyzer_Calculations!AJ104:AJ204),"",XS_Analyzer_Calculations!AJ104:AJ204)&lt;&gt;MAX($K$4:$K103),IF(ISERROR(XS_Analyzer_Calculations!AJ104:AJ204),"",XS_Analyzer_Calculations!AJ104:AJ204),"")</f>
        <v/>
      </c>
      <c r="L104" s="58" t="str">
        <f>IF(K104&lt;&gt;"",IF(ISERROR(XS_Analyzer_Calculations!X104:X204),"",XS_Analyzer_Calculations!X104:X204),"")</f>
        <v/>
      </c>
      <c r="M104" s="29" t="str">
        <f>IF(ISERROR(XS_Analyzer_Calculations!AI104:AI204),"",XS_Analyzer_Calculations!AI104:AI204)</f>
        <v/>
      </c>
      <c r="N104" s="29" t="str">
        <f>IF(ISERROR(XS_Analyzer_Calculations!X104:X204),"",XS_Analyzer_Calculations!X104:X204)</f>
        <v/>
      </c>
      <c r="X104" s="29" t="str">
        <f>IF(OR(ISERROR(XS_Analyzer_Calculations!BG103),B104="",ISERROR(XS_Analyzer_Calculations!BN103)),"",XS_Analyzer_Calculations!BN103)</f>
        <v/>
      </c>
      <c r="Y104" s="29" t="str">
        <f>IF(OR(ISERROR(XS_Analyzer_Calculations!BG103),X104=""),"",XS_Analyzer_Calculations!BH103)</f>
        <v/>
      </c>
      <c r="Z104" s="29" t="str">
        <f>IF(OR(ISERROR(XS_Analyzer_Calculations!BG103),X104=""),"",XS_Analyzer_Calculations!$O$18)</f>
        <v/>
      </c>
      <c r="AB104" s="34">
        <f>IFERROR(XS_AnalyzerSummary!AK102,0)</f>
        <v>5.454999999999993</v>
      </c>
      <c r="AC104" s="34">
        <f>IFERROR(XS_AnalyzerSummary!AV102,0)</f>
        <v>3.7705223049177214</v>
      </c>
      <c r="AD104" s="34">
        <f>IFERROR(XS_AnalyzerSummary!AK102,0)</f>
        <v>5.454999999999993</v>
      </c>
      <c r="AE104" s="34">
        <f>IFERROR(XS_AnalyzerSummary!AW102,0)</f>
        <v>2.5220787729359753</v>
      </c>
      <c r="AF104" s="34">
        <f>IFERROR(XS_AnalyzerSummary!AK102,0)</f>
        <v>5.454999999999993</v>
      </c>
      <c r="AG104" s="34">
        <f>IFERROR(XS_AnalyzerSummary!BF102,0)</f>
        <v>9.4748493085090324</v>
      </c>
    </row>
    <row r="105" spans="2:33">
      <c r="AB105" s="34">
        <f>IFERROR(XS_AnalyzerSummary!AK103,0)</f>
        <v>5.4999999999999929</v>
      </c>
      <c r="AC105" s="34">
        <f>IFERROR(XS_AnalyzerSummary!AV103,0)</f>
        <v>3.7561095835364449</v>
      </c>
      <c r="AD105" s="34">
        <f>IFERROR(XS_AnalyzerSummary!AK103,0)</f>
        <v>5.4999999999999929</v>
      </c>
      <c r="AE105" s="34">
        <f>IFERROR(XS_AnalyzerSummary!AW103,0)</f>
        <v>2.5076317321235484</v>
      </c>
      <c r="AF105" s="34">
        <f>IFERROR(XS_AnalyzerSummary!AK103,0)</f>
        <v>5.4999999999999929</v>
      </c>
      <c r="AG105" s="34">
        <f>IFERROR(XS_AnalyzerSummary!BF103,0)</f>
        <v>9.4184639948542852</v>
      </c>
    </row>
    <row r="106" spans="2:33">
      <c r="AB106" s="34">
        <f>IFERROR(XS_AnalyzerSummary!AK104,0)</f>
        <v>5.5449999999999928</v>
      </c>
      <c r="AC106" s="34">
        <f>IFERROR(XS_AnalyzerSummary!AV104,0)</f>
        <v>3.7416691570525615</v>
      </c>
      <c r="AD106" s="34">
        <f>IFERROR(XS_AnalyzerSummary!AK104,0)</f>
        <v>5.5449999999999928</v>
      </c>
      <c r="AE106" s="34">
        <f>IFERROR(XS_AnalyzerSummary!AW104,0)</f>
        <v>2.4931846913111442</v>
      </c>
      <c r="AF106" s="34">
        <f>IFERROR(XS_AnalyzerSummary!AK104,0)</f>
        <v>5.5449999999999928</v>
      </c>
      <c r="AG106" s="34">
        <f>IFERROR(XS_AnalyzerSummary!BF104,0)</f>
        <v>9.3620922840882166</v>
      </c>
    </row>
    <row r="107" spans="2:33">
      <c r="AB107" s="34">
        <f>IFERROR(XS_AnalyzerSummary!AK105,0)</f>
        <v>5.5899999999999928</v>
      </c>
      <c r="AC107" s="34">
        <f>IFERROR(XS_AnalyzerSummary!AV105,0)</f>
        <v>3.7272008112029895</v>
      </c>
      <c r="AD107" s="34">
        <f>IFERROR(XS_AnalyzerSummary!AK105,0)</f>
        <v>5.5899999999999928</v>
      </c>
      <c r="AE107" s="34">
        <f>IFERROR(XS_AnalyzerSummary!AW105,0)</f>
        <v>2.4787376504987386</v>
      </c>
      <c r="AF107" s="34">
        <f>IFERROR(XS_AnalyzerSummary!AK105,0)</f>
        <v>5.5899999999999928</v>
      </c>
      <c r="AG107" s="34">
        <f>IFERROR(XS_AnalyzerSummary!BF105,0)</f>
        <v>9.3057342514972721</v>
      </c>
    </row>
    <row r="108" spans="2:33">
      <c r="AB108" s="34">
        <f>IFERROR(XS_AnalyzerSummary!AK106,0)</f>
        <v>5.6349999999999927</v>
      </c>
      <c r="AC108" s="34">
        <f>IFERROR(XS_AnalyzerSummary!AV106,0)</f>
        <v>3.7127043288079111</v>
      </c>
      <c r="AD108" s="34">
        <f>IFERROR(XS_AnalyzerSummary!AK106,0)</f>
        <v>5.6349999999999927</v>
      </c>
      <c r="AE108" s="34">
        <f>IFERROR(XS_AnalyzerSummary!AW106,0)</f>
        <v>2.4642906096863335</v>
      </c>
      <c r="AF108" s="34">
        <f>IFERROR(XS_AnalyzerSummary!AK106,0)</f>
        <v>5.6349999999999927</v>
      </c>
      <c r="AG108" s="34">
        <f>IFERROR(XS_AnalyzerSummary!BF106,0)</f>
        <v>9.2493899732244689</v>
      </c>
    </row>
    <row r="109" spans="2:33">
      <c r="AB109" s="34">
        <f>IFERROR(XS_AnalyzerSummary!AK107,0)</f>
        <v>5.6799999999999926</v>
      </c>
      <c r="AC109" s="34">
        <f>IFERROR(XS_AnalyzerSummary!AV107,0)</f>
        <v>3.6981794897137079</v>
      </c>
      <c r="AD109" s="34">
        <f>IFERROR(XS_AnalyzerSummary!AK107,0)</f>
        <v>5.6799999999999926</v>
      </c>
      <c r="AE109" s="34">
        <f>IFERROR(XS_AnalyzerSummary!AW107,0)</f>
        <v>2.449843568873951</v>
      </c>
      <c r="AF109" s="34">
        <f>IFERROR(XS_AnalyzerSummary!AK107,0)</f>
        <v>5.6799999999999926</v>
      </c>
      <c r="AG109" s="34">
        <f>IFERROR(XS_AnalyzerSummary!BF107,0)</f>
        <v>9.1930595262842161</v>
      </c>
    </row>
    <row r="110" spans="2:33">
      <c r="AB110" s="34">
        <f>IFERROR(XS_AnalyzerSummary!AK108,0)</f>
        <v>5.7249999999999925</v>
      </c>
      <c r="AC110" s="34">
        <f>IFERROR(XS_AnalyzerSummary!AV108,0)</f>
        <v>3.6836260707343365</v>
      </c>
      <c r="AD110" s="34">
        <f>IFERROR(XS_AnalyzerSummary!AK108,0)</f>
        <v>5.7249999999999925</v>
      </c>
      <c r="AE110" s="34">
        <f>IFERROR(XS_AnalyzerSummary!AW108,0)</f>
        <v>2.4353965280615237</v>
      </c>
      <c r="AF110" s="34">
        <f>IFERROR(XS_AnalyzerSummary!AK108,0)</f>
        <v>5.7249999999999925</v>
      </c>
      <c r="AG110" s="34">
        <f>IFERROR(XS_AnalyzerSummary!BF108,0)</f>
        <v>9.136742988577474</v>
      </c>
    </row>
    <row r="111" spans="2:33">
      <c r="AB111" s="34">
        <f>IFERROR(XS_AnalyzerSummary!AK109,0)</f>
        <v>5.7699999999999925</v>
      </c>
      <c r="AC111" s="34">
        <f>IFERROR(XS_AnalyzerSummary!AV109,0)</f>
        <v>3.6690438455915331</v>
      </c>
      <c r="AD111" s="34">
        <f>IFERROR(XS_AnalyzerSummary!AK109,0)</f>
        <v>5.7699999999999925</v>
      </c>
      <c r="AE111" s="34">
        <f>IFERROR(XS_AnalyzerSummary!AW109,0)</f>
        <v>2.4209494872491191</v>
      </c>
      <c r="AF111" s="34">
        <f>IFERROR(XS_AnalyzerSummary!AK109,0)</f>
        <v>5.7699999999999925</v>
      </c>
      <c r="AG111" s="34">
        <f>IFERROR(XS_AnalyzerSummary!BF109,0)</f>
        <v>9.0804404389072477</v>
      </c>
    </row>
    <row r="112" spans="2:33">
      <c r="AB112" s="34">
        <f>IFERROR(XS_AnalyzerSummary!AK110,0)</f>
        <v>5.8149999999999924</v>
      </c>
      <c r="AC112" s="34">
        <f>IFERROR(XS_AnalyzerSummary!AV110,0)</f>
        <v>3.6544325848530126</v>
      </c>
      <c r="AD112" s="34">
        <f>IFERROR(XS_AnalyzerSummary!AK110,0)</f>
        <v>5.8149999999999924</v>
      </c>
      <c r="AE112" s="34">
        <f>IFERROR(XS_AnalyzerSummary!AW110,0)</f>
        <v>2.4065024464367135</v>
      </c>
      <c r="AF112" s="34">
        <f>IFERROR(XS_AnalyzerSummary!AK110,0)</f>
        <v>5.8149999999999924</v>
      </c>
      <c r="AG112" s="34">
        <f>IFERROR(XS_AnalyzerSummary!BF110,0)</f>
        <v>9.0241519569944728</v>
      </c>
    </row>
    <row r="113" spans="28:33">
      <c r="AB113" s="34">
        <f>IFERROR(XS_AnalyzerSummary!AK111,0)</f>
        <v>5.8599999999999923</v>
      </c>
      <c r="AC113" s="34">
        <f>IFERROR(XS_AnalyzerSummary!AV111,0)</f>
        <v>3.639792055869401</v>
      </c>
      <c r="AD113" s="34">
        <f>IFERROR(XS_AnalyzerSummary!AK111,0)</f>
        <v>5.8599999999999923</v>
      </c>
      <c r="AE113" s="34">
        <f>IFERROR(XS_AnalyzerSummary!AW111,0)</f>
        <v>2.3920554056243093</v>
      </c>
      <c r="AF113" s="34">
        <f>IFERROR(XS_AnalyzerSummary!AK111,0)</f>
        <v>5.8599999999999923</v>
      </c>
      <c r="AG113" s="34">
        <f>IFERROR(XS_AnalyzerSummary!BF111,0)</f>
        <v>8.9678776234942603</v>
      </c>
    </row>
    <row r="114" spans="28:33">
      <c r="AB114" s="34">
        <f>IFERROR(XS_AnalyzerSummary!AK112,0)</f>
        <v>5.9049999999999923</v>
      </c>
      <c r="AC114" s="34">
        <f>IFERROR(XS_AnalyzerSummary!AV112,0)</f>
        <v>3.6251220227094056</v>
      </c>
      <c r="AD114" s="34">
        <f>IFERROR(XS_AnalyzerSummary!AK112,0)</f>
        <v>5.9049999999999923</v>
      </c>
      <c r="AE114" s="34">
        <f>IFERROR(XS_AnalyzerSummary!AW112,0)</f>
        <v>2.3776083648119255</v>
      </c>
      <c r="AF114" s="34">
        <f>IFERROR(XS_AnalyzerSummary!AK112,0)</f>
        <v>5.9049999999999923</v>
      </c>
      <c r="AG114" s="34">
        <f>IFERROR(XS_AnalyzerSummary!BF112,0)</f>
        <v>8.9116175200125447</v>
      </c>
    </row>
    <row r="115" spans="28:33">
      <c r="AB115" s="34">
        <f>IFERROR(XS_AnalyzerSummary!AK113,0)</f>
        <v>5.9499999999999922</v>
      </c>
      <c r="AC115" s="34">
        <f>IFERROR(XS_AnalyzerSummary!AV113,0)</f>
        <v>3.6104222460931616</v>
      </c>
      <c r="AD115" s="34">
        <f>IFERROR(XS_AnalyzerSummary!AK113,0)</f>
        <v>5.9499999999999922</v>
      </c>
      <c r="AE115" s="34">
        <f>IFERROR(XS_AnalyzerSummary!AW113,0)</f>
        <v>2.3631613239994991</v>
      </c>
      <c r="AF115" s="34">
        <f>IFERROR(XS_AnalyzerSummary!AK113,0)</f>
        <v>5.9499999999999922</v>
      </c>
      <c r="AG115" s="34">
        <f>IFERROR(XS_AnalyzerSummary!BF113,0)</f>
        <v>8.855371729123096</v>
      </c>
    </row>
    <row r="116" spans="28:33">
      <c r="AB116" s="34">
        <f>IFERROR(XS_AnalyzerSummary!AK114,0)</f>
        <v>5.9949999999999921</v>
      </c>
      <c r="AC116" s="34">
        <f>IFERROR(XS_AnalyzerSummary!AV114,0)</f>
        <v>3.5956924833241413</v>
      </c>
      <c r="AD116" s="34">
        <f>IFERROR(XS_AnalyzerSummary!AK114,0)</f>
        <v>5.9949999999999921</v>
      </c>
      <c r="AE116" s="34">
        <f>IFERROR(XS_AnalyzerSummary!AW114,0)</f>
        <v>2.3487142831870949</v>
      </c>
      <c r="AF116" s="34">
        <f>IFERROR(XS_AnalyzerSummary!AK114,0)</f>
        <v>5.9949999999999921</v>
      </c>
      <c r="AG116" s="34">
        <f>IFERROR(XS_AnalyzerSummary!BF114,0)</f>
        <v>8.7991403343849939</v>
      </c>
    </row>
    <row r="117" spans="28:33">
      <c r="AB117" s="34">
        <f>IFERROR(XS_AnalyzerSummary!AK115,0)</f>
        <v>6.039999999999992</v>
      </c>
      <c r="AC117" s="34">
        <f>IFERROR(XS_AnalyzerSummary!AV115,0)</f>
        <v>3.5809324882188061</v>
      </c>
      <c r="AD117" s="34">
        <f>IFERROR(XS_AnalyzerSummary!AK115,0)</f>
        <v>6.039999999999992</v>
      </c>
      <c r="AE117" s="34">
        <f>IFERROR(XS_AnalyzerSummary!AW115,0)</f>
        <v>2.3342672423746897</v>
      </c>
      <c r="AF117" s="34">
        <f>IFERROR(XS_AnalyzerSummary!AK115,0)</f>
        <v>6.039999999999992</v>
      </c>
      <c r="AG117" s="34">
        <f>IFERROR(XS_AnalyzerSummary!BF115,0)</f>
        <v>8.7429234203604711</v>
      </c>
    </row>
    <row r="118" spans="28:33">
      <c r="AB118" s="34">
        <f>IFERROR(XS_AnalyzerSummary!AK116,0)</f>
        <v>6.084999999999992</v>
      </c>
      <c r="AC118" s="34">
        <f>IFERROR(XS_AnalyzerSummary!AV116,0)</f>
        <v>3.5661420110347106</v>
      </c>
      <c r="AD118" s="34">
        <f>IFERROR(XS_AnalyzerSummary!AK116,0)</f>
        <v>6.084999999999992</v>
      </c>
      <c r="AE118" s="34">
        <f>IFERROR(XS_AnalyzerSummary!AW116,0)</f>
        <v>2.3198202015622851</v>
      </c>
      <c r="AF118" s="34">
        <f>IFERROR(XS_AnalyzerSummary!AK116,0)</f>
        <v>6.084999999999992</v>
      </c>
      <c r="AG118" s="34">
        <f>IFERROR(XS_AnalyzerSummary!BF116,0)</f>
        <v>8.6867210726332544</v>
      </c>
    </row>
    <row r="119" spans="28:33">
      <c r="AB119" s="34">
        <f>IFERROR(XS_AnalyzerSummary!AK117,0)</f>
        <v>6.1299999999999919</v>
      </c>
      <c r="AC119" s="34">
        <f>IFERROR(XS_AnalyzerSummary!AV117,0)</f>
        <v>3.5513207983965334</v>
      </c>
      <c r="AD119" s="34">
        <f>IFERROR(XS_AnalyzerSummary!AK117,0)</f>
        <v>6.1299999999999919</v>
      </c>
      <c r="AE119" s="34">
        <f>IFERROR(XS_AnalyzerSummary!AW117,0)</f>
        <v>2.3053731607499</v>
      </c>
      <c r="AF119" s="34">
        <f>IFERROR(XS_AnalyzerSummary!AK117,0)</f>
        <v>6.1299999999999919</v>
      </c>
      <c r="AG119" s="34">
        <f>IFERROR(XS_AnalyzerSummary!BF117,0)</f>
        <v>8.6305333778272928</v>
      </c>
    </row>
    <row r="120" spans="28:33">
      <c r="AB120" s="34">
        <f>IFERROR(XS_AnalyzerSummary!AK118,0)</f>
        <v>6.1749999999999918</v>
      </c>
      <c r="AC120" s="34">
        <f>IFERROR(XS_AnalyzerSummary!AV118,0)</f>
        <v>3.5364685932200124</v>
      </c>
      <c r="AD120" s="34">
        <f>IFERROR(XS_AnalyzerSummary!AK118,0)</f>
        <v>6.1749999999999918</v>
      </c>
      <c r="AE120" s="34">
        <f>IFERROR(XS_AnalyzerSummary!AW118,0)</f>
        <v>2.2909261199374749</v>
      </c>
      <c r="AF120" s="34">
        <f>IFERROR(XS_AnalyzerSummary!AK118,0)</f>
        <v>6.1749999999999918</v>
      </c>
      <c r="AG120" s="34">
        <f>IFERROR(XS_AnalyzerSummary!BF118,0)</f>
        <v>8.5743604236259863</v>
      </c>
    </row>
    <row r="121" spans="28:33">
      <c r="AB121" s="34">
        <f>IFERROR(XS_AnalyzerSummary!AK119,0)</f>
        <v>6.2199999999999918</v>
      </c>
      <c r="AC121" s="34">
        <f>IFERROR(XS_AnalyzerSummary!AV119,0)</f>
        <v>3.5215851346341012</v>
      </c>
      <c r="AD121" s="34">
        <f>IFERROR(XS_AnalyzerSummary!AK119,0)</f>
        <v>6.2199999999999918</v>
      </c>
      <c r="AE121" s="34">
        <f>IFERROR(XS_AnalyzerSummary!AW119,0)</f>
        <v>2.2764790791250706</v>
      </c>
      <c r="AF121" s="34">
        <f>IFERROR(XS_AnalyzerSummary!AK119,0)</f>
        <v>6.2199999999999918</v>
      </c>
      <c r="AG121" s="34">
        <f>IFERROR(XS_AnalyzerSummary!BF119,0)</f>
        <v>8.5182022987918788</v>
      </c>
    </row>
    <row r="122" spans="28:33">
      <c r="AB122" s="34">
        <f>IFERROR(XS_AnalyzerSummary!AK120,0)</f>
        <v>6.2649999999999917</v>
      </c>
      <c r="AC122" s="34">
        <f>IFERROR(XS_AnalyzerSummary!AV120,0)</f>
        <v>3.5066701579005684</v>
      </c>
      <c r="AD122" s="34">
        <f>IFERROR(XS_AnalyzerSummary!AK120,0)</f>
        <v>6.2649999999999917</v>
      </c>
      <c r="AE122" s="34">
        <f>IFERROR(XS_AnalyzerSummary!AW120,0)</f>
        <v>2.2620320383126646</v>
      </c>
      <c r="AF122" s="34">
        <f>IFERROR(XS_AnalyzerSummary!AK120,0)</f>
        <v>6.2649999999999917</v>
      </c>
      <c r="AG122" s="34">
        <f>IFERROR(XS_AnalyzerSummary!BF120,0)</f>
        <v>8.4620590931868698</v>
      </c>
    </row>
    <row r="123" spans="28:33">
      <c r="AB123" s="34">
        <f>IFERROR(XS_AnalyzerSummary!AK121,0)</f>
        <v>6.3099999999999916</v>
      </c>
      <c r="AC123" s="34">
        <f>IFERROR(XS_AnalyzerSummary!AV121,0)</f>
        <v>3.4917233943316859</v>
      </c>
      <c r="AD123" s="34">
        <f>IFERROR(XS_AnalyzerSummary!AK121,0)</f>
        <v>6.3099999999999916</v>
      </c>
      <c r="AE123" s="34">
        <f>IFERROR(XS_AnalyzerSummary!AW121,0)</f>
        <v>2.24758499750026</v>
      </c>
      <c r="AF123" s="34">
        <f>IFERROR(XS_AnalyzerSummary!AK121,0)</f>
        <v>6.3099999999999916</v>
      </c>
      <c r="AG123" s="34">
        <f>IFERROR(XS_AnalyzerSummary!BF121,0)</f>
        <v>8.4059308977928922</v>
      </c>
    </row>
    <row r="124" spans="28:33">
      <c r="AB124" s="34">
        <f>IFERROR(XS_AnalyzerSummary!AK122,0)</f>
        <v>6.3549999999999915</v>
      </c>
      <c r="AC124" s="34">
        <f>IFERROR(XS_AnalyzerSummary!AV122,0)</f>
        <v>3.4767445712055078</v>
      </c>
      <c r="AD124" s="34">
        <f>IFERROR(XS_AnalyzerSummary!AK122,0)</f>
        <v>6.3549999999999915</v>
      </c>
      <c r="AE124" s="34">
        <f>IFERROR(XS_AnalyzerSummary!AW122,0)</f>
        <v>2.2331379566878748</v>
      </c>
      <c r="AF124" s="34">
        <f>IFERROR(XS_AnalyzerSummary!AK122,0)</f>
        <v>6.3549999999999915</v>
      </c>
      <c r="AG124" s="34">
        <f>IFERROR(XS_AnalyzerSummary!BF122,0)</f>
        <v>8.349817804733151</v>
      </c>
    </row>
    <row r="125" spans="28:33">
      <c r="AB125" s="34">
        <f>IFERROR(XS_AnalyzerSummary!AK123,0)</f>
        <v>6.3999999999999915</v>
      </c>
      <c r="AC125" s="34">
        <f>IFERROR(XS_AnalyzerSummary!AV123,0)</f>
        <v>3.4617334116786824</v>
      </c>
      <c r="AD125" s="34">
        <f>IFERROR(XS_AnalyzerSummary!AK123,0)</f>
        <v>6.3999999999999915</v>
      </c>
      <c r="AE125" s="34">
        <f>IFERROR(XS_AnalyzerSummary!AW123,0)</f>
        <v>2.2186909158754502</v>
      </c>
      <c r="AF125" s="34">
        <f>IFERROR(XS_AnalyzerSummary!AK123,0)</f>
        <v>6.3999999999999915</v>
      </c>
      <c r="AG125" s="34">
        <f>IFERROR(XS_AnalyzerSummary!BF123,0)</f>
        <v>8.2937199072938839</v>
      </c>
    </row>
    <row r="126" spans="28:33">
      <c r="AB126" s="34">
        <f>IFERROR(XS_AnalyzerSummary!AK124,0)</f>
        <v>6.4449999999999914</v>
      </c>
      <c r="AC126" s="34">
        <f>IFERROR(XS_AnalyzerSummary!AV124,0)</f>
        <v>3.4466896346970972</v>
      </c>
      <c r="AD126" s="34">
        <f>IFERROR(XS_AnalyzerSummary!AK124,0)</f>
        <v>6.4449999999999914</v>
      </c>
      <c r="AE126" s="34">
        <f>IFERROR(XS_AnalyzerSummary!AW124,0)</f>
        <v>2.2042438750630455</v>
      </c>
      <c r="AF126" s="34">
        <f>IFERROR(XS_AnalyzerSummary!AK124,0)</f>
        <v>6.4449999999999914</v>
      </c>
      <c r="AG126" s="34">
        <f>IFERROR(XS_AnalyzerSummary!BF124,0)</f>
        <v>8.2376372999466856</v>
      </c>
    </row>
    <row r="127" spans="28:33">
      <c r="AB127" s="34">
        <f>IFERROR(XS_AnalyzerSummary!AK125,0)</f>
        <v>6.4899999999999913</v>
      </c>
      <c r="AC127" s="34">
        <f>IFERROR(XS_AnalyzerSummary!AV125,0)</f>
        <v>3.4316129549035788</v>
      </c>
      <c r="AD127" s="34">
        <f>IFERROR(XS_AnalyzerSummary!AK125,0)</f>
        <v>6.4899999999999913</v>
      </c>
      <c r="AE127" s="34">
        <f>IFERROR(XS_AnalyzerSummary!AW125,0)</f>
        <v>2.18979683425064</v>
      </c>
      <c r="AF127" s="34">
        <f>IFERROR(XS_AnalyzerSummary!AK125,0)</f>
        <v>6.4899999999999913</v>
      </c>
      <c r="AG127" s="34">
        <f>IFERROR(XS_AnalyzerSummary!BF125,0)</f>
        <v>8.1815700783714238</v>
      </c>
    </row>
    <row r="128" spans="28:33">
      <c r="AB128" s="34">
        <f>IFERROR(XS_AnalyzerSummary!AK126,0)</f>
        <v>6.5349999999999913</v>
      </c>
      <c r="AC128" s="34">
        <f>IFERROR(XS_AnalyzerSummary!AV126,0)</f>
        <v>3.4165030825432603</v>
      </c>
      <c r="AD128" s="34">
        <f>IFERROR(XS_AnalyzerSummary!AK126,0)</f>
        <v>6.5349999999999913</v>
      </c>
      <c r="AE128" s="34">
        <f>IFERROR(XS_AnalyzerSummary!AW126,0)</f>
        <v>2.1753497934382358</v>
      </c>
      <c r="AF128" s="34">
        <f>IFERROR(XS_AnalyzerSummary!AK126,0)</f>
        <v>6.5349999999999913</v>
      </c>
      <c r="AG128" s="34">
        <f>IFERROR(XS_AnalyzerSummary!BF126,0)</f>
        <v>8.1255183394797257</v>
      </c>
    </row>
    <row r="129" spans="28:33">
      <c r="AB129" s="34">
        <f>IFERROR(XS_AnalyzerSummary!AK127,0)</f>
        <v>6.5799999999999912</v>
      </c>
      <c r="AC129" s="34">
        <f>IFERROR(XS_AnalyzerSummary!AV127,0)</f>
        <v>3.4013597233661108</v>
      </c>
      <c r="AD129" s="34">
        <f>IFERROR(XS_AnalyzerSummary!AK127,0)</f>
        <v>6.5799999999999912</v>
      </c>
      <c r="AE129" s="34">
        <f>IFERROR(XS_AnalyzerSummary!AW127,0)</f>
        <v>2.1609027526258497</v>
      </c>
      <c r="AF129" s="34">
        <f>IFERROR(XS_AnalyzerSummary!AK127,0)</f>
        <v>6.5799999999999912</v>
      </c>
      <c r="AG129" s="34">
        <f>IFERROR(XS_AnalyzerSummary!BF127,0)</f>
        <v>8.0694821814390956</v>
      </c>
    </row>
    <row r="130" spans="28:33">
      <c r="AB130" s="34">
        <f>IFERROR(XS_AnalyzerSummary!AK128,0)</f>
        <v>6.6249999999999911</v>
      </c>
      <c r="AC130" s="34">
        <f>IFERROR(XS_AnalyzerSummary!AV128,0)</f>
        <v>3.3861825785265518</v>
      </c>
      <c r="AD130" s="34">
        <f>IFERROR(XS_AnalyzerSummary!AK128,0)</f>
        <v>6.6249999999999911</v>
      </c>
      <c r="AE130" s="34">
        <f>IFERROR(XS_AnalyzerSummary!AW128,0)</f>
        <v>2.1464557118134255</v>
      </c>
      <c r="AF130" s="34">
        <f>IFERROR(XS_AnalyzerSummary!AK128,0)</f>
        <v>6.6249999999999911</v>
      </c>
      <c r="AG130" s="34">
        <f>IFERROR(XS_AnalyzerSummary!BF128,0)</f>
        <v>8.0134617036976756</v>
      </c>
    </row>
    <row r="131" spans="28:33">
      <c r="AB131" s="34">
        <f>IFERROR(XS_AnalyzerSummary!AK129,0)</f>
        <v>6.669999999999991</v>
      </c>
      <c r="AC131" s="34">
        <f>IFERROR(XS_AnalyzerSummary!AV129,0)</f>
        <v>3.3709713444804286</v>
      </c>
      <c r="AD131" s="34">
        <f>IFERROR(XS_AnalyzerSummary!AK129,0)</f>
        <v>6.669999999999991</v>
      </c>
      <c r="AE131" s="34">
        <f>IFERROR(XS_AnalyzerSummary!AW129,0)</f>
        <v>2.1320086710010209</v>
      </c>
      <c r="AF131" s="34">
        <f>IFERROR(XS_AnalyzerSummary!AK129,0)</f>
        <v>6.669999999999991</v>
      </c>
      <c r="AG131" s="34">
        <f>IFERROR(XS_AnalyzerSummary!BF129,0)</f>
        <v>7.9574570070096318</v>
      </c>
    </row>
    <row r="132" spans="28:33">
      <c r="AB132" s="34">
        <f>IFERROR(XS_AnalyzerSummary!AK130,0)</f>
        <v>6.714999999999991</v>
      </c>
      <c r="AC132" s="34">
        <f>IFERROR(XS_AnalyzerSummary!AV130,0)</f>
        <v>3.3557257128785607</v>
      </c>
      <c r="AD132" s="34">
        <f>IFERROR(XS_AnalyzerSummary!AK130,0)</f>
        <v>6.714999999999991</v>
      </c>
      <c r="AE132" s="34">
        <f>IFERROR(XS_AnalyzerSummary!AW130,0)</f>
        <v>2.1175616301886158</v>
      </c>
      <c r="AF132" s="34">
        <f>IFERROR(XS_AnalyzerSummary!AK130,0)</f>
        <v>6.714999999999991</v>
      </c>
      <c r="AG132" s="34">
        <f>IFERROR(XS_AnalyzerSummary!BF130,0)</f>
        <v>7.9014681934612669</v>
      </c>
    </row>
    <row r="133" spans="28:33">
      <c r="AB133" s="34">
        <f>IFERROR(XS_AnalyzerSummary!AK131,0)</f>
        <v>6.7599999999999909</v>
      </c>
      <c r="AC133" s="34">
        <f>IFERROR(XS_AnalyzerSummary!AV131,0)</f>
        <v>3.3404453704574513</v>
      </c>
      <c r="AD133" s="34">
        <f>IFERROR(XS_AnalyzerSummary!AK131,0)</f>
        <v>6.7599999999999909</v>
      </c>
      <c r="AE133" s="34">
        <f>IFERROR(XS_AnalyzerSummary!AW131,0)</f>
        <v>2.1031145893762204</v>
      </c>
      <c r="AF133" s="34">
        <f>IFERROR(XS_AnalyzerSummary!AK131,0)</f>
        <v>6.7599999999999909</v>
      </c>
      <c r="AG133" s="34">
        <f>IFERROR(XS_AnalyzerSummary!BF131,0)</f>
        <v>7.8454953664977962</v>
      </c>
    </row>
    <row r="134" spans="28:33">
      <c r="AB134" s="34">
        <f>IFERROR(XS_AnalyzerSummary!AK132,0)</f>
        <v>6.8049999999999908</v>
      </c>
      <c r="AC134" s="34">
        <f>IFERROR(XS_AnalyzerSummary!AV132,0)</f>
        <v>3.3251299989265553</v>
      </c>
      <c r="AD134" s="34">
        <f>IFERROR(XS_AnalyzerSummary!AK132,0)</f>
        <v>6.8049999999999908</v>
      </c>
      <c r="AE134" s="34">
        <f>IFERROR(XS_AnalyzerSummary!AW132,0)</f>
        <v>2.088667548563806</v>
      </c>
      <c r="AF134" s="34">
        <f>IFERROR(XS_AnalyzerSummary!AK132,0)</f>
        <v>6.8049999999999908</v>
      </c>
      <c r="AG134" s="34">
        <f>IFERROR(XS_AnalyzerSummary!BF132,0)</f>
        <v>7.7895386309508616</v>
      </c>
    </row>
    <row r="135" spans="28:33">
      <c r="AB135" s="34">
        <f>IFERROR(XS_AnalyzerSummary!AK133,0)</f>
        <v>6.8499999999999908</v>
      </c>
      <c r="AC135" s="34">
        <f>IFERROR(XS_AnalyzerSummary!AV133,0)</f>
        <v>3.3097792748523505</v>
      </c>
      <c r="AD135" s="34">
        <f>IFERROR(XS_AnalyzerSummary!AK133,0)</f>
        <v>6.8499999999999908</v>
      </c>
      <c r="AE135" s="34">
        <f>IFERROR(XS_AnalyzerSummary!AW133,0)</f>
        <v>2.0742205077514102</v>
      </c>
      <c r="AF135" s="34">
        <f>IFERROR(XS_AnalyzerSummary!AK133,0)</f>
        <v>6.8499999999999908</v>
      </c>
      <c r="AG135" s="34">
        <f>IFERROR(XS_AnalyzerSummary!BF133,0)</f>
        <v>7.733598093066802</v>
      </c>
    </row>
    <row r="136" spans="28:33">
      <c r="AB136" s="34">
        <f>IFERROR(XS_AnalyzerSummary!AK134,0)</f>
        <v>6.8949999999999907</v>
      </c>
      <c r="AC136" s="34">
        <f>IFERROR(XS_AnalyzerSummary!AV134,0)</f>
        <v>3.2943928695386404</v>
      </c>
      <c r="AD136" s="34">
        <f>IFERROR(XS_AnalyzerSummary!AK134,0)</f>
        <v>6.8949999999999907</v>
      </c>
      <c r="AE136" s="34">
        <f>IFERROR(XS_AnalyzerSummary!AW134,0)</f>
        <v>2.0597734669389962</v>
      </c>
      <c r="AF136" s="34">
        <f>IFERROR(XS_AnalyzerSummary!AK134,0)</f>
        <v>6.8949999999999907</v>
      </c>
      <c r="AG136" s="34">
        <f>IFERROR(XS_AnalyzerSummary!BF134,0)</f>
        <v>7.6776738605356902</v>
      </c>
    </row>
    <row r="137" spans="28:33">
      <c r="AB137" s="34">
        <f>IFERROR(XS_AnalyzerSummary!AK135,0)</f>
        <v>6.9399999999999906</v>
      </c>
      <c r="AC137" s="34">
        <f>IFERROR(XS_AnalyzerSummary!AV135,0)</f>
        <v>3.2789704489035159</v>
      </c>
      <c r="AD137" s="34">
        <f>IFERROR(XS_AnalyzerSummary!AK135,0)</f>
        <v>6.9399999999999906</v>
      </c>
      <c r="AE137" s="34">
        <f>IFERROR(XS_AnalyzerSummary!AW135,0)</f>
        <v>2.0453264261265911</v>
      </c>
      <c r="AF137" s="34">
        <f>IFERROR(XS_AnalyzerSummary!AK135,0)</f>
        <v>6.9399999999999906</v>
      </c>
      <c r="AG137" s="34">
        <f>IFERROR(XS_AnalyzerSummary!BF135,0)</f>
        <v>7.6217660425211804</v>
      </c>
    </row>
    <row r="138" spans="28:33">
      <c r="AB138" s="34">
        <f>IFERROR(XS_AnalyzerSummary!AK136,0)</f>
        <v>6.9849999999999905</v>
      </c>
      <c r="AC138" s="34">
        <f>IFERROR(XS_AnalyzerSummary!AV136,0)</f>
        <v>3.2635116733522955</v>
      </c>
      <c r="AD138" s="34">
        <f>IFERROR(XS_AnalyzerSummary!AK136,0)</f>
        <v>6.9849999999999905</v>
      </c>
      <c r="AE138" s="34">
        <f>IFERROR(XS_AnalyzerSummary!AW136,0)</f>
        <v>2.0308793853141958</v>
      </c>
      <c r="AF138" s="34">
        <f>IFERROR(XS_AnalyzerSummary!AK136,0)</f>
        <v>6.9849999999999905</v>
      </c>
      <c r="AG138" s="34">
        <f>IFERROR(XS_AnalyzerSummary!BF136,0)</f>
        <v>7.5658747496911909</v>
      </c>
    </row>
    <row r="139" spans="28:33">
      <c r="AB139" s="34">
        <f>IFERROR(XS_AnalyzerSummary!AK137,0)</f>
        <v>7.0299999999999905</v>
      </c>
      <c r="AC139" s="34">
        <f>IFERROR(XS_AnalyzerSummary!AV137,0)</f>
        <v>3.2480161976466535</v>
      </c>
      <c r="AD139" s="34">
        <f>IFERROR(XS_AnalyzerSummary!AK137,0)</f>
        <v>7.0299999999999905</v>
      </c>
      <c r="AE139" s="34">
        <f>IFERROR(XS_AnalyzerSummary!AW137,0)</f>
        <v>2.0164323445017813</v>
      </c>
      <c r="AF139" s="34">
        <f>IFERROR(XS_AnalyzerSummary!AK137,0)</f>
        <v>7.0299999999999905</v>
      </c>
      <c r="AG139" s="34">
        <f>IFERROR(XS_AnalyzerSummary!BF137,0)</f>
        <v>7.5100000942494285</v>
      </c>
    </row>
    <row r="140" spans="28:33">
      <c r="AB140" s="34">
        <f>IFERROR(XS_AnalyzerSummary!AK138,0)</f>
        <v>7.0749999999999904</v>
      </c>
      <c r="AC140" s="34">
        <f>IFERROR(XS_AnalyzerSummary!AV138,0)</f>
        <v>3.2324836707697582</v>
      </c>
      <c r="AD140" s="34">
        <f>IFERROR(XS_AnalyzerSummary!AK138,0)</f>
        <v>7.0749999999999904</v>
      </c>
      <c r="AE140" s="34">
        <f>IFERROR(XS_AnalyzerSummary!AW138,0)</f>
        <v>2.0019853036893851</v>
      </c>
      <c r="AF140" s="34">
        <f>IFERROR(XS_AnalyzerSummary!AK138,0)</f>
        <v>7.0749999999999904</v>
      </c>
      <c r="AG140" s="34">
        <f>IFERROR(XS_AnalyzerSummary!BF138,0)</f>
        <v>7.4541421899678308</v>
      </c>
    </row>
    <row r="141" spans="28:33">
      <c r="AB141" s="34">
        <f>IFERROR(XS_AnalyzerSummary!AK139,0)</f>
        <v>7.1199999999999903</v>
      </c>
      <c r="AC141" s="34">
        <f>IFERROR(XS_AnalyzerSummary!AV139,0)</f>
        <v>3.2169137357869668</v>
      </c>
      <c r="AD141" s="34">
        <f>IFERROR(XS_AnalyzerSummary!AK139,0)</f>
        <v>7.1199999999999903</v>
      </c>
      <c r="AE141" s="34">
        <f>IFERROR(XS_AnalyzerSummary!AW139,0)</f>
        <v>1.9875382628769718</v>
      </c>
      <c r="AF141" s="34">
        <f>IFERROR(XS_AnalyzerSummary!AK139,0)</f>
        <v>7.1199999999999903</v>
      </c>
      <c r="AG141" s="34">
        <f>IFERROR(XS_AnalyzerSummary!BF139,0)</f>
        <v>7.3983011522199078</v>
      </c>
    </row>
    <row r="142" spans="28:33">
      <c r="AB142" s="34">
        <f>IFERROR(XS_AnalyzerSummary!AK140,0)</f>
        <v>7.1649999999999903</v>
      </c>
      <c r="AC142" s="34">
        <f>IFERROR(XS_AnalyzerSummary!AV140,0)</f>
        <v>3.2013060297024025</v>
      </c>
      <c r="AD142" s="34">
        <f>IFERROR(XS_AnalyzerSummary!AK140,0)</f>
        <v>7.1649999999999903</v>
      </c>
      <c r="AE142" s="34">
        <f>IFERROR(XS_AnalyzerSummary!AW140,0)</f>
        <v>1.9730912220645669</v>
      </c>
      <c r="AF142" s="34">
        <f>IFERROR(XS_AnalyzerSummary!AK140,0)</f>
        <v>7.1649999999999903</v>
      </c>
      <c r="AG142" s="34">
        <f>IFERROR(XS_AnalyzerSummary!BF140,0)</f>
        <v>7.3424770980150482</v>
      </c>
    </row>
    <row r="143" spans="28:33">
      <c r="AB143" s="34">
        <f>IFERROR(XS_AnalyzerSummary!AK141,0)</f>
        <v>7.2099999999999902</v>
      </c>
      <c r="AC143" s="34">
        <f>IFERROR(XS_AnalyzerSummary!AV141,0)</f>
        <v>3.1856601833107328</v>
      </c>
      <c r="AD143" s="34">
        <f>IFERROR(XS_AnalyzerSummary!AK141,0)</f>
        <v>7.2099999999999902</v>
      </c>
      <c r="AE143" s="34">
        <f>IFERROR(XS_AnalyzerSummary!AW141,0)</f>
        <v>1.9586441812521707</v>
      </c>
      <c r="AF143" s="34">
        <f>IFERROR(XS_AnalyzerSummary!AK141,0)</f>
        <v>7.2099999999999902</v>
      </c>
      <c r="AG143" s="34">
        <f>IFERROR(XS_AnalyzerSummary!BF141,0)</f>
        <v>7.2866701460338241</v>
      </c>
    </row>
    <row r="144" spans="28:33">
      <c r="AB144" s="34">
        <f>IFERROR(XS_AnalyzerSummary!AK142,0)</f>
        <v>7.2549999999999901</v>
      </c>
      <c r="AC144" s="34">
        <f>IFERROR(XS_AnalyzerSummary!AV142,0)</f>
        <v>3.1699758210443121</v>
      </c>
      <c r="AD144" s="34">
        <f>IFERROR(XS_AnalyzerSummary!AK142,0)</f>
        <v>7.2549999999999901</v>
      </c>
      <c r="AE144" s="34">
        <f>IFERROR(XS_AnalyzerSummary!AW142,0)</f>
        <v>1.9441971404397567</v>
      </c>
      <c r="AF144" s="34">
        <f>IFERROR(XS_AnalyzerSummary!AK142,0)</f>
        <v>7.2549999999999901</v>
      </c>
      <c r="AG144" s="34">
        <f>IFERROR(XS_AnalyzerSummary!BF142,0)</f>
        <v>7.2308804166643146</v>
      </c>
    </row>
    <row r="145" spans="28:33">
      <c r="AB145" s="34">
        <f>IFERROR(XS_AnalyzerSummary!AK143,0)</f>
        <v>7.2999999999999901</v>
      </c>
      <c r="AC145" s="34">
        <f>IFERROR(XS_AnalyzerSummary!AV143,0)</f>
        <v>3.1542525608154839</v>
      </c>
      <c r="AD145" s="34">
        <f>IFERROR(XS_AnalyzerSummary!AK143,0)</f>
        <v>7.2999999999999901</v>
      </c>
      <c r="AE145" s="34">
        <f>IFERROR(XS_AnalyzerSummary!AW143,0)</f>
        <v>1.9297500996273607</v>
      </c>
      <c r="AF145" s="34">
        <f>IFERROR(XS_AnalyzerSummary!AK143,0)</f>
        <v>7.2999999999999901</v>
      </c>
      <c r="AG145" s="34">
        <f>IFERROR(XS_AnalyzerSummary!BF143,0)</f>
        <v>7.1751080320394767</v>
      </c>
    </row>
    <row r="146" spans="28:33">
      <c r="AB146" s="34">
        <f>IFERROR(XS_AnalyzerSummary!AK144,0)</f>
        <v>7.34499999999999</v>
      </c>
      <c r="AC146" s="34">
        <f>IFERROR(XS_AnalyzerSummary!AV144,0)</f>
        <v>3.1384900138535241</v>
      </c>
      <c r="AD146" s="34">
        <f>IFERROR(XS_AnalyzerSummary!AK144,0)</f>
        <v>7.34499999999999</v>
      </c>
      <c r="AE146" s="34">
        <f>IFERROR(XS_AnalyzerSummary!AW144,0)</f>
        <v>1.9153030588149471</v>
      </c>
      <c r="AF146" s="34">
        <f>IFERROR(XS_AnalyzerSummary!AK144,0)</f>
        <v>7.34499999999999</v>
      </c>
      <c r="AG146" s="34">
        <f>IFERROR(XS_AnalyzerSummary!BF144,0)</f>
        <v>7.1193531160756711</v>
      </c>
    </row>
    <row r="147" spans="28:33">
      <c r="AB147" s="34">
        <f>IFERROR(XS_AnalyzerSummary!AK145,0)</f>
        <v>7.3899999999999899</v>
      </c>
      <c r="AC147" s="34">
        <f>IFERROR(XS_AnalyzerSummary!AV145,0)</f>
        <v>3.1226877845365251</v>
      </c>
      <c r="AD147" s="34">
        <f>IFERROR(XS_AnalyzerSummary!AK145,0)</f>
        <v>7.3899999999999899</v>
      </c>
      <c r="AE147" s="34">
        <f>IFERROR(XS_AnalyzerSummary!AW145,0)</f>
        <v>1.9008560180025422</v>
      </c>
      <c r="AF147" s="34">
        <f>IFERROR(XS_AnalyzerSummary!AK145,0)</f>
        <v>7.3899999999999899</v>
      </c>
      <c r="AG147" s="34">
        <f>IFERROR(XS_AnalyzerSummary!BF145,0)</f>
        <v>7.0636157945122626</v>
      </c>
    </row>
    <row r="148" spans="28:33">
      <c r="AB148" s="34">
        <f>IFERROR(XS_AnalyzerSummary!AK146,0)</f>
        <v>7.4349999999999898</v>
      </c>
      <c r="AC148" s="34">
        <f>IFERROR(XS_AnalyzerSummary!AV146,0)</f>
        <v>3.1068454702175186</v>
      </c>
      <c r="AD148" s="34">
        <f>IFERROR(XS_AnalyzerSummary!AK146,0)</f>
        <v>7.4349999999999898</v>
      </c>
      <c r="AE148" s="34">
        <f>IFERROR(XS_AnalyzerSummary!AW146,0)</f>
        <v>1.8864089771901456</v>
      </c>
      <c r="AF148" s="34">
        <f>IFERROR(XS_AnalyzerSummary!AK146,0)</f>
        <v>7.4349999999999898</v>
      </c>
      <c r="AG148" s="34">
        <f>IFERROR(XS_AnalyzerSummary!BF146,0)</f>
        <v>7.0078961949524698</v>
      </c>
    </row>
    <row r="149" spans="28:33">
      <c r="AB149" s="34">
        <f>IFERROR(XS_AnalyzerSummary!AK147,0)</f>
        <v>7.4799999999999898</v>
      </c>
      <c r="AC149" s="34">
        <f>IFERROR(XS_AnalyzerSummary!AV147,0)</f>
        <v>3.0909626610448884</v>
      </c>
      <c r="AD149" s="34">
        <f>IFERROR(XS_AnalyzerSummary!AK147,0)</f>
        <v>7.4799999999999898</v>
      </c>
      <c r="AE149" s="34">
        <f>IFERROR(XS_AnalyzerSummary!AW147,0)</f>
        <v>1.871961936377732</v>
      </c>
      <c r="AF149" s="34">
        <f>IFERROR(XS_AnalyzerSummary!AK147,0)</f>
        <v>7.4799999999999898</v>
      </c>
      <c r="AG149" s="34">
        <f>IFERROR(XS_AnalyzerSummary!BF147,0)</f>
        <v>6.9521944469054118</v>
      </c>
    </row>
    <row r="150" spans="28:33">
      <c r="AB150" s="34">
        <f>IFERROR(XS_AnalyzerSummary!AK148,0)</f>
        <v>7.5249999999999897</v>
      </c>
      <c r="AC150" s="34">
        <f>IFERROR(XS_AnalyzerSummary!AV148,0)</f>
        <v>3.0750389397768854</v>
      </c>
      <c r="AD150" s="34">
        <f>IFERROR(XS_AnalyzerSummary!AK148,0)</f>
        <v>7.5249999999999897</v>
      </c>
      <c r="AE150" s="34">
        <f>IFERROR(XS_AnalyzerSummary!AW148,0)</f>
        <v>1.8575148955653356</v>
      </c>
      <c r="AF150" s="34">
        <f>IFERROR(XS_AnalyzerSummary!AK148,0)</f>
        <v>7.5249999999999897</v>
      </c>
      <c r="AG150" s="34">
        <f>IFERROR(XS_AnalyzerSummary!BF148,0)</f>
        <v>6.8965106818294419</v>
      </c>
    </row>
    <row r="151" spans="28:33">
      <c r="AB151" s="34">
        <f>IFERROR(XS_AnalyzerSummary!AK149,0)</f>
        <v>7.5699999999999896</v>
      </c>
      <c r="AC151" s="34">
        <f>IFERROR(XS_AnalyzerSummary!AV149,0)</f>
        <v>3.0590738815896414</v>
      </c>
      <c r="AD151" s="34">
        <f>IFERROR(XS_AnalyzerSummary!AK149,0)</f>
        <v>7.5699999999999896</v>
      </c>
      <c r="AE151" s="34">
        <f>IFERROR(XS_AnalyzerSummary!AW149,0)</f>
        <v>1.8430678547529227</v>
      </c>
      <c r="AF151" s="34">
        <f>IFERROR(XS_AnalyzerSummary!AK149,0)</f>
        <v>7.5699999999999896</v>
      </c>
      <c r="AG151" s="34">
        <f>IFERROR(XS_AnalyzerSummary!BF149,0)</f>
        <v>6.8408450331768256</v>
      </c>
    </row>
    <row r="152" spans="28:33">
      <c r="AB152" s="34">
        <f>IFERROR(XS_AnalyzerSummary!AK150,0)</f>
        <v>7.6149999999999896</v>
      </c>
      <c r="AC152" s="34">
        <f>IFERROR(XS_AnalyzerSummary!AV150,0)</f>
        <v>3.0430670538789228</v>
      </c>
      <c r="AD152" s="34">
        <f>IFERROR(XS_AnalyzerSummary!AK150,0)</f>
        <v>7.6149999999999896</v>
      </c>
      <c r="AE152" s="34">
        <f>IFERROR(XS_AnalyzerSummary!AW150,0)</f>
        <v>1.8286208139405173</v>
      </c>
      <c r="AF152" s="34">
        <f>IFERROR(XS_AnalyzerSummary!AK150,0)</f>
        <v>7.6149999999999896</v>
      </c>
      <c r="AG152" s="34">
        <f>IFERROR(XS_AnalyzerSummary!BF150,0)</f>
        <v>6.7851976364397668</v>
      </c>
    </row>
    <row r="153" spans="28:33">
      <c r="AB153" s="34">
        <f>IFERROR(XS_AnalyzerSummary!AK151,0)</f>
        <v>7.6599999999999895</v>
      </c>
      <c r="AC153" s="34">
        <f>IFERROR(XS_AnalyzerSummary!AV151,0)</f>
        <v>3.0270180160548747</v>
      </c>
      <c r="AD153" s="34">
        <f>IFERROR(XS_AnalyzerSummary!AK151,0)</f>
        <v>7.6599999999999895</v>
      </c>
      <c r="AE153" s="34">
        <f>IFERROR(XS_AnalyzerSummary!AW151,0)</f>
        <v>1.8141737731281209</v>
      </c>
      <c r="AF153" s="34">
        <f>IFERROR(XS_AnalyzerSummary!AK151,0)</f>
        <v>7.6599999999999895</v>
      </c>
      <c r="AG153" s="34">
        <f>IFERROR(XS_AnalyzerSummary!BF151,0)</f>
        <v>6.7295686291979102</v>
      </c>
    </row>
    <row r="154" spans="28:33">
      <c r="AB154" s="34">
        <f>IFERROR(XS_AnalyzerSummary!AK152,0)</f>
        <v>7.7049999999999894</v>
      </c>
      <c r="AC154" s="34">
        <f>IFERROR(XS_AnalyzerSummary!AV152,0)</f>
        <v>3.0109263193297435</v>
      </c>
      <c r="AD154" s="34">
        <f>IFERROR(XS_AnalyzerSummary!AK152,0)</f>
        <v>7.7049999999999894</v>
      </c>
      <c r="AE154" s="34">
        <f>IFERROR(XS_AnalyzerSummary!AW152,0)</f>
        <v>1.7997267323157078</v>
      </c>
      <c r="AF154" s="34">
        <f>IFERROR(XS_AnalyzerSummary!AK152,0)</f>
        <v>7.7049999999999894</v>
      </c>
      <c r="AG154" s="34">
        <f>IFERROR(XS_AnalyzerSummary!BF152,0)</f>
        <v>6.6739581511672919</v>
      </c>
    </row>
    <row r="155" spans="28:33">
      <c r="AB155" s="34">
        <f>IFERROR(XS_AnalyzerSummary!AK153,0)</f>
        <v>7.7499999999999893</v>
      </c>
      <c r="AC155" s="34">
        <f>IFERROR(XS_AnalyzerSummary!AV153,0)</f>
        <v>2.9947915064983199</v>
      </c>
      <c r="AD155" s="34">
        <f>IFERROR(XS_AnalyzerSummary!AK153,0)</f>
        <v>7.7499999999999893</v>
      </c>
      <c r="AE155" s="34">
        <f>IFERROR(XS_AnalyzerSummary!AW153,0)</f>
        <v>1.7852796915033105</v>
      </c>
      <c r="AF155" s="34">
        <f>IFERROR(XS_AnalyzerSummary!AK153,0)</f>
        <v>7.7499999999999893</v>
      </c>
      <c r="AG155" s="34">
        <f>IFERROR(XS_AnalyzerSummary!BF153,0)</f>
        <v>6.6183663442508669</v>
      </c>
    </row>
    <row r="156" spans="28:33">
      <c r="AB156" s="34">
        <f>IFERROR(XS_AnalyzerSummary!AK154,0)</f>
        <v>7.7949999999999893</v>
      </c>
      <c r="AC156" s="34">
        <f>IFERROR(XS_AnalyzerSummary!AV154,0)</f>
        <v>2.9786131117104242</v>
      </c>
      <c r="AD156" s="34">
        <f>IFERROR(XS_AnalyzerSummary!AK154,0)</f>
        <v>7.7949999999999893</v>
      </c>
      <c r="AE156" s="34">
        <f>IFERROR(XS_AnalyzerSummary!AW154,0)</f>
        <v>1.7708326506908978</v>
      </c>
      <c r="AF156" s="34">
        <f>IFERROR(XS_AnalyzerSummary!AK154,0)</f>
        <v>7.7949999999999893</v>
      </c>
      <c r="AG156" s="34">
        <f>IFERROR(XS_AnalyzerSummary!BF154,0)</f>
        <v>6.5627933525906457</v>
      </c>
    </row>
    <row r="157" spans="28:33">
      <c r="AB157" s="34">
        <f>IFERROR(XS_AnalyzerSummary!AK155,0)</f>
        <v>7.8399999999999892</v>
      </c>
      <c r="AC157" s="34">
        <f>IFERROR(XS_AnalyzerSummary!AV155,0)</f>
        <v>2.9623906602356178</v>
      </c>
      <c r="AD157" s="34">
        <f>IFERROR(XS_AnalyzerSummary!AK155,0)</f>
        <v>7.8399999999999892</v>
      </c>
      <c r="AE157" s="34">
        <f>IFERROR(XS_AnalyzerSummary!AW155,0)</f>
        <v>1.7563856098784927</v>
      </c>
      <c r="AF157" s="34">
        <f>IFERROR(XS_AnalyzerSummary!AK155,0)</f>
        <v>7.8399999999999892</v>
      </c>
      <c r="AG157" s="34">
        <f>IFERROR(XS_AnalyzerSummary!BF155,0)</f>
        <v>6.5072393226214871</v>
      </c>
    </row>
    <row r="158" spans="28:33">
      <c r="AB158" s="34">
        <f>IFERROR(XS_AnalyzerSummary!AK156,0)</f>
        <v>7.8849999999999891</v>
      </c>
      <c r="AC158" s="34">
        <f>IFERROR(XS_AnalyzerSummary!AV156,0)</f>
        <v>2.9461236682192933</v>
      </c>
      <c r="AD158" s="34">
        <f>IFERROR(XS_AnalyzerSummary!AK156,0)</f>
        <v>7.8849999999999891</v>
      </c>
      <c r="AE158" s="34">
        <f>IFERROR(XS_AnalyzerSummary!AW156,0)</f>
        <v>1.741938569066096</v>
      </c>
      <c r="AF158" s="34">
        <f>IFERROR(XS_AnalyzerSummary!AK156,0)</f>
        <v>7.8849999999999891</v>
      </c>
      <c r="AG158" s="34">
        <f>IFERROR(XS_AnalyzerSummary!BF156,0)</f>
        <v>6.4517044031266639</v>
      </c>
    </row>
    <row r="159" spans="28:33">
      <c r="AB159" s="34">
        <f>IFERROR(XS_AnalyzerSummary!AK157,0)</f>
        <v>7.9299999999999891</v>
      </c>
      <c r="AC159" s="34">
        <f>IFERROR(XS_AnalyzerSummary!AV157,0)</f>
        <v>2.9298116424300633</v>
      </c>
      <c r="AD159" s="34">
        <f>IFERROR(XS_AnalyzerSummary!AK157,0)</f>
        <v>7.9299999999999891</v>
      </c>
      <c r="AE159" s="34">
        <f>IFERROR(XS_AnalyzerSummary!AW157,0)</f>
        <v>1.7274915282536831</v>
      </c>
      <c r="AF159" s="34">
        <f>IFERROR(XS_AnalyzerSummary!AK157,0)</f>
        <v>7.9299999999999891</v>
      </c>
      <c r="AG159" s="34">
        <f>IFERROR(XS_AnalyzerSummary!BF157,0)</f>
        <v>6.3961887452952233</v>
      </c>
    </row>
    <row r="160" spans="28:33">
      <c r="AB160" s="34">
        <f>IFERROR(XS_AnalyzerSummary!AK158,0)</f>
        <v>7.974999999999989</v>
      </c>
      <c r="AC160" s="34">
        <f>IFERROR(XS_AnalyzerSummary!AV158,0)</f>
        <v>2.9134540799980915</v>
      </c>
      <c r="AD160" s="34">
        <f>IFERROR(XS_AnalyzerSummary!AK158,0)</f>
        <v>7.974999999999989</v>
      </c>
      <c r="AE160" s="34">
        <f>IFERROR(XS_AnalyzerSummary!AW158,0)</f>
        <v>1.713044487441286</v>
      </c>
      <c r="AF160" s="34">
        <f>IFERROR(XS_AnalyzerSummary!AK158,0)</f>
        <v>7.974999999999989</v>
      </c>
      <c r="AG160" s="34">
        <f>IFERROR(XS_AnalyzerSummary!BF158,0)</f>
        <v>6.3406925027812422</v>
      </c>
    </row>
    <row r="161" spans="28:33">
      <c r="AB161" s="34">
        <f>IFERROR(XS_AnalyzerSummary!AK159,0)</f>
        <v>8.0199999999999889</v>
      </c>
      <c r="AC161" s="34">
        <f>IFERROR(XS_AnalyzerSummary!AV159,0)</f>
        <v>2.8970504681436053</v>
      </c>
      <c r="AD161" s="34">
        <f>IFERROR(XS_AnalyzerSummary!AK159,0)</f>
        <v>8.0199999999999889</v>
      </c>
      <c r="AE161" s="34">
        <f>IFERROR(XS_AnalyzerSummary!AW159,0)</f>
        <v>1.6985974466288734</v>
      </c>
      <c r="AF161" s="34">
        <f>IFERROR(XS_AnalyzerSummary!AK159,0)</f>
        <v>8.0199999999999889</v>
      </c>
      <c r="AG161" s="34">
        <f>IFERROR(XS_AnalyzerSummary!BF159,0)</f>
        <v>6.2852158317650675</v>
      </c>
    </row>
    <row r="162" spans="28:33">
      <c r="AB162" s="34">
        <f>IFERROR(XS_AnalyzerSummary!AK160,0)</f>
        <v>8.0649999999999888</v>
      </c>
      <c r="AC162" s="34">
        <f>IFERROR(XS_AnalyzerSummary!AV160,0)</f>
        <v>2.8806002838956628</v>
      </c>
      <c r="AD162" s="34">
        <f>IFERROR(XS_AnalyzerSummary!AK160,0)</f>
        <v>8.0649999999999888</v>
      </c>
      <c r="AE162" s="34">
        <f>IFERROR(XS_AnalyzerSummary!AW160,0)</f>
        <v>1.6841504058164685</v>
      </c>
      <c r="AF162" s="34">
        <f>IFERROR(XS_AnalyzerSummary!AK160,0)</f>
        <v>8.0649999999999888</v>
      </c>
      <c r="AG162" s="34">
        <f>IFERROR(XS_AnalyzerSummary!BF160,0)</f>
        <v>6.2297588910165755</v>
      </c>
    </row>
    <row r="163" spans="28:33">
      <c r="AB163" s="34">
        <f>IFERROR(XS_AnalyzerSummary!AK161,0)</f>
        <v>8.1099999999999888</v>
      </c>
      <c r="AC163" s="34">
        <f>IFERROR(XS_AnalyzerSummary!AV161,0)</f>
        <v>2.8641029938002283</v>
      </c>
      <c r="AD163" s="34">
        <f>IFERROR(XS_AnalyzerSummary!AK161,0)</f>
        <v>8.1099999999999888</v>
      </c>
      <c r="AE163" s="34">
        <f>IFERROR(XS_AnalyzerSummary!AW161,0)</f>
        <v>1.6697033650040709</v>
      </c>
      <c r="AF163" s="34">
        <f>IFERROR(XS_AnalyzerSummary!AK161,0)</f>
        <v>8.1099999999999888</v>
      </c>
      <c r="AG163" s="34">
        <f>IFERROR(XS_AnalyzerSummary!BF161,0)</f>
        <v>6.1743218419606114</v>
      </c>
    </row>
    <row r="164" spans="28:33">
      <c r="AB164" s="34">
        <f>IFERROR(XS_AnalyzerSummary!AK162,0)</f>
        <v>8.1549999999999887</v>
      </c>
      <c r="AC164" s="34">
        <f>IFERROR(XS_AnalyzerSummary!AV162,0)</f>
        <v>2.8475580536173717</v>
      </c>
      <c r="AD164" s="34">
        <f>IFERROR(XS_AnalyzerSummary!AK162,0)</f>
        <v>8.1549999999999887</v>
      </c>
      <c r="AE164" s="34">
        <f>IFERROR(XS_AnalyzerSummary!AW162,0)</f>
        <v>1.6552563241916582</v>
      </c>
      <c r="AF164" s="34">
        <f>IFERROR(XS_AnalyzerSummary!AK162,0)</f>
        <v>8.1549999999999887</v>
      </c>
      <c r="AG164" s="34">
        <f>IFERROR(XS_AnalyzerSummary!BF162,0)</f>
        <v>6.1189048487446298</v>
      </c>
    </row>
    <row r="165" spans="28:33">
      <c r="AB165" s="34">
        <f>IFERROR(XS_AnalyzerSummary!AK163,0)</f>
        <v>8.1999999999999886</v>
      </c>
      <c r="AC165" s="34">
        <f>IFERROR(XS_AnalyzerSummary!AV163,0)</f>
        <v>2.8309649080070916</v>
      </c>
      <c r="AD165" s="34">
        <f>IFERROR(XS_AnalyzerSummary!AK163,0)</f>
        <v>8.1999999999999886</v>
      </c>
      <c r="AE165" s="34">
        <f>IFERROR(XS_AnalyzerSummary!AW163,0)</f>
        <v>1.6408092833792609</v>
      </c>
      <c r="AF165" s="34">
        <f>IFERROR(XS_AnalyzerSummary!AK163,0)</f>
        <v>8.1999999999999886</v>
      </c>
      <c r="AG165" s="34">
        <f>IFERROR(XS_AnalyzerSummary!BF163,0)</f>
        <v>6.0635080783086668</v>
      </c>
    </row>
    <row r="166" spans="28:33">
      <c r="AB166" s="34">
        <f>IFERROR(XS_AnalyzerSummary!AK164,0)</f>
        <v>8.2449999999999886</v>
      </c>
      <c r="AC166" s="34">
        <f>IFERROR(XS_AnalyzerSummary!AV164,0)</f>
        <v>2.8143229902029052</v>
      </c>
      <c r="AD166" s="34">
        <f>IFERROR(XS_AnalyzerSummary!AK164,0)</f>
        <v>8.2449999999999886</v>
      </c>
      <c r="AE166" s="34">
        <f>IFERROR(XS_AnalyzerSummary!AW164,0)</f>
        <v>1.6263622425668487</v>
      </c>
      <c r="AF166" s="34">
        <f>IFERROR(XS_AnalyzerSummary!AK164,0)</f>
        <v>8.2449999999999886</v>
      </c>
      <c r="AG166" s="34">
        <f>IFERROR(XS_AnalyzerSummary!BF164,0)</f>
        <v>6.0081317004577475</v>
      </c>
    </row>
    <row r="167" spans="28:33">
      <c r="AB167" s="34">
        <f>IFERROR(XS_AnalyzerSummary!AK165,0)</f>
        <v>8.2899999999999885</v>
      </c>
      <c r="AC167" s="34">
        <f>IFERROR(XS_AnalyzerSummary!AV165,0)</f>
        <v>2.7976317216731239</v>
      </c>
      <c r="AD167" s="34">
        <f>IFERROR(XS_AnalyzerSummary!AK165,0)</f>
        <v>8.2899999999999885</v>
      </c>
      <c r="AE167" s="34">
        <f>IFERROR(XS_AnalyzerSummary!AW165,0)</f>
        <v>1.6119152017544438</v>
      </c>
      <c r="AF167" s="34">
        <f>IFERROR(XS_AnalyzerSummary!AK165,0)</f>
        <v>8.2899999999999885</v>
      </c>
      <c r="AG167" s="34">
        <f>IFERROR(XS_AnalyzerSummary!BF165,0)</f>
        <v>5.9527758879368244</v>
      </c>
    </row>
    <row r="168" spans="28:33">
      <c r="AB168" s="34">
        <f>IFERROR(XS_AnalyzerSummary!AK166,0)</f>
        <v>8.3349999999999884</v>
      </c>
      <c r="AC168" s="34">
        <f>IFERROR(XS_AnalyzerSummary!AV166,0)</f>
        <v>2.780890511768733</v>
      </c>
      <c r="AD168" s="34">
        <f>IFERROR(XS_AnalyzerSummary!AK166,0)</f>
        <v>8.3349999999999884</v>
      </c>
      <c r="AE168" s="34">
        <f>IFERROR(XS_AnalyzerSummary!AW166,0)</f>
        <v>1.597468160942046</v>
      </c>
      <c r="AF168" s="34">
        <f>IFERROR(XS_AnalyzerSummary!AK166,0)</f>
        <v>8.3349999999999884</v>
      </c>
      <c r="AG168" s="34">
        <f>IFERROR(XS_AnalyzerSummary!BF166,0)</f>
        <v>5.8974408165083627</v>
      </c>
    </row>
    <row r="169" spans="28:33">
      <c r="AB169" s="34">
        <f>IFERROR(XS_AnalyzerSummary!AK167,0)</f>
        <v>8.3799999999999883</v>
      </c>
      <c r="AC169" s="34">
        <f>IFERROR(XS_AnalyzerSummary!AV167,0)</f>
        <v>2.7640987573575373</v>
      </c>
      <c r="AD169" s="34">
        <f>IFERROR(XS_AnalyzerSummary!AK167,0)</f>
        <v>8.3799999999999883</v>
      </c>
      <c r="AE169" s="34">
        <f>IFERROR(XS_AnalyzerSummary!AW167,0)</f>
        <v>1.583021120129634</v>
      </c>
      <c r="AF169" s="34">
        <f>IFERROR(XS_AnalyzerSummary!AK167,0)</f>
        <v>8.3799999999999883</v>
      </c>
      <c r="AG169" s="34">
        <f>IFERROR(XS_AnalyzerSummary!BF167,0)</f>
        <v>5.8421266650326871</v>
      </c>
    </row>
    <row r="170" spans="28:33">
      <c r="AB170" s="34">
        <f>IFERROR(XS_AnalyzerSummary!AK168,0)</f>
        <v>8.4249999999999883</v>
      </c>
      <c r="AC170" s="34">
        <f>IFERROR(XS_AnalyzerSummary!AV168,0)</f>
        <v>2.747255842443896</v>
      </c>
      <c r="AD170" s="34">
        <f>IFERROR(XS_AnalyzerSummary!AK168,0)</f>
        <v>8.4249999999999883</v>
      </c>
      <c r="AE170" s="34">
        <f>IFERROR(XS_AnalyzerSummary!AW168,0)</f>
        <v>1.5685740793172358</v>
      </c>
      <c r="AF170" s="34">
        <f>IFERROR(XS_AnalyzerSummary!AK168,0)</f>
        <v>8.4249999999999883</v>
      </c>
      <c r="AG170" s="34">
        <f>IFERROR(XS_AnalyzerSummary!BF168,0)</f>
        <v>5.7868336155512106</v>
      </c>
    </row>
    <row r="171" spans="28:33">
      <c r="AB171" s="34">
        <f>IFERROR(XS_AnalyzerSummary!AK169,0)</f>
        <v>8.4699999999999882</v>
      </c>
      <c r="AC171" s="34">
        <f>IFERROR(XS_AnalyzerSummary!AV169,0)</f>
        <v>2.7303611377730581</v>
      </c>
      <c r="AD171" s="34">
        <f>IFERROR(XS_AnalyzerSummary!AK169,0)</f>
        <v>8.4699999999999882</v>
      </c>
      <c r="AE171" s="34">
        <f>IFERROR(XS_AnalyzerSummary!AW169,0)</f>
        <v>1.5541270385048243</v>
      </c>
      <c r="AF171" s="34">
        <f>IFERROR(XS_AnalyzerSummary!AK169,0)</f>
        <v>8.4699999999999882</v>
      </c>
      <c r="AG171" s="34">
        <f>IFERROR(XS_AnalyzerSummary!BF169,0)</f>
        <v>5.7315618533727033</v>
      </c>
    </row>
    <row r="172" spans="28:33">
      <c r="AB172" s="34">
        <f>IFERROR(XS_AnalyzerSummary!AK170,0)</f>
        <v>8.5149999999999881</v>
      </c>
      <c r="AC172" s="34">
        <f>IFERROR(XS_AnalyzerSummary!AV170,0)</f>
        <v>2.7134140004197649</v>
      </c>
      <c r="AD172" s="34">
        <f>IFERROR(XS_AnalyzerSummary!AK170,0)</f>
        <v>8.5149999999999881</v>
      </c>
      <c r="AE172" s="34">
        <f>IFERROR(XS_AnalyzerSummary!AW170,0)</f>
        <v>1.5396799976924191</v>
      </c>
      <c r="AF172" s="34">
        <f>IFERROR(XS_AnalyzerSummary!AK170,0)</f>
        <v>8.5149999999999881</v>
      </c>
      <c r="AG172" s="34">
        <f>IFERROR(XS_AnalyzerSummary!BF170,0)</f>
        <v>5.6763115671627036</v>
      </c>
    </row>
    <row r="173" spans="28:33">
      <c r="AB173" s="34">
        <f>IFERROR(XS_AnalyzerSummary!AK171,0)</f>
        <v>8.5599999999999881</v>
      </c>
      <c r="AC173" s="34">
        <f>IFERROR(XS_AnalyzerSummary!AV171,0)</f>
        <v>2.6964137733599087</v>
      </c>
      <c r="AD173" s="34">
        <f>IFERROR(XS_AnalyzerSummary!AK171,0)</f>
        <v>8.5599999999999881</v>
      </c>
      <c r="AE173" s="34">
        <f>IFERROR(XS_AnalyzerSummary!AW171,0)</f>
        <v>1.5252329568800214</v>
      </c>
      <c r="AF173" s="34">
        <f>IFERROR(XS_AnalyzerSummary!AK171,0)</f>
        <v>8.5599999999999881</v>
      </c>
      <c r="AG173" s="34">
        <f>IFERROR(XS_AnalyzerSummary!BF171,0)</f>
        <v>5.6210829490362375</v>
      </c>
    </row>
    <row r="174" spans="28:33">
      <c r="AB174" s="34">
        <f>IFERROR(XS_AnalyzerSummary!AK172,0)</f>
        <v>8.604999999999988</v>
      </c>
      <c r="AC174" s="34">
        <f>IFERROR(XS_AnalyzerSummary!AV172,0)</f>
        <v>2.6793597850246531</v>
      </c>
      <c r="AD174" s="34">
        <f>IFERROR(XS_AnalyzerSummary!AK172,0)</f>
        <v>8.604999999999988</v>
      </c>
      <c r="AE174" s="34">
        <f>IFERROR(XS_AnalyzerSummary!AW172,0)</f>
        <v>1.5107859160676094</v>
      </c>
      <c r="AF174" s="34">
        <f>IFERROR(XS_AnalyzerSummary!AK172,0)</f>
        <v>8.604999999999988</v>
      </c>
      <c r="AG174" s="34">
        <f>IFERROR(XS_AnalyzerSummary!BF172,0)</f>
        <v>5.5658761946539972</v>
      </c>
    </row>
    <row r="175" spans="28:33">
      <c r="AB175" s="34">
        <f>IFERROR(XS_AnalyzerSummary!AK173,0)</f>
        <v>8.6499999999999879</v>
      </c>
      <c r="AC175" s="34">
        <f>IFERROR(XS_AnalyzerSummary!AV173,0)</f>
        <v>2.662251348836135</v>
      </c>
      <c r="AD175" s="34">
        <f>IFERROR(XS_AnalyzerSummary!AK173,0)</f>
        <v>8.6499999999999879</v>
      </c>
      <c r="AE175" s="34">
        <f>IFERROR(XS_AnalyzerSummary!AW173,0)</f>
        <v>1.4963388752552107</v>
      </c>
      <c r="AF175" s="34">
        <f>IFERROR(XS_AnalyzerSummary!AK173,0)</f>
        <v>8.6499999999999879</v>
      </c>
      <c r="AG175" s="34">
        <f>IFERROR(XS_AnalyzerSummary!BF173,0)</f>
        <v>5.5106915033221471</v>
      </c>
    </row>
    <row r="176" spans="28:33">
      <c r="AB176" s="34">
        <f>IFERROR(XS_AnalyzerSummary!AK174,0)</f>
        <v>8.6949999999999878</v>
      </c>
      <c r="AC176" s="34">
        <f>IFERROR(XS_AnalyzerSummary!AV174,0)</f>
        <v>2.6450877627234961</v>
      </c>
      <c r="AD176" s="34">
        <f>IFERROR(XS_AnalyzerSummary!AK174,0)</f>
        <v>8.6949999999999878</v>
      </c>
      <c r="AE176" s="34">
        <f>IFERROR(XS_AnalyzerSummary!AW174,0)</f>
        <v>1.4818918344427996</v>
      </c>
      <c r="AF176" s="34">
        <f>IFERROR(XS_AnalyzerSummary!AK174,0)</f>
        <v>8.6949999999999878</v>
      </c>
      <c r="AG176" s="34">
        <f>IFERROR(XS_AnalyzerSummary!BF174,0)</f>
        <v>5.4555290780959176</v>
      </c>
    </row>
    <row r="177" spans="28:33">
      <c r="AB177" s="34">
        <f>IFERROR(XS_AnalyzerSummary!AK175,0)</f>
        <v>8.7399999999999878</v>
      </c>
      <c r="AC177" s="34">
        <f>IFERROR(XS_AnalyzerSummary!AV175,0)</f>
        <v>2.6278683086186834</v>
      </c>
      <c r="AD177" s="34">
        <f>IFERROR(XS_AnalyzerSummary!AK175,0)</f>
        <v>8.7399999999999878</v>
      </c>
      <c r="AE177" s="34">
        <f>IFERROR(XS_AnalyzerSummary!AW175,0)</f>
        <v>1.4674447936303943</v>
      </c>
      <c r="AF177" s="34">
        <f>IFERROR(XS_AnalyzerSummary!AK175,0)</f>
        <v>8.7399999999999878</v>
      </c>
      <c r="AG177" s="34">
        <f>IFERROR(XS_AnalyzerSummary!BF175,0)</f>
        <v>5.4003891258871812</v>
      </c>
    </row>
    <row r="178" spans="28:33">
      <c r="AB178" s="34">
        <f>IFERROR(XS_AnalyzerSummary!AK176,0)</f>
        <v>8.7849999999999877</v>
      </c>
      <c r="AC178" s="34">
        <f>IFERROR(XS_AnalyzerSummary!AV176,0)</f>
        <v>2.6105922519305018</v>
      </c>
      <c r="AD178" s="34">
        <f>IFERROR(XS_AnalyzerSummary!AK176,0)</f>
        <v>8.7849999999999877</v>
      </c>
      <c r="AE178" s="34">
        <f>IFERROR(XS_AnalyzerSummary!AW176,0)</f>
        <v>1.452997752817996</v>
      </c>
      <c r="AF178" s="34">
        <f>IFERROR(XS_AnalyzerSummary!AK176,0)</f>
        <v>8.7849999999999877</v>
      </c>
      <c r="AG178" s="34">
        <f>IFERROR(XS_AnalyzerSummary!BF176,0)</f>
        <v>5.3452718575761962</v>
      </c>
    </row>
    <row r="179" spans="28:33">
      <c r="AB179" s="34">
        <f>IFERROR(XS_AnalyzerSummary!AK177,0)</f>
        <v>8.8299999999999876</v>
      </c>
      <c r="AC179" s="34">
        <f>IFERROR(XS_AnalyzerSummary!AV177,0)</f>
        <v>2.5932588409960453</v>
      </c>
      <c r="AD179" s="34">
        <f>IFERROR(XS_AnalyzerSummary!AK177,0)</f>
        <v>8.8299999999999876</v>
      </c>
      <c r="AE179" s="34">
        <f>IFERROR(XS_AnalyzerSummary!AW177,0)</f>
        <v>1.4385507120055845</v>
      </c>
      <c r="AF179" s="34">
        <f>IFERROR(XS_AnalyzerSummary!AK177,0)</f>
        <v>8.8299999999999876</v>
      </c>
      <c r="AG179" s="34">
        <f>IFERROR(XS_AnalyzerSummary!BF177,0)</f>
        <v>5.2901774881277355</v>
      </c>
    </row>
    <row r="180" spans="28:33">
      <c r="AB180" s="34">
        <f>IFERROR(XS_AnalyzerSummary!AK178,0)</f>
        <v>8.8749999999999876</v>
      </c>
      <c r="AC180" s="34">
        <f>IFERROR(XS_AnalyzerSummary!AV178,0)</f>
        <v>2.57586730650829</v>
      </c>
      <c r="AD180" s="34">
        <f>IFERROR(XS_AnalyzerSummary!AK178,0)</f>
        <v>8.8749999999999876</v>
      </c>
      <c r="AE180" s="34">
        <f>IFERROR(XS_AnalyzerSummary!AW178,0)</f>
        <v>1.424103671193186</v>
      </c>
      <c r="AF180" s="34">
        <f>IFERROR(XS_AnalyzerSummary!AK178,0)</f>
        <v>8.8749999999999876</v>
      </c>
      <c r="AG180" s="34">
        <f>IFERROR(XS_AnalyzerSummary!BF178,0)</f>
        <v>5.2351062367117862</v>
      </c>
    </row>
    <row r="181" spans="28:33">
      <c r="AB181" s="34">
        <f>IFERROR(XS_AnalyzerSummary!AK179,0)</f>
        <v>8.9199999999999875</v>
      </c>
      <c r="AC181" s="34">
        <f>IFERROR(XS_AnalyzerSummary!AV179,0)</f>
        <v>2.5584168609182867</v>
      </c>
      <c r="AD181" s="34">
        <f>IFERROR(XS_AnalyzerSummary!AK179,0)</f>
        <v>8.9199999999999875</v>
      </c>
      <c r="AE181" s="34">
        <f>IFERROR(XS_AnalyzerSummary!AW179,0)</f>
        <v>1.4096566303807749</v>
      </c>
      <c r="AF181" s="34">
        <f>IFERROR(XS_AnalyzerSummary!AK179,0)</f>
        <v>8.9199999999999875</v>
      </c>
      <c r="AG181" s="34">
        <f>IFERROR(XS_AnalyzerSummary!BF179,0)</f>
        <v>5.1800583268290943</v>
      </c>
    </row>
    <row r="182" spans="28:33">
      <c r="AB182" s="34">
        <f>IFERROR(XS_AnalyzerSummary!AK180,0)</f>
        <v>8.9649999999999874</v>
      </c>
      <c r="AC182" s="34">
        <f>IFERROR(XS_AnalyzerSummary!AV180,0)</f>
        <v>2.5409066978109878</v>
      </c>
      <c r="AD182" s="34">
        <f>IFERROR(XS_AnalyzerSummary!AK180,0)</f>
        <v>8.9649999999999874</v>
      </c>
      <c r="AE182" s="34">
        <f>IFERROR(XS_AnalyzerSummary!AW180,0)</f>
        <v>1.39520958956837</v>
      </c>
      <c r="AF182" s="34">
        <f>IFERROR(XS_AnalyzerSummary!AK180,0)</f>
        <v>8.9649999999999874</v>
      </c>
      <c r="AG182" s="34">
        <f>IFERROR(XS_AnalyzerSummary!BF180,0)</f>
        <v>5.1250339864417649</v>
      </c>
    </row>
    <row r="183" spans="28:33">
      <c r="AB183" s="34">
        <f>IFERROR(XS_AnalyzerSummary!AK181,0)</f>
        <v>9.0099999999999874</v>
      </c>
      <c r="AC183" s="34">
        <f>IFERROR(XS_AnalyzerSummary!AV181,0)</f>
        <v>2.5233359912528277</v>
      </c>
      <c r="AD183" s="34">
        <f>IFERROR(XS_AnalyzerSummary!AK181,0)</f>
        <v>9.0099999999999874</v>
      </c>
      <c r="AE183" s="34">
        <f>IFERROR(XS_AnalyzerSummary!AW181,0)</f>
        <v>1.3807625487559714</v>
      </c>
      <c r="AF183" s="34">
        <f>IFERROR(XS_AnalyzerSummary!AK181,0)</f>
        <v>9.0099999999999874</v>
      </c>
      <c r="AG183" s="34">
        <f>IFERROR(XS_AnalyzerSummary!BF181,0)</f>
        <v>5.0700334481091831</v>
      </c>
    </row>
    <row r="184" spans="28:33">
      <c r="AB184" s="34">
        <f>IFERROR(XS_AnalyzerSummary!AK182,0)</f>
        <v>9.0549999999999873</v>
      </c>
      <c r="AC184" s="34">
        <f>IFERROR(XS_AnalyzerSummary!AV182,0)</f>
        <v>2.5057038951097383</v>
      </c>
      <c r="AD184" s="34">
        <f>IFERROR(XS_AnalyzerSummary!AK182,0)</f>
        <v>9.0549999999999873</v>
      </c>
      <c r="AE184" s="34">
        <f>IFERROR(XS_AnalyzerSummary!AW182,0)</f>
        <v>1.36631550794356</v>
      </c>
      <c r="AF184" s="34">
        <f>IFERROR(XS_AnalyzerSummary!AK182,0)</f>
        <v>9.0549999999999873</v>
      </c>
      <c r="AG184" s="34">
        <f>IFERROR(XS_AnalyzerSummary!BF182,0)</f>
        <v>5.0150569491295398</v>
      </c>
    </row>
    <row r="185" spans="28:33">
      <c r="AB185" s="34">
        <f>IFERROR(XS_AnalyzerSummary!AK183,0)</f>
        <v>9.0999999999999872</v>
      </c>
      <c r="AC185" s="34">
        <f>IFERROR(XS_AnalyzerSummary!AV183,0)</f>
        <v>2.4880095423339434</v>
      </c>
      <c r="AD185" s="34">
        <f>IFERROR(XS_AnalyzerSummary!AK183,0)</f>
        <v>9.0999999999999872</v>
      </c>
      <c r="AE185" s="34">
        <f>IFERROR(XS_AnalyzerSummary!AW183,0)</f>
        <v>1.3518684671311614</v>
      </c>
      <c r="AF185" s="34">
        <f>IFERROR(XS_AnalyzerSummary!AK183,0)</f>
        <v>9.0999999999999872</v>
      </c>
      <c r="AG185" s="34">
        <f>IFERROR(XS_AnalyzerSummary!BF183,0)</f>
        <v>4.9601047316872444</v>
      </c>
    </row>
    <row r="186" spans="28:33">
      <c r="AB186" s="34">
        <f>IFERROR(XS_AnalyzerSummary!AK184,0)</f>
        <v>9.1449999999999871</v>
      </c>
      <c r="AC186" s="34">
        <f>IFERROR(XS_AnalyzerSummary!AV184,0)</f>
        <v>2.4702520442174647</v>
      </c>
      <c r="AD186" s="34">
        <f>IFERROR(XS_AnalyzerSummary!AK184,0)</f>
        <v>9.1449999999999871</v>
      </c>
      <c r="AE186" s="34">
        <f>IFERROR(XS_AnalyzerSummary!AW184,0)</f>
        <v>1.3374214263187503</v>
      </c>
      <c r="AF186" s="34">
        <f>IFERROR(XS_AnalyzerSummary!AK184,0)</f>
        <v>9.1449999999999871</v>
      </c>
      <c r="AG186" s="34">
        <f>IFERROR(XS_AnalyzerSummary!BF184,0)</f>
        <v>4.9051770430065442</v>
      </c>
    </row>
    <row r="187" spans="28:33">
      <c r="AB187" s="34">
        <f>IFERROR(XS_AnalyzerSummary!AK185,0)</f>
        <v>9.1899999999999871</v>
      </c>
      <c r="AC187" s="34">
        <f>IFERROR(XS_AnalyzerSummary!AV185,0)</f>
        <v>2.4524304896108564</v>
      </c>
      <c r="AD187" s="34">
        <f>IFERROR(XS_AnalyzerSummary!AK185,0)</f>
        <v>9.1899999999999871</v>
      </c>
      <c r="AE187" s="34">
        <f>IFERROR(XS_AnalyzerSummary!AW185,0)</f>
        <v>1.3229743855063456</v>
      </c>
      <c r="AF187" s="34">
        <f>IFERROR(XS_AnalyzerSummary!AK185,0)</f>
        <v>9.1899999999999871</v>
      </c>
      <c r="AG187" s="34">
        <f>IFERROR(XS_AnalyzerSummary!BF185,0)</f>
        <v>4.8502741355116701</v>
      </c>
    </row>
    <row r="188" spans="28:33">
      <c r="AB188" s="34">
        <f>IFERROR(XS_AnalyzerSummary!AK186,0)</f>
        <v>9.234999999999987</v>
      </c>
      <c r="AC188" s="34">
        <f>IFERROR(XS_AnalyzerSummary!AV186,0)</f>
        <v>2.434543944104695</v>
      </c>
      <c r="AD188" s="34">
        <f>IFERROR(XS_AnalyzerSummary!AK186,0)</f>
        <v>9.234999999999987</v>
      </c>
      <c r="AE188" s="34">
        <f>IFERROR(XS_AnalyzerSummary!AW186,0)</f>
        <v>1.3085273446939465</v>
      </c>
      <c r="AF188" s="34">
        <f>IFERROR(XS_AnalyzerSummary!AK186,0)</f>
        <v>9.234999999999987</v>
      </c>
      <c r="AG188" s="34">
        <f>IFERROR(XS_AnalyzerSummary!BF186,0)</f>
        <v>4.7953962669938663</v>
      </c>
    </row>
    <row r="189" spans="28:33">
      <c r="AB189" s="34">
        <f>IFERROR(XS_AnalyzerSummary!AK187,0)</f>
        <v>9.2799999999999869</v>
      </c>
      <c r="AC189" s="34">
        <f>IFERROR(XS_AnalyzerSummary!AV187,0)</f>
        <v>2.4165914491719303</v>
      </c>
      <c r="AD189" s="34">
        <f>IFERROR(XS_AnalyzerSummary!AK187,0)</f>
        <v>9.2799999999999869</v>
      </c>
      <c r="AE189" s="34">
        <f>IFERROR(XS_AnalyzerSummary!AW187,0)</f>
        <v>1.2940803038815356</v>
      </c>
      <c r="AF189" s="34">
        <f>IFERROR(XS_AnalyzerSummary!AK187,0)</f>
        <v>9.2799999999999869</v>
      </c>
      <c r="AG189" s="34">
        <f>IFERROR(XS_AnalyzerSummary!BF187,0)</f>
        <v>4.740543700785687</v>
      </c>
    </row>
    <row r="190" spans="28:33">
      <c r="AB190" s="34">
        <f>IFERROR(XS_AnalyzerSummary!AK188,0)</f>
        <v>9.3249999999999869</v>
      </c>
      <c r="AC190" s="34">
        <f>IFERROR(XS_AnalyzerSummary!AV188,0)</f>
        <v>2.3985720212687167</v>
      </c>
      <c r="AD190" s="34">
        <f>IFERROR(XS_AnalyzerSummary!AK188,0)</f>
        <v>9.3249999999999869</v>
      </c>
      <c r="AE190" s="34">
        <f>IFERROR(XS_AnalyzerSummary!AW188,0)</f>
        <v>1.2796332630691363</v>
      </c>
      <c r="AF190" s="34">
        <f>IFERROR(XS_AnalyzerSummary!AK188,0)</f>
        <v>9.3249999999999869</v>
      </c>
      <c r="AG190" s="34">
        <f>IFERROR(XS_AnalyzerSummary!BF188,0)</f>
        <v>4.6857167059429328</v>
      </c>
    </row>
    <row r="191" spans="28:33">
      <c r="AB191" s="34">
        <f>IFERROR(XS_AnalyzerSummary!AK189,0)</f>
        <v>9.3699999999999868</v>
      </c>
      <c r="AC191" s="34">
        <f>IFERROR(XS_AnalyzerSummary!AV189,0)</f>
        <v>2.380484650891002</v>
      </c>
      <c r="AD191" s="34">
        <f>IFERROR(XS_AnalyzerSummary!AK189,0)</f>
        <v>9.3699999999999868</v>
      </c>
      <c r="AE191" s="34">
        <f>IFERROR(XS_AnalyzerSummary!AW189,0)</f>
        <v>1.2651862222567258</v>
      </c>
      <c r="AF191" s="34">
        <f>IFERROR(XS_AnalyzerSummary!AK189,0)</f>
        <v>9.3699999999999868</v>
      </c>
      <c r="AG191" s="34">
        <f>IFERROR(XS_AnalyzerSummary!BF189,0)</f>
        <v>4.6309155574346867</v>
      </c>
    </row>
    <row r="192" spans="28:33">
      <c r="AB192" s="34">
        <f>IFERROR(XS_AnalyzerSummary!AK190,0)</f>
        <v>9.4149999999999867</v>
      </c>
      <c r="AC192" s="34">
        <f>IFERROR(XS_AnalyzerSummary!AV190,0)</f>
        <v>2.3623283015845433</v>
      </c>
      <c r="AD192" s="34">
        <f>IFERROR(XS_AnalyzerSummary!AK190,0)</f>
        <v>9.4149999999999867</v>
      </c>
      <c r="AE192" s="34">
        <f>IFERROR(XS_AnalyzerSummary!AW190,0)</f>
        <v>1.2507391814443207</v>
      </c>
      <c r="AF192" s="34">
        <f>IFERROR(XS_AnalyzerSummary!AK190,0)</f>
        <v>9.4149999999999867</v>
      </c>
      <c r="AG192" s="34">
        <f>IFERROR(XS_AnalyzerSummary!BF190,0)</f>
        <v>4.576140536341887</v>
      </c>
    </row>
    <row r="193" spans="28:33">
      <c r="AB193" s="34">
        <f>IFERROR(XS_AnalyzerSummary!AK191,0)</f>
        <v>9.4599999999999866</v>
      </c>
      <c r="AC193" s="34">
        <f>IFERROR(XS_AnalyzerSummary!AV191,0)</f>
        <v>2.3441019089051025</v>
      </c>
      <c r="AD193" s="34">
        <f>IFERROR(XS_AnalyzerSummary!AK191,0)</f>
        <v>9.4599999999999866</v>
      </c>
      <c r="AE193" s="34">
        <f>IFERROR(XS_AnalyzerSummary!AW191,0)</f>
        <v>1.2362921406319216</v>
      </c>
      <c r="AF193" s="34">
        <f>IFERROR(XS_AnalyzerSummary!AK191,0)</f>
        <v>9.4599999999999866</v>
      </c>
      <c r="AG193" s="34">
        <f>IFERROR(XS_AnalyzerSummary!BF191,0)</f>
        <v>4.5213919300649126</v>
      </c>
    </row>
    <row r="194" spans="28:33">
      <c r="AB194" s="34">
        <f>IFERROR(XS_AnalyzerSummary!AK192,0)</f>
        <v>9.5049999999999866</v>
      </c>
      <c r="AC194" s="34">
        <f>IFERROR(XS_AnalyzerSummary!AV192,0)</f>
        <v>2.3258043793259451</v>
      </c>
      <c r="AD194" s="34">
        <f>IFERROR(XS_AnalyzerSummary!AK192,0)</f>
        <v>9.5049999999999866</v>
      </c>
      <c r="AE194" s="34">
        <f>IFERROR(XS_AnalyzerSummary!AW192,0)</f>
        <v>1.2218450998195109</v>
      </c>
      <c r="AF194" s="34">
        <f>IFERROR(XS_AnalyzerSummary!AK192,0)</f>
        <v>9.5049999999999866</v>
      </c>
      <c r="AG194" s="34">
        <f>IFERROR(XS_AnalyzerSummary!BF192,0)</f>
        <v>4.4666700325407325</v>
      </c>
    </row>
    <row r="195" spans="28:33">
      <c r="AB195" s="34">
        <f>IFERROR(XS_AnalyzerSummary!AK193,0)</f>
        <v>9.5499999999999865</v>
      </c>
      <c r="AC195" s="34">
        <f>IFERROR(XS_AnalyzerSummary!AV193,0)</f>
        <v>2.3074345890893198</v>
      </c>
      <c r="AD195" s="34">
        <f>IFERROR(XS_AnalyzerSummary!AK193,0)</f>
        <v>9.5499999999999865</v>
      </c>
      <c r="AE195" s="34">
        <f>IFERROR(XS_AnalyzerSummary!AW193,0)</f>
        <v>1.2073980590071114</v>
      </c>
      <c r="AF195" s="34">
        <f>IFERROR(XS_AnalyzerSummary!AK193,0)</f>
        <v>9.5499999999999865</v>
      </c>
      <c r="AG195" s="34">
        <f>IFERROR(XS_AnalyzerSummary!BF193,0)</f>
        <v>4.4119751444701354</v>
      </c>
    </row>
    <row r="196" spans="28:33">
      <c r="AB196" s="34">
        <f>IFERROR(XS_AnalyzerSummary!AK194,0)</f>
        <v>9.5949999999999864</v>
      </c>
      <c r="AC196" s="34">
        <f>IFERROR(XS_AnalyzerSummary!AV194,0)</f>
        <v>2.2889913829980824</v>
      </c>
      <c r="AD196" s="34">
        <f>IFERROR(XS_AnalyzerSummary!AK194,0)</f>
        <v>9.5949999999999864</v>
      </c>
      <c r="AE196" s="34">
        <f>IFERROR(XS_AnalyzerSummary!AW194,0)</f>
        <v>1.1929510181947012</v>
      </c>
      <c r="AF196" s="34">
        <f>IFERROR(XS_AnalyzerSummary!AK194,0)</f>
        <v>9.5949999999999864</v>
      </c>
      <c r="AG196" s="34">
        <f>IFERROR(XS_AnalyzerSummary!BF194,0)</f>
        <v>4.3573075735556746</v>
      </c>
    </row>
    <row r="197" spans="28:33">
      <c r="AB197" s="34">
        <f>IFERROR(XS_AnalyzerSummary!AK195,0)</f>
        <v>9.6399999999999864</v>
      </c>
      <c r="AC197" s="34">
        <f>IFERROR(XS_AnalyzerSummary!AV195,0)</f>
        <v>2.2704735731439865</v>
      </c>
      <c r="AD197" s="34">
        <f>IFERROR(XS_AnalyzerSummary!AK195,0)</f>
        <v>9.6399999999999864</v>
      </c>
      <c r="AE197" s="34">
        <f>IFERROR(XS_AnalyzerSummary!AW195,0)</f>
        <v>1.1785039773822963</v>
      </c>
      <c r="AF197" s="34">
        <f>IFERROR(XS_AnalyzerSummary!AK195,0)</f>
        <v>9.6399999999999864</v>
      </c>
      <c r="AG197" s="34">
        <f>IFERROR(XS_AnalyzerSummary!BF195,0)</f>
        <v>4.3026676347509296</v>
      </c>
    </row>
    <row r="198" spans="28:33">
      <c r="AB198" s="34">
        <f>IFERROR(XS_AnalyzerSummary!AK196,0)</f>
        <v>9.6849999999999863</v>
      </c>
      <c r="AC198" s="34">
        <f>IFERROR(XS_AnalyzerSummary!AV196,0)</f>
        <v>2.2518799375680913</v>
      </c>
      <c r="AD198" s="34">
        <f>IFERROR(XS_AnalyzerSummary!AK196,0)</f>
        <v>9.6849999999999863</v>
      </c>
      <c r="AE198" s="34">
        <f>IFERROR(XS_AnalyzerSummary!AW196,0)</f>
        <v>1.1640569365698965</v>
      </c>
      <c r="AF198" s="34">
        <f>IFERROR(XS_AnalyzerSummary!AK196,0)</f>
        <v>9.6849999999999863</v>
      </c>
      <c r="AG198" s="34">
        <f>IFERROR(XS_AnalyzerSummary!BF196,0)</f>
        <v>4.2480556505218088</v>
      </c>
    </row>
    <row r="199" spans="28:33">
      <c r="AB199" s="34">
        <f>IFERROR(XS_AnalyzerSummary!AK197,0)</f>
        <v>9.7299999999999862</v>
      </c>
      <c r="AC199" s="34">
        <f>IFERROR(XS_AnalyzerSummary!AV197,0)</f>
        <v>2.2332092188490478</v>
      </c>
      <c r="AD199" s="34">
        <f>IFERROR(XS_AnalyzerSummary!AK197,0)</f>
        <v>9.7299999999999862</v>
      </c>
      <c r="AE199" s="34">
        <f>IFERROR(XS_AnalyzerSummary!AW197,0)</f>
        <v>1.1496098957574865</v>
      </c>
      <c r="AF199" s="34">
        <f>IFERROR(XS_AnalyzerSummary!AK197,0)</f>
        <v>9.7299999999999862</v>
      </c>
      <c r="AG199" s="34">
        <f>IFERROR(XS_AnalyzerSummary!BF197,0)</f>
        <v>4.1934719511205829</v>
      </c>
    </row>
    <row r="200" spans="28:33">
      <c r="AB200" s="34">
        <f>IFERROR(XS_AnalyzerSummary!AK198,0)</f>
        <v>9.7749999999999861</v>
      </c>
      <c r="AC200" s="34">
        <f>IFERROR(XS_AnalyzerSummary!AV198,0)</f>
        <v>2.2144601226143981</v>
      </c>
      <c r="AD200" s="34">
        <f>IFERROR(XS_AnalyzerSummary!AK198,0)</f>
        <v>9.7749999999999861</v>
      </c>
      <c r="AE200" s="34">
        <f>IFERROR(XS_AnalyzerSummary!AW198,0)</f>
        <v>1.1351628549450863</v>
      </c>
      <c r="AF200" s="34">
        <f>IFERROR(XS_AnalyzerSummary!AK198,0)</f>
        <v>9.7749999999999861</v>
      </c>
      <c r="AG200" s="34">
        <f>IFERROR(XS_AnalyzerSummary!BF198,0)</f>
        <v>4.1389168748734804</v>
      </c>
    </row>
    <row r="201" spans="28:33">
      <c r="AB201" s="34">
        <f>IFERROR(XS_AnalyzerSummary!AK199,0)</f>
        <v>9.8199999999999861</v>
      </c>
      <c r="AC201" s="34">
        <f>IFERROR(XS_AnalyzerSummary!AV199,0)</f>
        <v>2.1956313159694218</v>
      </c>
      <c r="AD201" s="34">
        <f>IFERROR(XS_AnalyzerSummary!AK199,0)</f>
        <v>9.8199999999999861</v>
      </c>
      <c r="AE201" s="34">
        <f>IFERROR(XS_AnalyzerSummary!AW199,0)</f>
        <v>1.1207158141326767</v>
      </c>
      <c r="AF201" s="34">
        <f>IFERROR(XS_AnalyzerSummary!AK199,0)</f>
        <v>9.8199999999999861</v>
      </c>
      <c r="AG201" s="34">
        <f>IFERROR(XS_AnalyzerSummary!BF199,0)</f>
        <v>4.0843907684826659</v>
      </c>
    </row>
    <row r="202" spans="28:33">
      <c r="AB202" s="34">
        <f>IFERROR(XS_AnalyzerSummary!AK200,0)</f>
        <v>9.864999999999986</v>
      </c>
      <c r="AC202" s="34">
        <f>IFERROR(XS_AnalyzerSummary!AV200,0)</f>
        <v>2.1767214258382181</v>
      </c>
      <c r="AD202" s="34">
        <f>IFERROR(XS_AnalyzerSummary!AK200,0)</f>
        <v>9.864999999999986</v>
      </c>
      <c r="AE202" s="34">
        <f>IFERROR(XS_AnalyzerSummary!AW200,0)</f>
        <v>1.1062687733202716</v>
      </c>
      <c r="AF202" s="34">
        <f>IFERROR(XS_AnalyzerSummary!AK200,0)</f>
        <v>9.864999999999986</v>
      </c>
      <c r="AG202" s="34">
        <f>IFERROR(XS_AnalyzerSummary!BF200,0)</f>
        <v>4.0298939873435309</v>
      </c>
    </row>
    <row r="203" spans="28:33">
      <c r="AB203" s="34">
        <f>IFERROR(XS_AnalyzerSummary!AK201,0)</f>
        <v>9.9099999999999859</v>
      </c>
      <c r="AC203" s="34">
        <f>IFERROR(XS_AnalyzerSummary!AV201,0)</f>
        <v>2.1577290372105309</v>
      </c>
      <c r="AD203" s="34">
        <f>IFERROR(XS_AnalyzerSummary!AK201,0)</f>
        <v>9.9099999999999859</v>
      </c>
      <c r="AE203" s="34">
        <f>IFERROR(XS_AnalyzerSummary!AW201,0)</f>
        <v>1.0918217325078718</v>
      </c>
      <c r="AF203" s="34">
        <f>IFERROR(XS_AnalyzerSummary!AK201,0)</f>
        <v>9.9099999999999859</v>
      </c>
      <c r="AG203" s="34">
        <f>IFERROR(XS_AnalyzerSummary!BF201,0)</f>
        <v>3.9754268958782761</v>
      </c>
    </row>
    <row r="204" spans="28:33">
      <c r="AB204" s="34">
        <f>IFERROR(XS_AnalyzerSummary!AK202,0)</f>
        <v>9.9549999999999859</v>
      </c>
      <c r="AC204" s="34">
        <f>IFERROR(XS_AnalyzerSummary!AV202,0)</f>
        <v>2.1386526912878701</v>
      </c>
      <c r="AD204" s="34">
        <f>IFERROR(XS_AnalyzerSummary!AK202,0)</f>
        <v>9.9549999999999859</v>
      </c>
      <c r="AE204" s="34">
        <f>IFERROR(XS_AnalyzerSummary!AW202,0)</f>
        <v>0</v>
      </c>
      <c r="AF204" s="34">
        <f>IFERROR(XS_AnalyzerSummary!AK202,0)</f>
        <v>9.9549999999999859</v>
      </c>
      <c r="AG204" s="34">
        <f>IFERROR(XS_AnalyzerSummary!BF202,0)</f>
        <v>3.9209898678868438</v>
      </c>
    </row>
    <row r="205" spans="28:33">
      <c r="AB205" s="34">
        <f>IFERROR(XS_AnalyzerSummary!AK203,0)</f>
        <v>9.9999999999999858</v>
      </c>
      <c r="AC205" s="34">
        <f>IFERROR(XS_AnalyzerSummary!AV203,0)</f>
        <v>0</v>
      </c>
      <c r="AD205" s="34">
        <f>IFERROR(XS_AnalyzerSummary!AK203,0)</f>
        <v>9.9999999999999858</v>
      </c>
      <c r="AE205" s="34">
        <f>IFERROR(XS_AnalyzerSummary!AW203,0)</f>
        <v>0</v>
      </c>
      <c r="AF205" s="34">
        <f>IFERROR(XS_AnalyzerSummary!AK203,0)</f>
        <v>9.9999999999999858</v>
      </c>
      <c r="AG205" s="34">
        <f>IFERROR(XS_AnalyzerSummary!BF203,0)</f>
        <v>3.866583286916347</v>
      </c>
    </row>
    <row r="206" spans="28:33">
      <c r="AB206" s="34">
        <f>IFERROR(XS_AnalyzerSummary!AK204,0)</f>
        <v>10</v>
      </c>
      <c r="AC206" s="34">
        <f>IFERROR(XS_AnalyzerSummary!AV204,0)</f>
        <v>0</v>
      </c>
      <c r="AD206" s="34">
        <f>IFERROR(XS_AnalyzerSummary!AK204,0)</f>
        <v>10</v>
      </c>
      <c r="AE206" s="34">
        <f>IFERROR(XS_AnalyzerSummary!AW204,0)</f>
        <v>0</v>
      </c>
      <c r="AF206" s="34">
        <f>IFERROR(XS_AnalyzerSummary!AK204,0)</f>
        <v>10</v>
      </c>
      <c r="AG206" s="34">
        <f>IFERROR(XS_AnalyzerSummary!BF204,0)</f>
        <v>0</v>
      </c>
    </row>
    <row r="207" spans="28:33">
      <c r="AB207" s="56"/>
      <c r="AC207" s="56"/>
      <c r="AD207" s="56"/>
      <c r="AE207" s="56"/>
      <c r="AF207" s="56"/>
      <c r="AG207" s="56"/>
    </row>
    <row r="208" spans="28:33">
      <c r="AB208" s="56"/>
      <c r="AC208" s="56"/>
      <c r="AD208" s="56"/>
      <c r="AE208" s="56"/>
      <c r="AF208" s="56"/>
      <c r="AG208" s="56"/>
    </row>
    <row r="209" spans="28:33">
      <c r="AB209" s="56"/>
      <c r="AC209" s="56"/>
      <c r="AD209" s="56"/>
      <c r="AE209" s="56"/>
      <c r="AF209" s="56"/>
      <c r="AG209" s="56"/>
    </row>
    <row r="210" spans="28:33">
      <c r="AB210" s="56"/>
      <c r="AC210" s="56"/>
      <c r="AD210" s="56"/>
      <c r="AE210" s="56"/>
      <c r="AF210" s="56"/>
      <c r="AG210" s="56"/>
    </row>
    <row r="211" spans="28:33">
      <c r="AB211" s="56"/>
      <c r="AC211" s="56"/>
      <c r="AD211" s="56"/>
      <c r="AE211" s="56"/>
      <c r="AF211" s="56"/>
      <c r="AG211" s="56"/>
    </row>
  </sheetData>
  <mergeCells count="19">
    <mergeCell ref="B3:D3"/>
    <mergeCell ref="E1:G1"/>
    <mergeCell ref="H1:I1"/>
    <mergeCell ref="J1:L1"/>
    <mergeCell ref="M1:N1"/>
    <mergeCell ref="E2:G2"/>
    <mergeCell ref="H2:I2"/>
    <mergeCell ref="J2:L2"/>
    <mergeCell ref="M2:N2"/>
    <mergeCell ref="P2:R2"/>
    <mergeCell ref="AB2:AG2"/>
    <mergeCell ref="T3:U3"/>
    <mergeCell ref="V3:W3"/>
    <mergeCell ref="X3:Z3"/>
    <mergeCell ref="AB3:AC3"/>
    <mergeCell ref="AD3:AE3"/>
    <mergeCell ref="AF3:AG3"/>
    <mergeCell ref="T2:W2"/>
    <mergeCell ref="X2: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11</vt:i4>
      </vt:variant>
    </vt:vector>
  </HeadingPairs>
  <TitlesOfParts>
    <vt:vector size="21" baseType="lpstr">
      <vt:lpstr>Hydraulics_Output</vt:lpstr>
      <vt:lpstr>Sediment_Threshold_Output</vt:lpstr>
      <vt:lpstr>Data</vt:lpstr>
      <vt:lpstr>XS_Analyzer</vt:lpstr>
      <vt:lpstr>Permissible_Velocities</vt:lpstr>
      <vt:lpstr>Permissible_Shear</vt:lpstr>
      <vt:lpstr>Meander_Bends_(Max Shear)</vt:lpstr>
      <vt:lpstr>XS_AnalyzerSummary</vt:lpstr>
      <vt:lpstr>XS_Analyzer_Calculations</vt:lpstr>
      <vt:lpstr>XS_Analyzer_Graph</vt:lpstr>
      <vt:lpstr>hydraulics_data</vt:lpstr>
      <vt:lpstr>limit_data</vt:lpstr>
      <vt:lpstr>n_label_data</vt:lpstr>
      <vt:lpstr>n_line_data</vt:lpstr>
      <vt:lpstr>Hydraulics_Output!Print_Area</vt:lpstr>
      <vt:lpstr>Sediment_Threshold_Output!Print_Area</vt:lpstr>
      <vt:lpstr>stage_label_data</vt:lpstr>
      <vt:lpstr>stage_line_data</vt:lpstr>
      <vt:lpstr>stage_points_data</vt:lpstr>
      <vt:lpstr>wse_data</vt:lpstr>
      <vt:lpstr>xs_data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gtm8w</dc:creator>
  <cp:lastModifiedBy>Garrett Menichino</cp:lastModifiedBy>
  <cp:lastPrinted>2018-07-21T23:00:48Z</cp:lastPrinted>
  <dcterms:created xsi:type="dcterms:W3CDTF">2018-07-20T17:15:09Z</dcterms:created>
  <dcterms:modified xsi:type="dcterms:W3CDTF">2024-01-04T02:36:07Z</dcterms:modified>
</cp:coreProperties>
</file>