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tmen\Desktop\"/>
    </mc:Choice>
  </mc:AlternateContent>
  <xr:revisionPtr revIDLastSave="0" documentId="8_{99682EAB-B396-42E5-9234-DEB9E5F238E8}" xr6:coauthVersionLast="47" xr6:coauthVersionMax="47" xr10:uidLastSave="{00000000-0000-0000-0000-000000000000}"/>
  <bookViews>
    <workbookView xWindow="28680" yWindow="-9345" windowWidth="38640" windowHeight="21240" firstSheet="2" activeTab="11" xr2:uid="{00000000-000D-0000-FFFF-FFFF00000000}"/>
  </bookViews>
  <sheets>
    <sheet name="Hydraulics_Output" sheetId="2" r:id="rId1"/>
    <sheet name="Sediment_Threshold_Output" sheetId="3" r:id="rId2"/>
    <sheet name="Data" sheetId="4" r:id="rId3"/>
    <sheet name="XS_Designer" sheetId="5" r:id="rId4"/>
    <sheet name="XS_Designer_Bed_Mix" sheetId="6" r:id="rId5"/>
    <sheet name="XS_Designer_Summary" sheetId="7" r:id="rId6"/>
    <sheet name="XS_Designer_Calculations" sheetId="8" r:id="rId7"/>
    <sheet name="Permissible_Velocities" sheetId="9" r:id="rId8"/>
    <sheet name="Overlay" sheetId="10" r:id="rId9"/>
    <sheet name="Permissible_Shear" sheetId="11" r:id="rId10"/>
    <sheet name="Meander_Bends_(Max Shear)" sheetId="12" r:id="rId11"/>
    <sheet name="XS_Designer_Graph" sheetId="13" r:id="rId12"/>
  </sheets>
  <functionGroups builtInGroupCount="19"/>
  <definedNames>
    <definedName name="hydraulics_data">XS_Designer_Graph!$AB$4:$AG$206</definedName>
    <definedName name="limit_data">XS_Designer_Graph!$T$4:$W$6</definedName>
    <definedName name="n_label_data">XS_Designer_Graph!$E$3:$G$104</definedName>
    <definedName name="n_line_data">XS_Designer_Graph!$H$3:$I$104</definedName>
    <definedName name="solver_adj" localSheetId="3" hidden="1">XS_Designer!$S$5</definedName>
    <definedName name="solver_cvg" localSheetId="3" hidden="1">0.00001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XS_Designer!$I$9</definedName>
    <definedName name="solver_lhs10" localSheetId="3" hidden="1">XS_Designer!$D$10</definedName>
    <definedName name="solver_lhs11" localSheetId="3" hidden="1">XS_Designer!$D$11</definedName>
    <definedName name="solver_lhs12" localSheetId="3" hidden="1">XS_Designer!$D$11</definedName>
    <definedName name="solver_lhs13" localSheetId="3" hidden="1">XS_Designer!$AD$33</definedName>
    <definedName name="solver_lhs14" localSheetId="3" hidden="1">XS_Designer!$AD$33</definedName>
    <definedName name="solver_lhs15" localSheetId="3" hidden="1">XS_Designer!$AD$34</definedName>
    <definedName name="solver_lhs16" localSheetId="3" hidden="1">XS_Designer!$AD$34</definedName>
    <definedName name="solver_lhs17" localSheetId="3" hidden="1">XS_Designer!$AD$35</definedName>
    <definedName name="solver_lhs18" localSheetId="3" hidden="1">XS_Designer!$AD$35</definedName>
    <definedName name="solver_lhs19" localSheetId="3" hidden="1">XS_Designer!$AD$36</definedName>
    <definedName name="solver_lhs2" localSheetId="3" hidden="1">XS_Designer!$I$9</definedName>
    <definedName name="solver_lhs20" localSheetId="3" hidden="1">XS_Designer!$AD$36</definedName>
    <definedName name="solver_lhs21" localSheetId="3" hidden="1">XS_Designer!$AD$37</definedName>
    <definedName name="solver_lhs22" localSheetId="3" hidden="1">XS_Designer!$AD$37</definedName>
    <definedName name="solver_lhs23" localSheetId="3" hidden="1">XS_Designer!$AD$37</definedName>
    <definedName name="solver_lhs24" localSheetId="3" hidden="1">XS_Designer!$AD$37</definedName>
    <definedName name="solver_lhs3" localSheetId="3" hidden="1">XS_Designer!$U$5</definedName>
    <definedName name="solver_lhs4" localSheetId="3" hidden="1">XS_Designer!$U$5</definedName>
    <definedName name="solver_lhs5" localSheetId="3" hidden="1">XS_Designer!$D$8</definedName>
    <definedName name="solver_lhs6" localSheetId="3" hidden="1">XS_Designer!$D$8</definedName>
    <definedName name="solver_lhs7" localSheetId="3" hidden="1">XS_Designer!$D$9</definedName>
    <definedName name="solver_lhs8" localSheetId="3" hidden="1">XS_Designer!$D$9</definedName>
    <definedName name="solver_lhs9" localSheetId="3" hidden="1">XS_Designer!$D$10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XS_Designer!$L$29</definedName>
    <definedName name="solver_pre" localSheetId="3" hidden="1">0.00001</definedName>
    <definedName name="solver_rbv" localSheetId="3" hidden="1">2</definedName>
    <definedName name="solver_rel1" localSheetId="3" hidden="1">1</definedName>
    <definedName name="solver_rel10" localSheetId="3" hidden="1">3</definedName>
    <definedName name="solver_rel11" localSheetId="3" hidden="1">1</definedName>
    <definedName name="solver_rel12" localSheetId="3" hidden="1">3</definedName>
    <definedName name="solver_rel13" localSheetId="3" hidden="1">1</definedName>
    <definedName name="solver_rel14" localSheetId="3" hidden="1">3</definedName>
    <definedName name="solver_rel15" localSheetId="3" hidden="1">1</definedName>
    <definedName name="solver_rel16" localSheetId="3" hidden="1">3</definedName>
    <definedName name="solver_rel17" localSheetId="3" hidden="1">1</definedName>
    <definedName name="solver_rel18" localSheetId="3" hidden="1">3</definedName>
    <definedName name="solver_rel19" localSheetId="3" hidden="1">1</definedName>
    <definedName name="solver_rel2" localSheetId="3" hidden="1">3</definedName>
    <definedName name="solver_rel20" localSheetId="3" hidden="1">3</definedName>
    <definedName name="solver_rel21" localSheetId="3" hidden="1">1</definedName>
    <definedName name="solver_rel22" localSheetId="3" hidden="1">3</definedName>
    <definedName name="solver_rel23" localSheetId="3" hidden="1">1</definedName>
    <definedName name="solver_rel24" localSheetId="3" hidden="1">3</definedName>
    <definedName name="solver_rel3" localSheetId="3" hidden="1">1</definedName>
    <definedName name="solver_rel4" localSheetId="3" hidden="1">3</definedName>
    <definedName name="solver_rel5" localSheetId="3" hidden="1">1</definedName>
    <definedName name="solver_rel6" localSheetId="3" hidden="1">3</definedName>
    <definedName name="solver_rel7" localSheetId="3" hidden="1">1</definedName>
    <definedName name="solver_rel8" localSheetId="3" hidden="1">3</definedName>
    <definedName name="solver_rel9" localSheetId="3" hidden="1">1</definedName>
    <definedName name="solver_rhs1" localSheetId="3" hidden="1">XS_Designer!$AC$28</definedName>
    <definedName name="solver_rhs10" localSheetId="3" hidden="1">XS_Designer!$AB$32</definedName>
    <definedName name="solver_rhs11" localSheetId="3" hidden="1">XS_Designer!$AC$33</definedName>
    <definedName name="solver_rhs12" localSheetId="3" hidden="1">XS_Designer!$AB$33</definedName>
    <definedName name="solver_rhs13" localSheetId="3" hidden="1">XS_Designer!$AC$33</definedName>
    <definedName name="solver_rhs14" localSheetId="3" hidden="1">XS_Designer!$AB$33</definedName>
    <definedName name="solver_rhs15" localSheetId="3" hidden="1">XS_Designer!$AC$34</definedName>
    <definedName name="solver_rhs16" localSheetId="3" hidden="1">XS_Designer!$AB$34</definedName>
    <definedName name="solver_rhs17" localSheetId="3" hidden="1">XS_Designer!$AC$35</definedName>
    <definedName name="solver_rhs18" localSheetId="3" hidden="1">XS_Designer!$AB$35</definedName>
    <definedName name="solver_rhs19" localSheetId="3" hidden="1">XS_Designer!$AC$36</definedName>
    <definedName name="solver_rhs2" localSheetId="3" hidden="1">XS_Designer!$AB$28</definedName>
    <definedName name="solver_rhs20" localSheetId="3" hidden="1">XS_Designer!$AB$36</definedName>
    <definedName name="solver_rhs21" localSheetId="3" hidden="1">XS_Designer!$AC$37</definedName>
    <definedName name="solver_rhs22" localSheetId="3" hidden="1">XS_Designer!$AB$37</definedName>
    <definedName name="solver_rhs23" localSheetId="3" hidden="1">XS_Designer!$AC$37</definedName>
    <definedName name="solver_rhs24" localSheetId="3" hidden="1">XS_Designer!$AB$37</definedName>
    <definedName name="solver_rhs3" localSheetId="3" hidden="1">XS_Designer!$AC$29</definedName>
    <definedName name="solver_rhs4" localSheetId="3" hidden="1">XS_Designer!$AB$29</definedName>
    <definedName name="solver_rhs5" localSheetId="3" hidden="1">XS_Designer!$AC$30</definedName>
    <definedName name="solver_rhs6" localSheetId="3" hidden="1">XS_Designer!$AB$30</definedName>
    <definedName name="solver_rhs7" localSheetId="3" hidden="1">XS_Designer!$AC$31</definedName>
    <definedName name="solver_rhs8" localSheetId="3" hidden="1">XS_Designer!$AB$31</definedName>
    <definedName name="solver_rhs9" localSheetId="3" hidden="1">XS_Designer!$AC$32</definedName>
    <definedName name="solver_rlx" localSheetId="3" hidden="1">2</definedName>
    <definedName name="solver_rsd" localSheetId="3" hidden="1">0</definedName>
    <definedName name="solver_scl" localSheetId="3" hidden="1">0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210</definedName>
    <definedName name="solver_ver" localSheetId="3" hidden="1">3</definedName>
    <definedName name="stage_label_data">XS_Designer_Graph!$J$3:$L$104</definedName>
    <definedName name="stage_line_data">XS_Designer_Graph!$M$3:$N$104</definedName>
    <definedName name="stage_points_data">XS_Designer_Graph!$P$3:$R$12</definedName>
    <definedName name="summaryXS_newest">XS_Designer!$B$199:$V$205</definedName>
    <definedName name="wse_data">XS_Designer_Graph!$X$4:$Z$104</definedName>
    <definedName name="xs_data">XS_Designer_Graph!$B$4:$D$104</definedName>
  </definedNames>
  <calcPr calcId="191029"/>
</workbook>
</file>

<file path=xl/calcChain.xml><?xml version="1.0" encoding="utf-8"?>
<calcChain xmlns="http://schemas.openxmlformats.org/spreadsheetml/2006/main">
  <c r="E284" i="5" l="1"/>
  <c r="E288" i="5"/>
  <c r="D17" i="5" l="1"/>
  <c r="S93" i="5" l="1"/>
  <c r="S90" i="5"/>
  <c r="S89" i="5"/>
  <c r="AA53" i="5" l="1"/>
  <c r="D104" i="13"/>
  <c r="D103" i="13"/>
  <c r="D102" i="13"/>
  <c r="D101" i="13"/>
  <c r="D100" i="13"/>
  <c r="D99" i="13"/>
  <c r="D98" i="13"/>
  <c r="D97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R12" i="13"/>
  <c r="R11" i="13"/>
  <c r="R10" i="13"/>
  <c r="R9" i="13"/>
  <c r="R8" i="13"/>
  <c r="R7" i="13"/>
  <c r="R6" i="13"/>
  <c r="R5" i="13"/>
  <c r="R4" i="13"/>
  <c r="M51" i="12"/>
  <c r="V222" i="11"/>
  <c r="V221" i="11"/>
  <c r="V220" i="11"/>
  <c r="V219" i="11"/>
  <c r="V218" i="11"/>
  <c r="V217" i="11"/>
  <c r="V216" i="11"/>
  <c r="V215" i="11"/>
  <c r="V214" i="11"/>
  <c r="V213" i="11"/>
  <c r="V212" i="11"/>
  <c r="V211" i="11"/>
  <c r="V210" i="11"/>
  <c r="V209" i="11"/>
  <c r="V208" i="11"/>
  <c r="V207" i="11"/>
  <c r="V206" i="11"/>
  <c r="V205" i="11"/>
  <c r="B201" i="11"/>
  <c r="B202" i="11" s="1"/>
  <c r="M199" i="11"/>
  <c r="L199" i="11"/>
  <c r="K199" i="11"/>
  <c r="J199" i="11"/>
  <c r="I199" i="11"/>
  <c r="H199" i="11"/>
  <c r="G199" i="11"/>
  <c r="F199" i="11"/>
  <c r="E199" i="11"/>
  <c r="D199" i="11"/>
  <c r="C199" i="11"/>
  <c r="V188" i="11"/>
  <c r="R188" i="11"/>
  <c r="V187" i="11"/>
  <c r="R187" i="11"/>
  <c r="V186" i="11"/>
  <c r="R186" i="11"/>
  <c r="V185" i="11"/>
  <c r="R185" i="11"/>
  <c r="V184" i="11"/>
  <c r="R184" i="11"/>
  <c r="V183" i="11"/>
  <c r="R183" i="11"/>
  <c r="V182" i="11"/>
  <c r="R182" i="11"/>
  <c r="V181" i="11"/>
  <c r="R181" i="11"/>
  <c r="V180" i="11"/>
  <c r="R180" i="11"/>
  <c r="V179" i="11"/>
  <c r="R179" i="11"/>
  <c r="V178" i="11"/>
  <c r="R178" i="11"/>
  <c r="B175" i="11"/>
  <c r="M173" i="11"/>
  <c r="L173" i="11"/>
  <c r="K173" i="11"/>
  <c r="J173" i="11"/>
  <c r="I173" i="11"/>
  <c r="H173" i="11"/>
  <c r="G173" i="11"/>
  <c r="F173" i="11"/>
  <c r="E173" i="11"/>
  <c r="D173" i="11"/>
  <c r="C173" i="11"/>
  <c r="B149" i="11"/>
  <c r="M147" i="11"/>
  <c r="L147" i="11"/>
  <c r="K147" i="11"/>
  <c r="J147" i="11"/>
  <c r="I147" i="11"/>
  <c r="H147" i="11"/>
  <c r="G147" i="11"/>
  <c r="F147" i="11"/>
  <c r="E147" i="11"/>
  <c r="D147" i="11"/>
  <c r="C147" i="11"/>
  <c r="B123" i="11"/>
  <c r="M121" i="11"/>
  <c r="L121" i="11"/>
  <c r="K121" i="11"/>
  <c r="J121" i="11"/>
  <c r="I121" i="11"/>
  <c r="H121" i="11"/>
  <c r="G121" i="11"/>
  <c r="F121" i="11"/>
  <c r="E121" i="11"/>
  <c r="D121" i="11"/>
  <c r="C121" i="11"/>
  <c r="P109" i="11"/>
  <c r="P112" i="11" s="1"/>
  <c r="BL107" i="11"/>
  <c r="BL104" i="11"/>
  <c r="BL105" i="11" s="1"/>
  <c r="BL108" i="11" s="1"/>
  <c r="BO102" i="11"/>
  <c r="BN102" i="11"/>
  <c r="T102" i="11"/>
  <c r="BN101" i="11"/>
  <c r="BO101" i="11" s="1"/>
  <c r="BO100" i="11"/>
  <c r="S100" i="11"/>
  <c r="BO98" i="11"/>
  <c r="R98" i="11"/>
  <c r="BO97" i="11"/>
  <c r="B97" i="11"/>
  <c r="BO96" i="11"/>
  <c r="Q96" i="11"/>
  <c r="M95" i="11"/>
  <c r="L95" i="11"/>
  <c r="K95" i="11"/>
  <c r="J95" i="11"/>
  <c r="I95" i="11"/>
  <c r="H95" i="11"/>
  <c r="G95" i="11"/>
  <c r="F95" i="11"/>
  <c r="E95" i="11"/>
  <c r="D95" i="11"/>
  <c r="C95" i="11"/>
  <c r="O84" i="11"/>
  <c r="O83" i="11"/>
  <c r="O86" i="11" s="1"/>
  <c r="O49" i="11"/>
  <c r="O81" i="11" s="1"/>
  <c r="B49" i="11"/>
  <c r="B50" i="11" s="1"/>
  <c r="B48" i="11"/>
  <c r="O46" i="11"/>
  <c r="M46" i="11"/>
  <c r="L46" i="11"/>
  <c r="K46" i="11"/>
  <c r="J46" i="11"/>
  <c r="I46" i="11"/>
  <c r="H46" i="11"/>
  <c r="G46" i="11"/>
  <c r="F46" i="11"/>
  <c r="E46" i="11"/>
  <c r="D46" i="11"/>
  <c r="C46" i="11"/>
  <c r="O45" i="11"/>
  <c r="C9" i="11"/>
  <c r="C148" i="11" s="1"/>
  <c r="K4" i="11"/>
  <c r="L4" i="11" s="1"/>
  <c r="G103" i="10"/>
  <c r="N103" i="10" s="1"/>
  <c r="F103" i="10"/>
  <c r="E103" i="10"/>
  <c r="C103" i="10"/>
  <c r="B103" i="10"/>
  <c r="A103" i="10"/>
  <c r="N102" i="10"/>
  <c r="G102" i="10"/>
  <c r="F102" i="10"/>
  <c r="E102" i="10"/>
  <c r="C102" i="10"/>
  <c r="B102" i="10"/>
  <c r="A102" i="10"/>
  <c r="G101" i="10"/>
  <c r="N101" i="10" s="1"/>
  <c r="F101" i="10"/>
  <c r="E101" i="10"/>
  <c r="C101" i="10"/>
  <c r="B101" i="10"/>
  <c r="A101" i="10"/>
  <c r="G100" i="10"/>
  <c r="N100" i="10" s="1"/>
  <c r="F100" i="10"/>
  <c r="E100" i="10"/>
  <c r="C100" i="10"/>
  <c r="B100" i="10"/>
  <c r="A100" i="10"/>
  <c r="G99" i="10"/>
  <c r="N99" i="10" s="1"/>
  <c r="F99" i="10"/>
  <c r="E99" i="10"/>
  <c r="C99" i="10"/>
  <c r="B99" i="10"/>
  <c r="A99" i="10"/>
  <c r="G98" i="10"/>
  <c r="N98" i="10" s="1"/>
  <c r="F98" i="10"/>
  <c r="E98" i="10"/>
  <c r="C98" i="10"/>
  <c r="B98" i="10"/>
  <c r="A98" i="10"/>
  <c r="G97" i="10"/>
  <c r="N97" i="10" s="1"/>
  <c r="F97" i="10"/>
  <c r="E97" i="10"/>
  <c r="C97" i="10"/>
  <c r="B97" i="10"/>
  <c r="A97" i="10"/>
  <c r="G96" i="10"/>
  <c r="N96" i="10" s="1"/>
  <c r="F96" i="10"/>
  <c r="E96" i="10"/>
  <c r="C96" i="10"/>
  <c r="B96" i="10"/>
  <c r="A96" i="10"/>
  <c r="G95" i="10"/>
  <c r="N95" i="10" s="1"/>
  <c r="F95" i="10"/>
  <c r="E95" i="10"/>
  <c r="C95" i="10"/>
  <c r="B95" i="10"/>
  <c r="A95" i="10"/>
  <c r="G94" i="10"/>
  <c r="N94" i="10" s="1"/>
  <c r="F94" i="10"/>
  <c r="E94" i="10"/>
  <c r="C94" i="10"/>
  <c r="B94" i="10"/>
  <c r="A94" i="10"/>
  <c r="G93" i="10"/>
  <c r="N93" i="10" s="1"/>
  <c r="F93" i="10"/>
  <c r="E93" i="10"/>
  <c r="C93" i="10"/>
  <c r="B93" i="10"/>
  <c r="A93" i="10"/>
  <c r="G92" i="10"/>
  <c r="N92" i="10" s="1"/>
  <c r="F92" i="10"/>
  <c r="E92" i="10"/>
  <c r="C92" i="10"/>
  <c r="B92" i="10"/>
  <c r="A92" i="10"/>
  <c r="G91" i="10"/>
  <c r="N91" i="10" s="1"/>
  <c r="F91" i="10"/>
  <c r="E91" i="10"/>
  <c r="C91" i="10"/>
  <c r="B91" i="10"/>
  <c r="A91" i="10"/>
  <c r="G90" i="10"/>
  <c r="N90" i="10" s="1"/>
  <c r="F90" i="10"/>
  <c r="E90" i="10"/>
  <c r="C90" i="10"/>
  <c r="B90" i="10"/>
  <c r="A90" i="10"/>
  <c r="N89" i="10"/>
  <c r="G89" i="10"/>
  <c r="F89" i="10"/>
  <c r="E89" i="10"/>
  <c r="C89" i="10"/>
  <c r="B89" i="10"/>
  <c r="A89" i="10"/>
  <c r="G88" i="10"/>
  <c r="N88" i="10" s="1"/>
  <c r="F88" i="10"/>
  <c r="E88" i="10"/>
  <c r="C88" i="10"/>
  <c r="B88" i="10"/>
  <c r="A88" i="10"/>
  <c r="G87" i="10"/>
  <c r="N87" i="10" s="1"/>
  <c r="F87" i="10"/>
  <c r="E87" i="10"/>
  <c r="C87" i="10"/>
  <c r="B87" i="10"/>
  <c r="A87" i="10"/>
  <c r="G86" i="10"/>
  <c r="N86" i="10" s="1"/>
  <c r="F86" i="10"/>
  <c r="E86" i="10"/>
  <c r="C86" i="10"/>
  <c r="B86" i="10"/>
  <c r="A86" i="10"/>
  <c r="G85" i="10"/>
  <c r="N85" i="10" s="1"/>
  <c r="F85" i="10"/>
  <c r="E85" i="10"/>
  <c r="C85" i="10"/>
  <c r="B85" i="10"/>
  <c r="A85" i="10"/>
  <c r="G84" i="10"/>
  <c r="N84" i="10" s="1"/>
  <c r="F84" i="10"/>
  <c r="E84" i="10"/>
  <c r="C84" i="10"/>
  <c r="B84" i="10"/>
  <c r="A84" i="10"/>
  <c r="G83" i="10"/>
  <c r="N83" i="10" s="1"/>
  <c r="F83" i="10"/>
  <c r="E83" i="10"/>
  <c r="C83" i="10"/>
  <c r="B83" i="10"/>
  <c r="A83" i="10"/>
  <c r="G82" i="10"/>
  <c r="N82" i="10" s="1"/>
  <c r="F82" i="10"/>
  <c r="E82" i="10"/>
  <c r="C82" i="10"/>
  <c r="B82" i="10"/>
  <c r="A82" i="10"/>
  <c r="G81" i="10"/>
  <c r="N81" i="10" s="1"/>
  <c r="F81" i="10"/>
  <c r="E81" i="10"/>
  <c r="C81" i="10"/>
  <c r="B81" i="10"/>
  <c r="A81" i="10"/>
  <c r="G80" i="10"/>
  <c r="N80" i="10" s="1"/>
  <c r="F80" i="10"/>
  <c r="E80" i="10"/>
  <c r="C80" i="10"/>
  <c r="B80" i="10"/>
  <c r="A80" i="10"/>
  <c r="G79" i="10"/>
  <c r="N79" i="10" s="1"/>
  <c r="F79" i="10"/>
  <c r="E79" i="10"/>
  <c r="C79" i="10"/>
  <c r="B79" i="10"/>
  <c r="A79" i="10"/>
  <c r="G78" i="10"/>
  <c r="N78" i="10" s="1"/>
  <c r="F78" i="10"/>
  <c r="E78" i="10"/>
  <c r="C78" i="10"/>
  <c r="B78" i="10"/>
  <c r="A78" i="10"/>
  <c r="N77" i="10"/>
  <c r="G77" i="10"/>
  <c r="F77" i="10"/>
  <c r="E77" i="10"/>
  <c r="C77" i="10"/>
  <c r="B77" i="10"/>
  <c r="A77" i="10"/>
  <c r="G76" i="10"/>
  <c r="N76" i="10" s="1"/>
  <c r="F76" i="10"/>
  <c r="E76" i="10"/>
  <c r="C76" i="10"/>
  <c r="B76" i="10"/>
  <c r="A76" i="10"/>
  <c r="G75" i="10"/>
  <c r="N75" i="10" s="1"/>
  <c r="F75" i="10"/>
  <c r="E75" i="10"/>
  <c r="C75" i="10"/>
  <c r="B75" i="10"/>
  <c r="A75" i="10"/>
  <c r="G74" i="10"/>
  <c r="N74" i="10" s="1"/>
  <c r="F74" i="10"/>
  <c r="E74" i="10"/>
  <c r="C74" i="10"/>
  <c r="B74" i="10"/>
  <c r="A74" i="10"/>
  <c r="G73" i="10"/>
  <c r="N73" i="10" s="1"/>
  <c r="F73" i="10"/>
  <c r="E73" i="10"/>
  <c r="C73" i="10"/>
  <c r="B73" i="10"/>
  <c r="A73" i="10"/>
  <c r="N72" i="10"/>
  <c r="G72" i="10"/>
  <c r="F72" i="10"/>
  <c r="E72" i="10"/>
  <c r="C72" i="10"/>
  <c r="B72" i="10"/>
  <c r="A72" i="10"/>
  <c r="G71" i="10"/>
  <c r="N71" i="10" s="1"/>
  <c r="F71" i="10"/>
  <c r="E71" i="10"/>
  <c r="C71" i="10"/>
  <c r="B71" i="10"/>
  <c r="A71" i="10"/>
  <c r="G70" i="10"/>
  <c r="N70" i="10" s="1"/>
  <c r="F70" i="10"/>
  <c r="E70" i="10"/>
  <c r="C70" i="10"/>
  <c r="B70" i="10"/>
  <c r="A70" i="10"/>
  <c r="G69" i="10"/>
  <c r="N69" i="10" s="1"/>
  <c r="F69" i="10"/>
  <c r="E69" i="10"/>
  <c r="C69" i="10"/>
  <c r="B69" i="10"/>
  <c r="A69" i="10"/>
  <c r="G68" i="10"/>
  <c r="N68" i="10" s="1"/>
  <c r="F68" i="10"/>
  <c r="E68" i="10"/>
  <c r="C68" i="10"/>
  <c r="B68" i="10"/>
  <c r="A68" i="10"/>
  <c r="G67" i="10"/>
  <c r="N67" i="10" s="1"/>
  <c r="F67" i="10"/>
  <c r="E67" i="10"/>
  <c r="C67" i="10"/>
  <c r="B67" i="10"/>
  <c r="A67" i="10"/>
  <c r="G66" i="10"/>
  <c r="N66" i="10" s="1"/>
  <c r="F66" i="10"/>
  <c r="E66" i="10"/>
  <c r="C66" i="10"/>
  <c r="B66" i="10"/>
  <c r="A66" i="10"/>
  <c r="G65" i="10"/>
  <c r="N65" i="10" s="1"/>
  <c r="F65" i="10"/>
  <c r="E65" i="10"/>
  <c r="C65" i="10"/>
  <c r="B65" i="10"/>
  <c r="A65" i="10"/>
  <c r="G64" i="10"/>
  <c r="N64" i="10" s="1"/>
  <c r="F64" i="10"/>
  <c r="E64" i="10"/>
  <c r="C64" i="10"/>
  <c r="B64" i="10"/>
  <c r="A64" i="10"/>
  <c r="G63" i="10"/>
  <c r="N63" i="10" s="1"/>
  <c r="F63" i="10"/>
  <c r="E63" i="10"/>
  <c r="C63" i="10"/>
  <c r="B63" i="10"/>
  <c r="A63" i="10"/>
  <c r="N62" i="10"/>
  <c r="G62" i="10"/>
  <c r="F62" i="10"/>
  <c r="E62" i="10"/>
  <c r="C62" i="10"/>
  <c r="B62" i="10"/>
  <c r="A62" i="10"/>
  <c r="G61" i="10"/>
  <c r="N61" i="10" s="1"/>
  <c r="F61" i="10"/>
  <c r="E61" i="10"/>
  <c r="C61" i="10"/>
  <c r="B61" i="10"/>
  <c r="A61" i="10"/>
  <c r="G60" i="10"/>
  <c r="N60" i="10" s="1"/>
  <c r="F60" i="10"/>
  <c r="E60" i="10"/>
  <c r="C60" i="10"/>
  <c r="B60" i="10"/>
  <c r="A60" i="10"/>
  <c r="G59" i="10"/>
  <c r="N59" i="10" s="1"/>
  <c r="F59" i="10"/>
  <c r="E59" i="10"/>
  <c r="C59" i="10"/>
  <c r="B59" i="10"/>
  <c r="A59" i="10"/>
  <c r="G58" i="10"/>
  <c r="N58" i="10" s="1"/>
  <c r="F58" i="10"/>
  <c r="E58" i="10"/>
  <c r="C58" i="10"/>
  <c r="B58" i="10"/>
  <c r="A58" i="10"/>
  <c r="G57" i="10"/>
  <c r="N57" i="10" s="1"/>
  <c r="F57" i="10"/>
  <c r="E57" i="10"/>
  <c r="C57" i="10"/>
  <c r="B57" i="10"/>
  <c r="A57" i="10"/>
  <c r="G56" i="10"/>
  <c r="N56" i="10" s="1"/>
  <c r="F56" i="10"/>
  <c r="E56" i="10"/>
  <c r="C56" i="10"/>
  <c r="B56" i="10"/>
  <c r="A56" i="10"/>
  <c r="G55" i="10"/>
  <c r="N55" i="10" s="1"/>
  <c r="F55" i="10"/>
  <c r="E55" i="10"/>
  <c r="C55" i="10"/>
  <c r="B55" i="10"/>
  <c r="A55" i="10"/>
  <c r="G54" i="10"/>
  <c r="N54" i="10" s="1"/>
  <c r="F54" i="10"/>
  <c r="E54" i="10"/>
  <c r="C54" i="10"/>
  <c r="B54" i="10"/>
  <c r="A54" i="10"/>
  <c r="G53" i="10"/>
  <c r="N53" i="10" s="1"/>
  <c r="F53" i="10"/>
  <c r="E53" i="10"/>
  <c r="C53" i="10"/>
  <c r="B53" i="10"/>
  <c r="A53" i="10"/>
  <c r="N52" i="10"/>
  <c r="G52" i="10"/>
  <c r="F52" i="10"/>
  <c r="E52" i="10"/>
  <c r="C52" i="10"/>
  <c r="B52" i="10"/>
  <c r="A52" i="10"/>
  <c r="G51" i="10"/>
  <c r="N51" i="10" s="1"/>
  <c r="F51" i="10"/>
  <c r="E51" i="10"/>
  <c r="C51" i="10"/>
  <c r="B51" i="10"/>
  <c r="A51" i="10"/>
  <c r="G50" i="10"/>
  <c r="N50" i="10" s="1"/>
  <c r="F50" i="10"/>
  <c r="E50" i="10"/>
  <c r="C50" i="10"/>
  <c r="B50" i="10"/>
  <c r="A50" i="10"/>
  <c r="G49" i="10"/>
  <c r="N49" i="10" s="1"/>
  <c r="F49" i="10"/>
  <c r="E49" i="10"/>
  <c r="C49" i="10"/>
  <c r="B49" i="10"/>
  <c r="A49" i="10"/>
  <c r="G48" i="10"/>
  <c r="N48" i="10" s="1"/>
  <c r="F48" i="10"/>
  <c r="E48" i="10"/>
  <c r="C48" i="10"/>
  <c r="B48" i="10"/>
  <c r="A48" i="10"/>
  <c r="G47" i="10"/>
  <c r="N47" i="10" s="1"/>
  <c r="F47" i="10"/>
  <c r="E47" i="10"/>
  <c r="C47" i="10"/>
  <c r="B47" i="10"/>
  <c r="A47" i="10"/>
  <c r="G46" i="10"/>
  <c r="N46" i="10" s="1"/>
  <c r="F46" i="10"/>
  <c r="E46" i="10"/>
  <c r="C46" i="10"/>
  <c r="B46" i="10"/>
  <c r="A46" i="10"/>
  <c r="G45" i="10"/>
  <c r="N45" i="10" s="1"/>
  <c r="F45" i="10"/>
  <c r="E45" i="10"/>
  <c r="C45" i="10"/>
  <c r="B45" i="10"/>
  <c r="A45" i="10"/>
  <c r="G44" i="10"/>
  <c r="N44" i="10" s="1"/>
  <c r="F44" i="10"/>
  <c r="E44" i="10"/>
  <c r="C44" i="10"/>
  <c r="B44" i="10"/>
  <c r="A44" i="10"/>
  <c r="G43" i="10"/>
  <c r="N43" i="10" s="1"/>
  <c r="F43" i="10"/>
  <c r="E43" i="10"/>
  <c r="C43" i="10"/>
  <c r="B43" i="10"/>
  <c r="A43" i="10"/>
  <c r="G42" i="10"/>
  <c r="N42" i="10" s="1"/>
  <c r="F42" i="10"/>
  <c r="E42" i="10"/>
  <c r="C42" i="10"/>
  <c r="B42" i="10"/>
  <c r="A42" i="10"/>
  <c r="N41" i="10"/>
  <c r="G41" i="10"/>
  <c r="F41" i="10"/>
  <c r="E41" i="10"/>
  <c r="C41" i="10"/>
  <c r="B41" i="10"/>
  <c r="A41" i="10"/>
  <c r="G40" i="10"/>
  <c r="N40" i="10" s="1"/>
  <c r="F40" i="10"/>
  <c r="E40" i="10"/>
  <c r="C40" i="10"/>
  <c r="B40" i="10"/>
  <c r="A40" i="10"/>
  <c r="G39" i="10"/>
  <c r="N39" i="10" s="1"/>
  <c r="F39" i="10"/>
  <c r="E39" i="10"/>
  <c r="C39" i="10"/>
  <c r="B39" i="10"/>
  <c r="A39" i="10"/>
  <c r="G38" i="10"/>
  <c r="N38" i="10" s="1"/>
  <c r="F38" i="10"/>
  <c r="E38" i="10"/>
  <c r="C38" i="10"/>
  <c r="B38" i="10"/>
  <c r="A38" i="10"/>
  <c r="G37" i="10"/>
  <c r="N37" i="10" s="1"/>
  <c r="F37" i="10"/>
  <c r="E37" i="10"/>
  <c r="C37" i="10"/>
  <c r="B37" i="10"/>
  <c r="A37" i="10"/>
  <c r="G36" i="10"/>
  <c r="N36" i="10" s="1"/>
  <c r="F36" i="10"/>
  <c r="E36" i="10"/>
  <c r="C36" i="10"/>
  <c r="B36" i="10"/>
  <c r="A36" i="10"/>
  <c r="G35" i="10"/>
  <c r="N35" i="10" s="1"/>
  <c r="F35" i="10"/>
  <c r="E35" i="10"/>
  <c r="C35" i="10"/>
  <c r="B35" i="10"/>
  <c r="A35" i="10"/>
  <c r="N34" i="10"/>
  <c r="G34" i="10"/>
  <c r="F34" i="10"/>
  <c r="E34" i="10"/>
  <c r="C34" i="10"/>
  <c r="B34" i="10"/>
  <c r="A34" i="10"/>
  <c r="J33" i="10"/>
  <c r="G33" i="10"/>
  <c r="N33" i="10" s="1"/>
  <c r="F33" i="10"/>
  <c r="E33" i="10"/>
  <c r="C33" i="10"/>
  <c r="B33" i="10"/>
  <c r="A33" i="10"/>
  <c r="G32" i="10"/>
  <c r="N32" i="10" s="1"/>
  <c r="F32" i="10"/>
  <c r="E32" i="10"/>
  <c r="C32" i="10"/>
  <c r="B32" i="10"/>
  <c r="A32" i="10"/>
  <c r="G31" i="10"/>
  <c r="N31" i="10" s="1"/>
  <c r="F31" i="10"/>
  <c r="E31" i="10"/>
  <c r="C31" i="10"/>
  <c r="B31" i="10"/>
  <c r="A31" i="10"/>
  <c r="G30" i="10"/>
  <c r="N30" i="10" s="1"/>
  <c r="F30" i="10"/>
  <c r="E30" i="10"/>
  <c r="C30" i="10"/>
  <c r="B30" i="10"/>
  <c r="A30" i="10"/>
  <c r="G29" i="10"/>
  <c r="N29" i="10" s="1"/>
  <c r="F29" i="10"/>
  <c r="E29" i="10"/>
  <c r="C29" i="10"/>
  <c r="B29" i="10"/>
  <c r="A29" i="10"/>
  <c r="G28" i="10"/>
  <c r="N28" i="10" s="1"/>
  <c r="F28" i="10"/>
  <c r="E28" i="10"/>
  <c r="C28" i="10"/>
  <c r="B28" i="10"/>
  <c r="A28" i="10"/>
  <c r="G27" i="10"/>
  <c r="N27" i="10" s="1"/>
  <c r="F27" i="10"/>
  <c r="E27" i="10"/>
  <c r="C27" i="10"/>
  <c r="B27" i="10"/>
  <c r="A27" i="10"/>
  <c r="G26" i="10"/>
  <c r="N26" i="10" s="1"/>
  <c r="F26" i="10"/>
  <c r="E26" i="10"/>
  <c r="C26" i="10"/>
  <c r="B26" i="10"/>
  <c r="A26" i="10"/>
  <c r="N25" i="10"/>
  <c r="G25" i="10"/>
  <c r="F25" i="10"/>
  <c r="E25" i="10"/>
  <c r="C25" i="10"/>
  <c r="B25" i="10"/>
  <c r="A25" i="10"/>
  <c r="G24" i="10"/>
  <c r="N24" i="10" s="1"/>
  <c r="F24" i="10"/>
  <c r="E24" i="10"/>
  <c r="C24" i="10"/>
  <c r="B24" i="10"/>
  <c r="A24" i="10"/>
  <c r="G23" i="10"/>
  <c r="N23" i="10" s="1"/>
  <c r="F23" i="10"/>
  <c r="E23" i="10"/>
  <c r="C23" i="10"/>
  <c r="B23" i="10"/>
  <c r="A23" i="10"/>
  <c r="E22" i="10"/>
  <c r="C22" i="10"/>
  <c r="B22" i="10"/>
  <c r="A22" i="10"/>
  <c r="E21" i="10"/>
  <c r="C21" i="10"/>
  <c r="B21" i="10"/>
  <c r="A21" i="10"/>
  <c r="E20" i="10"/>
  <c r="C20" i="10"/>
  <c r="B20" i="10"/>
  <c r="A20" i="10"/>
  <c r="E19" i="10"/>
  <c r="C19" i="10"/>
  <c r="B19" i="10"/>
  <c r="A19" i="10"/>
  <c r="E18" i="10"/>
  <c r="C18" i="10"/>
  <c r="B18" i="10"/>
  <c r="A18" i="10"/>
  <c r="E17" i="10"/>
  <c r="C17" i="10"/>
  <c r="B17" i="10"/>
  <c r="A17" i="10"/>
  <c r="E16" i="10"/>
  <c r="C16" i="10"/>
  <c r="B16" i="10"/>
  <c r="A16" i="10"/>
  <c r="E15" i="10"/>
  <c r="C15" i="10"/>
  <c r="B15" i="10"/>
  <c r="A15" i="10"/>
  <c r="E14" i="10"/>
  <c r="C14" i="10"/>
  <c r="B14" i="10"/>
  <c r="A14" i="10"/>
  <c r="E13" i="10"/>
  <c r="C13" i="10"/>
  <c r="B13" i="10"/>
  <c r="A13" i="10"/>
  <c r="E12" i="10"/>
  <c r="C12" i="10"/>
  <c r="B12" i="10"/>
  <c r="A12" i="10"/>
  <c r="E11" i="10"/>
  <c r="C11" i="10"/>
  <c r="B11" i="10"/>
  <c r="A11" i="10"/>
  <c r="E10" i="10"/>
  <c r="C10" i="10"/>
  <c r="B10" i="10"/>
  <c r="A10" i="10"/>
  <c r="J9" i="10"/>
  <c r="I9" i="10"/>
  <c r="I12" i="10" s="1"/>
  <c r="E9" i="10"/>
  <c r="C9" i="10"/>
  <c r="B9" i="10"/>
  <c r="A9" i="10"/>
  <c r="E8" i="10"/>
  <c r="C8" i="10"/>
  <c r="B8" i="10"/>
  <c r="A8" i="10"/>
  <c r="E7" i="10"/>
  <c r="C7" i="10"/>
  <c r="B7" i="10"/>
  <c r="A7" i="10"/>
  <c r="E6" i="10"/>
  <c r="C6" i="10"/>
  <c r="B6" i="10"/>
  <c r="A6" i="10"/>
  <c r="E5" i="10"/>
  <c r="C5" i="10"/>
  <c r="B5" i="10"/>
  <c r="A5" i="10"/>
  <c r="E4" i="10"/>
  <c r="C4" i="10"/>
  <c r="I44" i="10" s="1"/>
  <c r="B4" i="10"/>
  <c r="A4" i="10"/>
  <c r="G3" i="10"/>
  <c r="F3" i="10"/>
  <c r="C3" i="10"/>
  <c r="B3" i="10"/>
  <c r="N35" i="9"/>
  <c r="K35" i="9"/>
  <c r="J35" i="9" s="1"/>
  <c r="N34" i="9"/>
  <c r="K34" i="9"/>
  <c r="J34" i="9" s="1"/>
  <c r="N33" i="9"/>
  <c r="K33" i="9"/>
  <c r="J33" i="9"/>
  <c r="N32" i="9"/>
  <c r="K32" i="9"/>
  <c r="J32" i="9" s="1"/>
  <c r="N31" i="9"/>
  <c r="K31" i="9"/>
  <c r="J31" i="9" s="1"/>
  <c r="N30" i="9"/>
  <c r="K30" i="9"/>
  <c r="J30" i="9" s="1"/>
  <c r="N29" i="9"/>
  <c r="K29" i="9"/>
  <c r="J29" i="9" s="1"/>
  <c r="N28" i="9"/>
  <c r="K28" i="9"/>
  <c r="J28" i="9"/>
  <c r="N27" i="9"/>
  <c r="K27" i="9"/>
  <c r="J27" i="9" s="1"/>
  <c r="N26" i="9"/>
  <c r="K26" i="9"/>
  <c r="J26" i="9"/>
  <c r="N25" i="9"/>
  <c r="K25" i="9"/>
  <c r="J25" i="9" s="1"/>
  <c r="N24" i="9"/>
  <c r="K24" i="9"/>
  <c r="J24" i="9" s="1"/>
  <c r="N23" i="9"/>
  <c r="K23" i="9"/>
  <c r="J23" i="9" s="1"/>
  <c r="N22" i="9"/>
  <c r="K22" i="9"/>
  <c r="J22" i="9" s="1"/>
  <c r="N21" i="9"/>
  <c r="K21" i="9"/>
  <c r="J21" i="9" s="1"/>
  <c r="N20" i="9"/>
  <c r="K20" i="9"/>
  <c r="J20" i="9"/>
  <c r="N19" i="9"/>
  <c r="K19" i="9"/>
  <c r="J19" i="9" s="1"/>
  <c r="N18" i="9"/>
  <c r="J18" i="9"/>
  <c r="AK105" i="8"/>
  <c r="AL105" i="8" s="1"/>
  <c r="AG105" i="8"/>
  <c r="AB105" i="8"/>
  <c r="AA105" i="8"/>
  <c r="U105" i="8"/>
  <c r="S104" i="8"/>
  <c r="F104" i="8"/>
  <c r="BZ104" i="8" s="1"/>
  <c r="D104" i="8"/>
  <c r="C104" i="8"/>
  <c r="C104" i="13" s="1"/>
  <c r="B104" i="8"/>
  <c r="B104" i="13" s="1"/>
  <c r="F103" i="8"/>
  <c r="D103" i="8"/>
  <c r="C103" i="8"/>
  <c r="C103" i="13" s="1"/>
  <c r="B103" i="8"/>
  <c r="B103" i="13" s="1"/>
  <c r="F102" i="8"/>
  <c r="D102" i="8"/>
  <c r="C102" i="8"/>
  <c r="C102" i="13" s="1"/>
  <c r="B102" i="8"/>
  <c r="B102" i="13" s="1"/>
  <c r="F101" i="8"/>
  <c r="D101" i="8"/>
  <c r="C101" i="8"/>
  <c r="C101" i="13" s="1"/>
  <c r="B101" i="8"/>
  <c r="S100" i="8" s="1"/>
  <c r="F100" i="8"/>
  <c r="D100" i="8"/>
  <c r="C100" i="8"/>
  <c r="C100" i="13" s="1"/>
  <c r="B100" i="8"/>
  <c r="R100" i="8" s="1"/>
  <c r="AC100" i="8" s="1"/>
  <c r="F99" i="8"/>
  <c r="D99" i="8"/>
  <c r="C99" i="8"/>
  <c r="C99" i="13" s="1"/>
  <c r="B99" i="8"/>
  <c r="F98" i="8"/>
  <c r="D98" i="8"/>
  <c r="C98" i="8"/>
  <c r="C98" i="13" s="1"/>
  <c r="B98" i="8"/>
  <c r="F97" i="8"/>
  <c r="D97" i="8"/>
  <c r="C97" i="8"/>
  <c r="C97" i="13" s="1"/>
  <c r="B97" i="8"/>
  <c r="F96" i="8"/>
  <c r="D96" i="8"/>
  <c r="C96" i="8"/>
  <c r="C96" i="13" s="1"/>
  <c r="B96" i="8"/>
  <c r="R96" i="8" s="1"/>
  <c r="Z96" i="8" s="1"/>
  <c r="F95" i="8"/>
  <c r="D95" i="8"/>
  <c r="C95" i="8"/>
  <c r="C95" i="13" s="1"/>
  <c r="B95" i="8"/>
  <c r="F94" i="8"/>
  <c r="D94" i="8"/>
  <c r="C94" i="8"/>
  <c r="C94" i="13" s="1"/>
  <c r="B94" i="8"/>
  <c r="BL94" i="8" s="1"/>
  <c r="F93" i="8"/>
  <c r="D93" i="8"/>
  <c r="C93" i="8"/>
  <c r="C93" i="13" s="1"/>
  <c r="B93" i="8"/>
  <c r="V93" i="8" s="1"/>
  <c r="F92" i="8"/>
  <c r="D92" i="8"/>
  <c r="C92" i="8"/>
  <c r="C92" i="13" s="1"/>
  <c r="B92" i="8"/>
  <c r="F91" i="8"/>
  <c r="D91" i="8"/>
  <c r="C91" i="8"/>
  <c r="C91" i="13" s="1"/>
  <c r="B91" i="8"/>
  <c r="F90" i="8"/>
  <c r="D90" i="8"/>
  <c r="C90" i="8"/>
  <c r="C90" i="13" s="1"/>
  <c r="B90" i="8"/>
  <c r="R90" i="8" s="1"/>
  <c r="F89" i="8"/>
  <c r="D89" i="8"/>
  <c r="C89" i="8"/>
  <c r="C89" i="13" s="1"/>
  <c r="B89" i="8"/>
  <c r="S88" i="8" s="1"/>
  <c r="V88" i="8"/>
  <c r="F88" i="8"/>
  <c r="D88" i="8"/>
  <c r="C88" i="8"/>
  <c r="C88" i="13" s="1"/>
  <c r="B88" i="8"/>
  <c r="R88" i="8" s="1"/>
  <c r="Z88" i="8" s="1"/>
  <c r="S87" i="8"/>
  <c r="F87" i="8"/>
  <c r="D87" i="8"/>
  <c r="C87" i="8"/>
  <c r="C87" i="13" s="1"/>
  <c r="B87" i="8"/>
  <c r="R87" i="8" s="1"/>
  <c r="S86" i="8"/>
  <c r="F86" i="8"/>
  <c r="D86" i="8"/>
  <c r="C86" i="8"/>
  <c r="C86" i="13" s="1"/>
  <c r="B86" i="8"/>
  <c r="F85" i="8"/>
  <c r="D85" i="8"/>
  <c r="C85" i="8"/>
  <c r="C85" i="13" s="1"/>
  <c r="B85" i="8"/>
  <c r="R85" i="8" s="1"/>
  <c r="Z85" i="8" s="1"/>
  <c r="S84" i="8"/>
  <c r="F84" i="8"/>
  <c r="D84" i="8"/>
  <c r="C84" i="8"/>
  <c r="C84" i="13" s="1"/>
  <c r="B84" i="8"/>
  <c r="V83" i="8" s="1"/>
  <c r="F83" i="8"/>
  <c r="D83" i="8"/>
  <c r="C83" i="8"/>
  <c r="C83" i="13" s="1"/>
  <c r="B83" i="8"/>
  <c r="R83" i="8" s="1"/>
  <c r="S82" i="8"/>
  <c r="F82" i="8"/>
  <c r="D82" i="8"/>
  <c r="C82" i="8"/>
  <c r="C82" i="13" s="1"/>
  <c r="B82" i="8"/>
  <c r="F81" i="8"/>
  <c r="D81" i="8"/>
  <c r="C81" i="8"/>
  <c r="C81" i="13" s="1"/>
  <c r="B81" i="8"/>
  <c r="F80" i="8"/>
  <c r="D80" i="8"/>
  <c r="C80" i="8"/>
  <c r="C80" i="13" s="1"/>
  <c r="B80" i="8"/>
  <c r="R80" i="8" s="1"/>
  <c r="Z80" i="8" s="1"/>
  <c r="S79" i="8"/>
  <c r="F79" i="8"/>
  <c r="D79" i="8"/>
  <c r="C79" i="8"/>
  <c r="C79" i="13" s="1"/>
  <c r="B79" i="8"/>
  <c r="Q79" i="8" s="1"/>
  <c r="F78" i="8"/>
  <c r="D78" i="8"/>
  <c r="C78" i="8"/>
  <c r="C78" i="13" s="1"/>
  <c r="B78" i="8"/>
  <c r="Q78" i="8" s="1"/>
  <c r="F77" i="8"/>
  <c r="D77" i="8"/>
  <c r="C77" i="8"/>
  <c r="C77" i="13" s="1"/>
  <c r="B77" i="8"/>
  <c r="F76" i="8"/>
  <c r="D76" i="8"/>
  <c r="C76" i="8"/>
  <c r="C76" i="13" s="1"/>
  <c r="B76" i="8"/>
  <c r="V75" i="8" s="1"/>
  <c r="F75" i="8"/>
  <c r="D75" i="8"/>
  <c r="C75" i="8"/>
  <c r="C75" i="13" s="1"/>
  <c r="B75" i="8"/>
  <c r="F74" i="8"/>
  <c r="D74" i="8"/>
  <c r="C74" i="8"/>
  <c r="C74" i="13" s="1"/>
  <c r="B74" i="8"/>
  <c r="V74" i="8" s="1"/>
  <c r="F73" i="8"/>
  <c r="D73" i="8"/>
  <c r="C73" i="8"/>
  <c r="C73" i="13" s="1"/>
  <c r="B73" i="8"/>
  <c r="S72" i="8" s="1"/>
  <c r="F72" i="8"/>
  <c r="D72" i="8"/>
  <c r="C72" i="8"/>
  <c r="C72" i="13" s="1"/>
  <c r="B72" i="8"/>
  <c r="Q72" i="8" s="1"/>
  <c r="F71" i="8"/>
  <c r="D71" i="8"/>
  <c r="C71" i="8"/>
  <c r="C71" i="13" s="1"/>
  <c r="B71" i="8"/>
  <c r="S70" i="8" s="1"/>
  <c r="F70" i="8"/>
  <c r="D70" i="8"/>
  <c r="C70" i="8"/>
  <c r="C70" i="13" s="1"/>
  <c r="B70" i="8"/>
  <c r="S69" i="8" s="1"/>
  <c r="F69" i="8"/>
  <c r="D69" i="8"/>
  <c r="C69" i="8"/>
  <c r="C69" i="13" s="1"/>
  <c r="B69" i="8"/>
  <c r="R69" i="8" s="1"/>
  <c r="Z69" i="8" s="1"/>
  <c r="F68" i="8"/>
  <c r="D68" i="8"/>
  <c r="C68" i="8"/>
  <c r="C68" i="13" s="1"/>
  <c r="B68" i="8"/>
  <c r="F67" i="8"/>
  <c r="D67" i="8"/>
  <c r="C67" i="8"/>
  <c r="C67" i="13" s="1"/>
  <c r="B67" i="8"/>
  <c r="BL67" i="8" s="1"/>
  <c r="F66" i="8"/>
  <c r="D66" i="8"/>
  <c r="C66" i="8"/>
  <c r="C66" i="13" s="1"/>
  <c r="B66" i="8"/>
  <c r="R66" i="8" s="1"/>
  <c r="S65" i="8"/>
  <c r="F65" i="8"/>
  <c r="D65" i="8"/>
  <c r="C65" i="8"/>
  <c r="C65" i="13" s="1"/>
  <c r="B65" i="8"/>
  <c r="R65" i="8" s="1"/>
  <c r="AC65" i="8" s="1"/>
  <c r="S64" i="8"/>
  <c r="F64" i="8"/>
  <c r="D64" i="8"/>
  <c r="C64" i="8"/>
  <c r="C64" i="13" s="1"/>
  <c r="B64" i="8"/>
  <c r="S63" i="8" s="1"/>
  <c r="F63" i="8"/>
  <c r="D63" i="8"/>
  <c r="C63" i="8"/>
  <c r="C63" i="13" s="1"/>
  <c r="B63" i="8"/>
  <c r="BL63" i="8" s="1"/>
  <c r="F62" i="8"/>
  <c r="D62" i="8"/>
  <c r="C62" i="8"/>
  <c r="C62" i="13" s="1"/>
  <c r="B62" i="8"/>
  <c r="S61" i="8" s="1"/>
  <c r="F61" i="8"/>
  <c r="D61" i="8"/>
  <c r="C61" i="8"/>
  <c r="C61" i="13" s="1"/>
  <c r="B61" i="8"/>
  <c r="R61" i="8" s="1"/>
  <c r="Z61" i="8" s="1"/>
  <c r="F60" i="8"/>
  <c r="D60" i="8"/>
  <c r="C60" i="8"/>
  <c r="C60" i="13" s="1"/>
  <c r="B60" i="8"/>
  <c r="F59" i="8"/>
  <c r="D59" i="8"/>
  <c r="C59" i="8"/>
  <c r="C59" i="13" s="1"/>
  <c r="B59" i="8"/>
  <c r="BL59" i="8" s="1"/>
  <c r="F58" i="8"/>
  <c r="D58" i="8"/>
  <c r="C58" i="8"/>
  <c r="C58" i="13" s="1"/>
  <c r="B58" i="8"/>
  <c r="R58" i="8" s="1"/>
  <c r="S57" i="8"/>
  <c r="F57" i="8"/>
  <c r="D57" i="8"/>
  <c r="C57" i="8"/>
  <c r="C57" i="13" s="1"/>
  <c r="B57" i="8"/>
  <c r="S56" i="8" s="1"/>
  <c r="F56" i="8"/>
  <c r="D56" i="8"/>
  <c r="C56" i="8"/>
  <c r="C56" i="13" s="1"/>
  <c r="B56" i="8"/>
  <c r="S55" i="8" s="1"/>
  <c r="F55" i="8"/>
  <c r="D55" i="8"/>
  <c r="C55" i="8"/>
  <c r="C55" i="13" s="1"/>
  <c r="B55" i="8"/>
  <c r="R55" i="8" s="1"/>
  <c r="AC55" i="8" s="1"/>
  <c r="F54" i="8"/>
  <c r="D54" i="8"/>
  <c r="C54" i="8"/>
  <c r="C54" i="13" s="1"/>
  <c r="B54" i="8"/>
  <c r="F53" i="8"/>
  <c r="D53" i="8"/>
  <c r="C53" i="8"/>
  <c r="C53" i="13" s="1"/>
  <c r="B53" i="8"/>
  <c r="R53" i="8" s="1"/>
  <c r="F52" i="8"/>
  <c r="D52" i="8"/>
  <c r="C52" i="8"/>
  <c r="C52" i="13" s="1"/>
  <c r="B52" i="8"/>
  <c r="F51" i="8"/>
  <c r="D51" i="8"/>
  <c r="C51" i="8"/>
  <c r="C51" i="13" s="1"/>
  <c r="B51" i="8"/>
  <c r="F50" i="8"/>
  <c r="D50" i="8"/>
  <c r="C50" i="8"/>
  <c r="C50" i="13" s="1"/>
  <c r="B50" i="8"/>
  <c r="F49" i="8"/>
  <c r="D49" i="8"/>
  <c r="C49" i="8"/>
  <c r="C49" i="13" s="1"/>
  <c r="B49" i="8"/>
  <c r="S48" i="8" s="1"/>
  <c r="AQ48" i="8"/>
  <c r="F48" i="8"/>
  <c r="D48" i="8"/>
  <c r="C48" i="8"/>
  <c r="C48" i="13" s="1"/>
  <c r="B48" i="8"/>
  <c r="F47" i="8"/>
  <c r="D47" i="8"/>
  <c r="C47" i="8"/>
  <c r="C47" i="13" s="1"/>
  <c r="B47" i="8"/>
  <c r="R47" i="8" s="1"/>
  <c r="F46" i="8"/>
  <c r="D46" i="8"/>
  <c r="C46" i="8"/>
  <c r="C46" i="13" s="1"/>
  <c r="B46" i="8"/>
  <c r="S45" i="8" s="1"/>
  <c r="F45" i="8"/>
  <c r="D45" i="8"/>
  <c r="C45" i="8"/>
  <c r="C45" i="13" s="1"/>
  <c r="B45" i="8"/>
  <c r="F44" i="8"/>
  <c r="D44" i="8"/>
  <c r="C44" i="8"/>
  <c r="C44" i="13" s="1"/>
  <c r="B44" i="8"/>
  <c r="B44" i="13" s="1"/>
  <c r="S43" i="8"/>
  <c r="F43" i="8"/>
  <c r="D43" i="8"/>
  <c r="C43" i="8"/>
  <c r="C43" i="13" s="1"/>
  <c r="B43" i="8"/>
  <c r="S42" i="8" s="1"/>
  <c r="F42" i="8"/>
  <c r="D42" i="8"/>
  <c r="C42" i="8"/>
  <c r="C42" i="13" s="1"/>
  <c r="B42" i="8"/>
  <c r="F41" i="8"/>
  <c r="D41" i="8"/>
  <c r="C41" i="8"/>
  <c r="C41" i="13" s="1"/>
  <c r="B41" i="8"/>
  <c r="F40" i="8"/>
  <c r="D40" i="8"/>
  <c r="C40" i="8"/>
  <c r="C40" i="13" s="1"/>
  <c r="B40" i="8"/>
  <c r="F39" i="8"/>
  <c r="D39" i="8"/>
  <c r="C39" i="8"/>
  <c r="C39" i="13" s="1"/>
  <c r="B39" i="8"/>
  <c r="F38" i="8"/>
  <c r="D38" i="8"/>
  <c r="C38" i="8"/>
  <c r="C38" i="13" s="1"/>
  <c r="B38" i="8"/>
  <c r="V37" i="8" s="1"/>
  <c r="F37" i="8"/>
  <c r="D37" i="8"/>
  <c r="C37" i="8"/>
  <c r="C37" i="13" s="1"/>
  <c r="B37" i="8"/>
  <c r="B37" i="13" s="1"/>
  <c r="S36" i="8"/>
  <c r="F36" i="8"/>
  <c r="D36" i="8"/>
  <c r="C36" i="8"/>
  <c r="C36" i="13" s="1"/>
  <c r="B36" i="8"/>
  <c r="V36" i="8" s="1"/>
  <c r="S35" i="8"/>
  <c r="F35" i="8"/>
  <c r="D35" i="8"/>
  <c r="C35" i="8"/>
  <c r="C35" i="13" s="1"/>
  <c r="B35" i="8"/>
  <c r="F34" i="8"/>
  <c r="D34" i="8"/>
  <c r="C34" i="8"/>
  <c r="C34" i="13" s="1"/>
  <c r="B34" i="8"/>
  <c r="B34" i="13" s="1"/>
  <c r="F33" i="8"/>
  <c r="D33" i="8"/>
  <c r="C33" i="8"/>
  <c r="C33" i="13" s="1"/>
  <c r="B33" i="8"/>
  <c r="F32" i="8"/>
  <c r="D32" i="8"/>
  <c r="C32" i="8"/>
  <c r="C32" i="13" s="1"/>
  <c r="B32" i="8"/>
  <c r="F31" i="8"/>
  <c r="D31" i="8"/>
  <c r="C31" i="8"/>
  <c r="C31" i="13" s="1"/>
  <c r="B31" i="8"/>
  <c r="Q31" i="8" s="1"/>
  <c r="F30" i="8"/>
  <c r="D30" i="8"/>
  <c r="C30" i="8"/>
  <c r="C30" i="13" s="1"/>
  <c r="B30" i="8"/>
  <c r="BL101" i="8" s="1"/>
  <c r="F29" i="8"/>
  <c r="D29" i="8"/>
  <c r="C29" i="8"/>
  <c r="C29" i="13" s="1"/>
  <c r="B29" i="8"/>
  <c r="F28" i="8"/>
  <c r="D28" i="8"/>
  <c r="C28" i="8"/>
  <c r="C28" i="13" s="1"/>
  <c r="B28" i="8"/>
  <c r="F27" i="8"/>
  <c r="D27" i="8"/>
  <c r="C27" i="8"/>
  <c r="C27" i="13" s="1"/>
  <c r="B27" i="8"/>
  <c r="S26" i="8" s="1"/>
  <c r="F26" i="8"/>
  <c r="D26" i="8"/>
  <c r="C26" i="8"/>
  <c r="C26" i="13" s="1"/>
  <c r="B26" i="8"/>
  <c r="BL26" i="8" s="1"/>
  <c r="F25" i="8"/>
  <c r="D25" i="8"/>
  <c r="C25" i="8"/>
  <c r="C25" i="13" s="1"/>
  <c r="B25" i="8"/>
  <c r="F24" i="8"/>
  <c r="D24" i="8"/>
  <c r="C24" i="8"/>
  <c r="C24" i="13" s="1"/>
  <c r="B24" i="8"/>
  <c r="BL4" i="8"/>
  <c r="AG204" i="7"/>
  <c r="AG203" i="7"/>
  <c r="AG202" i="7"/>
  <c r="AG201" i="7"/>
  <c r="AG200" i="7"/>
  <c r="AG199" i="7"/>
  <c r="AG198" i="7"/>
  <c r="AG197" i="7"/>
  <c r="AG196" i="7"/>
  <c r="AG195" i="7"/>
  <c r="AG194" i="7"/>
  <c r="AG193" i="7"/>
  <c r="AG192" i="7"/>
  <c r="AG191" i="7"/>
  <c r="AG190" i="7"/>
  <c r="AG189" i="7"/>
  <c r="AG188" i="7"/>
  <c r="AG187" i="7"/>
  <c r="AG186" i="7"/>
  <c r="AG185" i="7"/>
  <c r="AG184" i="7"/>
  <c r="AG183" i="7"/>
  <c r="AG182" i="7"/>
  <c r="AG181" i="7"/>
  <c r="AG180" i="7"/>
  <c r="AG179" i="7"/>
  <c r="AG178" i="7"/>
  <c r="AG177" i="7"/>
  <c r="AG176" i="7"/>
  <c r="AG175" i="7"/>
  <c r="AG174" i="7"/>
  <c r="AG173" i="7"/>
  <c r="AG172" i="7"/>
  <c r="AG171" i="7"/>
  <c r="AG170" i="7"/>
  <c r="AG169" i="7"/>
  <c r="AG168" i="7"/>
  <c r="AG167" i="7"/>
  <c r="AG166" i="7"/>
  <c r="AG165" i="7"/>
  <c r="AG164" i="7"/>
  <c r="AG163" i="7"/>
  <c r="AG162" i="7"/>
  <c r="AG161" i="7"/>
  <c r="AG160" i="7"/>
  <c r="AG159" i="7"/>
  <c r="AG158" i="7"/>
  <c r="AG157" i="7"/>
  <c r="AG156" i="7"/>
  <c r="AG155" i="7"/>
  <c r="AG154" i="7"/>
  <c r="AG153" i="7"/>
  <c r="AG152" i="7"/>
  <c r="AG151" i="7"/>
  <c r="AG150" i="7"/>
  <c r="AG149" i="7"/>
  <c r="AG148" i="7"/>
  <c r="AG147" i="7"/>
  <c r="AG146" i="7"/>
  <c r="AG145" i="7"/>
  <c r="AG144" i="7"/>
  <c r="AG143" i="7"/>
  <c r="AG142" i="7"/>
  <c r="AG141" i="7"/>
  <c r="AG140" i="7"/>
  <c r="AG139" i="7"/>
  <c r="AG138" i="7"/>
  <c r="AG137" i="7"/>
  <c r="AG136" i="7"/>
  <c r="AG135" i="7"/>
  <c r="AG134" i="7"/>
  <c r="AG133" i="7"/>
  <c r="AG132" i="7"/>
  <c r="AG131" i="7"/>
  <c r="AG130" i="7"/>
  <c r="AG129" i="7"/>
  <c r="AG128" i="7"/>
  <c r="AG127" i="7"/>
  <c r="AG126" i="7"/>
  <c r="AG125" i="7"/>
  <c r="AG124" i="7"/>
  <c r="AG123" i="7"/>
  <c r="AG122" i="7"/>
  <c r="AG121" i="7"/>
  <c r="AG120" i="7"/>
  <c r="AG119" i="7"/>
  <c r="AG118" i="7"/>
  <c r="AG117" i="7"/>
  <c r="AG116" i="7"/>
  <c r="AG115" i="7"/>
  <c r="AG114" i="7"/>
  <c r="AG113" i="7"/>
  <c r="AG112" i="7"/>
  <c r="AG111" i="7"/>
  <c r="AG110" i="7"/>
  <c r="AG109" i="7"/>
  <c r="AG108" i="7"/>
  <c r="AG107" i="7"/>
  <c r="AG106" i="7"/>
  <c r="AG105" i="7"/>
  <c r="AG104" i="7"/>
  <c r="AG103" i="7"/>
  <c r="AG102" i="7"/>
  <c r="AG101" i="7"/>
  <c r="AG100" i="7"/>
  <c r="AG99" i="7"/>
  <c r="AG98" i="7"/>
  <c r="AG97" i="7"/>
  <c r="AG96" i="7"/>
  <c r="AG95" i="7"/>
  <c r="AG94" i="7"/>
  <c r="AG93" i="7"/>
  <c r="AG92" i="7"/>
  <c r="AG91" i="7"/>
  <c r="AG90" i="7"/>
  <c r="AG89" i="7"/>
  <c r="AG88" i="7"/>
  <c r="AG87" i="7"/>
  <c r="AG86" i="7"/>
  <c r="AG85" i="7"/>
  <c r="AG84" i="7"/>
  <c r="AG83" i="7"/>
  <c r="AG82" i="7"/>
  <c r="AG81" i="7"/>
  <c r="AG80" i="7"/>
  <c r="AG79" i="7"/>
  <c r="AG78" i="7"/>
  <c r="AG77" i="7"/>
  <c r="AG76" i="7"/>
  <c r="AG75" i="7"/>
  <c r="AG74" i="7"/>
  <c r="AG73" i="7"/>
  <c r="AG72" i="7"/>
  <c r="AG71" i="7"/>
  <c r="AG70" i="7"/>
  <c r="AG69" i="7"/>
  <c r="AG68" i="7"/>
  <c r="AG67" i="7"/>
  <c r="AG66" i="7"/>
  <c r="AG65" i="7"/>
  <c r="AG64" i="7"/>
  <c r="AG63" i="7"/>
  <c r="AG62" i="7"/>
  <c r="AG61" i="7"/>
  <c r="AG60" i="7"/>
  <c r="AG59" i="7"/>
  <c r="AG58" i="7"/>
  <c r="AG57" i="7"/>
  <c r="AG56" i="7"/>
  <c r="AG55" i="7"/>
  <c r="AG54" i="7"/>
  <c r="AG53" i="7"/>
  <c r="AG52" i="7"/>
  <c r="AG51" i="7"/>
  <c r="AG50" i="7"/>
  <c r="AG49" i="7"/>
  <c r="AG48" i="7"/>
  <c r="AG47" i="7"/>
  <c r="AG46" i="7"/>
  <c r="AG45" i="7"/>
  <c r="AG44" i="7"/>
  <c r="AG43" i="7"/>
  <c r="AG42" i="7"/>
  <c r="AG41" i="7"/>
  <c r="AG40" i="7"/>
  <c r="AG39" i="7"/>
  <c r="AG38" i="7"/>
  <c r="AG37" i="7"/>
  <c r="AG36" i="7"/>
  <c r="AG35" i="7"/>
  <c r="AG34" i="7"/>
  <c r="AG33" i="7"/>
  <c r="AG32" i="7"/>
  <c r="B32" i="7"/>
  <c r="AG31" i="7"/>
  <c r="B31" i="7"/>
  <c r="AG30" i="7"/>
  <c r="B30" i="7"/>
  <c r="AG29" i="7"/>
  <c r="B29" i="7"/>
  <c r="AG28" i="7"/>
  <c r="B28" i="7"/>
  <c r="AG27" i="7"/>
  <c r="AG26" i="7"/>
  <c r="AG25" i="7"/>
  <c r="B25" i="7"/>
  <c r="AG24" i="7"/>
  <c r="B24" i="7"/>
  <c r="AG23" i="7"/>
  <c r="B23" i="7"/>
  <c r="AG22" i="7"/>
  <c r="B22" i="7"/>
  <c r="AG21" i="7"/>
  <c r="B21" i="7"/>
  <c r="AG20" i="7"/>
  <c r="AG19" i="7"/>
  <c r="AG18" i="7"/>
  <c r="AG17" i="7"/>
  <c r="AG16" i="7"/>
  <c r="AG15" i="7"/>
  <c r="AG14" i="7"/>
  <c r="AG13" i="7"/>
  <c r="AG12" i="7"/>
  <c r="AG11" i="7"/>
  <c r="AG10" i="7"/>
  <c r="AG9" i="7"/>
  <c r="AG8" i="7"/>
  <c r="AG7" i="7"/>
  <c r="AG6" i="7"/>
  <c r="AG5" i="7"/>
  <c r="AG4" i="7"/>
  <c r="AG3" i="7"/>
  <c r="DE99" i="6"/>
  <c r="AH96" i="6"/>
  <c r="BH92" i="6"/>
  <c r="BE89" i="6"/>
  <c r="BD86" i="6"/>
  <c r="DF84" i="6"/>
  <c r="AI82" i="6"/>
  <c r="DD80" i="6"/>
  <c r="AJ78" i="6"/>
  <c r="DF76" i="6"/>
  <c r="AE74" i="6"/>
  <c r="DA71" i="6"/>
  <c r="AM70" i="6"/>
  <c r="AZ67" i="6"/>
  <c r="DC65" i="6"/>
  <c r="DC60" i="6"/>
  <c r="AN57" i="6"/>
  <c r="AI53" i="6"/>
  <c r="CZ49" i="6"/>
  <c r="DF48" i="6"/>
  <c r="AE45" i="6"/>
  <c r="DE43" i="6"/>
  <c r="DA42" i="6"/>
  <c r="AM42" i="6"/>
  <c r="AG41" i="6"/>
  <c r="DA40" i="6"/>
  <c r="CW39" i="6"/>
  <c r="AJ39" i="6"/>
  <c r="DB38" i="6"/>
  <c r="AG38" i="6"/>
  <c r="CW37" i="6"/>
  <c r="AK37" i="6"/>
  <c r="AG36" i="6"/>
  <c r="DA35" i="6"/>
  <c r="AM35" i="6"/>
  <c r="AK34" i="6"/>
  <c r="DE33" i="6"/>
  <c r="AF33" i="6"/>
  <c r="CW32" i="6"/>
  <c r="AH32" i="6"/>
  <c r="DC31" i="6"/>
  <c r="AG31" i="6"/>
  <c r="DC30" i="6"/>
  <c r="AH30" i="6"/>
  <c r="DB29" i="6"/>
  <c r="AN29" i="6"/>
  <c r="DF28" i="6"/>
  <c r="AF28" i="6"/>
  <c r="CX27" i="6"/>
  <c r="AK27" i="6"/>
  <c r="DB26" i="6"/>
  <c r="AI26" i="6"/>
  <c r="AF25" i="6"/>
  <c r="CX24" i="6"/>
  <c r="AL24" i="6"/>
  <c r="DD23" i="6"/>
  <c r="AL23" i="6"/>
  <c r="DC22" i="6"/>
  <c r="AJ22" i="6"/>
  <c r="DA21" i="6"/>
  <c r="AH21" i="6"/>
  <c r="DF20" i="6"/>
  <c r="AF20" i="6"/>
  <c r="CX19" i="6"/>
  <c r="AL19" i="6"/>
  <c r="DC18" i="6"/>
  <c r="AJ18" i="6"/>
  <c r="CZ17" i="6"/>
  <c r="AH17" i="6"/>
  <c r="CZ16" i="6"/>
  <c r="AN16" i="6"/>
  <c r="AE16" i="6"/>
  <c r="CX15" i="6"/>
  <c r="AK15" i="6"/>
  <c r="DE14" i="6"/>
  <c r="CW14" i="6"/>
  <c r="AJ14" i="6"/>
  <c r="H14" i="6"/>
  <c r="DA13" i="6"/>
  <c r="AG13" i="6"/>
  <c r="H13" i="6"/>
  <c r="DC12" i="6"/>
  <c r="AI12" i="6"/>
  <c r="H12" i="6"/>
  <c r="AI11" i="6"/>
  <c r="H11" i="6"/>
  <c r="AK10" i="6"/>
  <c r="AI10" i="6"/>
  <c r="H10" i="6"/>
  <c r="CW9" i="6"/>
  <c r="AK9" i="6"/>
  <c r="AI9" i="6"/>
  <c r="H9" i="6"/>
  <c r="CW8" i="6"/>
  <c r="AK8" i="6"/>
  <c r="AI8" i="6"/>
  <c r="H8" i="6"/>
  <c r="CW7" i="6"/>
  <c r="AK7" i="6"/>
  <c r="AI7" i="6"/>
  <c r="H7" i="6"/>
  <c r="CW6" i="6"/>
  <c r="AJ6" i="6"/>
  <c r="AG6" i="6"/>
  <c r="M6" i="6"/>
  <c r="H6" i="6"/>
  <c r="AK5" i="6"/>
  <c r="AI5" i="6"/>
  <c r="M5" i="6"/>
  <c r="DB4" i="6"/>
  <c r="AN4" i="6"/>
  <c r="AI4" i="6"/>
  <c r="AG4" i="6"/>
  <c r="DB3" i="6"/>
  <c r="AM3" i="6"/>
  <c r="AH3" i="6"/>
  <c r="AF3" i="6"/>
  <c r="AN2" i="6"/>
  <c r="AL2" i="6"/>
  <c r="AG2" i="6"/>
  <c r="AE2" i="6"/>
  <c r="N2" i="6"/>
  <c r="DG1" i="6"/>
  <c r="CW1" i="6"/>
  <c r="CM1" i="6"/>
  <c r="CC1" i="6"/>
  <c r="BS1" i="6"/>
  <c r="BI1" i="6"/>
  <c r="AY1" i="6"/>
  <c r="AO1" i="6"/>
  <c r="AE1" i="6"/>
  <c r="J1" i="6"/>
  <c r="L280" i="5"/>
  <c r="E286" i="5" s="1"/>
  <c r="D256" i="5"/>
  <c r="V251" i="5"/>
  <c r="J251" i="5"/>
  <c r="G234" i="5"/>
  <c r="E234" i="5"/>
  <c r="G233" i="5"/>
  <c r="E256" i="5" s="1"/>
  <c r="G232" i="5"/>
  <c r="E232" i="5"/>
  <c r="AX107" i="5"/>
  <c r="BN102" i="5"/>
  <c r="BG102" i="5"/>
  <c r="DM6" i="6" s="1"/>
  <c r="BC102" i="5"/>
  <c r="BD102" i="5" s="1"/>
  <c r="BB102" i="5"/>
  <c r="AW102" i="5"/>
  <c r="BN101" i="5"/>
  <c r="BG101" i="5"/>
  <c r="BH101" i="5" s="1"/>
  <c r="BB101" i="5"/>
  <c r="BC101" i="5" s="1"/>
  <c r="BD101" i="5" s="1"/>
  <c r="AW101" i="5"/>
  <c r="BN100" i="5"/>
  <c r="BG100" i="5"/>
  <c r="CS30" i="6" s="1"/>
  <c r="BB100" i="5"/>
  <c r="BC100" i="5" s="1"/>
  <c r="AW100" i="5"/>
  <c r="BN99" i="5"/>
  <c r="CD21" i="6" s="1"/>
  <c r="BG99" i="5"/>
  <c r="BH99" i="5" s="1"/>
  <c r="BI99" i="5" s="1"/>
  <c r="BJ99" i="5" s="1"/>
  <c r="BB99" i="5"/>
  <c r="BC99" i="5" s="1"/>
  <c r="BD99" i="5" s="1"/>
  <c r="BE99" i="5" s="1"/>
  <c r="AW99" i="5"/>
  <c r="BN98" i="5"/>
  <c r="BG98" i="5"/>
  <c r="BH98" i="5" s="1"/>
  <c r="BI98" i="5" s="1"/>
  <c r="BJ98" i="5" s="1"/>
  <c r="BB98" i="5"/>
  <c r="BC98" i="5" s="1"/>
  <c r="BD98" i="5" s="1"/>
  <c r="BE98" i="5" s="1"/>
  <c r="AW98" i="5"/>
  <c r="BN97" i="5"/>
  <c r="BI5" i="6" s="1"/>
  <c r="AW97" i="5"/>
  <c r="BF97" i="5" s="1"/>
  <c r="BN96" i="5"/>
  <c r="AW96" i="5"/>
  <c r="BF96" i="5" s="1"/>
  <c r="BN95" i="5"/>
  <c r="AW95" i="5"/>
  <c r="BF95" i="5" s="1"/>
  <c r="BA95" i="5" s="1"/>
  <c r="BN94" i="5"/>
  <c r="BK94" i="5"/>
  <c r="BH94" i="5"/>
  <c r="BC94" i="5"/>
  <c r="BA94" i="5"/>
  <c r="AW94" i="5"/>
  <c r="BF94" i="5" s="1"/>
  <c r="BI94" i="5" s="1"/>
  <c r="BN93" i="5"/>
  <c r="AW93" i="5"/>
  <c r="BF93" i="5" s="1"/>
  <c r="BI93" i="5" s="1"/>
  <c r="BN92" i="5"/>
  <c r="AW92" i="5"/>
  <c r="BF92" i="5" s="1"/>
  <c r="BJ92" i="5" s="1"/>
  <c r="S94" i="5"/>
  <c r="S91" i="5"/>
  <c r="D43" i="5"/>
  <c r="L306" i="5" s="1"/>
  <c r="D42" i="5"/>
  <c r="J254" i="5" s="1"/>
  <c r="D41" i="5"/>
  <c r="L304" i="5" s="1"/>
  <c r="G287" i="5" s="1"/>
  <c r="D40" i="5"/>
  <c r="L303" i="5" s="1"/>
  <c r="G285" i="5" s="1"/>
  <c r="D39" i="5"/>
  <c r="L302" i="5" s="1"/>
  <c r="D38" i="5"/>
  <c r="J250" i="5" s="1"/>
  <c r="D37" i="5"/>
  <c r="AV36" i="5"/>
  <c r="D36" i="5"/>
  <c r="L299" i="5" s="1"/>
  <c r="AV35" i="5"/>
  <c r="AV34" i="5"/>
  <c r="AV33" i="5"/>
  <c r="D33" i="5"/>
  <c r="AV32" i="5"/>
  <c r="D32" i="5"/>
  <c r="AV31" i="5"/>
  <c r="D31" i="5"/>
  <c r="AV30" i="5"/>
  <c r="D30" i="5"/>
  <c r="AV29" i="5"/>
  <c r="D29" i="5"/>
  <c r="AV28" i="5"/>
  <c r="D28" i="5"/>
  <c r="AV27" i="5"/>
  <c r="AC27" i="5"/>
  <c r="AB27" i="5"/>
  <c r="D27" i="5"/>
  <c r="AV26" i="5"/>
  <c r="D26" i="5"/>
  <c r="D24" i="5"/>
  <c r="D23" i="5"/>
  <c r="D22" i="5"/>
  <c r="D21" i="5"/>
  <c r="D20" i="5"/>
  <c r="D19" i="5"/>
  <c r="D18" i="5"/>
  <c r="AZ17" i="5"/>
  <c r="AZ16" i="5"/>
  <c r="AZ15" i="5"/>
  <c r="D15" i="5"/>
  <c r="L284" i="5" s="1"/>
  <c r="AZ14" i="5"/>
  <c r="D14" i="5"/>
  <c r="J233" i="5" s="1"/>
  <c r="L286" i="5" s="1"/>
  <c r="AZ13" i="5"/>
  <c r="D13" i="5"/>
  <c r="J232" i="5" s="1"/>
  <c r="L285" i="5" s="1"/>
  <c r="AZ12" i="5"/>
  <c r="D12" i="5"/>
  <c r="J227" i="5" s="1"/>
  <c r="AZ11" i="5"/>
  <c r="D11" i="5"/>
  <c r="AD33" i="5" s="1"/>
  <c r="AZ10" i="5"/>
  <c r="D10" i="5"/>
  <c r="J225" i="5" s="1"/>
  <c r="AZ9" i="5"/>
  <c r="D9" i="5"/>
  <c r="J224" i="5" s="1"/>
  <c r="AZ8" i="5"/>
  <c r="D8" i="5"/>
  <c r="R64" i="5" s="1"/>
  <c r="AZ7" i="5"/>
  <c r="AZ6" i="5"/>
  <c r="D6" i="5"/>
  <c r="J229" i="5" s="1"/>
  <c r="G235" i="5" s="1"/>
  <c r="AZ5" i="5"/>
  <c r="W5" i="5"/>
  <c r="U5" i="5"/>
  <c r="AW5" i="5" s="1"/>
  <c r="S5" i="5"/>
  <c r="R5" i="5"/>
  <c r="Q5" i="5"/>
  <c r="D5" i="5"/>
  <c r="J228" i="5" s="1"/>
  <c r="D3" i="5"/>
  <c r="C3" i="5"/>
  <c r="B3" i="5"/>
  <c r="L316" i="5" s="1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A36" i="3"/>
  <c r="A35" i="3"/>
  <c r="A34" i="3"/>
  <c r="A33" i="3"/>
  <c r="A32" i="3"/>
  <c r="A31" i="3"/>
  <c r="A26" i="3"/>
  <c r="A25" i="3"/>
  <c r="A24" i="3"/>
  <c r="A19" i="3"/>
  <c r="A18" i="3"/>
  <c r="A17" i="3"/>
  <c r="A12" i="3"/>
  <c r="A11" i="3"/>
  <c r="A10" i="3"/>
  <c r="A9" i="3"/>
  <c r="A8" i="3"/>
  <c r="A7" i="3"/>
  <c r="F2" i="3"/>
  <c r="E2" i="3"/>
  <c r="D2" i="3"/>
  <c r="C2" i="3"/>
  <c r="B2" i="3"/>
  <c r="A21" i="2"/>
  <c r="A20" i="2"/>
  <c r="A19" i="2"/>
  <c r="A17" i="2"/>
  <c r="A16" i="2"/>
  <c r="A15" i="2"/>
  <c r="A13" i="2"/>
  <c r="A12" i="2"/>
  <c r="A11" i="2"/>
  <c r="A10" i="2"/>
  <c r="A9" i="2"/>
  <c r="A8" i="2"/>
  <c r="A6" i="2"/>
  <c r="A5" i="2"/>
  <c r="A4" i="2"/>
  <c r="A3" i="2"/>
  <c r="F2" i="2"/>
  <c r="E2" i="2"/>
  <c r="D2" i="2"/>
  <c r="C2" i="2"/>
  <c r="B2" i="2"/>
  <c r="F263" i="5" l="1"/>
  <c r="L291" i="5"/>
  <c r="CZ4" i="6"/>
  <c r="BE101" i="5"/>
  <c r="E235" i="5"/>
  <c r="E230" i="5"/>
  <c r="BD17" i="6"/>
  <c r="BJ96" i="5"/>
  <c r="BK97" i="5"/>
  <c r="BC97" i="5"/>
  <c r="BC92" i="5"/>
  <c r="BI92" i="5"/>
  <c r="BK92" i="5"/>
  <c r="Z100" i="6"/>
  <c r="AD96" i="6"/>
  <c r="AB93" i="6"/>
  <c r="W90" i="6"/>
  <c r="AD74" i="6"/>
  <c r="AC72" i="6"/>
  <c r="AA67" i="6"/>
  <c r="Y66" i="6"/>
  <c r="AC62" i="6"/>
  <c r="V58" i="6"/>
  <c r="AB55" i="6"/>
  <c r="Y55" i="6"/>
  <c r="AD54" i="6"/>
  <c r="Y52" i="6"/>
  <c r="W52" i="6"/>
  <c r="X51" i="6"/>
  <c r="AA50" i="6"/>
  <c r="Y50" i="6"/>
  <c r="Y93" i="6"/>
  <c r="U76" i="6"/>
  <c r="X71" i="6"/>
  <c r="W66" i="6"/>
  <c r="X61" i="6"/>
  <c r="AA55" i="6"/>
  <c r="AC54" i="6"/>
  <c r="W51" i="6"/>
  <c r="Z50" i="6"/>
  <c r="X49" i="6"/>
  <c r="U48" i="6"/>
  <c r="AA47" i="6"/>
  <c r="U46" i="6"/>
  <c r="AC45" i="6"/>
  <c r="W44" i="6"/>
  <c r="Z42" i="6"/>
  <c r="U41" i="6"/>
  <c r="AC40" i="6"/>
  <c r="W39" i="6"/>
  <c r="AA37" i="6"/>
  <c r="X37" i="6"/>
  <c r="U36" i="6"/>
  <c r="AC35" i="6"/>
  <c r="AA35" i="6"/>
  <c r="Y34" i="6"/>
  <c r="U34" i="6"/>
  <c r="Z32" i="6"/>
  <c r="W32" i="6"/>
  <c r="Z31" i="6"/>
  <c r="X31" i="6"/>
  <c r="AB30" i="6"/>
  <c r="Z30" i="6"/>
  <c r="Y29" i="6"/>
  <c r="X28" i="6"/>
  <c r="V28" i="6"/>
  <c r="AC27" i="6"/>
  <c r="V27" i="6"/>
  <c r="AA26" i="6"/>
  <c r="Z25" i="6"/>
  <c r="X25" i="6"/>
  <c r="AD24" i="6"/>
  <c r="W24" i="6"/>
  <c r="AD23" i="6"/>
  <c r="AB23" i="6"/>
  <c r="U23" i="6"/>
  <c r="AB22" i="6"/>
  <c r="Z22" i="6"/>
  <c r="Z21" i="6"/>
  <c r="X21" i="6"/>
  <c r="X20" i="6"/>
  <c r="V20" i="6"/>
  <c r="AD19" i="6"/>
  <c r="AB19" i="6"/>
  <c r="U19" i="6"/>
  <c r="AB18" i="6"/>
  <c r="Z18" i="6"/>
  <c r="Z17" i="6"/>
  <c r="X17" i="6"/>
  <c r="AD16" i="6"/>
  <c r="W16" i="6"/>
  <c r="AC15" i="6"/>
  <c r="V15" i="6"/>
  <c r="AC14" i="6"/>
  <c r="AA14" i="6"/>
  <c r="U14" i="6"/>
  <c r="AC13" i="6"/>
  <c r="AA13" i="6"/>
  <c r="U13" i="6"/>
  <c r="AB12" i="6"/>
  <c r="Y12" i="6"/>
  <c r="AB11" i="6"/>
  <c r="Y11" i="6"/>
  <c r="BK95" i="5"/>
  <c r="CN95" i="6"/>
  <c r="CU94" i="6"/>
  <c r="CS91" i="6"/>
  <c r="CM88" i="6"/>
  <c r="CN82" i="6"/>
  <c r="CN81" i="6"/>
  <c r="CM78" i="6"/>
  <c r="CO77" i="6"/>
  <c r="CR75" i="6"/>
  <c r="CO73" i="6"/>
  <c r="CM67" i="6"/>
  <c r="CT66" i="6"/>
  <c r="CR65" i="6"/>
  <c r="CP62" i="6"/>
  <c r="CU61" i="6"/>
  <c r="CQ57" i="6"/>
  <c r="CS56" i="6"/>
  <c r="CN55" i="6"/>
  <c r="CQ54" i="6"/>
  <c r="CO54" i="6"/>
  <c r="CT53" i="6"/>
  <c r="CU52" i="6"/>
  <c r="CU51" i="6"/>
  <c r="CR51" i="6"/>
  <c r="CT50" i="6"/>
  <c r="CP88" i="6"/>
  <c r="CQ73" i="6"/>
  <c r="CM71" i="6"/>
  <c r="CV61" i="6"/>
  <c r="CR57" i="6"/>
  <c r="CT56" i="6"/>
  <c r="CU53" i="6"/>
  <c r="CS51" i="6"/>
  <c r="CU50" i="6"/>
  <c r="CS48" i="6"/>
  <c r="CP48" i="6"/>
  <c r="CM47" i="6"/>
  <c r="CT46" i="6"/>
  <c r="CO45" i="6"/>
  <c r="CS43" i="6"/>
  <c r="CO43" i="6"/>
  <c r="CM42" i="6"/>
  <c r="CS41" i="6"/>
  <c r="CO40" i="6"/>
  <c r="CV39" i="6"/>
  <c r="CS38" i="6"/>
  <c r="CO38" i="6"/>
  <c r="CM37" i="6"/>
  <c r="CM35" i="6"/>
  <c r="CR33" i="6"/>
  <c r="CM32" i="6"/>
  <c r="CR29" i="6"/>
  <c r="CN26" i="6"/>
  <c r="CR24" i="6"/>
  <c r="CN23" i="6"/>
  <c r="CM22" i="6"/>
  <c r="CM18" i="6"/>
  <c r="CS17" i="6"/>
  <c r="CR16" i="6"/>
  <c r="CN14" i="6"/>
  <c r="CN13" i="6"/>
  <c r="CS12" i="6"/>
  <c r="CM12" i="6"/>
  <c r="CS11" i="6"/>
  <c r="CM11" i="6"/>
  <c r="DP100" i="6"/>
  <c r="DI99" i="6"/>
  <c r="DK92" i="6"/>
  <c r="DG80" i="6"/>
  <c r="DH76" i="6"/>
  <c r="DI74" i="6"/>
  <c r="DO70" i="6"/>
  <c r="DO67" i="6"/>
  <c r="DJ64" i="6"/>
  <c r="DL59" i="6"/>
  <c r="DI59" i="6"/>
  <c r="DP56" i="6"/>
  <c r="DL54" i="6"/>
  <c r="DP53" i="6"/>
  <c r="DM53" i="6"/>
  <c r="DL51" i="6"/>
  <c r="DM50" i="6"/>
  <c r="DK50" i="6"/>
  <c r="DO49" i="6"/>
  <c r="DP94" i="6"/>
  <c r="DM91" i="6"/>
  <c r="DH89" i="6"/>
  <c r="DG74" i="6"/>
  <c r="DL69" i="6"/>
  <c r="DP67" i="6"/>
  <c r="DO62" i="6"/>
  <c r="DI55" i="6"/>
  <c r="DJ54" i="6"/>
  <c r="DM51" i="6"/>
  <c r="DO48" i="6"/>
  <c r="DL47" i="6"/>
  <c r="DI46" i="6"/>
  <c r="DO45" i="6"/>
  <c r="DK44" i="6"/>
  <c r="DG44" i="6"/>
  <c r="DO43" i="6"/>
  <c r="DM42" i="6"/>
  <c r="DJ42" i="6"/>
  <c r="DH41" i="6"/>
  <c r="DN40" i="6"/>
  <c r="DK39" i="6"/>
  <c r="DG39" i="6"/>
  <c r="DO38" i="6"/>
  <c r="DM37" i="6"/>
  <c r="DI37" i="6"/>
  <c r="DM35" i="6"/>
  <c r="DI34" i="6"/>
  <c r="DO33" i="6"/>
  <c r="DM32" i="6"/>
  <c r="DI32" i="6"/>
  <c r="DL31" i="6"/>
  <c r="DM30" i="6"/>
  <c r="DJ29" i="6"/>
  <c r="DH29" i="6"/>
  <c r="DP28" i="6"/>
  <c r="DN28" i="6"/>
  <c r="DG28" i="6"/>
  <c r="DM27" i="6"/>
  <c r="DL26" i="6"/>
  <c r="DJ26" i="6"/>
  <c r="DP25" i="6"/>
  <c r="DI25" i="6"/>
  <c r="DO24" i="6"/>
  <c r="DH24" i="6"/>
  <c r="DN23" i="6"/>
  <c r="DL23" i="6"/>
  <c r="DK22" i="6"/>
  <c r="DP21" i="6"/>
  <c r="DI21" i="6"/>
  <c r="DP20" i="6"/>
  <c r="DN20" i="6"/>
  <c r="DG20" i="6"/>
  <c r="DM19" i="6"/>
  <c r="DK18" i="6"/>
  <c r="DJ17" i="6"/>
  <c r="DH17" i="6"/>
  <c r="DO16" i="6"/>
  <c r="DH16" i="6"/>
  <c r="DM15" i="6"/>
  <c r="DL14" i="6"/>
  <c r="DI14" i="6"/>
  <c r="DM13" i="6"/>
  <c r="DK13" i="6"/>
  <c r="DL12" i="6"/>
  <c r="DI12" i="6"/>
  <c r="DL11" i="6"/>
  <c r="DI11" i="6"/>
  <c r="J252" i="5"/>
  <c r="L301" i="5"/>
  <c r="L305" i="5"/>
  <c r="G310" i="5" s="1"/>
  <c r="G311" i="5" s="1"/>
  <c r="V2" i="6"/>
  <c r="X2" i="6"/>
  <c r="Z2" i="6"/>
  <c r="CI2" i="6"/>
  <c r="CX2" i="6"/>
  <c r="DG2" i="6"/>
  <c r="W3" i="6"/>
  <c r="Y3" i="6"/>
  <c r="AA3" i="6"/>
  <c r="CM3" i="6"/>
  <c r="DH3" i="6"/>
  <c r="X4" i="6"/>
  <c r="Z4" i="6"/>
  <c r="AB4" i="6"/>
  <c r="CM4" i="6"/>
  <c r="CR4" i="6"/>
  <c r="DL4" i="6"/>
  <c r="U5" i="6"/>
  <c r="AA5" i="6"/>
  <c r="AC5" i="6"/>
  <c r="CM5" i="6"/>
  <c r="CS5" i="6"/>
  <c r="DL5" i="6"/>
  <c r="Y6" i="6"/>
  <c r="AB6" i="6"/>
  <c r="CM6" i="6"/>
  <c r="U7" i="6"/>
  <c r="AA7" i="6"/>
  <c r="AC7" i="6"/>
  <c r="CM7" i="6"/>
  <c r="DK7" i="6"/>
  <c r="DM7" i="6"/>
  <c r="U8" i="6"/>
  <c r="AA8" i="6"/>
  <c r="AC8" i="6"/>
  <c r="CM8" i="6"/>
  <c r="DK8" i="6"/>
  <c r="DM8" i="6"/>
  <c r="U9" i="6"/>
  <c r="AA9" i="6"/>
  <c r="AC9" i="6"/>
  <c r="CM9" i="6"/>
  <c r="DK9" i="6"/>
  <c r="DM9" i="6"/>
  <c r="U10" i="6"/>
  <c r="AA10" i="6"/>
  <c r="AC10" i="6"/>
  <c r="CN10" i="6"/>
  <c r="DI10" i="6"/>
  <c r="DL10" i="6"/>
  <c r="AA11" i="6"/>
  <c r="CN11" i="6"/>
  <c r="DK11" i="6"/>
  <c r="AA12" i="6"/>
  <c r="CN12" i="6"/>
  <c r="DK12" i="6"/>
  <c r="Y13" i="6"/>
  <c r="CM13" i="6"/>
  <c r="DI13" i="6"/>
  <c r="AB14" i="6"/>
  <c r="DM14" i="6"/>
  <c r="AB15" i="6"/>
  <c r="DL15" i="6"/>
  <c r="V16" i="6"/>
  <c r="DN16" i="6"/>
  <c r="Y17" i="6"/>
  <c r="DI17" i="6"/>
  <c r="AA18" i="6"/>
  <c r="DL18" i="6"/>
  <c r="AC19" i="6"/>
  <c r="DL19" i="6"/>
  <c r="W20" i="6"/>
  <c r="CR20" i="6"/>
  <c r="DO20" i="6"/>
  <c r="Y21" i="6"/>
  <c r="DJ21" i="6"/>
  <c r="AA22" i="6"/>
  <c r="DL22" i="6"/>
  <c r="AC23" i="6"/>
  <c r="DM23" i="6"/>
  <c r="X24" i="6"/>
  <c r="DG24" i="6"/>
  <c r="DP24" i="6"/>
  <c r="CR25" i="6"/>
  <c r="DH25" i="6"/>
  <c r="Z26" i="6"/>
  <c r="DK26" i="6"/>
  <c r="AB27" i="6"/>
  <c r="DL27" i="6"/>
  <c r="W28" i="6"/>
  <c r="CR28" i="6"/>
  <c r="DO28" i="6"/>
  <c r="Z29" i="6"/>
  <c r="DP29" i="6"/>
  <c r="DN30" i="6"/>
  <c r="DM31" i="6"/>
  <c r="DK32" i="6"/>
  <c r="W34" i="6"/>
  <c r="DJ34" i="6"/>
  <c r="DO35" i="6"/>
  <c r="DG36" i="6"/>
  <c r="DK37" i="6"/>
  <c r="U39" i="6"/>
  <c r="AA40" i="6"/>
  <c r="CM40" i="6"/>
  <c r="DO40" i="6"/>
  <c r="CU41" i="6"/>
  <c r="Y42" i="6"/>
  <c r="AC43" i="6"/>
  <c r="CQ43" i="6"/>
  <c r="Y44" i="6"/>
  <c r="CU44" i="6"/>
  <c r="DI44" i="6"/>
  <c r="CQ45" i="6"/>
  <c r="DM45" i="6"/>
  <c r="W46" i="6"/>
  <c r="CS46" i="6"/>
  <c r="DG46" i="6"/>
  <c r="AB47" i="6"/>
  <c r="CN47" i="6"/>
  <c r="DK47" i="6"/>
  <c r="AD48" i="6"/>
  <c r="CQ48" i="6"/>
  <c r="Y49" i="6"/>
  <c r="CS50" i="6"/>
  <c r="Y51" i="6"/>
  <c r="X52" i="6"/>
  <c r="DO53" i="6"/>
  <c r="CP54" i="6"/>
  <c r="CM55" i="6"/>
  <c r="CQ58" i="6"/>
  <c r="Z62" i="6"/>
  <c r="DH63" i="6"/>
  <c r="DI68" i="6"/>
  <c r="V27" i="8"/>
  <c r="Q41" i="8"/>
  <c r="S40" i="8"/>
  <c r="R42" i="8"/>
  <c r="Z42" i="8" s="1"/>
  <c r="BL42" i="8"/>
  <c r="Q42" i="8"/>
  <c r="Y41" i="8" s="1"/>
  <c r="AA41" i="8" s="1"/>
  <c r="Q48" i="8"/>
  <c r="S47" i="8"/>
  <c r="L295" i="5"/>
  <c r="G292" i="5" s="1"/>
  <c r="AD32" i="5"/>
  <c r="BB92" i="5"/>
  <c r="BD92" i="5"/>
  <c r="O16" i="6"/>
  <c r="T15" i="6"/>
  <c r="T11" i="6"/>
  <c r="BB94" i="5"/>
  <c r="BG94" i="5"/>
  <c r="AG99" i="6"/>
  <c r="AJ99" i="6"/>
  <c r="AM86" i="6"/>
  <c r="AH83" i="6"/>
  <c r="AK82" i="6"/>
  <c r="AH79" i="6"/>
  <c r="AL78" i="6"/>
  <c r="AL70" i="6"/>
  <c r="AN69" i="6"/>
  <c r="AK69" i="6"/>
  <c r="AE65" i="6"/>
  <c r="AL64" i="6"/>
  <c r="AI61" i="6"/>
  <c r="AN59" i="6"/>
  <c r="AH56" i="6"/>
  <c r="AH53" i="6"/>
  <c r="AJ79" i="6"/>
  <c r="AM69" i="6"/>
  <c r="AF65" i="6"/>
  <c r="AG60" i="6"/>
  <c r="AF53" i="6"/>
  <c r="AM49" i="6"/>
  <c r="AE48" i="6"/>
  <c r="AK47" i="6"/>
  <c r="AI46" i="6"/>
  <c r="AG46" i="6"/>
  <c r="AN45" i="6"/>
  <c r="AL44" i="6"/>
  <c r="AI44" i="6"/>
  <c r="AE43" i="6"/>
  <c r="AK42" i="6"/>
  <c r="AI41" i="6"/>
  <c r="AF41" i="6"/>
  <c r="AM40" i="6"/>
  <c r="AK39" i="6"/>
  <c r="AI39" i="6"/>
  <c r="AE38" i="6"/>
  <c r="AM37" i="6"/>
  <c r="AI36" i="6"/>
  <c r="AE36" i="6"/>
  <c r="AI34" i="6"/>
  <c r="AE33" i="6"/>
  <c r="AI32" i="6"/>
  <c r="AH31" i="6"/>
  <c r="AI30" i="6"/>
  <c r="AH29" i="6"/>
  <c r="AF29" i="6"/>
  <c r="AN28" i="6"/>
  <c r="AL28" i="6"/>
  <c r="AE28" i="6"/>
  <c r="AL27" i="6"/>
  <c r="AJ27" i="6"/>
  <c r="AJ26" i="6"/>
  <c r="AH26" i="6"/>
  <c r="AN25" i="6"/>
  <c r="AG25" i="6"/>
  <c r="AM24" i="6"/>
  <c r="AF24" i="6"/>
  <c r="AK23" i="6"/>
  <c r="AI22" i="6"/>
  <c r="AN21" i="6"/>
  <c r="AG21" i="6"/>
  <c r="AN20" i="6"/>
  <c r="AL20" i="6"/>
  <c r="AE20" i="6"/>
  <c r="AK19" i="6"/>
  <c r="AI18" i="6"/>
  <c r="AN17" i="6"/>
  <c r="AG17" i="6"/>
  <c r="AM16" i="6"/>
  <c r="AF16" i="6"/>
  <c r="AL15" i="6"/>
  <c r="AJ15" i="6"/>
  <c r="AK14" i="6"/>
  <c r="AI14" i="6"/>
  <c r="AK13" i="6"/>
  <c r="AI13" i="6"/>
  <c r="AJ12" i="6"/>
  <c r="AG12" i="6"/>
  <c r="AJ11" i="6"/>
  <c r="AG11" i="6"/>
  <c r="BC95" i="5"/>
  <c r="AV2" i="6"/>
  <c r="AT19" i="6"/>
  <c r="BF99" i="6"/>
  <c r="AY101" i="6"/>
  <c r="AZ97" i="6"/>
  <c r="BG92" i="6"/>
  <c r="BD89" i="6"/>
  <c r="BB85" i="6"/>
  <c r="AY85" i="6"/>
  <c r="BA81" i="6"/>
  <c r="BD80" i="6"/>
  <c r="BB77" i="6"/>
  <c r="BE76" i="6"/>
  <c r="BH73" i="6"/>
  <c r="BG71" i="6"/>
  <c r="BD71" i="6"/>
  <c r="BC67" i="6"/>
  <c r="BE63" i="6"/>
  <c r="BC62" i="6"/>
  <c r="BF58" i="6"/>
  <c r="AZ54" i="6"/>
  <c r="BD53" i="6"/>
  <c r="BA53" i="6"/>
  <c r="BF100" i="6"/>
  <c r="BE99" i="6"/>
  <c r="AZ85" i="6"/>
  <c r="BC84" i="6"/>
  <c r="AZ82" i="6"/>
  <c r="AZ81" i="6"/>
  <c r="BA78" i="6"/>
  <c r="BA77" i="6"/>
  <c r="BD67" i="6"/>
  <c r="BB62" i="6"/>
  <c r="AY59" i="6"/>
  <c r="BE58" i="6"/>
  <c r="BA54" i="6"/>
  <c r="BC53" i="6"/>
  <c r="BG52" i="6"/>
  <c r="BH100" i="5"/>
  <c r="DD93" i="6"/>
  <c r="DD99" i="6"/>
  <c r="DB96" i="6"/>
  <c r="DE89" i="6"/>
  <c r="DF86" i="6"/>
  <c r="CZ86" i="6"/>
  <c r="DB85" i="6"/>
  <c r="DC84" i="6"/>
  <c r="DD81" i="6"/>
  <c r="DE77" i="6"/>
  <c r="DF74" i="6"/>
  <c r="CZ71" i="6"/>
  <c r="CZ69" i="6"/>
  <c r="DF68" i="6"/>
  <c r="DD65" i="6"/>
  <c r="CW61" i="6"/>
  <c r="DE60" i="6"/>
  <c r="DB60" i="6"/>
  <c r="CZ57" i="6"/>
  <c r="CX52" i="6"/>
  <c r="DC96" i="6"/>
  <c r="DB86" i="6"/>
  <c r="DC85" i="6"/>
  <c r="DC81" i="6"/>
  <c r="DD77" i="6"/>
  <c r="DE72" i="6"/>
  <c r="CW66" i="6"/>
  <c r="DA64" i="6"/>
  <c r="DA49" i="6"/>
  <c r="CY49" i="6"/>
  <c r="DE48" i="6"/>
  <c r="DA47" i="6"/>
  <c r="CW47" i="6"/>
  <c r="DE46" i="6"/>
  <c r="DC45" i="6"/>
  <c r="CZ45" i="6"/>
  <c r="CW44" i="6"/>
  <c r="DD43" i="6"/>
  <c r="CY42" i="6"/>
  <c r="DE41" i="6"/>
  <c r="DC40" i="6"/>
  <c r="CY40" i="6"/>
  <c r="DC38" i="6"/>
  <c r="CY37" i="6"/>
  <c r="DF36" i="6"/>
  <c r="DC35" i="6"/>
  <c r="CY35" i="6"/>
  <c r="CW34" i="6"/>
  <c r="DC33" i="6"/>
  <c r="CX32" i="6"/>
  <c r="DD31" i="6"/>
  <c r="DB31" i="6"/>
  <c r="DE30" i="6"/>
  <c r="DB30" i="6"/>
  <c r="DA29" i="6"/>
  <c r="CZ28" i="6"/>
  <c r="CX28" i="6"/>
  <c r="DF27" i="6"/>
  <c r="DD27" i="6"/>
  <c r="CW27" i="6"/>
  <c r="DC26" i="6"/>
  <c r="DB25" i="6"/>
  <c r="CZ25" i="6"/>
  <c r="DF24" i="6"/>
  <c r="CY24" i="6"/>
  <c r="DE23" i="6"/>
  <c r="CX23" i="6"/>
  <c r="DD22" i="6"/>
  <c r="DB22" i="6"/>
  <c r="DB21" i="6"/>
  <c r="CZ21" i="6"/>
  <c r="CZ20" i="6"/>
  <c r="CX20" i="6"/>
  <c r="DF19" i="6"/>
  <c r="DD19" i="6"/>
  <c r="CW19" i="6"/>
  <c r="DD18" i="6"/>
  <c r="DB18" i="6"/>
  <c r="DA17" i="6"/>
  <c r="DF16" i="6"/>
  <c r="CY16" i="6"/>
  <c r="DF15" i="6"/>
  <c r="DD15" i="6"/>
  <c r="CW15" i="6"/>
  <c r="DD14" i="6"/>
  <c r="DA14" i="6"/>
  <c r="DE13" i="6"/>
  <c r="DC13" i="6"/>
  <c r="CW13" i="6"/>
  <c r="DD12" i="6"/>
  <c r="DA12" i="6"/>
  <c r="BH102" i="5"/>
  <c r="BI102" i="5" s="1"/>
  <c r="J242" i="5"/>
  <c r="E239" i="5" s="1"/>
  <c r="J253" i="5"/>
  <c r="F265" i="5"/>
  <c r="H301" i="5"/>
  <c r="L313" i="5"/>
  <c r="E294" i="5" s="1"/>
  <c r="O2" i="6"/>
  <c r="W2" i="6"/>
  <c r="Y2" i="6"/>
  <c r="AD2" i="6"/>
  <c r="AF2" i="6"/>
  <c r="AH2" i="6"/>
  <c r="AM2" i="6"/>
  <c r="AX2" i="6"/>
  <c r="CR2" i="6"/>
  <c r="DB2" i="6"/>
  <c r="DH2" i="6"/>
  <c r="R3" i="6"/>
  <c r="X3" i="6"/>
  <c r="Z3" i="6"/>
  <c r="AE3" i="6"/>
  <c r="AG3" i="6"/>
  <c r="AI3" i="6"/>
  <c r="AN3" i="6"/>
  <c r="CR3" i="6"/>
  <c r="DG3" i="6"/>
  <c r="T4" i="6"/>
  <c r="Y4" i="6"/>
  <c r="AA4" i="6"/>
  <c r="AF4" i="6"/>
  <c r="AH4" i="6"/>
  <c r="AJ4" i="6"/>
  <c r="AQ4" i="6"/>
  <c r="CN4" i="6"/>
  <c r="CS4" i="6"/>
  <c r="DH4" i="6"/>
  <c r="K5" i="6"/>
  <c r="Q5" i="6"/>
  <c r="Y5" i="6"/>
  <c r="AB5" i="6"/>
  <c r="AG5" i="6"/>
  <c r="AJ5" i="6"/>
  <c r="BM5" i="6"/>
  <c r="CN5" i="6"/>
  <c r="CW5" i="6"/>
  <c r="U6" i="6"/>
  <c r="AA6" i="6"/>
  <c r="AC6" i="6"/>
  <c r="AI6" i="6"/>
  <c r="AK6" i="6"/>
  <c r="CN6" i="6"/>
  <c r="DL6" i="6"/>
  <c r="L7" i="6"/>
  <c r="Y7" i="6"/>
  <c r="AB7" i="6"/>
  <c r="AG7" i="6"/>
  <c r="AJ7" i="6"/>
  <c r="CG7" i="6"/>
  <c r="CN7" i="6"/>
  <c r="DI7" i="6"/>
  <c r="DL7" i="6"/>
  <c r="Y8" i="6"/>
  <c r="AB8" i="6"/>
  <c r="AG8" i="6"/>
  <c r="AJ8" i="6"/>
  <c r="BP8" i="6"/>
  <c r="CN8" i="6"/>
  <c r="DI8" i="6"/>
  <c r="DL8" i="6"/>
  <c r="Y9" i="6"/>
  <c r="AB9" i="6"/>
  <c r="AG9" i="6"/>
  <c r="AJ9" i="6"/>
  <c r="CK9" i="6"/>
  <c r="CN9" i="6"/>
  <c r="DI9" i="6"/>
  <c r="DL9" i="6"/>
  <c r="Y10" i="6"/>
  <c r="AB10" i="6"/>
  <c r="AG10" i="6"/>
  <c r="AJ10" i="6"/>
  <c r="CM10" i="6"/>
  <c r="CW10" i="6"/>
  <c r="DK10" i="6"/>
  <c r="DM10" i="6"/>
  <c r="U11" i="6"/>
  <c r="AC11" i="6"/>
  <c r="AK11" i="6"/>
  <c r="CW11" i="6"/>
  <c r="DM11" i="6"/>
  <c r="U12" i="6"/>
  <c r="AC12" i="6"/>
  <c r="AK12" i="6"/>
  <c r="CW12" i="6"/>
  <c r="DE12" i="6"/>
  <c r="DM12" i="6"/>
  <c r="Q13" i="6"/>
  <c r="AB13" i="6"/>
  <c r="AJ13" i="6"/>
  <c r="CS13" i="6"/>
  <c r="DD13" i="6"/>
  <c r="DL13" i="6"/>
  <c r="Y14" i="6"/>
  <c r="AG14" i="6"/>
  <c r="CM14" i="6"/>
  <c r="DC14" i="6"/>
  <c r="DK14" i="6"/>
  <c r="U15" i="6"/>
  <c r="AD15" i="6"/>
  <c r="CN15" i="6"/>
  <c r="DE15" i="6"/>
  <c r="DN15" i="6"/>
  <c r="X16" i="6"/>
  <c r="AL16" i="6"/>
  <c r="CX16" i="6"/>
  <c r="DG16" i="6"/>
  <c r="DP16" i="6"/>
  <c r="AF17" i="6"/>
  <c r="CR17" i="6"/>
  <c r="DB17" i="6"/>
  <c r="DP17" i="6"/>
  <c r="AH18" i="6"/>
  <c r="CN18" i="6"/>
  <c r="DJ18" i="6"/>
  <c r="V19" i="6"/>
  <c r="AJ19" i="6"/>
  <c r="CN19" i="6"/>
  <c r="DE19" i="6"/>
  <c r="DN19" i="6"/>
  <c r="AD20" i="6"/>
  <c r="AM20" i="6"/>
  <c r="CY20" i="6"/>
  <c r="DH20" i="6"/>
  <c r="R21" i="6"/>
  <c r="AF21" i="6"/>
  <c r="CR21" i="6"/>
  <c r="DH21" i="6"/>
  <c r="R22" i="6"/>
  <c r="AH22" i="6"/>
  <c r="CN22" i="6"/>
  <c r="DJ22" i="6"/>
  <c r="V23" i="6"/>
  <c r="AJ23" i="6"/>
  <c r="CW23" i="6"/>
  <c r="DF23" i="6"/>
  <c r="V24" i="6"/>
  <c r="AE24" i="6"/>
  <c r="AN24" i="6"/>
  <c r="CZ24" i="6"/>
  <c r="DN24" i="6"/>
  <c r="Y25" i="6"/>
  <c r="AH25" i="6"/>
  <c r="DA25" i="6"/>
  <c r="DJ25" i="6"/>
  <c r="AB26" i="6"/>
  <c r="CM26" i="6"/>
  <c r="DD26" i="6"/>
  <c r="U27" i="6"/>
  <c r="AD27" i="6"/>
  <c r="CN27" i="6"/>
  <c r="DE27" i="6"/>
  <c r="DN27" i="6"/>
  <c r="AD28" i="6"/>
  <c r="AM28" i="6"/>
  <c r="CY28" i="6"/>
  <c r="DH28" i="6"/>
  <c r="X29" i="6"/>
  <c r="AG29" i="6"/>
  <c r="CZ29" i="6"/>
  <c r="DI29" i="6"/>
  <c r="AA30" i="6"/>
  <c r="AJ30" i="6"/>
  <c r="DK30" i="6"/>
  <c r="Y31" i="6"/>
  <c r="AI31" i="6"/>
  <c r="DK31" i="6"/>
  <c r="Y32" i="6"/>
  <c r="AK32" i="6"/>
  <c r="CY32" i="6"/>
  <c r="AC33" i="6"/>
  <c r="DA33" i="6"/>
  <c r="DP33" i="6"/>
  <c r="AH34" i="6"/>
  <c r="DG34" i="6"/>
  <c r="AB35" i="6"/>
  <c r="CN35" i="6"/>
  <c r="DL35" i="6"/>
  <c r="V36" i="6"/>
  <c r="DE36" i="6"/>
  <c r="Y37" i="6"/>
  <c r="AN37" i="6"/>
  <c r="CZ37" i="6"/>
  <c r="AC38" i="6"/>
  <c r="CQ38" i="6"/>
  <c r="DE38" i="6"/>
  <c r="Y39" i="6"/>
  <c r="CU39" i="6"/>
  <c r="DI39" i="6"/>
  <c r="AD40" i="6"/>
  <c r="CP40" i="6"/>
  <c r="DM40" i="6"/>
  <c r="W41" i="6"/>
  <c r="CR41" i="6"/>
  <c r="DG41" i="6"/>
  <c r="AA42" i="6"/>
  <c r="CW42" i="6"/>
  <c r="DK42" i="6"/>
  <c r="AG43" i="6"/>
  <c r="DC43" i="6"/>
  <c r="V44" i="6"/>
  <c r="AK44" i="6"/>
  <c r="CX44" i="6"/>
  <c r="AA45" i="6"/>
  <c r="CM45" i="6"/>
  <c r="DA45" i="6"/>
  <c r="DP45" i="6"/>
  <c r="AH46" i="6"/>
  <c r="CU46" i="6"/>
  <c r="Y47" i="6"/>
  <c r="AM47" i="6"/>
  <c r="CY47" i="6"/>
  <c r="DM47" i="6"/>
  <c r="AG48" i="6"/>
  <c r="DC48" i="6"/>
  <c r="W49" i="6"/>
  <c r="AN49" i="6"/>
  <c r="DP49" i="6"/>
  <c r="DL50" i="6"/>
  <c r="DK51" i="6"/>
  <c r="CW52" i="6"/>
  <c r="CR53" i="6"/>
  <c r="AE54" i="6"/>
  <c r="DM54" i="6"/>
  <c r="AI56" i="6"/>
  <c r="U58" i="6"/>
  <c r="DK59" i="6"/>
  <c r="AJ61" i="6"/>
  <c r="CO62" i="6"/>
  <c r="DK64" i="6"/>
  <c r="AH66" i="6"/>
  <c r="CN67" i="6"/>
  <c r="CY69" i="6"/>
  <c r="BE71" i="6"/>
  <c r="CN73" i="6"/>
  <c r="AI75" i="6"/>
  <c r="BE77" i="6"/>
  <c r="CO78" i="6"/>
  <c r="BD81" i="6"/>
  <c r="AG83" i="6"/>
  <c r="CM85" i="6"/>
  <c r="AL88" i="6"/>
  <c r="CO91" i="6"/>
  <c r="CX93" i="6"/>
  <c r="CM98" i="6"/>
  <c r="AN3" i="7"/>
  <c r="AV3" i="7" s="1"/>
  <c r="AC5" i="13" s="1"/>
  <c r="AO3" i="7"/>
  <c r="AT3" i="7" s="1"/>
  <c r="BL33" i="8"/>
  <c r="S32" i="8"/>
  <c r="Q38" i="8"/>
  <c r="R29" i="8"/>
  <c r="S28" i="8"/>
  <c r="R31" i="8"/>
  <c r="AC31" i="8" s="1"/>
  <c r="B40" i="13"/>
  <c r="S39" i="8"/>
  <c r="Q40" i="8"/>
  <c r="S49" i="8"/>
  <c r="R50" i="8"/>
  <c r="Z50" i="8" s="1"/>
  <c r="BL50" i="8"/>
  <c r="C149" i="11"/>
  <c r="BL61" i="8"/>
  <c r="R63" i="8"/>
  <c r="BL69" i="8"/>
  <c r="BL72" i="8"/>
  <c r="V72" i="8"/>
  <c r="Q76" i="8"/>
  <c r="BL79" i="8"/>
  <c r="V81" i="8"/>
  <c r="R84" i="8"/>
  <c r="Z84" i="8" s="1"/>
  <c r="BL84" i="8"/>
  <c r="C18" i="11"/>
  <c r="C45" i="11" s="1"/>
  <c r="C47" i="11"/>
  <c r="C122" i="11"/>
  <c r="C123" i="11" s="1"/>
  <c r="B150" i="11"/>
  <c r="R36" i="8"/>
  <c r="R37" i="8"/>
  <c r="V44" i="8"/>
  <c r="BL53" i="8"/>
  <c r="BL58" i="8"/>
  <c r="S60" i="8"/>
  <c r="BL65" i="8"/>
  <c r="BL66" i="8"/>
  <c r="Q73" i="8"/>
  <c r="Y78" i="8"/>
  <c r="AA78" i="8" s="1"/>
  <c r="S78" i="8"/>
  <c r="R89" i="8"/>
  <c r="S95" i="8"/>
  <c r="V97" i="8"/>
  <c r="D9" i="11"/>
  <c r="D18" i="11" s="1"/>
  <c r="D45" i="11" s="1"/>
  <c r="C96" i="11"/>
  <c r="C97" i="11" s="1"/>
  <c r="S98" i="5"/>
  <c r="S99" i="5" s="1"/>
  <c r="AA52" i="5" s="1"/>
  <c r="Z66" i="8"/>
  <c r="AC66" i="8"/>
  <c r="R30" i="8"/>
  <c r="AC30" i="8" s="1"/>
  <c r="Q34" i="8"/>
  <c r="R49" i="8"/>
  <c r="AC50" i="8"/>
  <c r="Q71" i="8"/>
  <c r="U71" i="8" s="1"/>
  <c r="R98" i="8"/>
  <c r="R102" i="8"/>
  <c r="R104" i="8"/>
  <c r="Q29" i="8"/>
  <c r="S30" i="8"/>
  <c r="Q33" i="8"/>
  <c r="BL37" i="8"/>
  <c r="V40" i="8"/>
  <c r="Q44" i="8"/>
  <c r="S52" i="8"/>
  <c r="BL55" i="8"/>
  <c r="BL57" i="8"/>
  <c r="R64" i="8"/>
  <c r="Z65" i="8"/>
  <c r="S68" i="8"/>
  <c r="BL71" i="8"/>
  <c r="S77" i="8"/>
  <c r="BL78" i="8"/>
  <c r="BL81" i="8"/>
  <c r="V82" i="8"/>
  <c r="BL90" i="8"/>
  <c r="R101" i="8"/>
  <c r="S102" i="8"/>
  <c r="R103" i="8"/>
  <c r="AC103" i="8" s="1"/>
  <c r="R33" i="8"/>
  <c r="Z33" i="8" s="1"/>
  <c r="R44" i="8"/>
  <c r="BL82" i="8"/>
  <c r="S97" i="8"/>
  <c r="S101" i="8"/>
  <c r="V102" i="8"/>
  <c r="S103" i="8"/>
  <c r="V104" i="8"/>
  <c r="V29" i="8"/>
  <c r="Q36" i="8"/>
  <c r="Q37" i="8"/>
  <c r="BL38" i="8"/>
  <c r="R57" i="8"/>
  <c r="BL80" i="8"/>
  <c r="BL88" i="8"/>
  <c r="BL89" i="8"/>
  <c r="V101" i="8"/>
  <c r="V103" i="8"/>
  <c r="V35" i="8"/>
  <c r="BL36" i="8"/>
  <c r="R41" i="8"/>
  <c r="Z41" i="8" s="1"/>
  <c r="BL44" i="8"/>
  <c r="BL49" i="8"/>
  <c r="V89" i="8"/>
  <c r="O47" i="11"/>
  <c r="O62" i="11"/>
  <c r="O74" i="11"/>
  <c r="O50" i="11"/>
  <c r="O54" i="11" s="1"/>
  <c r="BI101" i="5"/>
  <c r="DD11" i="6"/>
  <c r="DD10" i="6"/>
  <c r="DD9" i="6"/>
  <c r="DD8" i="6"/>
  <c r="DD6" i="6"/>
  <c r="DD5" i="6"/>
  <c r="DD4" i="6"/>
  <c r="DD7" i="6"/>
  <c r="BU101" i="6"/>
  <c r="CA100" i="6"/>
  <c r="BS100" i="6"/>
  <c r="CA101" i="6"/>
  <c r="BS101" i="6"/>
  <c r="BY100" i="6"/>
  <c r="CB101" i="6"/>
  <c r="BU100" i="6"/>
  <c r="CA99" i="6"/>
  <c r="BS99" i="6"/>
  <c r="BY98" i="6"/>
  <c r="BW97" i="6"/>
  <c r="BU96" i="6"/>
  <c r="CA95" i="6"/>
  <c r="BS95" i="6"/>
  <c r="BY94" i="6"/>
  <c r="BW93" i="6"/>
  <c r="BU92" i="6"/>
  <c r="CA91" i="6"/>
  <c r="BS91" i="6"/>
  <c r="BY90" i="6"/>
  <c r="BW89" i="6"/>
  <c r="BU88" i="6"/>
  <c r="CA87" i="6"/>
  <c r="BS87" i="6"/>
  <c r="BY86" i="6"/>
  <c r="BZ101" i="6"/>
  <c r="BT100" i="6"/>
  <c r="BZ99" i="6"/>
  <c r="BX98" i="6"/>
  <c r="BV97" i="6"/>
  <c r="CB96" i="6"/>
  <c r="BT96" i="6"/>
  <c r="BZ95" i="6"/>
  <c r="BX94" i="6"/>
  <c r="BV93" i="6"/>
  <c r="CB92" i="6"/>
  <c r="BT92" i="6"/>
  <c r="BZ91" i="6"/>
  <c r="BX90" i="6"/>
  <c r="BV89" i="6"/>
  <c r="CB88" i="6"/>
  <c r="BT88" i="6"/>
  <c r="BZ87" i="6"/>
  <c r="BX86" i="6"/>
  <c r="BW101" i="6"/>
  <c r="BZ100" i="6"/>
  <c r="BW99" i="6"/>
  <c r="BU98" i="6"/>
  <c r="CA97" i="6"/>
  <c r="BS97" i="6"/>
  <c r="BY96" i="6"/>
  <c r="BW95" i="6"/>
  <c r="BU94" i="6"/>
  <c r="CA93" i="6"/>
  <c r="BS93" i="6"/>
  <c r="BY92" i="6"/>
  <c r="BW91" i="6"/>
  <c r="BU90" i="6"/>
  <c r="CA89" i="6"/>
  <c r="BS89" i="6"/>
  <c r="BY88" i="6"/>
  <c r="BW87" i="6"/>
  <c r="BU86" i="6"/>
  <c r="CA85" i="6"/>
  <c r="BS85" i="6"/>
  <c r="BY84" i="6"/>
  <c r="BW83" i="6"/>
  <c r="BU82" i="6"/>
  <c r="CA81" i="6"/>
  <c r="BS81" i="6"/>
  <c r="BY80" i="6"/>
  <c r="BW79" i="6"/>
  <c r="BU78" i="6"/>
  <c r="CA77" i="6"/>
  <c r="BS77" i="6"/>
  <c r="BY76" i="6"/>
  <c r="BV101" i="6"/>
  <c r="CB99" i="6"/>
  <c r="BV98" i="6"/>
  <c r="BX96" i="6"/>
  <c r="BT95" i="6"/>
  <c r="CA94" i="6"/>
  <c r="BU93" i="6"/>
  <c r="BX91" i="6"/>
  <c r="BS90" i="6"/>
  <c r="BZ89" i="6"/>
  <c r="BV88" i="6"/>
  <c r="BW86" i="6"/>
  <c r="BX85" i="6"/>
  <c r="BX84" i="6"/>
  <c r="BY83" i="6"/>
  <c r="BY82" i="6"/>
  <c r="BY81" i="6"/>
  <c r="BZ80" i="6"/>
  <c r="BZ79" i="6"/>
  <c r="BZ78" i="6"/>
  <c r="BZ77" i="6"/>
  <c r="CA76" i="6"/>
  <c r="BZ75" i="6"/>
  <c r="BX74" i="6"/>
  <c r="BV73" i="6"/>
  <c r="CB72" i="6"/>
  <c r="BT72" i="6"/>
  <c r="BZ71" i="6"/>
  <c r="BX70" i="6"/>
  <c r="BV69" i="6"/>
  <c r="CB68" i="6"/>
  <c r="BT68" i="6"/>
  <c r="BZ67" i="6"/>
  <c r="BX66" i="6"/>
  <c r="BV65" i="6"/>
  <c r="CB64" i="6"/>
  <c r="BT64" i="6"/>
  <c r="BZ63" i="6"/>
  <c r="BX62" i="6"/>
  <c r="BV61" i="6"/>
  <c r="CB60" i="6"/>
  <c r="BT60" i="6"/>
  <c r="BZ59" i="6"/>
  <c r="BX58" i="6"/>
  <c r="BT101" i="6"/>
  <c r="CB100" i="6"/>
  <c r="BY99" i="6"/>
  <c r="BT98" i="6"/>
  <c r="CB97" i="6"/>
  <c r="BW96" i="6"/>
  <c r="BZ94" i="6"/>
  <c r="BT93" i="6"/>
  <c r="CA92" i="6"/>
  <c r="BV91" i="6"/>
  <c r="BY89" i="6"/>
  <c r="BS88" i="6"/>
  <c r="CB87" i="6"/>
  <c r="BV86" i="6"/>
  <c r="BW85" i="6"/>
  <c r="BW84" i="6"/>
  <c r="BX83" i="6"/>
  <c r="BX82" i="6"/>
  <c r="BX81" i="6"/>
  <c r="BX80" i="6"/>
  <c r="BY79" i="6"/>
  <c r="BY78" i="6"/>
  <c r="BY77" i="6"/>
  <c r="BZ76" i="6"/>
  <c r="BY75" i="6"/>
  <c r="BW74" i="6"/>
  <c r="BU73" i="6"/>
  <c r="CA72" i="6"/>
  <c r="BS72" i="6"/>
  <c r="BY71" i="6"/>
  <c r="BW70" i="6"/>
  <c r="BU69" i="6"/>
  <c r="CA68" i="6"/>
  <c r="BS68" i="6"/>
  <c r="BY67" i="6"/>
  <c r="BW66" i="6"/>
  <c r="BU65" i="6"/>
  <c r="CA64" i="6"/>
  <c r="BS64" i="6"/>
  <c r="BY63" i="6"/>
  <c r="BW62" i="6"/>
  <c r="BU61" i="6"/>
  <c r="CA60" i="6"/>
  <c r="BS60" i="6"/>
  <c r="BY59" i="6"/>
  <c r="BW58" i="6"/>
  <c r="BU57" i="6"/>
  <c r="CA56" i="6"/>
  <c r="BS56" i="6"/>
  <c r="BY55" i="6"/>
  <c r="BW54" i="6"/>
  <c r="BU53" i="6"/>
  <c r="CA52" i="6"/>
  <c r="BX100" i="6"/>
  <c r="BX99" i="6"/>
  <c r="BS98" i="6"/>
  <c r="BZ97" i="6"/>
  <c r="BV96" i="6"/>
  <c r="BW94" i="6"/>
  <c r="BZ92" i="6"/>
  <c r="BU91" i="6"/>
  <c r="CB90" i="6"/>
  <c r="BX89" i="6"/>
  <c r="BY87" i="6"/>
  <c r="BT86" i="6"/>
  <c r="BV85" i="6"/>
  <c r="BV84" i="6"/>
  <c r="BV83" i="6"/>
  <c r="BW82" i="6"/>
  <c r="BW81" i="6"/>
  <c r="BW80" i="6"/>
  <c r="BX79" i="6"/>
  <c r="BX78" i="6"/>
  <c r="BX77" i="6"/>
  <c r="BX76" i="6"/>
  <c r="BX75" i="6"/>
  <c r="BV74" i="6"/>
  <c r="CB73" i="6"/>
  <c r="BT73" i="6"/>
  <c r="BZ72" i="6"/>
  <c r="BX71" i="6"/>
  <c r="BV70" i="6"/>
  <c r="BV100" i="6"/>
  <c r="BU99" i="6"/>
  <c r="CB98" i="6"/>
  <c r="BX97" i="6"/>
  <c r="BY95" i="6"/>
  <c r="BT94" i="6"/>
  <c r="CB93" i="6"/>
  <c r="BW92" i="6"/>
  <c r="BZ90" i="6"/>
  <c r="BT89" i="6"/>
  <c r="CA88" i="6"/>
  <c r="BV87" i="6"/>
  <c r="BT85" i="6"/>
  <c r="BT84" i="6"/>
  <c r="BT83" i="6"/>
  <c r="BT82" i="6"/>
  <c r="BU81" i="6"/>
  <c r="BU80" i="6"/>
  <c r="BU79" i="6"/>
  <c r="BV78" i="6"/>
  <c r="BV77" i="6"/>
  <c r="BV76" i="6"/>
  <c r="BV75" i="6"/>
  <c r="CB74" i="6"/>
  <c r="BT74" i="6"/>
  <c r="BZ73" i="6"/>
  <c r="BX72" i="6"/>
  <c r="BV71" i="6"/>
  <c r="CB70" i="6"/>
  <c r="BT70" i="6"/>
  <c r="BZ69" i="6"/>
  <c r="BX68" i="6"/>
  <c r="BV67" i="6"/>
  <c r="CB66" i="6"/>
  <c r="BT66" i="6"/>
  <c r="BZ65" i="6"/>
  <c r="BX64" i="6"/>
  <c r="BV63" i="6"/>
  <c r="CB62" i="6"/>
  <c r="BT62" i="6"/>
  <c r="BZ61" i="6"/>
  <c r="BX60" i="6"/>
  <c r="BV59" i="6"/>
  <c r="CB58" i="6"/>
  <c r="BT58" i="6"/>
  <c r="BZ57" i="6"/>
  <c r="BX56" i="6"/>
  <c r="BV55" i="6"/>
  <c r="CB54" i="6"/>
  <c r="BT54" i="6"/>
  <c r="BZ53" i="6"/>
  <c r="BX52" i="6"/>
  <c r="BV51" i="6"/>
  <c r="CB50" i="6"/>
  <c r="BT50" i="6"/>
  <c r="BX101" i="6"/>
  <c r="BZ96" i="6"/>
  <c r="BX93" i="6"/>
  <c r="BT90" i="6"/>
  <c r="CB89" i="6"/>
  <c r="BZ86" i="6"/>
  <c r="BS76" i="6"/>
  <c r="CA75" i="6"/>
  <c r="BY74" i="6"/>
  <c r="BW73" i="6"/>
  <c r="BU72" i="6"/>
  <c r="BS71" i="6"/>
  <c r="BW69" i="6"/>
  <c r="BX67" i="6"/>
  <c r="BS66" i="6"/>
  <c r="CA65" i="6"/>
  <c r="BV64" i="6"/>
  <c r="BY62" i="6"/>
  <c r="BS61" i="6"/>
  <c r="BZ60" i="6"/>
  <c r="BU59" i="6"/>
  <c r="BS57" i="6"/>
  <c r="BV56" i="6"/>
  <c r="BZ55" i="6"/>
  <c r="BV53" i="6"/>
  <c r="BY52" i="6"/>
  <c r="BY51" i="6"/>
  <c r="BY50" i="6"/>
  <c r="BZ49" i="6"/>
  <c r="BX48" i="6"/>
  <c r="BV47" i="6"/>
  <c r="CB46" i="6"/>
  <c r="BT46" i="6"/>
  <c r="BZ45" i="6"/>
  <c r="BX44" i="6"/>
  <c r="BV43" i="6"/>
  <c r="CB42" i="6"/>
  <c r="BT42" i="6"/>
  <c r="BZ41" i="6"/>
  <c r="BX40" i="6"/>
  <c r="BV39" i="6"/>
  <c r="CB38" i="6"/>
  <c r="BT38" i="6"/>
  <c r="BZ37" i="6"/>
  <c r="BX36" i="6"/>
  <c r="BV35" i="6"/>
  <c r="CB34" i="6"/>
  <c r="BT34" i="6"/>
  <c r="BZ33" i="6"/>
  <c r="BX32" i="6"/>
  <c r="BW100" i="6"/>
  <c r="BV99" i="6"/>
  <c r="BS96" i="6"/>
  <c r="CB95" i="6"/>
  <c r="BX92" i="6"/>
  <c r="BU89" i="6"/>
  <c r="BS86" i="6"/>
  <c r="BW75" i="6"/>
  <c r="BU74" i="6"/>
  <c r="BS73" i="6"/>
  <c r="BT69" i="6"/>
  <c r="BW67" i="6"/>
  <c r="BY65" i="6"/>
  <c r="BU64" i="6"/>
  <c r="CB63" i="6"/>
  <c r="BV62" i="6"/>
  <c r="BY60" i="6"/>
  <c r="BT59" i="6"/>
  <c r="CA58" i="6"/>
  <c r="CB57" i="6"/>
  <c r="BU56" i="6"/>
  <c r="BT99" i="6"/>
  <c r="CA98" i="6"/>
  <c r="BX95" i="6"/>
  <c r="BV92" i="6"/>
  <c r="BZ88" i="6"/>
  <c r="CB85" i="6"/>
  <c r="CB84" i="6"/>
  <c r="CB83" i="6"/>
  <c r="CB82" i="6"/>
  <c r="BU75" i="6"/>
  <c r="BS74" i="6"/>
  <c r="CA70" i="6"/>
  <c r="BS69" i="6"/>
  <c r="BZ68" i="6"/>
  <c r="BU67" i="6"/>
  <c r="BX65" i="6"/>
  <c r="CA63" i="6"/>
  <c r="BU62" i="6"/>
  <c r="CB61" i="6"/>
  <c r="BW60" i="6"/>
  <c r="BS59" i="6"/>
  <c r="BZ58" i="6"/>
  <c r="CA57" i="6"/>
  <c r="BT56" i="6"/>
  <c r="BW55" i="6"/>
  <c r="BZ54" i="6"/>
  <c r="BS53" i="6"/>
  <c r="BV52" i="6"/>
  <c r="BW51" i="6"/>
  <c r="BW50" i="6"/>
  <c r="BX49" i="6"/>
  <c r="BV48" i="6"/>
  <c r="CB47" i="6"/>
  <c r="BT47" i="6"/>
  <c r="BZ46" i="6"/>
  <c r="BX45" i="6"/>
  <c r="BV44" i="6"/>
  <c r="CB43" i="6"/>
  <c r="BT43" i="6"/>
  <c r="BZ42" i="6"/>
  <c r="BX41" i="6"/>
  <c r="BV40" i="6"/>
  <c r="CB39" i="6"/>
  <c r="BT39" i="6"/>
  <c r="BZ38" i="6"/>
  <c r="BX37" i="6"/>
  <c r="BV36" i="6"/>
  <c r="CB35" i="6"/>
  <c r="BT35" i="6"/>
  <c r="BZ34" i="6"/>
  <c r="BX33" i="6"/>
  <c r="BZ98" i="6"/>
  <c r="BV95" i="6"/>
  <c r="BS92" i="6"/>
  <c r="CB91" i="6"/>
  <c r="BX88" i="6"/>
  <c r="BZ85" i="6"/>
  <c r="CA84" i="6"/>
  <c r="CA83" i="6"/>
  <c r="CA82" i="6"/>
  <c r="CB81" i="6"/>
  <c r="CB80" i="6"/>
  <c r="CB79" i="6"/>
  <c r="CB78" i="6"/>
  <c r="BT75" i="6"/>
  <c r="CB71" i="6"/>
  <c r="BZ70" i="6"/>
  <c r="BY68" i="6"/>
  <c r="BT67" i="6"/>
  <c r="CA66" i="6"/>
  <c r="BW65" i="6"/>
  <c r="BX63" i="6"/>
  <c r="BS62" i="6"/>
  <c r="CA61" i="6"/>
  <c r="BV60" i="6"/>
  <c r="BY58" i="6"/>
  <c r="BY57" i="6"/>
  <c r="BU55" i="6"/>
  <c r="BY54" i="6"/>
  <c r="CB53" i="6"/>
  <c r="BU52" i="6"/>
  <c r="BU51" i="6"/>
  <c r="BV50" i="6"/>
  <c r="BW49" i="6"/>
  <c r="BW98" i="6"/>
  <c r="BU95" i="6"/>
  <c r="CB94" i="6"/>
  <c r="BY91" i="6"/>
  <c r="BW88" i="6"/>
  <c r="BY85" i="6"/>
  <c r="BZ84" i="6"/>
  <c r="BZ83" i="6"/>
  <c r="BZ82" i="6"/>
  <c r="BZ81" i="6"/>
  <c r="CA80" i="6"/>
  <c r="CA79" i="6"/>
  <c r="CA78" i="6"/>
  <c r="CB77" i="6"/>
  <c r="CB76" i="6"/>
  <c r="BS75" i="6"/>
  <c r="CA71" i="6"/>
  <c r="BY70" i="6"/>
  <c r="CB69" i="6"/>
  <c r="BW68" i="6"/>
  <c r="BS67" i="6"/>
  <c r="BZ66" i="6"/>
  <c r="BT65" i="6"/>
  <c r="BW63" i="6"/>
  <c r="BY61" i="6"/>
  <c r="BU60" i="6"/>
  <c r="CB59" i="6"/>
  <c r="BV58" i="6"/>
  <c r="BX57" i="6"/>
  <c r="CB56" i="6"/>
  <c r="BT55" i="6"/>
  <c r="BX54" i="6"/>
  <c r="CA53" i="6"/>
  <c r="BT52" i="6"/>
  <c r="BT51" i="6"/>
  <c r="BU50" i="6"/>
  <c r="BV49" i="6"/>
  <c r="CB48" i="6"/>
  <c r="BT48" i="6"/>
  <c r="BZ47" i="6"/>
  <c r="BX46" i="6"/>
  <c r="BV45" i="6"/>
  <c r="CB44" i="6"/>
  <c r="BT44" i="6"/>
  <c r="BZ43" i="6"/>
  <c r="BX42" i="6"/>
  <c r="BV41" i="6"/>
  <c r="CB40" i="6"/>
  <c r="BT40" i="6"/>
  <c r="BZ39" i="6"/>
  <c r="BX38" i="6"/>
  <c r="BV37" i="6"/>
  <c r="CB36" i="6"/>
  <c r="BT36" i="6"/>
  <c r="BZ35" i="6"/>
  <c r="BX34" i="6"/>
  <c r="BV33" i="6"/>
  <c r="CB32" i="6"/>
  <c r="BT32" i="6"/>
  <c r="BZ31" i="6"/>
  <c r="BX30" i="6"/>
  <c r="BY93" i="6"/>
  <c r="BV82" i="6"/>
  <c r="BS79" i="6"/>
  <c r="BW78" i="6"/>
  <c r="CB75" i="6"/>
  <c r="CA73" i="6"/>
  <c r="BS70" i="6"/>
  <c r="BU68" i="6"/>
  <c r="CB67" i="6"/>
  <c r="BU63" i="6"/>
  <c r="BW59" i="6"/>
  <c r="BT53" i="6"/>
  <c r="BW52" i="6"/>
  <c r="BX51" i="6"/>
  <c r="BX50" i="6"/>
  <c r="CA48" i="6"/>
  <c r="BW47" i="6"/>
  <c r="BY45" i="6"/>
  <c r="BS44" i="6"/>
  <c r="CA43" i="6"/>
  <c r="BV42" i="6"/>
  <c r="BY40" i="6"/>
  <c r="BS39" i="6"/>
  <c r="CA38" i="6"/>
  <c r="BU37" i="6"/>
  <c r="BX35" i="6"/>
  <c r="BS34" i="6"/>
  <c r="CA33" i="6"/>
  <c r="BW32" i="6"/>
  <c r="BY31" i="6"/>
  <c r="BZ30" i="6"/>
  <c r="CA29" i="6"/>
  <c r="BS29" i="6"/>
  <c r="BY28" i="6"/>
  <c r="BW27" i="6"/>
  <c r="BU26" i="6"/>
  <c r="CA25" i="6"/>
  <c r="BS25" i="6"/>
  <c r="BY24" i="6"/>
  <c r="BW23" i="6"/>
  <c r="BU22" i="6"/>
  <c r="CA21" i="6"/>
  <c r="BS21" i="6"/>
  <c r="BY20" i="6"/>
  <c r="BW19" i="6"/>
  <c r="BU18" i="6"/>
  <c r="CA17" i="6"/>
  <c r="BS17" i="6"/>
  <c r="BY16" i="6"/>
  <c r="BW15" i="6"/>
  <c r="BV14" i="6"/>
  <c r="BV13" i="6"/>
  <c r="BV12" i="6"/>
  <c r="BV11" i="6"/>
  <c r="BV10" i="6"/>
  <c r="BV9" i="6"/>
  <c r="BV8" i="6"/>
  <c r="BV7" i="6"/>
  <c r="BV6" i="6"/>
  <c r="BV5" i="6"/>
  <c r="CA96" i="6"/>
  <c r="BT91" i="6"/>
  <c r="CB86" i="6"/>
  <c r="BS82" i="6"/>
  <c r="BT78" i="6"/>
  <c r="BY73" i="6"/>
  <c r="CA67" i="6"/>
  <c r="BT63" i="6"/>
  <c r="CA62" i="6"/>
  <c r="BU58" i="6"/>
  <c r="BS52" i="6"/>
  <c r="BS51" i="6"/>
  <c r="BS50" i="6"/>
  <c r="BZ48" i="6"/>
  <c r="BU47" i="6"/>
  <c r="BW45" i="6"/>
  <c r="BY43" i="6"/>
  <c r="BU42" i="6"/>
  <c r="CB41" i="6"/>
  <c r="BW40" i="6"/>
  <c r="BY38" i="6"/>
  <c r="BT37" i="6"/>
  <c r="CA36" i="6"/>
  <c r="BW35" i="6"/>
  <c r="BY33" i="6"/>
  <c r="BV32" i="6"/>
  <c r="BX31" i="6"/>
  <c r="BY30" i="6"/>
  <c r="BZ29" i="6"/>
  <c r="BX28" i="6"/>
  <c r="BV27" i="6"/>
  <c r="CB26" i="6"/>
  <c r="BT26" i="6"/>
  <c r="BZ25" i="6"/>
  <c r="BX24" i="6"/>
  <c r="BV23" i="6"/>
  <c r="CB22" i="6"/>
  <c r="BT22" i="6"/>
  <c r="BZ21" i="6"/>
  <c r="BX20" i="6"/>
  <c r="BV19" i="6"/>
  <c r="CB18" i="6"/>
  <c r="BT18" i="6"/>
  <c r="BZ17" i="6"/>
  <c r="BX16" i="6"/>
  <c r="BV15" i="6"/>
  <c r="BV94" i="6"/>
  <c r="CA86" i="6"/>
  <c r="BU85" i="6"/>
  <c r="BV81" i="6"/>
  <c r="BS78" i="6"/>
  <c r="BW77" i="6"/>
  <c r="BX73" i="6"/>
  <c r="BW71" i="6"/>
  <c r="BY66" i="6"/>
  <c r="BS63" i="6"/>
  <c r="BZ62" i="6"/>
  <c r="BS58" i="6"/>
  <c r="BZ56" i="6"/>
  <c r="CB55" i="6"/>
  <c r="CB49" i="6"/>
  <c r="BY48" i="6"/>
  <c r="BS47" i="6"/>
  <c r="CA46" i="6"/>
  <c r="BU45" i="6"/>
  <c r="BX43" i="6"/>
  <c r="BS42" i="6"/>
  <c r="CA41" i="6"/>
  <c r="BU40" i="6"/>
  <c r="BW38" i="6"/>
  <c r="BS37" i="6"/>
  <c r="BZ36" i="6"/>
  <c r="BU35" i="6"/>
  <c r="BW33" i="6"/>
  <c r="BU32" i="6"/>
  <c r="BW31" i="6"/>
  <c r="BW30" i="6"/>
  <c r="BY29" i="6"/>
  <c r="BW28" i="6"/>
  <c r="BU27" i="6"/>
  <c r="CA26" i="6"/>
  <c r="BS26" i="6"/>
  <c r="BY25" i="6"/>
  <c r="BW24" i="6"/>
  <c r="BU23" i="6"/>
  <c r="CA22" i="6"/>
  <c r="BS22" i="6"/>
  <c r="BY21" i="6"/>
  <c r="BW20" i="6"/>
  <c r="BU19" i="6"/>
  <c r="CA18" i="6"/>
  <c r="BS18" i="6"/>
  <c r="BY17" i="6"/>
  <c r="BW16" i="6"/>
  <c r="BU15" i="6"/>
  <c r="CB14" i="6"/>
  <c r="BT14" i="6"/>
  <c r="CB13" i="6"/>
  <c r="BT13" i="6"/>
  <c r="CB12" i="6"/>
  <c r="BT12" i="6"/>
  <c r="CB11" i="6"/>
  <c r="BT11" i="6"/>
  <c r="CB10" i="6"/>
  <c r="BT10" i="6"/>
  <c r="CB9" i="6"/>
  <c r="BT9" i="6"/>
  <c r="CB8" i="6"/>
  <c r="BT8" i="6"/>
  <c r="CB7" i="6"/>
  <c r="BT7" i="6"/>
  <c r="CB6" i="6"/>
  <c r="BT6" i="6"/>
  <c r="CB5" i="6"/>
  <c r="BT5" i="6"/>
  <c r="CA4" i="6"/>
  <c r="BS4" i="6"/>
  <c r="BZ3" i="6"/>
  <c r="BY2" i="6"/>
  <c r="CK98" i="5"/>
  <c r="CC98" i="5"/>
  <c r="BU98" i="5"/>
  <c r="BY97" i="6"/>
  <c r="BS94" i="6"/>
  <c r="BT81" i="6"/>
  <c r="BU77" i="6"/>
  <c r="BU71" i="6"/>
  <c r="BV66" i="6"/>
  <c r="BX61" i="6"/>
  <c r="BY56" i="6"/>
  <c r="CA55" i="6"/>
  <c r="CA49" i="6"/>
  <c r="BW48" i="6"/>
  <c r="BY46" i="6"/>
  <c r="BT45" i="6"/>
  <c r="CA44" i="6"/>
  <c r="BW43" i="6"/>
  <c r="BY41" i="6"/>
  <c r="BS40" i="6"/>
  <c r="CA39" i="6"/>
  <c r="BV38" i="6"/>
  <c r="BY36" i="6"/>
  <c r="BS35" i="6"/>
  <c r="CA34" i="6"/>
  <c r="BU33" i="6"/>
  <c r="BS32" i="6"/>
  <c r="BV31" i="6"/>
  <c r="BV30" i="6"/>
  <c r="BX29" i="6"/>
  <c r="BV28" i="6"/>
  <c r="CB27" i="6"/>
  <c r="BT27" i="6"/>
  <c r="BZ26" i="6"/>
  <c r="BX25" i="6"/>
  <c r="BV24" i="6"/>
  <c r="CB23" i="6"/>
  <c r="BT23" i="6"/>
  <c r="BZ22" i="6"/>
  <c r="BX21" i="6"/>
  <c r="BV20" i="6"/>
  <c r="CB19" i="6"/>
  <c r="BT19" i="6"/>
  <c r="BZ18" i="6"/>
  <c r="BX17" i="6"/>
  <c r="BV16" i="6"/>
  <c r="CB15" i="6"/>
  <c r="BT15" i="6"/>
  <c r="CA14" i="6"/>
  <c r="BS14" i="6"/>
  <c r="CA13" i="6"/>
  <c r="BS13" i="6"/>
  <c r="CA12" i="6"/>
  <c r="BS12" i="6"/>
  <c r="CA11" i="6"/>
  <c r="BS11" i="6"/>
  <c r="CA10" i="6"/>
  <c r="BS10" i="6"/>
  <c r="CA9" i="6"/>
  <c r="BS9" i="6"/>
  <c r="CA8" i="6"/>
  <c r="BS8" i="6"/>
  <c r="CA7" i="6"/>
  <c r="BS7" i="6"/>
  <c r="CA6" i="6"/>
  <c r="BS6" i="6"/>
  <c r="CA5" i="6"/>
  <c r="BS5" i="6"/>
  <c r="BZ4" i="6"/>
  <c r="BY3" i="6"/>
  <c r="BX2" i="6"/>
  <c r="CJ98" i="5"/>
  <c r="CB98" i="5"/>
  <c r="BT98" i="5"/>
  <c r="BU97" i="6"/>
  <c r="BX87" i="6"/>
  <c r="BU84" i="6"/>
  <c r="BV80" i="6"/>
  <c r="BT77" i="6"/>
  <c r="BW76" i="6"/>
  <c r="CA74" i="6"/>
  <c r="BT71" i="6"/>
  <c r="CA69" i="6"/>
  <c r="BU66" i="6"/>
  <c r="CB65" i="6"/>
  <c r="BW61" i="6"/>
  <c r="BW57" i="6"/>
  <c r="BW56" i="6"/>
  <c r="BX55" i="6"/>
  <c r="CA54" i="6"/>
  <c r="BY49" i="6"/>
  <c r="BU48" i="6"/>
  <c r="BW46" i="6"/>
  <c r="BS45" i="6"/>
  <c r="BZ44" i="6"/>
  <c r="BU43" i="6"/>
  <c r="BW41" i="6"/>
  <c r="BY39" i="6"/>
  <c r="BU38" i="6"/>
  <c r="CB37" i="6"/>
  <c r="BW36" i="6"/>
  <c r="BY34" i="6"/>
  <c r="BT33" i="6"/>
  <c r="BU31" i="6"/>
  <c r="BU30" i="6"/>
  <c r="BW29" i="6"/>
  <c r="BU28" i="6"/>
  <c r="CA27" i="6"/>
  <c r="BS27" i="6"/>
  <c r="BY26" i="6"/>
  <c r="BW25" i="6"/>
  <c r="BU24" i="6"/>
  <c r="CA23" i="6"/>
  <c r="BS23" i="6"/>
  <c r="BY22" i="6"/>
  <c r="BW21" i="6"/>
  <c r="BU20" i="6"/>
  <c r="CA19" i="6"/>
  <c r="BS19" i="6"/>
  <c r="BY18" i="6"/>
  <c r="BW17" i="6"/>
  <c r="BU16" i="6"/>
  <c r="CA15" i="6"/>
  <c r="BS15" i="6"/>
  <c r="BZ14" i="6"/>
  <c r="BZ13" i="6"/>
  <c r="BZ12" i="6"/>
  <c r="BZ11" i="6"/>
  <c r="BZ10" i="6"/>
  <c r="BZ9" i="6"/>
  <c r="BZ8" i="6"/>
  <c r="BZ7" i="6"/>
  <c r="BZ6" i="6"/>
  <c r="BZ5" i="6"/>
  <c r="BY4" i="6"/>
  <c r="BX3" i="6"/>
  <c r="BW2" i="6"/>
  <c r="CI98" i="5"/>
  <c r="CA98" i="5"/>
  <c r="BS98" i="5"/>
  <c r="BZ93" i="6"/>
  <c r="BV90" i="6"/>
  <c r="BS83" i="6"/>
  <c r="BT79" i="6"/>
  <c r="BV72" i="6"/>
  <c r="BU70" i="6"/>
  <c r="BV68" i="6"/>
  <c r="BW64" i="6"/>
  <c r="BX59" i="6"/>
  <c r="BT97" i="6"/>
  <c r="BZ74" i="6"/>
  <c r="CA50" i="6"/>
  <c r="BU46" i="6"/>
  <c r="CB45" i="6"/>
  <c r="BU41" i="6"/>
  <c r="BW37" i="6"/>
  <c r="BZ32" i="6"/>
  <c r="BS30" i="6"/>
  <c r="BT29" i="6"/>
  <c r="BT28" i="6"/>
  <c r="BY27" i="6"/>
  <c r="BV22" i="6"/>
  <c r="BV21" i="6"/>
  <c r="CA20" i="6"/>
  <c r="BS16" i="6"/>
  <c r="BX15" i="6"/>
  <c r="BU14" i="6"/>
  <c r="BW13" i="6"/>
  <c r="BX12" i="6"/>
  <c r="BY11" i="6"/>
  <c r="BY69" i="6"/>
  <c r="BS65" i="6"/>
  <c r="BZ64" i="6"/>
  <c r="BZ50" i="6"/>
  <c r="BS46" i="6"/>
  <c r="CA45" i="6"/>
  <c r="BT41" i="6"/>
  <c r="CA40" i="6"/>
  <c r="BU36" i="6"/>
  <c r="BY32" i="6"/>
  <c r="CB31" i="6"/>
  <c r="BS28" i="6"/>
  <c r="BX27" i="6"/>
  <c r="BX26" i="6"/>
  <c r="BU21" i="6"/>
  <c r="BZ20" i="6"/>
  <c r="BZ19" i="6"/>
  <c r="BU13" i="6"/>
  <c r="BW12" i="6"/>
  <c r="BX11" i="6"/>
  <c r="BY10" i="6"/>
  <c r="BU5" i="6"/>
  <c r="BW3" i="6"/>
  <c r="BT2" i="6"/>
  <c r="BY101" i="6"/>
  <c r="CA90" i="6"/>
  <c r="BV79" i="6"/>
  <c r="BX69" i="6"/>
  <c r="BY64" i="6"/>
  <c r="BT61" i="6"/>
  <c r="BV57" i="6"/>
  <c r="BY44" i="6"/>
  <c r="BS41" i="6"/>
  <c r="BZ40" i="6"/>
  <c r="BS36" i="6"/>
  <c r="CA35" i="6"/>
  <c r="CA31" i="6"/>
  <c r="BW26" i="6"/>
  <c r="CB25" i="6"/>
  <c r="CB24" i="6"/>
  <c r="BT21" i="6"/>
  <c r="BT20" i="6"/>
  <c r="BY19" i="6"/>
  <c r="BU12" i="6"/>
  <c r="BW11" i="6"/>
  <c r="BX10" i="6"/>
  <c r="BY9" i="6"/>
  <c r="CB4" i="6"/>
  <c r="BV3" i="6"/>
  <c r="BS2" i="6"/>
  <c r="BW90" i="6"/>
  <c r="BU83" i="6"/>
  <c r="BU76" i="6"/>
  <c r="CA59" i="6"/>
  <c r="BT57" i="6"/>
  <c r="BW44" i="6"/>
  <c r="BX39" i="6"/>
  <c r="BY35" i="6"/>
  <c r="BT31" i="6"/>
  <c r="BV26" i="6"/>
  <c r="BV25" i="6"/>
  <c r="CA24" i="6"/>
  <c r="BS20" i="6"/>
  <c r="BX19" i="6"/>
  <c r="BX18" i="6"/>
  <c r="BU11" i="6"/>
  <c r="BW10" i="6"/>
  <c r="BX9" i="6"/>
  <c r="BY8" i="6"/>
  <c r="BX4" i="6"/>
  <c r="BU3" i="6"/>
  <c r="CG98" i="5"/>
  <c r="BV98" i="5"/>
  <c r="BT80" i="6"/>
  <c r="BT76" i="6"/>
  <c r="BY72" i="6"/>
  <c r="BY53" i="6"/>
  <c r="CB52" i="6"/>
  <c r="BU49" i="6"/>
  <c r="BS48" i="6"/>
  <c r="CA47" i="6"/>
  <c r="BU44" i="6"/>
  <c r="BW39" i="6"/>
  <c r="BW34" i="6"/>
  <c r="BS31" i="6"/>
  <c r="BU25" i="6"/>
  <c r="BZ24" i="6"/>
  <c r="BZ23" i="6"/>
  <c r="BW18" i="6"/>
  <c r="CB17" i="6"/>
  <c r="CB16" i="6"/>
  <c r="BU10" i="6"/>
  <c r="BW9" i="6"/>
  <c r="BX8" i="6"/>
  <c r="BY7" i="6"/>
  <c r="BW4" i="6"/>
  <c r="BT3" i="6"/>
  <c r="CB2" i="6"/>
  <c r="BU87" i="6"/>
  <c r="BS84" i="6"/>
  <c r="BS80" i="6"/>
  <c r="BW72" i="6"/>
  <c r="BV54" i="6"/>
  <c r="BX53" i="6"/>
  <c r="BZ52" i="6"/>
  <c r="CB51" i="6"/>
  <c r="BT49" i="6"/>
  <c r="BY47" i="6"/>
  <c r="BS43" i="6"/>
  <c r="CA42" i="6"/>
  <c r="BU39" i="6"/>
  <c r="BV34" i="6"/>
  <c r="CB30" i="6"/>
  <c r="CB29" i="6"/>
  <c r="CB28" i="6"/>
  <c r="BT25" i="6"/>
  <c r="BT24" i="6"/>
  <c r="BT87" i="6"/>
  <c r="BS55" i="6"/>
  <c r="BU54" i="6"/>
  <c r="BW53" i="6"/>
  <c r="CA51" i="6"/>
  <c r="BS49" i="6"/>
  <c r="BX47" i="6"/>
  <c r="BY42" i="6"/>
  <c r="BS38" i="6"/>
  <c r="CA37" i="6"/>
  <c r="BU34" i="6"/>
  <c r="CB33" i="6"/>
  <c r="CA30" i="6"/>
  <c r="BV29" i="6"/>
  <c r="CA28" i="6"/>
  <c r="BS24" i="6"/>
  <c r="BX23" i="6"/>
  <c r="BX22" i="6"/>
  <c r="BU17" i="6"/>
  <c r="BZ16" i="6"/>
  <c r="BZ15" i="6"/>
  <c r="BX14" i="6"/>
  <c r="BY13" i="6"/>
  <c r="BU8" i="6"/>
  <c r="BW7" i="6"/>
  <c r="BX6" i="6"/>
  <c r="BS54" i="6"/>
  <c r="BZ51" i="6"/>
  <c r="BV46" i="6"/>
  <c r="BW42" i="6"/>
  <c r="BY37" i="6"/>
  <c r="BS33" i="6"/>
  <c r="CA32" i="6"/>
  <c r="BT30" i="6"/>
  <c r="BU29" i="6"/>
  <c r="BZ28" i="6"/>
  <c r="BZ27" i="6"/>
  <c r="BW22" i="6"/>
  <c r="CB21" i="6"/>
  <c r="CB20" i="6"/>
  <c r="BT17" i="6"/>
  <c r="BT16" i="6"/>
  <c r="BY15" i="6"/>
  <c r="BW14" i="6"/>
  <c r="BX13" i="6"/>
  <c r="BY12" i="6"/>
  <c r="BU7" i="6"/>
  <c r="BW6" i="6"/>
  <c r="BX5" i="6"/>
  <c r="BT4" i="6"/>
  <c r="CB3" i="6"/>
  <c r="BV2" i="6"/>
  <c r="CD98" i="5"/>
  <c r="CL99" i="5"/>
  <c r="DJ3" i="6"/>
  <c r="DJ4" i="6"/>
  <c r="L277" i="5"/>
  <c r="J4" i="8"/>
  <c r="AB36" i="7"/>
  <c r="G236" i="5"/>
  <c r="G231" i="5"/>
  <c r="L282" i="5"/>
  <c r="N227" i="5"/>
  <c r="BE93" i="5"/>
  <c r="BJ95" i="5"/>
  <c r="BI96" i="5"/>
  <c r="BG42" i="6" s="1"/>
  <c r="BJ97" i="5"/>
  <c r="BB97" i="5"/>
  <c r="BI97" i="5"/>
  <c r="BA97" i="5"/>
  <c r="CJ97" i="5" s="1"/>
  <c r="BH97" i="5"/>
  <c r="BG97" i="5"/>
  <c r="BZ98" i="5"/>
  <c r="BU99" i="5"/>
  <c r="CJ99" i="5"/>
  <c r="DI3" i="6"/>
  <c r="DI6" i="6"/>
  <c r="DI2" i="6"/>
  <c r="E257" i="5"/>
  <c r="E258" i="5" s="1"/>
  <c r="E259" i="5" s="1"/>
  <c r="E255" i="5"/>
  <c r="CA2" i="6"/>
  <c r="CZ2" i="6"/>
  <c r="BD3" i="6"/>
  <c r="CL3" i="6"/>
  <c r="BU4" i="6"/>
  <c r="CK6" i="6"/>
  <c r="BX7" i="6"/>
  <c r="BU9" i="6"/>
  <c r="BY14" i="6"/>
  <c r="BV18" i="6"/>
  <c r="AW101" i="6"/>
  <c r="AO101" i="6"/>
  <c r="AU100" i="6"/>
  <c r="AU101" i="6"/>
  <c r="AS100" i="6"/>
  <c r="AV101" i="6"/>
  <c r="AO100" i="6"/>
  <c r="AU99" i="6"/>
  <c r="AS98" i="6"/>
  <c r="AQ97" i="6"/>
  <c r="AW96" i="6"/>
  <c r="AO96" i="6"/>
  <c r="AU95" i="6"/>
  <c r="AS94" i="6"/>
  <c r="AQ93" i="6"/>
  <c r="AW92" i="6"/>
  <c r="AO92" i="6"/>
  <c r="AU91" i="6"/>
  <c r="AS90" i="6"/>
  <c r="AQ89" i="6"/>
  <c r="AW88" i="6"/>
  <c r="AO88" i="6"/>
  <c r="AU87" i="6"/>
  <c r="AT101" i="6"/>
  <c r="AX100" i="6"/>
  <c r="AT99" i="6"/>
  <c r="AR98" i="6"/>
  <c r="AX97" i="6"/>
  <c r="AP97" i="6"/>
  <c r="AV96" i="6"/>
  <c r="AT95" i="6"/>
  <c r="AR94" i="6"/>
  <c r="AX93" i="6"/>
  <c r="AP93" i="6"/>
  <c r="AV92" i="6"/>
  <c r="AT91" i="6"/>
  <c r="AR90" i="6"/>
  <c r="AX89" i="6"/>
  <c r="AP89" i="6"/>
  <c r="AV88" i="6"/>
  <c r="AT87" i="6"/>
  <c r="AR86" i="6"/>
  <c r="AQ101" i="6"/>
  <c r="AT100" i="6"/>
  <c r="AQ99" i="6"/>
  <c r="AW98" i="6"/>
  <c r="AO98" i="6"/>
  <c r="AU97" i="6"/>
  <c r="AS96" i="6"/>
  <c r="AQ95" i="6"/>
  <c r="AW94" i="6"/>
  <c r="AO94" i="6"/>
  <c r="AU93" i="6"/>
  <c r="AS92" i="6"/>
  <c r="AQ91" i="6"/>
  <c r="AW90" i="6"/>
  <c r="AO90" i="6"/>
  <c r="AU89" i="6"/>
  <c r="AS88" i="6"/>
  <c r="AQ87" i="6"/>
  <c r="AW86" i="6"/>
  <c r="AO86" i="6"/>
  <c r="AU85" i="6"/>
  <c r="AS84" i="6"/>
  <c r="AQ83" i="6"/>
  <c r="AW82" i="6"/>
  <c r="AO82" i="6"/>
  <c r="AU81" i="6"/>
  <c r="AS80" i="6"/>
  <c r="AQ79" i="6"/>
  <c r="AW78" i="6"/>
  <c r="AO78" i="6"/>
  <c r="AU77" i="6"/>
  <c r="AS76" i="6"/>
  <c r="AV100" i="6"/>
  <c r="AO99" i="6"/>
  <c r="AV98" i="6"/>
  <c r="AR97" i="6"/>
  <c r="AS95" i="6"/>
  <c r="AV93" i="6"/>
  <c r="AQ92" i="6"/>
  <c r="AX91" i="6"/>
  <c r="AT90" i="6"/>
  <c r="AU88" i="6"/>
  <c r="AP87" i="6"/>
  <c r="AQ86" i="6"/>
  <c r="AW85" i="6"/>
  <c r="AW84" i="6"/>
  <c r="AW83" i="6"/>
  <c r="AX82" i="6"/>
  <c r="AX81" i="6"/>
  <c r="AO81" i="6"/>
  <c r="AX80" i="6"/>
  <c r="AO80" i="6"/>
  <c r="AX79" i="6"/>
  <c r="AO79" i="6"/>
  <c r="AP78" i="6"/>
  <c r="AP77" i="6"/>
  <c r="AP76" i="6"/>
  <c r="AT75" i="6"/>
  <c r="AR74" i="6"/>
  <c r="AX73" i="6"/>
  <c r="AP73" i="6"/>
  <c r="AV72" i="6"/>
  <c r="AT71" i="6"/>
  <c r="AR70" i="6"/>
  <c r="AX69" i="6"/>
  <c r="AP69" i="6"/>
  <c r="AV68" i="6"/>
  <c r="AT67" i="6"/>
  <c r="AR66" i="6"/>
  <c r="AX65" i="6"/>
  <c r="AP65" i="6"/>
  <c r="AV64" i="6"/>
  <c r="AT63" i="6"/>
  <c r="AR62" i="6"/>
  <c r="AX61" i="6"/>
  <c r="AP61" i="6"/>
  <c r="AV60" i="6"/>
  <c r="AT59" i="6"/>
  <c r="AR58" i="6"/>
  <c r="AR100" i="6"/>
  <c r="AU98" i="6"/>
  <c r="AO97" i="6"/>
  <c r="AX96" i="6"/>
  <c r="AR95" i="6"/>
  <c r="AT93" i="6"/>
  <c r="AP92" i="6"/>
  <c r="AW91" i="6"/>
  <c r="AQ90" i="6"/>
  <c r="AT88" i="6"/>
  <c r="AO87" i="6"/>
  <c r="AP86" i="6"/>
  <c r="AV85" i="6"/>
  <c r="AV84" i="6"/>
  <c r="AV83" i="6"/>
  <c r="AV82" i="6"/>
  <c r="AW81" i="6"/>
  <c r="AW80" i="6"/>
  <c r="AW79" i="6"/>
  <c r="AX78" i="6"/>
  <c r="AX77" i="6"/>
  <c r="AO77" i="6"/>
  <c r="AX76" i="6"/>
  <c r="AO76" i="6"/>
  <c r="AS75" i="6"/>
  <c r="AQ74" i="6"/>
  <c r="AW73" i="6"/>
  <c r="AO73" i="6"/>
  <c r="AU72" i="6"/>
  <c r="AS71" i="6"/>
  <c r="AQ70" i="6"/>
  <c r="AW69" i="6"/>
  <c r="AO69" i="6"/>
  <c r="AU68" i="6"/>
  <c r="AS67" i="6"/>
  <c r="AQ66" i="6"/>
  <c r="AW65" i="6"/>
  <c r="AO65" i="6"/>
  <c r="AU64" i="6"/>
  <c r="AS63" i="6"/>
  <c r="AQ62" i="6"/>
  <c r="AW61" i="6"/>
  <c r="AO61" i="6"/>
  <c r="AU60" i="6"/>
  <c r="AS59" i="6"/>
  <c r="AQ58" i="6"/>
  <c r="AW57" i="6"/>
  <c r="AO57" i="6"/>
  <c r="AU56" i="6"/>
  <c r="AS55" i="6"/>
  <c r="AQ54" i="6"/>
  <c r="AW53" i="6"/>
  <c r="AO53" i="6"/>
  <c r="AQ100" i="6"/>
  <c r="AX99" i="6"/>
  <c r="AT98" i="6"/>
  <c r="AU96" i="6"/>
  <c r="AP95" i="6"/>
  <c r="AX94" i="6"/>
  <c r="AS93" i="6"/>
  <c r="AV91" i="6"/>
  <c r="AP90" i="6"/>
  <c r="AW89" i="6"/>
  <c r="AR88" i="6"/>
  <c r="AT85" i="6"/>
  <c r="AU84" i="6"/>
  <c r="AU83" i="6"/>
  <c r="AU82" i="6"/>
  <c r="AV81" i="6"/>
  <c r="AV80" i="6"/>
  <c r="AV79" i="6"/>
  <c r="AV78" i="6"/>
  <c r="AW77" i="6"/>
  <c r="AW76" i="6"/>
  <c r="AR75" i="6"/>
  <c r="AX74" i="6"/>
  <c r="AP74" i="6"/>
  <c r="AV73" i="6"/>
  <c r="AT72" i="6"/>
  <c r="AR71" i="6"/>
  <c r="AX70" i="6"/>
  <c r="AP70" i="6"/>
  <c r="AX101" i="6"/>
  <c r="AV99" i="6"/>
  <c r="AP98" i="6"/>
  <c r="AW97" i="6"/>
  <c r="AR96" i="6"/>
  <c r="AU94" i="6"/>
  <c r="AO93" i="6"/>
  <c r="AX92" i="6"/>
  <c r="AR91" i="6"/>
  <c r="AT89" i="6"/>
  <c r="AP88" i="6"/>
  <c r="AW87" i="6"/>
  <c r="AV86" i="6"/>
  <c r="AR85" i="6"/>
  <c r="AR84" i="6"/>
  <c r="AS83" i="6"/>
  <c r="AS82" i="6"/>
  <c r="AS81" i="6"/>
  <c r="AT80" i="6"/>
  <c r="AT79" i="6"/>
  <c r="AT78" i="6"/>
  <c r="AT77" i="6"/>
  <c r="AU76" i="6"/>
  <c r="AX75" i="6"/>
  <c r="AP75" i="6"/>
  <c r="AV74" i="6"/>
  <c r="AT73" i="6"/>
  <c r="AR72" i="6"/>
  <c r="AX71" i="6"/>
  <c r="AP71" i="6"/>
  <c r="AV70" i="6"/>
  <c r="AT69" i="6"/>
  <c r="AR68" i="6"/>
  <c r="AX67" i="6"/>
  <c r="AP67" i="6"/>
  <c r="AV66" i="6"/>
  <c r="AT65" i="6"/>
  <c r="AR64" i="6"/>
  <c r="AX63" i="6"/>
  <c r="AP63" i="6"/>
  <c r="AV62" i="6"/>
  <c r="AT61" i="6"/>
  <c r="AR60" i="6"/>
  <c r="AX59" i="6"/>
  <c r="AP59" i="6"/>
  <c r="AV58" i="6"/>
  <c r="AT57" i="6"/>
  <c r="AR56" i="6"/>
  <c r="AX55" i="6"/>
  <c r="AP55" i="6"/>
  <c r="AV54" i="6"/>
  <c r="AT53" i="6"/>
  <c r="AR52" i="6"/>
  <c r="AX51" i="6"/>
  <c r="AP51" i="6"/>
  <c r="AV50" i="6"/>
  <c r="AP101" i="6"/>
  <c r="AW100" i="6"/>
  <c r="AS97" i="6"/>
  <c r="AP94" i="6"/>
  <c r="AW93" i="6"/>
  <c r="AU90" i="6"/>
  <c r="AR87" i="6"/>
  <c r="AX85" i="6"/>
  <c r="AX84" i="6"/>
  <c r="AX83" i="6"/>
  <c r="AU75" i="6"/>
  <c r="AS74" i="6"/>
  <c r="AQ73" i="6"/>
  <c r="AO72" i="6"/>
  <c r="AV69" i="6"/>
  <c r="AQ68" i="6"/>
  <c r="AT66" i="6"/>
  <c r="AW64" i="6"/>
  <c r="AQ63" i="6"/>
  <c r="AX62" i="6"/>
  <c r="AS61" i="6"/>
  <c r="AO60" i="6"/>
  <c r="AV59" i="6"/>
  <c r="AP58" i="6"/>
  <c r="AX57" i="6"/>
  <c r="AP56" i="6"/>
  <c r="AT55" i="6"/>
  <c r="AW54" i="6"/>
  <c r="AP53" i="6"/>
  <c r="AW52" i="6"/>
  <c r="AW51" i="6"/>
  <c r="AX50" i="6"/>
  <c r="AO50" i="6"/>
  <c r="AT49" i="6"/>
  <c r="AR48" i="6"/>
  <c r="AX47" i="6"/>
  <c r="AP47" i="6"/>
  <c r="AV46" i="6"/>
  <c r="AT45" i="6"/>
  <c r="AR44" i="6"/>
  <c r="AX43" i="6"/>
  <c r="AP43" i="6"/>
  <c r="AV42" i="6"/>
  <c r="AT41" i="6"/>
  <c r="AR40" i="6"/>
  <c r="AX39" i="6"/>
  <c r="AP39" i="6"/>
  <c r="AV38" i="6"/>
  <c r="AT37" i="6"/>
  <c r="AR36" i="6"/>
  <c r="AX35" i="6"/>
  <c r="AP35" i="6"/>
  <c r="AV34" i="6"/>
  <c r="AT33" i="6"/>
  <c r="AR32" i="6"/>
  <c r="AP100" i="6"/>
  <c r="AW99" i="6"/>
  <c r="AT96" i="6"/>
  <c r="AR93" i="6"/>
  <c r="AV89" i="6"/>
  <c r="AX86" i="6"/>
  <c r="AS85" i="6"/>
  <c r="AT84" i="6"/>
  <c r="AT83" i="6"/>
  <c r="AT82" i="6"/>
  <c r="AT81" i="6"/>
  <c r="AU80" i="6"/>
  <c r="AU79" i="6"/>
  <c r="AU78" i="6"/>
  <c r="AV77" i="6"/>
  <c r="AV76" i="6"/>
  <c r="AQ75" i="6"/>
  <c r="AO74" i="6"/>
  <c r="AW70" i="6"/>
  <c r="AU69" i="6"/>
  <c r="AP68" i="6"/>
  <c r="AW67" i="6"/>
  <c r="AS66" i="6"/>
  <c r="AT64" i="6"/>
  <c r="AO63" i="6"/>
  <c r="AW62" i="6"/>
  <c r="AR61" i="6"/>
  <c r="AU59" i="6"/>
  <c r="AO58" i="6"/>
  <c r="AV57" i="6"/>
  <c r="AO56" i="6"/>
  <c r="AS99" i="6"/>
  <c r="AQ96" i="6"/>
  <c r="AX95" i="6"/>
  <c r="AU92" i="6"/>
  <c r="AS89" i="6"/>
  <c r="AU86" i="6"/>
  <c r="AQ85" i="6"/>
  <c r="AQ84" i="6"/>
  <c r="AR83" i="6"/>
  <c r="AR82" i="6"/>
  <c r="AR81" i="6"/>
  <c r="AR80" i="6"/>
  <c r="AS79" i="6"/>
  <c r="AS78" i="6"/>
  <c r="AS77" i="6"/>
  <c r="AT76" i="6"/>
  <c r="AO75" i="6"/>
  <c r="AW71" i="6"/>
  <c r="AU70" i="6"/>
  <c r="AS69" i="6"/>
  <c r="AO68" i="6"/>
  <c r="AV67" i="6"/>
  <c r="AP66" i="6"/>
  <c r="AS64" i="6"/>
  <c r="AU62" i="6"/>
  <c r="AQ61" i="6"/>
  <c r="AX60" i="6"/>
  <c r="AR59" i="6"/>
  <c r="AU57" i="6"/>
  <c r="AX56" i="6"/>
  <c r="AQ55" i="6"/>
  <c r="AT54" i="6"/>
  <c r="AX53" i="6"/>
  <c r="AU52" i="6"/>
  <c r="AU51" i="6"/>
  <c r="AU50" i="6"/>
  <c r="AR49" i="6"/>
  <c r="AX48" i="6"/>
  <c r="AP48" i="6"/>
  <c r="AV47" i="6"/>
  <c r="AT46" i="6"/>
  <c r="AR45" i="6"/>
  <c r="AX44" i="6"/>
  <c r="AP44" i="6"/>
  <c r="AV43" i="6"/>
  <c r="AT42" i="6"/>
  <c r="AR41" i="6"/>
  <c r="AX40" i="6"/>
  <c r="AP40" i="6"/>
  <c r="AV39" i="6"/>
  <c r="AT38" i="6"/>
  <c r="AR37" i="6"/>
  <c r="AX36" i="6"/>
  <c r="AP36" i="6"/>
  <c r="AV35" i="6"/>
  <c r="AT34" i="6"/>
  <c r="AR33" i="6"/>
  <c r="AR99" i="6"/>
  <c r="AP96" i="6"/>
  <c r="AW95" i="6"/>
  <c r="AT92" i="6"/>
  <c r="AR89" i="6"/>
  <c r="AT86" i="6"/>
  <c r="AP85" i="6"/>
  <c r="AP84" i="6"/>
  <c r="AP83" i="6"/>
  <c r="AQ82" i="6"/>
  <c r="AQ81" i="6"/>
  <c r="AQ80" i="6"/>
  <c r="AR79" i="6"/>
  <c r="AR78" i="6"/>
  <c r="AR77" i="6"/>
  <c r="AR76" i="6"/>
  <c r="AX72" i="6"/>
  <c r="AV71" i="6"/>
  <c r="AT70" i="6"/>
  <c r="AR69" i="6"/>
  <c r="AU67" i="6"/>
  <c r="AO66" i="6"/>
  <c r="AV65" i="6"/>
  <c r="AQ64" i="6"/>
  <c r="AT62" i="6"/>
  <c r="AW60" i="6"/>
  <c r="AQ59" i="6"/>
  <c r="AX58" i="6"/>
  <c r="AS57" i="6"/>
  <c r="AW56" i="6"/>
  <c r="AO55" i="6"/>
  <c r="AS54" i="6"/>
  <c r="AV53" i="6"/>
  <c r="AT52" i="6"/>
  <c r="AT51" i="6"/>
  <c r="AT50" i="6"/>
  <c r="AQ49" i="6"/>
  <c r="AP99" i="6"/>
  <c r="AX98" i="6"/>
  <c r="AV95" i="6"/>
  <c r="AR92" i="6"/>
  <c r="AO89" i="6"/>
  <c r="AX88" i="6"/>
  <c r="AS86" i="6"/>
  <c r="AO85" i="6"/>
  <c r="AO84" i="6"/>
  <c r="AO83" i="6"/>
  <c r="AP82" i="6"/>
  <c r="AP81" i="6"/>
  <c r="AP80" i="6"/>
  <c r="AP79" i="6"/>
  <c r="AQ78" i="6"/>
  <c r="AQ77" i="6"/>
  <c r="AQ76" i="6"/>
  <c r="AW72" i="6"/>
  <c r="AU71" i="6"/>
  <c r="AS70" i="6"/>
  <c r="AQ69" i="6"/>
  <c r="AX68" i="6"/>
  <c r="AR67" i="6"/>
  <c r="AU65" i="6"/>
  <c r="AP64" i="6"/>
  <c r="AW63" i="6"/>
  <c r="AS62" i="6"/>
  <c r="AT60" i="6"/>
  <c r="AO59" i="6"/>
  <c r="AW58" i="6"/>
  <c r="AR57" i="6"/>
  <c r="AV56" i="6"/>
  <c r="AR54" i="6"/>
  <c r="AU53" i="6"/>
  <c r="AS52" i="6"/>
  <c r="AS51" i="6"/>
  <c r="AS50" i="6"/>
  <c r="AX49" i="6"/>
  <c r="AP49" i="6"/>
  <c r="AV48" i="6"/>
  <c r="AT47" i="6"/>
  <c r="AR46" i="6"/>
  <c r="AX45" i="6"/>
  <c r="AP45" i="6"/>
  <c r="AV44" i="6"/>
  <c r="AT43" i="6"/>
  <c r="AR42" i="6"/>
  <c r="AX41" i="6"/>
  <c r="AP41" i="6"/>
  <c r="AV40" i="6"/>
  <c r="AT39" i="6"/>
  <c r="AR38" i="6"/>
  <c r="AX37" i="6"/>
  <c r="AP37" i="6"/>
  <c r="AV36" i="6"/>
  <c r="AT35" i="6"/>
  <c r="AR34" i="6"/>
  <c r="AX33" i="6"/>
  <c r="AP33" i="6"/>
  <c r="AV32" i="6"/>
  <c r="AT31" i="6"/>
  <c r="AR30" i="6"/>
  <c r="AR101" i="6"/>
  <c r="AT97" i="6"/>
  <c r="AV87" i="6"/>
  <c r="AR73" i="6"/>
  <c r="AQ71" i="6"/>
  <c r="AQ67" i="6"/>
  <c r="AX66" i="6"/>
  <c r="AR63" i="6"/>
  <c r="AT58" i="6"/>
  <c r="AR55" i="6"/>
  <c r="AU54" i="6"/>
  <c r="AO48" i="6"/>
  <c r="AW47" i="6"/>
  <c r="AQ46" i="6"/>
  <c r="AT44" i="6"/>
  <c r="AO43" i="6"/>
  <c r="AW42" i="6"/>
  <c r="AQ41" i="6"/>
  <c r="AS39" i="6"/>
  <c r="AO38" i="6"/>
  <c r="AV37" i="6"/>
  <c r="AQ36" i="6"/>
  <c r="AS34" i="6"/>
  <c r="AQ32" i="6"/>
  <c r="AX31" i="6"/>
  <c r="AO31" i="6"/>
  <c r="AX30" i="6"/>
  <c r="AO30" i="6"/>
  <c r="AU29" i="6"/>
  <c r="AS28" i="6"/>
  <c r="AQ27" i="6"/>
  <c r="AW26" i="6"/>
  <c r="AO26" i="6"/>
  <c r="AU25" i="6"/>
  <c r="AS24" i="6"/>
  <c r="AQ23" i="6"/>
  <c r="AW22" i="6"/>
  <c r="AO22" i="6"/>
  <c r="AU21" i="6"/>
  <c r="AS20" i="6"/>
  <c r="AQ19" i="6"/>
  <c r="AW18" i="6"/>
  <c r="AO18" i="6"/>
  <c r="AU17" i="6"/>
  <c r="AS16" i="6"/>
  <c r="AQ15" i="6"/>
  <c r="AX14" i="6"/>
  <c r="AP14" i="6"/>
  <c r="AX13" i="6"/>
  <c r="AP13" i="6"/>
  <c r="AX12" i="6"/>
  <c r="AP12" i="6"/>
  <c r="AX11" i="6"/>
  <c r="AP11" i="6"/>
  <c r="AX10" i="6"/>
  <c r="AP10" i="6"/>
  <c r="AX9" i="6"/>
  <c r="AP9" i="6"/>
  <c r="AX8" i="6"/>
  <c r="AP8" i="6"/>
  <c r="AX7" i="6"/>
  <c r="AP7" i="6"/>
  <c r="AX6" i="6"/>
  <c r="AP6" i="6"/>
  <c r="AX5" i="6"/>
  <c r="AP5" i="6"/>
  <c r="AO95" i="6"/>
  <c r="AX90" i="6"/>
  <c r="AS87" i="6"/>
  <c r="AW74" i="6"/>
  <c r="AO71" i="6"/>
  <c r="AO67" i="6"/>
  <c r="AW66" i="6"/>
  <c r="AP62" i="6"/>
  <c r="AS58" i="6"/>
  <c r="AP54" i="6"/>
  <c r="AS53" i="6"/>
  <c r="AW49" i="6"/>
  <c r="AU47" i="6"/>
  <c r="AP46" i="6"/>
  <c r="AW45" i="6"/>
  <c r="AS44" i="6"/>
  <c r="AU42" i="6"/>
  <c r="AO41" i="6"/>
  <c r="AW40" i="6"/>
  <c r="AR39" i="6"/>
  <c r="AU37" i="6"/>
  <c r="AO36" i="6"/>
  <c r="AW35" i="6"/>
  <c r="AQ34" i="6"/>
  <c r="AP32" i="6"/>
  <c r="AW31" i="6"/>
  <c r="AW30" i="6"/>
  <c r="AT29" i="6"/>
  <c r="AR28" i="6"/>
  <c r="AX27" i="6"/>
  <c r="AP27" i="6"/>
  <c r="AV26" i="6"/>
  <c r="AT25" i="6"/>
  <c r="AR24" i="6"/>
  <c r="AX23" i="6"/>
  <c r="AP23" i="6"/>
  <c r="AV22" i="6"/>
  <c r="AT21" i="6"/>
  <c r="AR20" i="6"/>
  <c r="AX19" i="6"/>
  <c r="AP19" i="6"/>
  <c r="AV18" i="6"/>
  <c r="AT17" i="6"/>
  <c r="AR16" i="6"/>
  <c r="AX15" i="6"/>
  <c r="AP15" i="6"/>
  <c r="AQ98" i="6"/>
  <c r="AV90" i="6"/>
  <c r="AU74" i="6"/>
  <c r="AU66" i="6"/>
  <c r="AO62" i="6"/>
  <c r="AV61" i="6"/>
  <c r="AO54" i="6"/>
  <c r="AR53" i="6"/>
  <c r="AV49" i="6"/>
  <c r="AS47" i="6"/>
  <c r="AO46" i="6"/>
  <c r="AV45" i="6"/>
  <c r="AQ44" i="6"/>
  <c r="AS42" i="6"/>
  <c r="AU40" i="6"/>
  <c r="AQ39" i="6"/>
  <c r="AX38" i="6"/>
  <c r="AS37" i="6"/>
  <c r="AU35" i="6"/>
  <c r="AP34" i="6"/>
  <c r="AW33" i="6"/>
  <c r="AO32" i="6"/>
  <c r="AV31" i="6"/>
  <c r="AV30" i="6"/>
  <c r="AS29" i="6"/>
  <c r="AQ28" i="6"/>
  <c r="AW27" i="6"/>
  <c r="AO27" i="6"/>
  <c r="AU26" i="6"/>
  <c r="AS25" i="6"/>
  <c r="AQ24" i="6"/>
  <c r="AW23" i="6"/>
  <c r="AO23" i="6"/>
  <c r="AU22" i="6"/>
  <c r="AS21" i="6"/>
  <c r="AQ20" i="6"/>
  <c r="AW19" i="6"/>
  <c r="AO19" i="6"/>
  <c r="AU18" i="6"/>
  <c r="AS17" i="6"/>
  <c r="AQ16" i="6"/>
  <c r="AW15" i="6"/>
  <c r="AO15" i="6"/>
  <c r="AV14" i="6"/>
  <c r="AV13" i="6"/>
  <c r="AV12" i="6"/>
  <c r="AV11" i="6"/>
  <c r="AV10" i="6"/>
  <c r="AV9" i="6"/>
  <c r="AV8" i="6"/>
  <c r="AV7" i="6"/>
  <c r="AV6" i="6"/>
  <c r="AV5" i="6"/>
  <c r="AU4" i="6"/>
  <c r="AT3" i="6"/>
  <c r="AS2" i="6"/>
  <c r="AQ88" i="6"/>
  <c r="AT74" i="6"/>
  <c r="AS72" i="6"/>
  <c r="AS65" i="6"/>
  <c r="AU61" i="6"/>
  <c r="AT56" i="6"/>
  <c r="AQ53" i="6"/>
  <c r="AX52" i="6"/>
  <c r="AU49" i="6"/>
  <c r="AW48" i="6"/>
  <c r="AR47" i="6"/>
  <c r="AU45" i="6"/>
  <c r="AO44" i="6"/>
  <c r="AW43" i="6"/>
  <c r="AQ42" i="6"/>
  <c r="AT40" i="6"/>
  <c r="AO39" i="6"/>
  <c r="AW38" i="6"/>
  <c r="AQ37" i="6"/>
  <c r="AS35" i="6"/>
  <c r="AO34" i="6"/>
  <c r="AV33" i="6"/>
  <c r="AX32" i="6"/>
  <c r="AU31" i="6"/>
  <c r="AU30" i="6"/>
  <c r="AR29" i="6"/>
  <c r="AX28" i="6"/>
  <c r="AP28" i="6"/>
  <c r="AV27" i="6"/>
  <c r="AT26" i="6"/>
  <c r="AR25" i="6"/>
  <c r="AX24" i="6"/>
  <c r="AP24" i="6"/>
  <c r="AV23" i="6"/>
  <c r="AT22" i="6"/>
  <c r="AR21" i="6"/>
  <c r="AX20" i="6"/>
  <c r="AP20" i="6"/>
  <c r="AV19" i="6"/>
  <c r="AT18" i="6"/>
  <c r="AR17" i="6"/>
  <c r="AX16" i="6"/>
  <c r="AP16" i="6"/>
  <c r="AV15" i="6"/>
  <c r="AU14" i="6"/>
  <c r="AU13" i="6"/>
  <c r="AU12" i="6"/>
  <c r="AU11" i="6"/>
  <c r="AU10" i="6"/>
  <c r="AU9" i="6"/>
  <c r="AU8" i="6"/>
  <c r="AU7" i="6"/>
  <c r="AU6" i="6"/>
  <c r="AU5" i="6"/>
  <c r="AT4" i="6"/>
  <c r="AS3" i="6"/>
  <c r="AR2" i="6"/>
  <c r="AS91" i="6"/>
  <c r="AQ72" i="6"/>
  <c r="AR65" i="6"/>
  <c r="AS60" i="6"/>
  <c r="AS56" i="6"/>
  <c r="AV52" i="6"/>
  <c r="AV51" i="6"/>
  <c r="AW50" i="6"/>
  <c r="AS49" i="6"/>
  <c r="AU48" i="6"/>
  <c r="AQ47" i="6"/>
  <c r="AX46" i="6"/>
  <c r="AS45" i="6"/>
  <c r="AU43" i="6"/>
  <c r="AP42" i="6"/>
  <c r="AW41" i="6"/>
  <c r="AS40" i="6"/>
  <c r="AU38" i="6"/>
  <c r="AO37" i="6"/>
  <c r="AW36" i="6"/>
  <c r="AR35" i="6"/>
  <c r="AU33" i="6"/>
  <c r="AW32" i="6"/>
  <c r="AS31" i="6"/>
  <c r="AT30" i="6"/>
  <c r="AQ29" i="6"/>
  <c r="AW28" i="6"/>
  <c r="AO28" i="6"/>
  <c r="AU27" i="6"/>
  <c r="AS26" i="6"/>
  <c r="AQ25" i="6"/>
  <c r="AW24" i="6"/>
  <c r="AO24" i="6"/>
  <c r="AU23" i="6"/>
  <c r="AS22" i="6"/>
  <c r="AQ21" i="6"/>
  <c r="AW20" i="6"/>
  <c r="AO20" i="6"/>
  <c r="AU19" i="6"/>
  <c r="AS18" i="6"/>
  <c r="AQ17" i="6"/>
  <c r="AW16" i="6"/>
  <c r="AO16" i="6"/>
  <c r="AU15" i="6"/>
  <c r="AT14" i="6"/>
  <c r="AT13" i="6"/>
  <c r="AT12" i="6"/>
  <c r="AT11" i="6"/>
  <c r="AT10" i="6"/>
  <c r="AT9" i="6"/>
  <c r="AT8" i="6"/>
  <c r="AT7" i="6"/>
  <c r="AT6" i="6"/>
  <c r="AT5" i="6"/>
  <c r="AS4" i="6"/>
  <c r="AR3" i="6"/>
  <c r="AQ2" i="6"/>
  <c r="AS101" i="6"/>
  <c r="AV97" i="6"/>
  <c r="AQ94" i="6"/>
  <c r="AX87" i="6"/>
  <c r="AS73" i="6"/>
  <c r="AS68" i="6"/>
  <c r="AU63" i="6"/>
  <c r="AU58" i="6"/>
  <c r="AP91" i="6"/>
  <c r="AU73" i="6"/>
  <c r="AQ45" i="6"/>
  <c r="AS41" i="6"/>
  <c r="AT36" i="6"/>
  <c r="AU32" i="6"/>
  <c r="AS30" i="6"/>
  <c r="AW29" i="6"/>
  <c r="AO25" i="6"/>
  <c r="AT24" i="6"/>
  <c r="AT23" i="6"/>
  <c r="AQ18" i="6"/>
  <c r="AV17" i="6"/>
  <c r="AV16" i="6"/>
  <c r="AO14" i="6"/>
  <c r="AQ13" i="6"/>
  <c r="AR12" i="6"/>
  <c r="AS11" i="6"/>
  <c r="AW10" i="6"/>
  <c r="AO91" i="6"/>
  <c r="AW55" i="6"/>
  <c r="AQ52" i="6"/>
  <c r="AO45" i="6"/>
  <c r="AW44" i="6"/>
  <c r="AQ40" i="6"/>
  <c r="AS36" i="6"/>
  <c r="AT32" i="6"/>
  <c r="AQ30" i="6"/>
  <c r="AV29" i="6"/>
  <c r="AV28" i="6"/>
  <c r="AS23" i="6"/>
  <c r="AX22" i="6"/>
  <c r="AX21" i="6"/>
  <c r="AP18" i="6"/>
  <c r="AP17" i="6"/>
  <c r="AU16" i="6"/>
  <c r="AO13" i="6"/>
  <c r="AQ12" i="6"/>
  <c r="AR11" i="6"/>
  <c r="AS10" i="6"/>
  <c r="AW9" i="6"/>
  <c r="AO5" i="6"/>
  <c r="AP4" i="6"/>
  <c r="AX3" i="6"/>
  <c r="AU2" i="6"/>
  <c r="AW75" i="6"/>
  <c r="AV55" i="6"/>
  <c r="AX54" i="6"/>
  <c r="AP52" i="6"/>
  <c r="AO49" i="6"/>
  <c r="AT48" i="6"/>
  <c r="AU44" i="6"/>
  <c r="AO40" i="6"/>
  <c r="AW39" i="6"/>
  <c r="AQ35" i="6"/>
  <c r="AX34" i="6"/>
  <c r="AS32" i="6"/>
  <c r="AP30" i="6"/>
  <c r="AP29" i="6"/>
  <c r="AU28" i="6"/>
  <c r="AR23" i="6"/>
  <c r="AR22" i="6"/>
  <c r="AW21" i="6"/>
  <c r="AO17" i="6"/>
  <c r="AT16" i="6"/>
  <c r="AT15" i="6"/>
  <c r="AO12" i="6"/>
  <c r="AQ11" i="6"/>
  <c r="AR10" i="6"/>
  <c r="AS9" i="6"/>
  <c r="AW8" i="6"/>
  <c r="AO4" i="6"/>
  <c r="AW3" i="6"/>
  <c r="AT2" i="6"/>
  <c r="AV94" i="6"/>
  <c r="AV75" i="6"/>
  <c r="AO70" i="6"/>
  <c r="AW68" i="6"/>
  <c r="AQ65" i="6"/>
  <c r="AX64" i="6"/>
  <c r="AU55" i="6"/>
  <c r="AO52" i="6"/>
  <c r="AR51" i="6"/>
  <c r="AS48" i="6"/>
  <c r="AS43" i="6"/>
  <c r="AU39" i="6"/>
  <c r="AO35" i="6"/>
  <c r="AW34" i="6"/>
  <c r="AO29" i="6"/>
  <c r="AT28" i="6"/>
  <c r="AT27" i="6"/>
  <c r="AQ22" i="6"/>
  <c r="AV21" i="6"/>
  <c r="AV20" i="6"/>
  <c r="AS15" i="6"/>
  <c r="AO11" i="6"/>
  <c r="AQ10" i="6"/>
  <c r="AR9" i="6"/>
  <c r="AS8" i="6"/>
  <c r="AW7" i="6"/>
  <c r="AV3" i="6"/>
  <c r="AP2" i="6"/>
  <c r="AT94" i="6"/>
  <c r="AT68" i="6"/>
  <c r="AO64" i="6"/>
  <c r="AV63" i="6"/>
  <c r="AQ60" i="6"/>
  <c r="AQ57" i="6"/>
  <c r="AQ51" i="6"/>
  <c r="AQ48" i="6"/>
  <c r="AR43" i="6"/>
  <c r="AS38" i="6"/>
  <c r="AU34" i="6"/>
  <c r="AR31" i="6"/>
  <c r="AS27" i="6"/>
  <c r="AX26" i="6"/>
  <c r="AX25" i="6"/>
  <c r="AP22" i="6"/>
  <c r="AP21" i="6"/>
  <c r="AU20" i="6"/>
  <c r="AR15" i="6"/>
  <c r="AW14" i="6"/>
  <c r="AO10" i="6"/>
  <c r="AQ9" i="6"/>
  <c r="AR8" i="6"/>
  <c r="AS7" i="6"/>
  <c r="AW6" i="6"/>
  <c r="AX4" i="6"/>
  <c r="AU3" i="6"/>
  <c r="AO2" i="6"/>
  <c r="AP60" i="6"/>
  <c r="AW59" i="6"/>
  <c r="AP57" i="6"/>
  <c r="AO51" i="6"/>
  <c r="AR50" i="6"/>
  <c r="AO47" i="6"/>
  <c r="AW46" i="6"/>
  <c r="AQ43" i="6"/>
  <c r="AX42" i="6"/>
  <c r="AQ38" i="6"/>
  <c r="AS33" i="6"/>
  <c r="AQ31" i="6"/>
  <c r="AR27" i="6"/>
  <c r="AR26" i="6"/>
  <c r="AW25" i="6"/>
  <c r="AP72" i="6"/>
  <c r="AQ56" i="6"/>
  <c r="AQ50" i="6"/>
  <c r="AU46" i="6"/>
  <c r="AO42" i="6"/>
  <c r="AV41" i="6"/>
  <c r="AP38" i="6"/>
  <c r="AW37" i="6"/>
  <c r="AQ33" i="6"/>
  <c r="AP31" i="6"/>
  <c r="AQ26" i="6"/>
  <c r="AV25" i="6"/>
  <c r="AV24" i="6"/>
  <c r="AS19" i="6"/>
  <c r="AX18" i="6"/>
  <c r="AX17" i="6"/>
  <c r="AR14" i="6"/>
  <c r="AS13" i="6"/>
  <c r="AW12" i="6"/>
  <c r="AO8" i="6"/>
  <c r="AQ7" i="6"/>
  <c r="AR6" i="6"/>
  <c r="AP50" i="6"/>
  <c r="AS46" i="6"/>
  <c r="AU41" i="6"/>
  <c r="AU36" i="6"/>
  <c r="AO33" i="6"/>
  <c r="AX29" i="6"/>
  <c r="AP26" i="6"/>
  <c r="AP25" i="6"/>
  <c r="AU24" i="6"/>
  <c r="AR19" i="6"/>
  <c r="AR18" i="6"/>
  <c r="AW17" i="6"/>
  <c r="AQ14" i="6"/>
  <c r="AR13" i="6"/>
  <c r="AS12" i="6"/>
  <c r="AW11" i="6"/>
  <c r="AO7" i="6"/>
  <c r="AQ6" i="6"/>
  <c r="AR5" i="6"/>
  <c r="AR4" i="6"/>
  <c r="AO3" i="6"/>
  <c r="AW2" i="6"/>
  <c r="BM101" i="6"/>
  <c r="BK100" i="6"/>
  <c r="BK101" i="6"/>
  <c r="BQ100" i="6"/>
  <c r="BI100" i="6"/>
  <c r="BQ101" i="6"/>
  <c r="BJ100" i="6"/>
  <c r="BK99" i="6"/>
  <c r="BQ98" i="6"/>
  <c r="BI98" i="6"/>
  <c r="BO97" i="6"/>
  <c r="BM96" i="6"/>
  <c r="BK95" i="6"/>
  <c r="BQ94" i="6"/>
  <c r="BI94" i="6"/>
  <c r="BO93" i="6"/>
  <c r="BM92" i="6"/>
  <c r="BK91" i="6"/>
  <c r="BQ90" i="6"/>
  <c r="BI90" i="6"/>
  <c r="BO89" i="6"/>
  <c r="BM88" i="6"/>
  <c r="BK87" i="6"/>
  <c r="BP101" i="6"/>
  <c r="BR99" i="6"/>
  <c r="BJ99" i="6"/>
  <c r="BP98" i="6"/>
  <c r="BN97" i="6"/>
  <c r="BL96" i="6"/>
  <c r="BR95" i="6"/>
  <c r="BJ95" i="6"/>
  <c r="BP94" i="6"/>
  <c r="BN93" i="6"/>
  <c r="BL92" i="6"/>
  <c r="BR91" i="6"/>
  <c r="BJ91" i="6"/>
  <c r="BP90" i="6"/>
  <c r="BN89" i="6"/>
  <c r="BL88" i="6"/>
  <c r="BR87" i="6"/>
  <c r="BJ87" i="6"/>
  <c r="BP86" i="6"/>
  <c r="BL101" i="6"/>
  <c r="BO100" i="6"/>
  <c r="BO99" i="6"/>
  <c r="BM98" i="6"/>
  <c r="BK97" i="6"/>
  <c r="BQ96" i="6"/>
  <c r="BI96" i="6"/>
  <c r="BO95" i="6"/>
  <c r="BM94" i="6"/>
  <c r="BK93" i="6"/>
  <c r="BQ92" i="6"/>
  <c r="BI92" i="6"/>
  <c r="BO91" i="6"/>
  <c r="BM90" i="6"/>
  <c r="BK89" i="6"/>
  <c r="BQ88" i="6"/>
  <c r="BI88" i="6"/>
  <c r="BO87" i="6"/>
  <c r="BM86" i="6"/>
  <c r="BK85" i="6"/>
  <c r="BQ84" i="6"/>
  <c r="BI84" i="6"/>
  <c r="BO83" i="6"/>
  <c r="BM82" i="6"/>
  <c r="BK81" i="6"/>
  <c r="BQ80" i="6"/>
  <c r="BI80" i="6"/>
  <c r="BO79" i="6"/>
  <c r="BM78" i="6"/>
  <c r="BK77" i="6"/>
  <c r="BQ76" i="6"/>
  <c r="BI76" i="6"/>
  <c r="BM100" i="6"/>
  <c r="BN99" i="6"/>
  <c r="BJ98" i="6"/>
  <c r="BQ97" i="6"/>
  <c r="BK96" i="6"/>
  <c r="BN94" i="6"/>
  <c r="BI93" i="6"/>
  <c r="BP92" i="6"/>
  <c r="BL91" i="6"/>
  <c r="BM89" i="6"/>
  <c r="BP87" i="6"/>
  <c r="BL86" i="6"/>
  <c r="BO85" i="6"/>
  <c r="BO84" i="6"/>
  <c r="BP83" i="6"/>
  <c r="BP82" i="6"/>
  <c r="BP81" i="6"/>
  <c r="BP80" i="6"/>
  <c r="BQ79" i="6"/>
  <c r="BQ78" i="6"/>
  <c r="BQ77" i="6"/>
  <c r="BR76" i="6"/>
  <c r="BR75" i="6"/>
  <c r="BJ75" i="6"/>
  <c r="BP74" i="6"/>
  <c r="BN73" i="6"/>
  <c r="BL72" i="6"/>
  <c r="BR71" i="6"/>
  <c r="BJ71" i="6"/>
  <c r="BP70" i="6"/>
  <c r="BN69" i="6"/>
  <c r="BL68" i="6"/>
  <c r="BR67" i="6"/>
  <c r="BJ67" i="6"/>
  <c r="BP66" i="6"/>
  <c r="BN65" i="6"/>
  <c r="BL64" i="6"/>
  <c r="BR63" i="6"/>
  <c r="BJ63" i="6"/>
  <c r="BP62" i="6"/>
  <c r="BN61" i="6"/>
  <c r="BL60" i="6"/>
  <c r="BR59" i="6"/>
  <c r="BJ59" i="6"/>
  <c r="BP58" i="6"/>
  <c r="BL100" i="6"/>
  <c r="BM99" i="6"/>
  <c r="BP97" i="6"/>
  <c r="BJ96" i="6"/>
  <c r="BQ95" i="6"/>
  <c r="BL94" i="6"/>
  <c r="BO92" i="6"/>
  <c r="BI91" i="6"/>
  <c r="BR90" i="6"/>
  <c r="BL89" i="6"/>
  <c r="BN87" i="6"/>
  <c r="BK86" i="6"/>
  <c r="BN85" i="6"/>
  <c r="BN84" i="6"/>
  <c r="BN83" i="6"/>
  <c r="BO82" i="6"/>
  <c r="BO81" i="6"/>
  <c r="BO80" i="6"/>
  <c r="BP79" i="6"/>
  <c r="BP78" i="6"/>
  <c r="BP77" i="6"/>
  <c r="BP76" i="6"/>
  <c r="BQ75" i="6"/>
  <c r="BI75" i="6"/>
  <c r="BO74" i="6"/>
  <c r="BM73" i="6"/>
  <c r="BK72" i="6"/>
  <c r="BQ71" i="6"/>
  <c r="BI71" i="6"/>
  <c r="BO70" i="6"/>
  <c r="BM69" i="6"/>
  <c r="BK68" i="6"/>
  <c r="BQ67" i="6"/>
  <c r="BI67" i="6"/>
  <c r="BO66" i="6"/>
  <c r="BM65" i="6"/>
  <c r="BK64" i="6"/>
  <c r="BQ63" i="6"/>
  <c r="BI63" i="6"/>
  <c r="BO62" i="6"/>
  <c r="BM61" i="6"/>
  <c r="BK60" i="6"/>
  <c r="BQ59" i="6"/>
  <c r="BI59" i="6"/>
  <c r="BO58" i="6"/>
  <c r="BM57" i="6"/>
  <c r="BK56" i="6"/>
  <c r="BQ55" i="6"/>
  <c r="BI55" i="6"/>
  <c r="BO54" i="6"/>
  <c r="BM53" i="6"/>
  <c r="BR101" i="6"/>
  <c r="BL99" i="6"/>
  <c r="BM97" i="6"/>
  <c r="BP95" i="6"/>
  <c r="BK94" i="6"/>
  <c r="BR93" i="6"/>
  <c r="BN92" i="6"/>
  <c r="BO90" i="6"/>
  <c r="BJ89" i="6"/>
  <c r="BR88" i="6"/>
  <c r="BM87" i="6"/>
  <c r="BJ86" i="6"/>
  <c r="BM85" i="6"/>
  <c r="BM84" i="6"/>
  <c r="BM83" i="6"/>
  <c r="BN82" i="6"/>
  <c r="BN81" i="6"/>
  <c r="BN80" i="6"/>
  <c r="BN79" i="6"/>
  <c r="BO78" i="6"/>
  <c r="BO77" i="6"/>
  <c r="BO76" i="6"/>
  <c r="BP75" i="6"/>
  <c r="BN74" i="6"/>
  <c r="BL73" i="6"/>
  <c r="BR72" i="6"/>
  <c r="BJ72" i="6"/>
  <c r="BP71" i="6"/>
  <c r="BN70" i="6"/>
  <c r="BN101" i="6"/>
  <c r="BO98" i="6"/>
  <c r="BJ97" i="6"/>
  <c r="BR96" i="6"/>
  <c r="BM95" i="6"/>
  <c r="BP93" i="6"/>
  <c r="BJ92" i="6"/>
  <c r="BQ91" i="6"/>
  <c r="BL90" i="6"/>
  <c r="BO88" i="6"/>
  <c r="BI87" i="6"/>
  <c r="BR86" i="6"/>
  <c r="BJ85" i="6"/>
  <c r="BK84" i="6"/>
  <c r="BK83" i="6"/>
  <c r="BK82" i="6"/>
  <c r="BL81" i="6"/>
  <c r="BL80" i="6"/>
  <c r="BL79" i="6"/>
  <c r="BL78" i="6"/>
  <c r="BM77" i="6"/>
  <c r="BM76" i="6"/>
  <c r="BN75" i="6"/>
  <c r="BL74" i="6"/>
  <c r="BR73" i="6"/>
  <c r="BJ73" i="6"/>
  <c r="BP72" i="6"/>
  <c r="BN71" i="6"/>
  <c r="BL70" i="6"/>
  <c r="BR69" i="6"/>
  <c r="BJ69" i="6"/>
  <c r="BP68" i="6"/>
  <c r="BN67" i="6"/>
  <c r="BL66" i="6"/>
  <c r="BR65" i="6"/>
  <c r="BJ65" i="6"/>
  <c r="BP64" i="6"/>
  <c r="BN63" i="6"/>
  <c r="BL62" i="6"/>
  <c r="BR61" i="6"/>
  <c r="BJ61" i="6"/>
  <c r="BP60" i="6"/>
  <c r="BN59" i="6"/>
  <c r="BL58" i="6"/>
  <c r="BR57" i="6"/>
  <c r="BJ57" i="6"/>
  <c r="BP56" i="6"/>
  <c r="BN55" i="6"/>
  <c r="BL54" i="6"/>
  <c r="BR53" i="6"/>
  <c r="BJ53" i="6"/>
  <c r="BP52" i="6"/>
  <c r="BN51" i="6"/>
  <c r="BL50" i="6"/>
  <c r="BK98" i="6"/>
  <c r="BR97" i="6"/>
  <c r="BO94" i="6"/>
  <c r="BM91" i="6"/>
  <c r="BJ88" i="6"/>
  <c r="BQ87" i="6"/>
  <c r="BP85" i="6"/>
  <c r="BP84" i="6"/>
  <c r="BQ83" i="6"/>
  <c r="BQ82" i="6"/>
  <c r="BQ81" i="6"/>
  <c r="BR80" i="6"/>
  <c r="BR79" i="6"/>
  <c r="BR78" i="6"/>
  <c r="BR77" i="6"/>
  <c r="BK75" i="6"/>
  <c r="BI74" i="6"/>
  <c r="BQ70" i="6"/>
  <c r="BI69" i="6"/>
  <c r="BQ68" i="6"/>
  <c r="BL67" i="6"/>
  <c r="BO65" i="6"/>
  <c r="BI64" i="6"/>
  <c r="BP63" i="6"/>
  <c r="BK62" i="6"/>
  <c r="BN60" i="6"/>
  <c r="BQ58" i="6"/>
  <c r="BL56" i="6"/>
  <c r="BO55" i="6"/>
  <c r="BR54" i="6"/>
  <c r="BK53" i="6"/>
  <c r="BO52" i="6"/>
  <c r="BP51" i="6"/>
  <c r="BP50" i="6"/>
  <c r="BR49" i="6"/>
  <c r="BJ49" i="6"/>
  <c r="BP48" i="6"/>
  <c r="BN47" i="6"/>
  <c r="BL46" i="6"/>
  <c r="BR45" i="6"/>
  <c r="BJ45" i="6"/>
  <c r="BP44" i="6"/>
  <c r="BN43" i="6"/>
  <c r="BL42" i="6"/>
  <c r="BR41" i="6"/>
  <c r="BJ41" i="6"/>
  <c r="BP40" i="6"/>
  <c r="BN39" i="6"/>
  <c r="BL38" i="6"/>
  <c r="BR37" i="6"/>
  <c r="BJ37" i="6"/>
  <c r="BP36" i="6"/>
  <c r="BN35" i="6"/>
  <c r="BL34" i="6"/>
  <c r="BR33" i="6"/>
  <c r="BJ33" i="6"/>
  <c r="BP32" i="6"/>
  <c r="BO101" i="6"/>
  <c r="BL97" i="6"/>
  <c r="BJ94" i="6"/>
  <c r="BQ93" i="6"/>
  <c r="BN90" i="6"/>
  <c r="BL87" i="6"/>
  <c r="BL85" i="6"/>
  <c r="BL84" i="6"/>
  <c r="BL83" i="6"/>
  <c r="BL82" i="6"/>
  <c r="BM81" i="6"/>
  <c r="BM80" i="6"/>
  <c r="BM79" i="6"/>
  <c r="BN78" i="6"/>
  <c r="BN77" i="6"/>
  <c r="BN76" i="6"/>
  <c r="BQ72" i="6"/>
  <c r="BO71" i="6"/>
  <c r="BM70" i="6"/>
  <c r="BO68" i="6"/>
  <c r="BK67" i="6"/>
  <c r="BR66" i="6"/>
  <c r="BL65" i="6"/>
  <c r="BO63" i="6"/>
  <c r="BJ62" i="6"/>
  <c r="BQ61" i="6"/>
  <c r="BM60" i="6"/>
  <c r="BN58" i="6"/>
  <c r="BQ57" i="6"/>
  <c r="BJ56" i="6"/>
  <c r="BJ101" i="6"/>
  <c r="BR100" i="6"/>
  <c r="BI97" i="6"/>
  <c r="BP96" i="6"/>
  <c r="BM93" i="6"/>
  <c r="BK90" i="6"/>
  <c r="BR89" i="6"/>
  <c r="BQ86" i="6"/>
  <c r="BI85" i="6"/>
  <c r="BJ84" i="6"/>
  <c r="BJ83" i="6"/>
  <c r="BJ82" i="6"/>
  <c r="BJ81" i="6"/>
  <c r="BK80" i="6"/>
  <c r="BK79" i="6"/>
  <c r="BK78" i="6"/>
  <c r="BL77" i="6"/>
  <c r="BL76" i="6"/>
  <c r="BQ73" i="6"/>
  <c r="BO72" i="6"/>
  <c r="BM71" i="6"/>
  <c r="BK70" i="6"/>
  <c r="BN68" i="6"/>
  <c r="BQ66" i="6"/>
  <c r="BK65" i="6"/>
  <c r="BR64" i="6"/>
  <c r="BM63" i="6"/>
  <c r="BI62" i="6"/>
  <c r="BP61" i="6"/>
  <c r="BJ60" i="6"/>
  <c r="BM58" i="6"/>
  <c r="BP57" i="6"/>
  <c r="BI56" i="6"/>
  <c r="BL55" i="6"/>
  <c r="BP54" i="6"/>
  <c r="BM52" i="6"/>
  <c r="BM51" i="6"/>
  <c r="BN50" i="6"/>
  <c r="BP49" i="6"/>
  <c r="BN48" i="6"/>
  <c r="BL47" i="6"/>
  <c r="BR46" i="6"/>
  <c r="BJ46" i="6"/>
  <c r="BP45" i="6"/>
  <c r="BN44" i="6"/>
  <c r="BL43" i="6"/>
  <c r="BR42" i="6"/>
  <c r="BJ42" i="6"/>
  <c r="BP41" i="6"/>
  <c r="BN40" i="6"/>
  <c r="BL39" i="6"/>
  <c r="BR38" i="6"/>
  <c r="BJ38" i="6"/>
  <c r="BP37" i="6"/>
  <c r="BN36" i="6"/>
  <c r="BL35" i="6"/>
  <c r="BR34" i="6"/>
  <c r="BJ34" i="6"/>
  <c r="BP33" i="6"/>
  <c r="BI101" i="6"/>
  <c r="BP100" i="6"/>
  <c r="BQ99" i="6"/>
  <c r="BO96" i="6"/>
  <c r="BL93" i="6"/>
  <c r="BJ90" i="6"/>
  <c r="BQ89" i="6"/>
  <c r="BO86" i="6"/>
  <c r="BI83" i="6"/>
  <c r="BI82" i="6"/>
  <c r="BI81" i="6"/>
  <c r="BJ80" i="6"/>
  <c r="BJ79" i="6"/>
  <c r="BJ78" i="6"/>
  <c r="BJ77" i="6"/>
  <c r="BK76" i="6"/>
  <c r="BR74" i="6"/>
  <c r="BP73" i="6"/>
  <c r="BN72" i="6"/>
  <c r="BL71" i="6"/>
  <c r="BJ70" i="6"/>
  <c r="BQ69" i="6"/>
  <c r="BM68" i="6"/>
  <c r="BN66" i="6"/>
  <c r="BI65" i="6"/>
  <c r="BQ64" i="6"/>
  <c r="BL63" i="6"/>
  <c r="BO61" i="6"/>
  <c r="BI60" i="6"/>
  <c r="BP59" i="6"/>
  <c r="BK58" i="6"/>
  <c r="BO57" i="6"/>
  <c r="BR56" i="6"/>
  <c r="BK55" i="6"/>
  <c r="BN54" i="6"/>
  <c r="BQ53" i="6"/>
  <c r="BL52" i="6"/>
  <c r="BL51" i="6"/>
  <c r="BM50" i="6"/>
  <c r="BO49" i="6"/>
  <c r="BN100" i="6"/>
  <c r="BP99" i="6"/>
  <c r="BN96" i="6"/>
  <c r="BJ93" i="6"/>
  <c r="BR92" i="6"/>
  <c r="BP89" i="6"/>
  <c r="BN86" i="6"/>
  <c r="BI79" i="6"/>
  <c r="BI78" i="6"/>
  <c r="BI77" i="6"/>
  <c r="BJ76" i="6"/>
  <c r="BQ74" i="6"/>
  <c r="BO73" i="6"/>
  <c r="BM72" i="6"/>
  <c r="BK71" i="6"/>
  <c r="BI70" i="6"/>
  <c r="BP69" i="6"/>
  <c r="BJ68" i="6"/>
  <c r="BM66" i="6"/>
  <c r="BO64" i="6"/>
  <c r="BK63" i="6"/>
  <c r="BR62" i="6"/>
  <c r="BL61" i="6"/>
  <c r="BO59" i="6"/>
  <c r="BJ58" i="6"/>
  <c r="BN57" i="6"/>
  <c r="BQ56" i="6"/>
  <c r="BJ55" i="6"/>
  <c r="BM54" i="6"/>
  <c r="BP53" i="6"/>
  <c r="BK52" i="6"/>
  <c r="BK51" i="6"/>
  <c r="BK50" i="6"/>
  <c r="BN49" i="6"/>
  <c r="BL48" i="6"/>
  <c r="BR47" i="6"/>
  <c r="BJ47" i="6"/>
  <c r="BP46" i="6"/>
  <c r="BN45" i="6"/>
  <c r="BL44" i="6"/>
  <c r="BR43" i="6"/>
  <c r="BJ43" i="6"/>
  <c r="BP42" i="6"/>
  <c r="BN41" i="6"/>
  <c r="BL40" i="6"/>
  <c r="BR39" i="6"/>
  <c r="BJ39" i="6"/>
  <c r="BP38" i="6"/>
  <c r="BN37" i="6"/>
  <c r="BL36" i="6"/>
  <c r="BR35" i="6"/>
  <c r="BJ35" i="6"/>
  <c r="BP34" i="6"/>
  <c r="BN33" i="6"/>
  <c r="BL32" i="6"/>
  <c r="BR31" i="6"/>
  <c r="BJ31" i="6"/>
  <c r="BP30" i="6"/>
  <c r="BN98" i="6"/>
  <c r="BI95" i="6"/>
  <c r="BP88" i="6"/>
  <c r="BR83" i="6"/>
  <c r="BJ74" i="6"/>
  <c r="BI72" i="6"/>
  <c r="BL69" i="6"/>
  <c r="BN64" i="6"/>
  <c r="BO60" i="6"/>
  <c r="BK57" i="6"/>
  <c r="BM55" i="6"/>
  <c r="BQ54" i="6"/>
  <c r="BQ49" i="6"/>
  <c r="BO48" i="6"/>
  <c r="BI47" i="6"/>
  <c r="BQ46" i="6"/>
  <c r="BL45" i="6"/>
  <c r="BO43" i="6"/>
  <c r="BI42" i="6"/>
  <c r="BQ41" i="6"/>
  <c r="BK40" i="6"/>
  <c r="BN38" i="6"/>
  <c r="BI37" i="6"/>
  <c r="BQ36" i="6"/>
  <c r="BK35" i="6"/>
  <c r="BM33" i="6"/>
  <c r="BM32" i="6"/>
  <c r="BP31" i="6"/>
  <c r="BQ30" i="6"/>
  <c r="BK29" i="6"/>
  <c r="BQ28" i="6"/>
  <c r="BI28" i="6"/>
  <c r="BO27" i="6"/>
  <c r="BM26" i="6"/>
  <c r="BK25" i="6"/>
  <c r="BQ24" i="6"/>
  <c r="BI24" i="6"/>
  <c r="BO23" i="6"/>
  <c r="BM22" i="6"/>
  <c r="BK21" i="6"/>
  <c r="BQ20" i="6"/>
  <c r="BI20" i="6"/>
  <c r="BO19" i="6"/>
  <c r="BM18" i="6"/>
  <c r="BK17" i="6"/>
  <c r="BQ16" i="6"/>
  <c r="BI16" i="6"/>
  <c r="BO15" i="6"/>
  <c r="BN14" i="6"/>
  <c r="BN13" i="6"/>
  <c r="BN12" i="6"/>
  <c r="BN11" i="6"/>
  <c r="BN10" i="6"/>
  <c r="BN9" i="6"/>
  <c r="BN8" i="6"/>
  <c r="BN7" i="6"/>
  <c r="BN6" i="6"/>
  <c r="BN5" i="6"/>
  <c r="BL98" i="6"/>
  <c r="BN88" i="6"/>
  <c r="BO75" i="6"/>
  <c r="BR70" i="6"/>
  <c r="BK69" i="6"/>
  <c r="BR68" i="6"/>
  <c r="BM64" i="6"/>
  <c r="BM59" i="6"/>
  <c r="BI57" i="6"/>
  <c r="BK54" i="6"/>
  <c r="BO53" i="6"/>
  <c r="BM49" i="6"/>
  <c r="BM48" i="6"/>
  <c r="BO46" i="6"/>
  <c r="BK45" i="6"/>
  <c r="BR44" i="6"/>
  <c r="BM43" i="6"/>
  <c r="BO41" i="6"/>
  <c r="BJ40" i="6"/>
  <c r="BQ39" i="6"/>
  <c r="BM38" i="6"/>
  <c r="BO36" i="6"/>
  <c r="BI35" i="6"/>
  <c r="BQ34" i="6"/>
  <c r="BL33" i="6"/>
  <c r="BK32" i="6"/>
  <c r="BO31" i="6"/>
  <c r="BO30" i="6"/>
  <c r="BR29" i="6"/>
  <c r="BJ29" i="6"/>
  <c r="BP28" i="6"/>
  <c r="BN27" i="6"/>
  <c r="BL26" i="6"/>
  <c r="BR25" i="6"/>
  <c r="BJ25" i="6"/>
  <c r="BP24" i="6"/>
  <c r="BN23" i="6"/>
  <c r="BL22" i="6"/>
  <c r="BR21" i="6"/>
  <c r="BJ21" i="6"/>
  <c r="BP20" i="6"/>
  <c r="BN19" i="6"/>
  <c r="BL18" i="6"/>
  <c r="BR17" i="6"/>
  <c r="BJ17" i="6"/>
  <c r="BP16" i="6"/>
  <c r="BN15" i="6"/>
  <c r="BP91" i="6"/>
  <c r="BK88" i="6"/>
  <c r="BR82" i="6"/>
  <c r="BM75" i="6"/>
  <c r="BI68" i="6"/>
  <c r="BP67" i="6"/>
  <c r="BJ64" i="6"/>
  <c r="BL59" i="6"/>
  <c r="BJ54" i="6"/>
  <c r="BN53" i="6"/>
  <c r="BR52" i="6"/>
  <c r="BR51" i="6"/>
  <c r="BR50" i="6"/>
  <c r="BL49" i="6"/>
  <c r="BK48" i="6"/>
  <c r="BN46" i="6"/>
  <c r="BI45" i="6"/>
  <c r="BQ44" i="6"/>
  <c r="BK43" i="6"/>
  <c r="BM41" i="6"/>
  <c r="BI40" i="6"/>
  <c r="BP39" i="6"/>
  <c r="BK38" i="6"/>
  <c r="BM36" i="6"/>
  <c r="BO34" i="6"/>
  <c r="BK33" i="6"/>
  <c r="BJ32" i="6"/>
  <c r="BN31" i="6"/>
  <c r="BN30" i="6"/>
  <c r="BQ29" i="6"/>
  <c r="BI29" i="6"/>
  <c r="BO28" i="6"/>
  <c r="BM27" i="6"/>
  <c r="BK26" i="6"/>
  <c r="BQ25" i="6"/>
  <c r="BI25" i="6"/>
  <c r="BO24" i="6"/>
  <c r="BM23" i="6"/>
  <c r="BK22" i="6"/>
  <c r="BQ21" i="6"/>
  <c r="BI21" i="6"/>
  <c r="BO20" i="6"/>
  <c r="BM19" i="6"/>
  <c r="BK18" i="6"/>
  <c r="BQ17" i="6"/>
  <c r="BI17" i="6"/>
  <c r="BO16" i="6"/>
  <c r="BM15" i="6"/>
  <c r="BL14" i="6"/>
  <c r="BL13" i="6"/>
  <c r="BL12" i="6"/>
  <c r="BL11" i="6"/>
  <c r="BL10" i="6"/>
  <c r="BL9" i="6"/>
  <c r="BL8" i="6"/>
  <c r="BL7" i="6"/>
  <c r="BL6" i="6"/>
  <c r="BL5" i="6"/>
  <c r="BK4" i="6"/>
  <c r="BR3" i="6"/>
  <c r="BJ3" i="6"/>
  <c r="BQ2" i="6"/>
  <c r="BI2" i="6"/>
  <c r="BI99" i="6"/>
  <c r="BN91" i="6"/>
  <c r="BI86" i="6"/>
  <c r="BR85" i="6"/>
  <c r="BL75" i="6"/>
  <c r="BK73" i="6"/>
  <c r="BO67" i="6"/>
  <c r="BQ62" i="6"/>
  <c r="BK59" i="6"/>
  <c r="BR58" i="6"/>
  <c r="BI54" i="6"/>
  <c r="BL53" i="6"/>
  <c r="BQ52" i="6"/>
  <c r="BQ51" i="6"/>
  <c r="BQ50" i="6"/>
  <c r="BK49" i="6"/>
  <c r="BJ48" i="6"/>
  <c r="BQ47" i="6"/>
  <c r="BM46" i="6"/>
  <c r="BO44" i="6"/>
  <c r="BI43" i="6"/>
  <c r="BQ42" i="6"/>
  <c r="BL41" i="6"/>
  <c r="BO39" i="6"/>
  <c r="BI38" i="6"/>
  <c r="BQ37" i="6"/>
  <c r="BK36" i="6"/>
  <c r="BN34" i="6"/>
  <c r="BI33" i="6"/>
  <c r="BI32" i="6"/>
  <c r="BM31" i="6"/>
  <c r="BM30" i="6"/>
  <c r="BP29" i="6"/>
  <c r="BN28" i="6"/>
  <c r="BL27" i="6"/>
  <c r="BR26" i="6"/>
  <c r="BJ26" i="6"/>
  <c r="BP25" i="6"/>
  <c r="BN24" i="6"/>
  <c r="BL23" i="6"/>
  <c r="BR22" i="6"/>
  <c r="BJ22" i="6"/>
  <c r="BP21" i="6"/>
  <c r="BN20" i="6"/>
  <c r="BL19" i="6"/>
  <c r="BR18" i="6"/>
  <c r="BJ18" i="6"/>
  <c r="BP17" i="6"/>
  <c r="BN16" i="6"/>
  <c r="BL15" i="6"/>
  <c r="BK14" i="6"/>
  <c r="BK13" i="6"/>
  <c r="BK12" i="6"/>
  <c r="BK11" i="6"/>
  <c r="BK10" i="6"/>
  <c r="BK9" i="6"/>
  <c r="BK8" i="6"/>
  <c r="BK7" i="6"/>
  <c r="BK6" i="6"/>
  <c r="BK5" i="6"/>
  <c r="BR4" i="6"/>
  <c r="BJ4" i="6"/>
  <c r="BQ3" i="6"/>
  <c r="BI3" i="6"/>
  <c r="BP2" i="6"/>
  <c r="BR94" i="6"/>
  <c r="BI89" i="6"/>
  <c r="BQ85" i="6"/>
  <c r="BR81" i="6"/>
  <c r="BI73" i="6"/>
  <c r="BM67" i="6"/>
  <c r="BN62" i="6"/>
  <c r="BI58" i="6"/>
  <c r="BI53" i="6"/>
  <c r="BN52" i="6"/>
  <c r="BO51" i="6"/>
  <c r="BO50" i="6"/>
  <c r="BI49" i="6"/>
  <c r="BI48" i="6"/>
  <c r="BP47" i="6"/>
  <c r="BK46" i="6"/>
  <c r="BM44" i="6"/>
  <c r="BO42" i="6"/>
  <c r="BK41" i="6"/>
  <c r="BR40" i="6"/>
  <c r="BM39" i="6"/>
  <c r="BO37" i="6"/>
  <c r="BJ36" i="6"/>
  <c r="BQ35" i="6"/>
  <c r="BM34" i="6"/>
  <c r="BR32" i="6"/>
  <c r="BL31" i="6"/>
  <c r="BL30" i="6"/>
  <c r="BO29" i="6"/>
  <c r="BM28" i="6"/>
  <c r="BK27" i="6"/>
  <c r="BQ26" i="6"/>
  <c r="BI26" i="6"/>
  <c r="BO25" i="6"/>
  <c r="BM24" i="6"/>
  <c r="BK23" i="6"/>
  <c r="BQ22" i="6"/>
  <c r="BI22" i="6"/>
  <c r="BO21" i="6"/>
  <c r="BM20" i="6"/>
  <c r="BK19" i="6"/>
  <c r="BQ18" i="6"/>
  <c r="BI18" i="6"/>
  <c r="BO17" i="6"/>
  <c r="BM16" i="6"/>
  <c r="BK15" i="6"/>
  <c r="BR14" i="6"/>
  <c r="BJ14" i="6"/>
  <c r="BR13" i="6"/>
  <c r="BJ13" i="6"/>
  <c r="BR12" i="6"/>
  <c r="BJ12" i="6"/>
  <c r="BR11" i="6"/>
  <c r="BJ11" i="6"/>
  <c r="BR10" i="6"/>
  <c r="BJ10" i="6"/>
  <c r="BR9" i="6"/>
  <c r="BJ9" i="6"/>
  <c r="BR8" i="6"/>
  <c r="BJ8" i="6"/>
  <c r="BR7" i="6"/>
  <c r="BJ7" i="6"/>
  <c r="BR6" i="6"/>
  <c r="BJ6" i="6"/>
  <c r="BR5" i="6"/>
  <c r="BJ5" i="6"/>
  <c r="BQ4" i="6"/>
  <c r="BI4" i="6"/>
  <c r="BP3" i="6"/>
  <c r="BO2" i="6"/>
  <c r="BR98" i="6"/>
  <c r="BL95" i="6"/>
  <c r="BK74" i="6"/>
  <c r="BO69" i="6"/>
  <c r="BI66" i="6"/>
  <c r="BP65" i="6"/>
  <c r="BI61" i="6"/>
  <c r="BQ60" i="6"/>
  <c r="BL57" i="6"/>
  <c r="BM56" i="6"/>
  <c r="BP55" i="6"/>
  <c r="BJ51" i="6"/>
  <c r="BM47" i="6"/>
  <c r="BN42" i="6"/>
  <c r="BO38" i="6"/>
  <c r="BI34" i="6"/>
  <c r="BQ33" i="6"/>
  <c r="BL25" i="6"/>
  <c r="BL24" i="6"/>
  <c r="BQ23" i="6"/>
  <c r="BI19" i="6"/>
  <c r="BN18" i="6"/>
  <c r="BN17" i="6"/>
  <c r="BI11" i="6"/>
  <c r="BM10" i="6"/>
  <c r="BO9" i="6"/>
  <c r="BM74" i="6"/>
  <c r="BK66" i="6"/>
  <c r="BI51" i="6"/>
  <c r="BK47" i="6"/>
  <c r="BM42" i="6"/>
  <c r="BM37" i="6"/>
  <c r="BO33" i="6"/>
  <c r="BR30" i="6"/>
  <c r="BN29" i="6"/>
  <c r="BK24" i="6"/>
  <c r="BP23" i="6"/>
  <c r="BP22" i="6"/>
  <c r="BM17" i="6"/>
  <c r="BR16" i="6"/>
  <c r="BR15" i="6"/>
  <c r="BQ14" i="6"/>
  <c r="BI10" i="6"/>
  <c r="BM9" i="6"/>
  <c r="BO8" i="6"/>
  <c r="BP7" i="6"/>
  <c r="BQ6" i="6"/>
  <c r="BO4" i="6"/>
  <c r="BL3" i="6"/>
  <c r="BK92" i="6"/>
  <c r="BJ66" i="6"/>
  <c r="BQ65" i="6"/>
  <c r="BM62" i="6"/>
  <c r="BJ50" i="6"/>
  <c r="BI46" i="6"/>
  <c r="BQ45" i="6"/>
  <c r="BK42" i="6"/>
  <c r="BL37" i="6"/>
  <c r="BQ32" i="6"/>
  <c r="BK30" i="6"/>
  <c r="BM29" i="6"/>
  <c r="BR28" i="6"/>
  <c r="BR27" i="6"/>
  <c r="BJ24" i="6"/>
  <c r="BJ23" i="6"/>
  <c r="BO22" i="6"/>
  <c r="BL17" i="6"/>
  <c r="BL16" i="6"/>
  <c r="BQ15" i="6"/>
  <c r="BP14" i="6"/>
  <c r="BQ13" i="6"/>
  <c r="BI9" i="6"/>
  <c r="BM8" i="6"/>
  <c r="BO7" i="6"/>
  <c r="BP6" i="6"/>
  <c r="BQ5" i="6"/>
  <c r="BN4" i="6"/>
  <c r="BK3" i="6"/>
  <c r="BK61" i="6"/>
  <c r="BR60" i="6"/>
  <c r="BI50" i="6"/>
  <c r="BO45" i="6"/>
  <c r="BI41" i="6"/>
  <c r="BQ40" i="6"/>
  <c r="BK37" i="6"/>
  <c r="BR36" i="6"/>
  <c r="BO32" i="6"/>
  <c r="BJ30" i="6"/>
  <c r="BL29" i="6"/>
  <c r="BL28" i="6"/>
  <c r="BQ27" i="6"/>
  <c r="BI23" i="6"/>
  <c r="BN22" i="6"/>
  <c r="BN21" i="6"/>
  <c r="BK16" i="6"/>
  <c r="BP15" i="6"/>
  <c r="BO14" i="6"/>
  <c r="BP13" i="6"/>
  <c r="BQ12" i="6"/>
  <c r="BI8" i="6"/>
  <c r="BM7" i="6"/>
  <c r="BO6" i="6"/>
  <c r="BP5" i="6"/>
  <c r="BM4" i="6"/>
  <c r="BR2" i="6"/>
  <c r="BO56" i="6"/>
  <c r="BM45" i="6"/>
  <c r="BO40" i="6"/>
  <c r="BI36" i="6"/>
  <c r="BP35" i="6"/>
  <c r="BN32" i="6"/>
  <c r="BI30" i="6"/>
  <c r="BK28" i="6"/>
  <c r="BP27" i="6"/>
  <c r="BP26" i="6"/>
  <c r="BM21" i="6"/>
  <c r="BR20" i="6"/>
  <c r="BR19" i="6"/>
  <c r="BJ16" i="6"/>
  <c r="BJ15" i="6"/>
  <c r="BM14" i="6"/>
  <c r="BO13" i="6"/>
  <c r="BP12" i="6"/>
  <c r="BQ11" i="6"/>
  <c r="BI7" i="6"/>
  <c r="BM6" i="6"/>
  <c r="BO5" i="6"/>
  <c r="BL4" i="6"/>
  <c r="BN2" i="6"/>
  <c r="BN56" i="6"/>
  <c r="BR48" i="6"/>
  <c r="BK44" i="6"/>
  <c r="BM40" i="6"/>
  <c r="BO35" i="6"/>
  <c r="BQ31" i="6"/>
  <c r="BJ28" i="6"/>
  <c r="BJ27" i="6"/>
  <c r="BO26" i="6"/>
  <c r="BR84" i="6"/>
  <c r="BJ52" i="6"/>
  <c r="BQ48" i="6"/>
  <c r="BJ44" i="6"/>
  <c r="BQ43" i="6"/>
  <c r="BK39" i="6"/>
  <c r="BM35" i="6"/>
  <c r="BK31" i="6"/>
  <c r="BI27" i="6"/>
  <c r="BN26" i="6"/>
  <c r="BN25" i="6"/>
  <c r="BK20" i="6"/>
  <c r="BP19" i="6"/>
  <c r="BP18" i="6"/>
  <c r="BI13" i="6"/>
  <c r="BM12" i="6"/>
  <c r="BO11" i="6"/>
  <c r="BP10" i="6"/>
  <c r="BQ9" i="6"/>
  <c r="BN95" i="6"/>
  <c r="BR55" i="6"/>
  <c r="BI52" i="6"/>
  <c r="BO47" i="6"/>
  <c r="BI44" i="6"/>
  <c r="BP43" i="6"/>
  <c r="BI39" i="6"/>
  <c r="BQ38" i="6"/>
  <c r="BK34" i="6"/>
  <c r="BI31" i="6"/>
  <c r="BM25" i="6"/>
  <c r="BR24" i="6"/>
  <c r="BR23" i="6"/>
  <c r="BJ20" i="6"/>
  <c r="BJ19" i="6"/>
  <c r="BO18" i="6"/>
  <c r="BI12" i="6"/>
  <c r="BM11" i="6"/>
  <c r="BO10" i="6"/>
  <c r="BP9" i="6"/>
  <c r="BQ8" i="6"/>
  <c r="BN3" i="6"/>
  <c r="BK2" i="6"/>
  <c r="DC5" i="6"/>
  <c r="AO6" i="6"/>
  <c r="BO12" i="6"/>
  <c r="J249" i="5"/>
  <c r="L300" i="5"/>
  <c r="S64" i="5"/>
  <c r="BG92" i="5"/>
  <c r="CE92" i="5" s="1"/>
  <c r="BE92" i="5"/>
  <c r="BH92" i="5"/>
  <c r="Q101" i="6"/>
  <c r="O101" i="6"/>
  <c r="P101" i="6"/>
  <c r="Q100" i="6"/>
  <c r="O99" i="6"/>
  <c r="M98" i="6"/>
  <c r="S97" i="6"/>
  <c r="K97" i="6"/>
  <c r="Q96" i="6"/>
  <c r="O95" i="6"/>
  <c r="M94" i="6"/>
  <c r="S93" i="6"/>
  <c r="K93" i="6"/>
  <c r="Q92" i="6"/>
  <c r="O91" i="6"/>
  <c r="M90" i="6"/>
  <c r="S89" i="6"/>
  <c r="K89" i="6"/>
  <c r="Q88" i="6"/>
  <c r="O87" i="6"/>
  <c r="N101" i="6"/>
  <c r="P100" i="6"/>
  <c r="N99" i="6"/>
  <c r="T98" i="6"/>
  <c r="L98" i="6"/>
  <c r="R97" i="6"/>
  <c r="P96" i="6"/>
  <c r="N95" i="6"/>
  <c r="T94" i="6"/>
  <c r="L94" i="6"/>
  <c r="R93" i="6"/>
  <c r="P92" i="6"/>
  <c r="N91" i="6"/>
  <c r="T90" i="6"/>
  <c r="L90" i="6"/>
  <c r="R89" i="6"/>
  <c r="P88" i="6"/>
  <c r="N87" i="6"/>
  <c r="T86" i="6"/>
  <c r="K101" i="6"/>
  <c r="M100" i="6"/>
  <c r="S99" i="6"/>
  <c r="K99" i="6"/>
  <c r="Q98" i="6"/>
  <c r="O97" i="6"/>
  <c r="M96" i="6"/>
  <c r="S95" i="6"/>
  <c r="K95" i="6"/>
  <c r="Q94" i="6"/>
  <c r="O93" i="6"/>
  <c r="M92" i="6"/>
  <c r="S91" i="6"/>
  <c r="K91" i="6"/>
  <c r="Q90" i="6"/>
  <c r="O89" i="6"/>
  <c r="M88" i="6"/>
  <c r="S87" i="6"/>
  <c r="K87" i="6"/>
  <c r="Q86" i="6"/>
  <c r="O85" i="6"/>
  <c r="M84" i="6"/>
  <c r="S83" i="6"/>
  <c r="K83" i="6"/>
  <c r="Q82" i="6"/>
  <c r="O81" i="6"/>
  <c r="M80" i="6"/>
  <c r="S79" i="6"/>
  <c r="K79" i="6"/>
  <c r="Q78" i="6"/>
  <c r="O77" i="6"/>
  <c r="T100" i="6"/>
  <c r="P99" i="6"/>
  <c r="Q97" i="6"/>
  <c r="L96" i="6"/>
  <c r="T95" i="6"/>
  <c r="O94" i="6"/>
  <c r="R92" i="6"/>
  <c r="L91" i="6"/>
  <c r="S90" i="6"/>
  <c r="N89" i="6"/>
  <c r="Q87" i="6"/>
  <c r="L86" i="6"/>
  <c r="L85" i="6"/>
  <c r="L84" i="6"/>
  <c r="M83" i="6"/>
  <c r="M82" i="6"/>
  <c r="M81" i="6"/>
  <c r="N80" i="6"/>
  <c r="N79" i="6"/>
  <c r="N78" i="6"/>
  <c r="N77" i="6"/>
  <c r="P76" i="6"/>
  <c r="N75" i="6"/>
  <c r="T74" i="6"/>
  <c r="L74" i="6"/>
  <c r="R73" i="6"/>
  <c r="P72" i="6"/>
  <c r="N71" i="6"/>
  <c r="T70" i="6"/>
  <c r="L70" i="6"/>
  <c r="R69" i="6"/>
  <c r="P68" i="6"/>
  <c r="N67" i="6"/>
  <c r="T66" i="6"/>
  <c r="L66" i="6"/>
  <c r="R65" i="6"/>
  <c r="P64" i="6"/>
  <c r="N63" i="6"/>
  <c r="T62" i="6"/>
  <c r="L62" i="6"/>
  <c r="R61" i="6"/>
  <c r="P60" i="6"/>
  <c r="N59" i="6"/>
  <c r="T58" i="6"/>
  <c r="L58" i="6"/>
  <c r="T101" i="6"/>
  <c r="S100" i="6"/>
  <c r="M99" i="6"/>
  <c r="P97" i="6"/>
  <c r="K96" i="6"/>
  <c r="R95" i="6"/>
  <c r="N94" i="6"/>
  <c r="O92" i="6"/>
  <c r="R90" i="6"/>
  <c r="M89" i="6"/>
  <c r="T88" i="6"/>
  <c r="P87" i="6"/>
  <c r="K86" i="6"/>
  <c r="T85" i="6"/>
  <c r="K85" i="6"/>
  <c r="T84" i="6"/>
  <c r="K84" i="6"/>
  <c r="L83" i="6"/>
  <c r="L82" i="6"/>
  <c r="L81" i="6"/>
  <c r="L80" i="6"/>
  <c r="M79" i="6"/>
  <c r="M78" i="6"/>
  <c r="M77" i="6"/>
  <c r="O76" i="6"/>
  <c r="M75" i="6"/>
  <c r="S74" i="6"/>
  <c r="K74" i="6"/>
  <c r="Q73" i="6"/>
  <c r="O72" i="6"/>
  <c r="M71" i="6"/>
  <c r="S70" i="6"/>
  <c r="K70" i="6"/>
  <c r="Q69" i="6"/>
  <c r="O68" i="6"/>
  <c r="M67" i="6"/>
  <c r="S66" i="6"/>
  <c r="K66" i="6"/>
  <c r="Q65" i="6"/>
  <c r="O64" i="6"/>
  <c r="M63" i="6"/>
  <c r="S62" i="6"/>
  <c r="K62" i="6"/>
  <c r="Q61" i="6"/>
  <c r="O60" i="6"/>
  <c r="M59" i="6"/>
  <c r="S58" i="6"/>
  <c r="K58" i="6"/>
  <c r="Q57" i="6"/>
  <c r="O56" i="6"/>
  <c r="M55" i="6"/>
  <c r="S54" i="6"/>
  <c r="K54" i="6"/>
  <c r="Q53" i="6"/>
  <c r="S101" i="6"/>
  <c r="R100" i="6"/>
  <c r="L99" i="6"/>
  <c r="S98" i="6"/>
  <c r="N97" i="6"/>
  <c r="Q95" i="6"/>
  <c r="K94" i="6"/>
  <c r="T93" i="6"/>
  <c r="N92" i="6"/>
  <c r="P90" i="6"/>
  <c r="L89" i="6"/>
  <c r="S88" i="6"/>
  <c r="M87" i="6"/>
  <c r="S86" i="6"/>
  <c r="S85" i="6"/>
  <c r="S84" i="6"/>
  <c r="T83" i="6"/>
  <c r="T82" i="6"/>
  <c r="K82" i="6"/>
  <c r="T81" i="6"/>
  <c r="K81" i="6"/>
  <c r="T80" i="6"/>
  <c r="K80" i="6"/>
  <c r="L79" i="6"/>
  <c r="L78" i="6"/>
  <c r="L77" i="6"/>
  <c r="N76" i="6"/>
  <c r="T75" i="6"/>
  <c r="L75" i="6"/>
  <c r="R74" i="6"/>
  <c r="P73" i="6"/>
  <c r="N72" i="6"/>
  <c r="T71" i="6"/>
  <c r="L71" i="6"/>
  <c r="R70" i="6"/>
  <c r="M101" i="6"/>
  <c r="N100" i="6"/>
  <c r="P98" i="6"/>
  <c r="L97" i="6"/>
  <c r="S96" i="6"/>
  <c r="M95" i="6"/>
  <c r="P93" i="6"/>
  <c r="K92" i="6"/>
  <c r="R91" i="6"/>
  <c r="N90" i="6"/>
  <c r="O88" i="6"/>
  <c r="P86" i="6"/>
  <c r="Q85" i="6"/>
  <c r="Q84" i="6"/>
  <c r="Q83" i="6"/>
  <c r="R82" i="6"/>
  <c r="R81" i="6"/>
  <c r="R80" i="6"/>
  <c r="R79" i="6"/>
  <c r="S78" i="6"/>
  <c r="S77" i="6"/>
  <c r="T76" i="6"/>
  <c r="L76" i="6"/>
  <c r="R75" i="6"/>
  <c r="P74" i="6"/>
  <c r="N73" i="6"/>
  <c r="T72" i="6"/>
  <c r="L72" i="6"/>
  <c r="R71" i="6"/>
  <c r="P70" i="6"/>
  <c r="N69" i="6"/>
  <c r="T68" i="6"/>
  <c r="L68" i="6"/>
  <c r="R67" i="6"/>
  <c r="P66" i="6"/>
  <c r="N65" i="6"/>
  <c r="T64" i="6"/>
  <c r="L64" i="6"/>
  <c r="R63" i="6"/>
  <c r="P62" i="6"/>
  <c r="N61" i="6"/>
  <c r="T60" i="6"/>
  <c r="L60" i="6"/>
  <c r="R59" i="6"/>
  <c r="P58" i="6"/>
  <c r="N57" i="6"/>
  <c r="T56" i="6"/>
  <c r="L56" i="6"/>
  <c r="R55" i="6"/>
  <c r="P54" i="6"/>
  <c r="N53" i="6"/>
  <c r="T52" i="6"/>
  <c r="L52" i="6"/>
  <c r="R51" i="6"/>
  <c r="K98" i="6"/>
  <c r="T97" i="6"/>
  <c r="P94" i="6"/>
  <c r="M91" i="6"/>
  <c r="K88" i="6"/>
  <c r="R87" i="6"/>
  <c r="M86" i="6"/>
  <c r="M85" i="6"/>
  <c r="N84" i="6"/>
  <c r="N83" i="6"/>
  <c r="N82" i="6"/>
  <c r="N81" i="6"/>
  <c r="O80" i="6"/>
  <c r="O79" i="6"/>
  <c r="O78" i="6"/>
  <c r="P77" i="6"/>
  <c r="Q76" i="6"/>
  <c r="O75" i="6"/>
  <c r="M74" i="6"/>
  <c r="K73" i="6"/>
  <c r="K69" i="6"/>
  <c r="R68" i="6"/>
  <c r="L67" i="6"/>
  <c r="O65" i="6"/>
  <c r="Q63" i="6"/>
  <c r="M62" i="6"/>
  <c r="T61" i="6"/>
  <c r="N60" i="6"/>
  <c r="Q58" i="6"/>
  <c r="R57" i="6"/>
  <c r="N55" i="6"/>
  <c r="Q54" i="6"/>
  <c r="T53" i="6"/>
  <c r="M52" i="6"/>
  <c r="M51" i="6"/>
  <c r="P50" i="6"/>
  <c r="N49" i="6"/>
  <c r="T48" i="6"/>
  <c r="L48" i="6"/>
  <c r="R47" i="6"/>
  <c r="P46" i="6"/>
  <c r="N45" i="6"/>
  <c r="T44" i="6"/>
  <c r="L44" i="6"/>
  <c r="R43" i="6"/>
  <c r="P42" i="6"/>
  <c r="N41" i="6"/>
  <c r="T40" i="6"/>
  <c r="L40" i="6"/>
  <c r="R39" i="6"/>
  <c r="P38" i="6"/>
  <c r="N37" i="6"/>
  <c r="T36" i="6"/>
  <c r="L36" i="6"/>
  <c r="R35" i="6"/>
  <c r="P34" i="6"/>
  <c r="N33" i="6"/>
  <c r="O100" i="6"/>
  <c r="M97" i="6"/>
  <c r="T96" i="6"/>
  <c r="Q93" i="6"/>
  <c r="O90" i="6"/>
  <c r="L87" i="6"/>
  <c r="K78" i="6"/>
  <c r="K77" i="6"/>
  <c r="M76" i="6"/>
  <c r="K75" i="6"/>
  <c r="S71" i="6"/>
  <c r="Q70" i="6"/>
  <c r="Q68" i="6"/>
  <c r="K67" i="6"/>
  <c r="R66" i="6"/>
  <c r="M65" i="6"/>
  <c r="P63" i="6"/>
  <c r="S61" i="6"/>
  <c r="M60" i="6"/>
  <c r="T59" i="6"/>
  <c r="O58" i="6"/>
  <c r="P57" i="6"/>
  <c r="S56" i="6"/>
  <c r="L100" i="6"/>
  <c r="T99" i="6"/>
  <c r="R96" i="6"/>
  <c r="N93" i="6"/>
  <c r="K90" i="6"/>
  <c r="T89" i="6"/>
  <c r="K76" i="6"/>
  <c r="S72" i="6"/>
  <c r="Q71" i="6"/>
  <c r="O70" i="6"/>
  <c r="T69" i="6"/>
  <c r="N68" i="6"/>
  <c r="Q66" i="6"/>
  <c r="L65" i="6"/>
  <c r="S64" i="6"/>
  <c r="O63" i="6"/>
  <c r="P61" i="6"/>
  <c r="K60" i="6"/>
  <c r="S59" i="6"/>
  <c r="N58" i="6"/>
  <c r="O57" i="6"/>
  <c r="R56" i="6"/>
  <c r="K55" i="6"/>
  <c r="N54" i="6"/>
  <c r="R53" i="6"/>
  <c r="S52" i="6"/>
  <c r="T51" i="6"/>
  <c r="K51" i="6"/>
  <c r="N50" i="6"/>
  <c r="T49" i="6"/>
  <c r="L49" i="6"/>
  <c r="R48" i="6"/>
  <c r="P47" i="6"/>
  <c r="N46" i="6"/>
  <c r="T45" i="6"/>
  <c r="L45" i="6"/>
  <c r="R44" i="6"/>
  <c r="P43" i="6"/>
  <c r="N42" i="6"/>
  <c r="T41" i="6"/>
  <c r="L41" i="6"/>
  <c r="R40" i="6"/>
  <c r="P39" i="6"/>
  <c r="N38" i="6"/>
  <c r="T37" i="6"/>
  <c r="L37" i="6"/>
  <c r="R36" i="6"/>
  <c r="P35" i="6"/>
  <c r="N34" i="6"/>
  <c r="T33" i="6"/>
  <c r="L33" i="6"/>
  <c r="K100" i="6"/>
  <c r="R99" i="6"/>
  <c r="O96" i="6"/>
  <c r="M93" i="6"/>
  <c r="T92" i="6"/>
  <c r="Q89" i="6"/>
  <c r="T73" i="6"/>
  <c r="R72" i="6"/>
  <c r="P71" i="6"/>
  <c r="N70" i="6"/>
  <c r="S69" i="6"/>
  <c r="M68" i="6"/>
  <c r="T67" i="6"/>
  <c r="O66" i="6"/>
  <c r="K65" i="6"/>
  <c r="R64" i="6"/>
  <c r="L63" i="6"/>
  <c r="O61" i="6"/>
  <c r="Q59" i="6"/>
  <c r="M58" i="6"/>
  <c r="M57" i="6"/>
  <c r="Q56" i="6"/>
  <c r="T55" i="6"/>
  <c r="M54" i="6"/>
  <c r="P53" i="6"/>
  <c r="R52" i="6"/>
  <c r="S51" i="6"/>
  <c r="M50" i="6"/>
  <c r="Q99" i="6"/>
  <c r="N96" i="6"/>
  <c r="L93" i="6"/>
  <c r="S92" i="6"/>
  <c r="P89" i="6"/>
  <c r="S73" i="6"/>
  <c r="Q72" i="6"/>
  <c r="O71" i="6"/>
  <c r="M70" i="6"/>
  <c r="P69" i="6"/>
  <c r="K68" i="6"/>
  <c r="S67" i="6"/>
  <c r="N66" i="6"/>
  <c r="Q64" i="6"/>
  <c r="K63" i="6"/>
  <c r="R62" i="6"/>
  <c r="M61" i="6"/>
  <c r="P59" i="6"/>
  <c r="L57" i="6"/>
  <c r="P56" i="6"/>
  <c r="S55" i="6"/>
  <c r="L54" i="6"/>
  <c r="O53" i="6"/>
  <c r="Q52" i="6"/>
  <c r="Q51" i="6"/>
  <c r="T50" i="6"/>
  <c r="L50" i="6"/>
  <c r="R49" i="6"/>
  <c r="P48" i="6"/>
  <c r="N47" i="6"/>
  <c r="T46" i="6"/>
  <c r="L46" i="6"/>
  <c r="R45" i="6"/>
  <c r="P44" i="6"/>
  <c r="N43" i="6"/>
  <c r="T42" i="6"/>
  <c r="L42" i="6"/>
  <c r="R41" i="6"/>
  <c r="P40" i="6"/>
  <c r="N39" i="6"/>
  <c r="T38" i="6"/>
  <c r="L38" i="6"/>
  <c r="R37" i="6"/>
  <c r="P36" i="6"/>
  <c r="N35" i="6"/>
  <c r="T34" i="6"/>
  <c r="L34" i="6"/>
  <c r="R33" i="6"/>
  <c r="P32" i="6"/>
  <c r="N31" i="6"/>
  <c r="Q91" i="6"/>
  <c r="L88" i="6"/>
  <c r="P83" i="6"/>
  <c r="Q79" i="6"/>
  <c r="O74" i="6"/>
  <c r="O67" i="6"/>
  <c r="O62" i="6"/>
  <c r="O48" i="6"/>
  <c r="K47" i="6"/>
  <c r="R46" i="6"/>
  <c r="M45" i="6"/>
  <c r="O43" i="6"/>
  <c r="Q41" i="6"/>
  <c r="M40" i="6"/>
  <c r="T39" i="6"/>
  <c r="O38" i="6"/>
  <c r="Q36" i="6"/>
  <c r="L35" i="6"/>
  <c r="S34" i="6"/>
  <c r="O33" i="6"/>
  <c r="M32" i="6"/>
  <c r="M31" i="6"/>
  <c r="Q30" i="6"/>
  <c r="O29" i="6"/>
  <c r="M28" i="6"/>
  <c r="S27" i="6"/>
  <c r="K27" i="6"/>
  <c r="Q26" i="6"/>
  <c r="O25" i="6"/>
  <c r="M24" i="6"/>
  <c r="S23" i="6"/>
  <c r="K23" i="6"/>
  <c r="Q22" i="6"/>
  <c r="O21" i="6"/>
  <c r="M20" i="6"/>
  <c r="S19" i="6"/>
  <c r="K19" i="6"/>
  <c r="Q18" i="6"/>
  <c r="O17" i="6"/>
  <c r="M16" i="6"/>
  <c r="S15" i="6"/>
  <c r="K15" i="6"/>
  <c r="R14" i="6"/>
  <c r="R13" i="6"/>
  <c r="R12" i="6"/>
  <c r="R11" i="6"/>
  <c r="R10" i="6"/>
  <c r="R9" i="6"/>
  <c r="R8" i="6"/>
  <c r="R7" i="6"/>
  <c r="R6" i="6"/>
  <c r="R5" i="6"/>
  <c r="R101" i="6"/>
  <c r="S94" i="6"/>
  <c r="P91" i="6"/>
  <c r="R86" i="6"/>
  <c r="O83" i="6"/>
  <c r="S82" i="6"/>
  <c r="P79" i="6"/>
  <c r="T78" i="6"/>
  <c r="N74" i="6"/>
  <c r="M72" i="6"/>
  <c r="M66" i="6"/>
  <c r="T65" i="6"/>
  <c r="N62" i="6"/>
  <c r="Q55" i="6"/>
  <c r="P52" i="6"/>
  <c r="P51" i="6"/>
  <c r="S50" i="6"/>
  <c r="S49" i="6"/>
  <c r="N48" i="6"/>
  <c r="Q46" i="6"/>
  <c r="K45" i="6"/>
  <c r="S44" i="6"/>
  <c r="M43" i="6"/>
  <c r="P41" i="6"/>
  <c r="K40" i="6"/>
  <c r="S39" i="6"/>
  <c r="M38" i="6"/>
  <c r="O36" i="6"/>
  <c r="K35" i="6"/>
  <c r="R34" i="6"/>
  <c r="M33" i="6"/>
  <c r="L32" i="6"/>
  <c r="L31" i="6"/>
  <c r="P30" i="6"/>
  <c r="N29" i="6"/>
  <c r="T28" i="6"/>
  <c r="L28" i="6"/>
  <c r="R27" i="6"/>
  <c r="P26" i="6"/>
  <c r="N25" i="6"/>
  <c r="T24" i="6"/>
  <c r="L24" i="6"/>
  <c r="R23" i="6"/>
  <c r="P22" i="6"/>
  <c r="N21" i="6"/>
  <c r="T20" i="6"/>
  <c r="L20" i="6"/>
  <c r="R19" i="6"/>
  <c r="P18" i="6"/>
  <c r="N17" i="6"/>
  <c r="T16" i="6"/>
  <c r="L16" i="6"/>
  <c r="R15" i="6"/>
  <c r="L101" i="6"/>
  <c r="R94" i="6"/>
  <c r="O86" i="6"/>
  <c r="P82" i="6"/>
  <c r="R78" i="6"/>
  <c r="S75" i="6"/>
  <c r="K72" i="6"/>
  <c r="S65" i="6"/>
  <c r="L61" i="6"/>
  <c r="S60" i="6"/>
  <c r="P55" i="6"/>
  <c r="T54" i="6"/>
  <c r="O52" i="6"/>
  <c r="O51" i="6"/>
  <c r="R50" i="6"/>
  <c r="Q49" i="6"/>
  <c r="M48" i="6"/>
  <c r="T47" i="6"/>
  <c r="O46" i="6"/>
  <c r="Q44" i="6"/>
  <c r="L43" i="6"/>
  <c r="S42" i="6"/>
  <c r="O41" i="6"/>
  <c r="Q39" i="6"/>
  <c r="K38" i="6"/>
  <c r="S37" i="6"/>
  <c r="N36" i="6"/>
  <c r="Q34" i="6"/>
  <c r="K33" i="6"/>
  <c r="T32" i="6"/>
  <c r="K32" i="6"/>
  <c r="T31" i="6"/>
  <c r="K31" i="6"/>
  <c r="O30" i="6"/>
  <c r="M29" i="6"/>
  <c r="S28" i="6"/>
  <c r="K28" i="6"/>
  <c r="Q27" i="6"/>
  <c r="O26" i="6"/>
  <c r="M25" i="6"/>
  <c r="S24" i="6"/>
  <c r="K24" i="6"/>
  <c r="Q23" i="6"/>
  <c r="O22" i="6"/>
  <c r="M21" i="6"/>
  <c r="S20" i="6"/>
  <c r="K20" i="6"/>
  <c r="Q19" i="6"/>
  <c r="O18" i="6"/>
  <c r="M17" i="6"/>
  <c r="S16" i="6"/>
  <c r="K16" i="6"/>
  <c r="Q15" i="6"/>
  <c r="P14" i="6"/>
  <c r="P13" i="6"/>
  <c r="P12" i="6"/>
  <c r="P11" i="6"/>
  <c r="P10" i="6"/>
  <c r="P9" i="6"/>
  <c r="P8" i="6"/>
  <c r="P7" i="6"/>
  <c r="P6" i="6"/>
  <c r="P5" i="6"/>
  <c r="O4" i="6"/>
  <c r="N3" i="6"/>
  <c r="M2" i="6"/>
  <c r="BR92" i="5"/>
  <c r="L92" i="6"/>
  <c r="N86" i="6"/>
  <c r="R85" i="6"/>
  <c r="O82" i="6"/>
  <c r="S81" i="6"/>
  <c r="P78" i="6"/>
  <c r="T77" i="6"/>
  <c r="Q75" i="6"/>
  <c r="O69" i="6"/>
  <c r="P65" i="6"/>
  <c r="K61" i="6"/>
  <c r="R60" i="6"/>
  <c r="O55" i="6"/>
  <c r="R54" i="6"/>
  <c r="N52" i="6"/>
  <c r="N51" i="6"/>
  <c r="Q50" i="6"/>
  <c r="P49" i="6"/>
  <c r="K48" i="6"/>
  <c r="S47" i="6"/>
  <c r="M46" i="6"/>
  <c r="O44" i="6"/>
  <c r="K43" i="6"/>
  <c r="R42" i="6"/>
  <c r="M41" i="6"/>
  <c r="O39" i="6"/>
  <c r="Q37" i="6"/>
  <c r="M36" i="6"/>
  <c r="T35" i="6"/>
  <c r="O34" i="6"/>
  <c r="S32" i="6"/>
  <c r="S31" i="6"/>
  <c r="N30" i="6"/>
  <c r="T29" i="6"/>
  <c r="L29" i="6"/>
  <c r="R28" i="6"/>
  <c r="P27" i="6"/>
  <c r="N26" i="6"/>
  <c r="T25" i="6"/>
  <c r="L25" i="6"/>
  <c r="R24" i="6"/>
  <c r="P23" i="6"/>
  <c r="N22" i="6"/>
  <c r="T21" i="6"/>
  <c r="L21" i="6"/>
  <c r="R20" i="6"/>
  <c r="P19" i="6"/>
  <c r="N18" i="6"/>
  <c r="T17" i="6"/>
  <c r="L17" i="6"/>
  <c r="R16" i="6"/>
  <c r="P15" i="6"/>
  <c r="O14" i="6"/>
  <c r="O13" i="6"/>
  <c r="O12" i="6"/>
  <c r="O11" i="6"/>
  <c r="O10" i="6"/>
  <c r="O9" i="6"/>
  <c r="O8" i="6"/>
  <c r="O7" i="6"/>
  <c r="O6" i="6"/>
  <c r="O5" i="6"/>
  <c r="N4" i="6"/>
  <c r="M3" i="6"/>
  <c r="T2" i="6"/>
  <c r="L2" i="6"/>
  <c r="P95" i="6"/>
  <c r="T87" i="6"/>
  <c r="P85" i="6"/>
  <c r="Q81" i="6"/>
  <c r="R77" i="6"/>
  <c r="P75" i="6"/>
  <c r="O73" i="6"/>
  <c r="M69" i="6"/>
  <c r="N64" i="6"/>
  <c r="Q60" i="6"/>
  <c r="T57" i="6"/>
  <c r="N56" i="6"/>
  <c r="L55" i="6"/>
  <c r="O54" i="6"/>
  <c r="S53" i="6"/>
  <c r="K52" i="6"/>
  <c r="L51" i="6"/>
  <c r="O50" i="6"/>
  <c r="O49" i="6"/>
  <c r="Q47" i="6"/>
  <c r="K46" i="6"/>
  <c r="S45" i="6"/>
  <c r="N44" i="6"/>
  <c r="Q42" i="6"/>
  <c r="K41" i="6"/>
  <c r="S40" i="6"/>
  <c r="M39" i="6"/>
  <c r="P37" i="6"/>
  <c r="K36" i="6"/>
  <c r="S35" i="6"/>
  <c r="M34" i="6"/>
  <c r="R32" i="6"/>
  <c r="R31" i="6"/>
  <c r="M30" i="6"/>
  <c r="S29" i="6"/>
  <c r="K29" i="6"/>
  <c r="Q28" i="6"/>
  <c r="O27" i="6"/>
  <c r="M26" i="6"/>
  <c r="S25" i="6"/>
  <c r="K25" i="6"/>
  <c r="Q24" i="6"/>
  <c r="O23" i="6"/>
  <c r="M22" i="6"/>
  <c r="S21" i="6"/>
  <c r="K21" i="6"/>
  <c r="Q20" i="6"/>
  <c r="O19" i="6"/>
  <c r="M18" i="6"/>
  <c r="S17" i="6"/>
  <c r="K17" i="6"/>
  <c r="Q16" i="6"/>
  <c r="O15" i="6"/>
  <c r="N14" i="6"/>
  <c r="N13" i="6"/>
  <c r="N12" i="6"/>
  <c r="N11" i="6"/>
  <c r="N10" i="6"/>
  <c r="N9" i="6"/>
  <c r="N8" i="6"/>
  <c r="N7" i="6"/>
  <c r="N6" i="6"/>
  <c r="N5" i="6"/>
  <c r="M4" i="6"/>
  <c r="T3" i="6"/>
  <c r="L3" i="6"/>
  <c r="S2" i="6"/>
  <c r="K2" i="6"/>
  <c r="BP92" i="5"/>
  <c r="N98" i="6"/>
  <c r="T91" i="6"/>
  <c r="N88" i="6"/>
  <c r="O84" i="6"/>
  <c r="R83" i="6"/>
  <c r="P80" i="6"/>
  <c r="T79" i="6"/>
  <c r="R76" i="6"/>
  <c r="Q74" i="6"/>
  <c r="P67" i="6"/>
  <c r="Q62" i="6"/>
  <c r="K59" i="6"/>
  <c r="R58" i="6"/>
  <c r="L95" i="6"/>
  <c r="R84" i="6"/>
  <c r="Q80" i="6"/>
  <c r="Q77" i="6"/>
  <c r="L59" i="6"/>
  <c r="K57" i="6"/>
  <c r="M49" i="6"/>
  <c r="O45" i="6"/>
  <c r="O40" i="6"/>
  <c r="Q35" i="6"/>
  <c r="M27" i="6"/>
  <c r="R26" i="6"/>
  <c r="R25" i="6"/>
  <c r="O20" i="6"/>
  <c r="T19" i="6"/>
  <c r="T18" i="6"/>
  <c r="L15" i="6"/>
  <c r="K13" i="6"/>
  <c r="L12" i="6"/>
  <c r="M11" i="6"/>
  <c r="Q10" i="6"/>
  <c r="S9" i="6"/>
  <c r="P84" i="6"/>
  <c r="P81" i="6"/>
  <c r="M73" i="6"/>
  <c r="M56" i="6"/>
  <c r="K49" i="6"/>
  <c r="S48" i="6"/>
  <c r="M44" i="6"/>
  <c r="T43" i="6"/>
  <c r="N40" i="6"/>
  <c r="O35" i="6"/>
  <c r="Q32" i="6"/>
  <c r="T30" i="6"/>
  <c r="L27" i="6"/>
  <c r="L26" i="6"/>
  <c r="Q25" i="6"/>
  <c r="N20" i="6"/>
  <c r="N19" i="6"/>
  <c r="S18" i="6"/>
  <c r="K12" i="6"/>
  <c r="L11" i="6"/>
  <c r="M10" i="6"/>
  <c r="Q9" i="6"/>
  <c r="S8" i="6"/>
  <c r="T7" i="6"/>
  <c r="Q4" i="6"/>
  <c r="K3" i="6"/>
  <c r="N85" i="6"/>
  <c r="L73" i="6"/>
  <c r="K56" i="6"/>
  <c r="Q48" i="6"/>
  <c r="K44" i="6"/>
  <c r="S43" i="6"/>
  <c r="L39" i="6"/>
  <c r="S38" i="6"/>
  <c r="M35" i="6"/>
  <c r="O32" i="6"/>
  <c r="S30" i="6"/>
  <c r="K26" i="6"/>
  <c r="P25" i="6"/>
  <c r="P24" i="6"/>
  <c r="M19" i="6"/>
  <c r="R18" i="6"/>
  <c r="R17" i="6"/>
  <c r="T14" i="6"/>
  <c r="K11" i="6"/>
  <c r="L10" i="6"/>
  <c r="M9" i="6"/>
  <c r="Q8" i="6"/>
  <c r="S7" i="6"/>
  <c r="T6" i="6"/>
  <c r="P4" i="6"/>
  <c r="R2" i="6"/>
  <c r="K50" i="6"/>
  <c r="O47" i="6"/>
  <c r="Q43" i="6"/>
  <c r="K39" i="6"/>
  <c r="R38" i="6"/>
  <c r="K34" i="6"/>
  <c r="S33" i="6"/>
  <c r="N32" i="6"/>
  <c r="R30" i="6"/>
  <c r="R29" i="6"/>
  <c r="O24" i="6"/>
  <c r="T23" i="6"/>
  <c r="T22" i="6"/>
  <c r="L19" i="6"/>
  <c r="L18" i="6"/>
  <c r="Q17" i="6"/>
  <c r="S14" i="6"/>
  <c r="T13" i="6"/>
  <c r="K10" i="6"/>
  <c r="L9" i="6"/>
  <c r="M8" i="6"/>
  <c r="Q7" i="6"/>
  <c r="S6" i="6"/>
  <c r="T5" i="6"/>
  <c r="L4" i="6"/>
  <c r="Q2" i="6"/>
  <c r="CJ92" i="5"/>
  <c r="R88" i="6"/>
  <c r="M47" i="6"/>
  <c r="O42" i="6"/>
  <c r="Q38" i="6"/>
  <c r="Q33" i="6"/>
  <c r="L30" i="6"/>
  <c r="Q29" i="6"/>
  <c r="N24" i="6"/>
  <c r="N23" i="6"/>
  <c r="S22" i="6"/>
  <c r="K18" i="6"/>
  <c r="P17" i="6"/>
  <c r="P16" i="6"/>
  <c r="Q14" i="6"/>
  <c r="S13" i="6"/>
  <c r="T12" i="6"/>
  <c r="K9" i="6"/>
  <c r="L8" i="6"/>
  <c r="M7" i="6"/>
  <c r="Q6" i="6"/>
  <c r="S5" i="6"/>
  <c r="K4" i="6"/>
  <c r="S3" i="6"/>
  <c r="P2" i="6"/>
  <c r="S68" i="6"/>
  <c r="T63" i="6"/>
  <c r="M53" i="6"/>
  <c r="L47" i="6"/>
  <c r="S46" i="6"/>
  <c r="M42" i="6"/>
  <c r="O37" i="6"/>
  <c r="P33" i="6"/>
  <c r="Q31" i="6"/>
  <c r="K30" i="6"/>
  <c r="P29" i="6"/>
  <c r="P28" i="6"/>
  <c r="R98" i="6"/>
  <c r="L69" i="6"/>
  <c r="Q67" i="6"/>
  <c r="M64" i="6"/>
  <c r="S63" i="6"/>
  <c r="L53" i="6"/>
  <c r="Q45" i="6"/>
  <c r="K42" i="6"/>
  <c r="S41" i="6"/>
  <c r="M37" i="6"/>
  <c r="P31" i="6"/>
  <c r="O28" i="6"/>
  <c r="T27" i="6"/>
  <c r="T26" i="6"/>
  <c r="L23" i="6"/>
  <c r="L22" i="6"/>
  <c r="Q21" i="6"/>
  <c r="N16" i="6"/>
  <c r="N15" i="6"/>
  <c r="L14" i="6"/>
  <c r="M13" i="6"/>
  <c r="Q12" i="6"/>
  <c r="S11" i="6"/>
  <c r="T10" i="6"/>
  <c r="K7" i="6"/>
  <c r="O98" i="6"/>
  <c r="S80" i="6"/>
  <c r="S76" i="6"/>
  <c r="K71" i="6"/>
  <c r="K64" i="6"/>
  <c r="O59" i="6"/>
  <c r="S57" i="6"/>
  <c r="K53" i="6"/>
  <c r="P45" i="6"/>
  <c r="Q40" i="6"/>
  <c r="K37" i="6"/>
  <c r="S36" i="6"/>
  <c r="O31" i="6"/>
  <c r="N28" i="6"/>
  <c r="N27" i="6"/>
  <c r="S26" i="6"/>
  <c r="K22" i="6"/>
  <c r="P21" i="6"/>
  <c r="P20" i="6"/>
  <c r="M15" i="6"/>
  <c r="K14" i="6"/>
  <c r="L13" i="6"/>
  <c r="M12" i="6"/>
  <c r="Q11" i="6"/>
  <c r="S10" i="6"/>
  <c r="T9" i="6"/>
  <c r="K6" i="6"/>
  <c r="L5" i="6"/>
  <c r="S4" i="6"/>
  <c r="P3" i="6"/>
  <c r="BH93" i="5"/>
  <c r="BQ98" i="5"/>
  <c r="CF98" i="5"/>
  <c r="CB99" i="5"/>
  <c r="J226" i="5"/>
  <c r="J245" i="5"/>
  <c r="BJ2" i="6"/>
  <c r="CL2" i="6"/>
  <c r="BO3" i="6"/>
  <c r="AW4" i="6"/>
  <c r="CF4" i="6"/>
  <c r="BY5" i="6"/>
  <c r="AS6" i="6"/>
  <c r="CO6" i="6"/>
  <c r="K8" i="6"/>
  <c r="CF8" i="6"/>
  <c r="BP11" i="6"/>
  <c r="CE12" i="6"/>
  <c r="CO14" i="6"/>
  <c r="BD16" i="6"/>
  <c r="BL21" i="6"/>
  <c r="BV99" i="5"/>
  <c r="BI100" i="5"/>
  <c r="CT34" i="6"/>
  <c r="CT26" i="6"/>
  <c r="CT25" i="6"/>
  <c r="CT31" i="6"/>
  <c r="CT3" i="6"/>
  <c r="CT18" i="6"/>
  <c r="CT17" i="6"/>
  <c r="CT29" i="6"/>
  <c r="CT30" i="6"/>
  <c r="CT22" i="6"/>
  <c r="CT21" i="6"/>
  <c r="CT4" i="6"/>
  <c r="BY23" i="6"/>
  <c r="I7" i="8"/>
  <c r="AD29" i="5"/>
  <c r="BG93" i="5"/>
  <c r="BH95" i="5"/>
  <c r="BG95" i="5"/>
  <c r="BI95" i="5"/>
  <c r="BP98" i="5"/>
  <c r="CE98" i="5"/>
  <c r="CA99" i="5"/>
  <c r="CM99" i="5"/>
  <c r="DC11" i="6"/>
  <c r="DC10" i="6"/>
  <c r="DC9" i="6"/>
  <c r="DC7" i="6"/>
  <c r="DC6" i="6"/>
  <c r="BE102" i="5"/>
  <c r="CK2" i="6"/>
  <c r="BM3" i="6"/>
  <c r="AV4" i="6"/>
  <c r="CD4" i="6"/>
  <c r="BW5" i="6"/>
  <c r="BW8" i="6"/>
  <c r="BQ19" i="6"/>
  <c r="AO21" i="6"/>
  <c r="J47" i="10"/>
  <c r="I47" i="10"/>
  <c r="H318" i="5"/>
  <c r="H316" i="5"/>
  <c r="L314" i="5"/>
  <c r="L312" i="5"/>
  <c r="E278" i="5" s="1"/>
  <c r="L310" i="5"/>
  <c r="H304" i="5"/>
  <c r="H302" i="5"/>
  <c r="L294" i="5"/>
  <c r="L292" i="5"/>
  <c r="E280" i="5" s="1"/>
  <c r="L290" i="5"/>
  <c r="J261" i="5"/>
  <c r="J259" i="5"/>
  <c r="E225" i="5" s="1"/>
  <c r="J257" i="5"/>
  <c r="J244" i="5"/>
  <c r="J241" i="5"/>
  <c r="E227" i="5" s="1"/>
  <c r="J239" i="5"/>
  <c r="L297" i="5"/>
  <c r="L296" i="5"/>
  <c r="J264" i="5"/>
  <c r="F247" i="5"/>
  <c r="J243" i="5"/>
  <c r="H319" i="5"/>
  <c r="F264" i="5"/>
  <c r="J258" i="5"/>
  <c r="F248" i="5"/>
  <c r="L315" i="5"/>
  <c r="L293" i="5"/>
  <c r="E292" i="5" s="1"/>
  <c r="H303" i="5"/>
  <c r="L317" i="5"/>
  <c r="L311" i="5"/>
  <c r="J263" i="5"/>
  <c r="J260" i="5"/>
  <c r="E241" i="5" s="1"/>
  <c r="F250" i="5"/>
  <c r="J246" i="5"/>
  <c r="L278" i="5"/>
  <c r="BA92" i="5"/>
  <c r="CH92" i="5" s="1"/>
  <c r="BS92" i="5"/>
  <c r="BE94" i="5"/>
  <c r="CK94" i="5" s="1"/>
  <c r="BD94" i="5"/>
  <c r="BJ94" i="5"/>
  <c r="CD94" i="5" s="1"/>
  <c r="BB95" i="5"/>
  <c r="BA96" i="5"/>
  <c r="AY21" i="6" s="1"/>
  <c r="BR98" i="5"/>
  <c r="CH98" i="5"/>
  <c r="CC99" i="5"/>
  <c r="BJ102" i="5"/>
  <c r="DO2" i="6"/>
  <c r="DO3" i="6"/>
  <c r="N236" i="5"/>
  <c r="E236" i="5"/>
  <c r="L281" i="5"/>
  <c r="E231" i="5"/>
  <c r="E233" i="5"/>
  <c r="J248" i="5"/>
  <c r="BL2" i="6"/>
  <c r="DJ2" i="6"/>
  <c r="BS3" i="6"/>
  <c r="CZ3" i="6"/>
  <c r="R4" i="6"/>
  <c r="CJ4" i="6"/>
  <c r="DC4" i="6"/>
  <c r="AQ5" i="6"/>
  <c r="CC5" i="6"/>
  <c r="DI5" i="6"/>
  <c r="AR7" i="6"/>
  <c r="T8" i="6"/>
  <c r="CF11" i="6"/>
  <c r="AW13" i="6"/>
  <c r="M14" i="6"/>
  <c r="CA16" i="6"/>
  <c r="K4" i="8"/>
  <c r="AD27" i="5"/>
  <c r="BH39" i="6"/>
  <c r="BH31" i="6"/>
  <c r="BH12" i="6"/>
  <c r="BH19" i="6"/>
  <c r="BH18" i="6"/>
  <c r="BH11" i="6"/>
  <c r="BH51" i="6"/>
  <c r="BH10" i="6"/>
  <c r="BH9" i="6"/>
  <c r="BH50" i="6"/>
  <c r="BH23" i="6"/>
  <c r="BH22" i="6"/>
  <c r="BH8" i="6"/>
  <c r="BH15" i="6"/>
  <c r="BH14" i="6"/>
  <c r="BH6" i="6"/>
  <c r="BH27" i="6"/>
  <c r="BH26" i="6"/>
  <c r="BH13" i="6"/>
  <c r="BH5" i="6"/>
  <c r="CK101" i="6"/>
  <c r="CC101" i="6"/>
  <c r="CI100" i="6"/>
  <c r="CI101" i="6"/>
  <c r="CG100" i="6"/>
  <c r="CE100" i="6"/>
  <c r="CI99" i="6"/>
  <c r="CG98" i="6"/>
  <c r="CE97" i="6"/>
  <c r="CK96" i="6"/>
  <c r="CC96" i="6"/>
  <c r="CI95" i="6"/>
  <c r="CG94" i="6"/>
  <c r="CE93" i="6"/>
  <c r="CK92" i="6"/>
  <c r="CC92" i="6"/>
  <c r="CI91" i="6"/>
  <c r="CG90" i="6"/>
  <c r="CE89" i="6"/>
  <c r="CK88" i="6"/>
  <c r="CC88" i="6"/>
  <c r="CI87" i="6"/>
  <c r="CG86" i="6"/>
  <c r="CL101" i="6"/>
  <c r="CD100" i="6"/>
  <c r="CH99" i="6"/>
  <c r="CF98" i="6"/>
  <c r="CL97" i="6"/>
  <c r="CD97" i="6"/>
  <c r="CJ96" i="6"/>
  <c r="CH95" i="6"/>
  <c r="CF94" i="6"/>
  <c r="CL93" i="6"/>
  <c r="CD93" i="6"/>
  <c r="CJ92" i="6"/>
  <c r="CH91" i="6"/>
  <c r="CF90" i="6"/>
  <c r="CL89" i="6"/>
  <c r="CD89" i="6"/>
  <c r="CJ88" i="6"/>
  <c r="CH87" i="6"/>
  <c r="CF86" i="6"/>
  <c r="CG101" i="6"/>
  <c r="CK100" i="6"/>
  <c r="CE99" i="6"/>
  <c r="CK98" i="6"/>
  <c r="CC98" i="6"/>
  <c r="CI97" i="6"/>
  <c r="CG96" i="6"/>
  <c r="CE95" i="6"/>
  <c r="CK94" i="6"/>
  <c r="CC94" i="6"/>
  <c r="CI93" i="6"/>
  <c r="CG92" i="6"/>
  <c r="CE91" i="6"/>
  <c r="CK90" i="6"/>
  <c r="CC90" i="6"/>
  <c r="CI89" i="6"/>
  <c r="CG88" i="6"/>
  <c r="CE87" i="6"/>
  <c r="CK86" i="6"/>
  <c r="CC86" i="6"/>
  <c r="CI85" i="6"/>
  <c r="CG84" i="6"/>
  <c r="CE83" i="6"/>
  <c r="CK82" i="6"/>
  <c r="CC82" i="6"/>
  <c r="CI81" i="6"/>
  <c r="CG80" i="6"/>
  <c r="CE79" i="6"/>
  <c r="CK78" i="6"/>
  <c r="CC78" i="6"/>
  <c r="CI77" i="6"/>
  <c r="CG76" i="6"/>
  <c r="CC100" i="6"/>
  <c r="CI98" i="6"/>
  <c r="CC97" i="6"/>
  <c r="CL96" i="6"/>
  <c r="CF95" i="6"/>
  <c r="CH93" i="6"/>
  <c r="CD92" i="6"/>
  <c r="CK91" i="6"/>
  <c r="CE90" i="6"/>
  <c r="CH88" i="6"/>
  <c r="CC87" i="6"/>
  <c r="CJ86" i="6"/>
  <c r="CG85" i="6"/>
  <c r="CH84" i="6"/>
  <c r="CH83" i="6"/>
  <c r="CH82" i="6"/>
  <c r="CH81" i="6"/>
  <c r="CI80" i="6"/>
  <c r="CI79" i="6"/>
  <c r="CI78" i="6"/>
  <c r="CJ77" i="6"/>
  <c r="CJ76" i="6"/>
  <c r="CH75" i="6"/>
  <c r="CF74" i="6"/>
  <c r="CL73" i="6"/>
  <c r="CD73" i="6"/>
  <c r="CJ72" i="6"/>
  <c r="CH71" i="6"/>
  <c r="CF70" i="6"/>
  <c r="CL69" i="6"/>
  <c r="CD69" i="6"/>
  <c r="CJ68" i="6"/>
  <c r="CH67" i="6"/>
  <c r="CF66" i="6"/>
  <c r="CL65" i="6"/>
  <c r="CD65" i="6"/>
  <c r="CJ64" i="6"/>
  <c r="CH63" i="6"/>
  <c r="CF62" i="6"/>
  <c r="CL61" i="6"/>
  <c r="CD61" i="6"/>
  <c r="CJ60" i="6"/>
  <c r="CH59" i="6"/>
  <c r="CF58" i="6"/>
  <c r="CJ101" i="6"/>
  <c r="CL99" i="6"/>
  <c r="CH98" i="6"/>
  <c r="CI96" i="6"/>
  <c r="CD95" i="6"/>
  <c r="CL94" i="6"/>
  <c r="CG93" i="6"/>
  <c r="CJ91" i="6"/>
  <c r="CD90" i="6"/>
  <c r="CK89" i="6"/>
  <c r="CF88" i="6"/>
  <c r="CI86" i="6"/>
  <c r="CF85" i="6"/>
  <c r="CF84" i="6"/>
  <c r="CG83" i="6"/>
  <c r="CG82" i="6"/>
  <c r="CG81" i="6"/>
  <c r="CH80" i="6"/>
  <c r="CH79" i="6"/>
  <c r="CH78" i="6"/>
  <c r="CH77" i="6"/>
  <c r="CI76" i="6"/>
  <c r="CG75" i="6"/>
  <c r="CE74" i="6"/>
  <c r="CK73" i="6"/>
  <c r="CC73" i="6"/>
  <c r="CI72" i="6"/>
  <c r="CG71" i="6"/>
  <c r="CE70" i="6"/>
  <c r="CK69" i="6"/>
  <c r="CC69" i="6"/>
  <c r="CI68" i="6"/>
  <c r="CG67" i="6"/>
  <c r="CE66" i="6"/>
  <c r="CK65" i="6"/>
  <c r="CC65" i="6"/>
  <c r="CI64" i="6"/>
  <c r="CG63" i="6"/>
  <c r="CE62" i="6"/>
  <c r="CK61" i="6"/>
  <c r="CC61" i="6"/>
  <c r="CI60" i="6"/>
  <c r="CG59" i="6"/>
  <c r="CE58" i="6"/>
  <c r="CK57" i="6"/>
  <c r="CC57" i="6"/>
  <c r="CI56" i="6"/>
  <c r="CG55" i="6"/>
  <c r="CE54" i="6"/>
  <c r="CK53" i="6"/>
  <c r="CC53" i="6"/>
  <c r="CI52" i="6"/>
  <c r="CH101" i="6"/>
  <c r="CK99" i="6"/>
  <c r="CE98" i="6"/>
  <c r="CH96" i="6"/>
  <c r="CC95" i="6"/>
  <c r="CJ94" i="6"/>
  <c r="CF93" i="6"/>
  <c r="CG91" i="6"/>
  <c r="CJ89" i="6"/>
  <c r="CE88" i="6"/>
  <c r="CL87" i="6"/>
  <c r="CH86" i="6"/>
  <c r="CE85" i="6"/>
  <c r="CE84" i="6"/>
  <c r="CF83" i="6"/>
  <c r="CF82" i="6"/>
  <c r="CF81" i="6"/>
  <c r="CF80" i="6"/>
  <c r="CG79" i="6"/>
  <c r="CG78" i="6"/>
  <c r="CG77" i="6"/>
  <c r="CH76" i="6"/>
  <c r="CF75" i="6"/>
  <c r="CL74" i="6"/>
  <c r="CD74" i="6"/>
  <c r="CJ73" i="6"/>
  <c r="CH72" i="6"/>
  <c r="CF71" i="6"/>
  <c r="CL70" i="6"/>
  <c r="CD70" i="6"/>
  <c r="CE101" i="6"/>
  <c r="CL100" i="6"/>
  <c r="CG99" i="6"/>
  <c r="CJ97" i="6"/>
  <c r="CE96" i="6"/>
  <c r="CL95" i="6"/>
  <c r="CH94" i="6"/>
  <c r="CI92" i="6"/>
  <c r="CD91" i="6"/>
  <c r="CL90" i="6"/>
  <c r="CG89" i="6"/>
  <c r="CJ87" i="6"/>
  <c r="CD86" i="6"/>
  <c r="CL85" i="6"/>
  <c r="CC85" i="6"/>
  <c r="CL84" i="6"/>
  <c r="CC84" i="6"/>
  <c r="CL83" i="6"/>
  <c r="CC83" i="6"/>
  <c r="CD82" i="6"/>
  <c r="CD81" i="6"/>
  <c r="CD80" i="6"/>
  <c r="CD79" i="6"/>
  <c r="CE78" i="6"/>
  <c r="CE77" i="6"/>
  <c r="CE76" i="6"/>
  <c r="CL75" i="6"/>
  <c r="CD75" i="6"/>
  <c r="CJ74" i="6"/>
  <c r="CH73" i="6"/>
  <c r="CF72" i="6"/>
  <c r="CL71" i="6"/>
  <c r="CD71" i="6"/>
  <c r="CJ70" i="6"/>
  <c r="CH69" i="6"/>
  <c r="CF68" i="6"/>
  <c r="CL67" i="6"/>
  <c r="CD67" i="6"/>
  <c r="CJ66" i="6"/>
  <c r="CH65" i="6"/>
  <c r="CF64" i="6"/>
  <c r="CL63" i="6"/>
  <c r="CD63" i="6"/>
  <c r="CJ62" i="6"/>
  <c r="CH61" i="6"/>
  <c r="CF60" i="6"/>
  <c r="CL59" i="6"/>
  <c r="CD59" i="6"/>
  <c r="CJ58" i="6"/>
  <c r="CH57" i="6"/>
  <c r="CF56" i="6"/>
  <c r="CL55" i="6"/>
  <c r="CD55" i="6"/>
  <c r="CJ54" i="6"/>
  <c r="CH53" i="6"/>
  <c r="CF52" i="6"/>
  <c r="CL51" i="6"/>
  <c r="CD51" i="6"/>
  <c r="CJ50" i="6"/>
  <c r="CF100" i="6"/>
  <c r="CC99" i="6"/>
  <c r="CJ98" i="6"/>
  <c r="CG95" i="6"/>
  <c r="CE92" i="6"/>
  <c r="CL91" i="6"/>
  <c r="CI88" i="6"/>
  <c r="CH85" i="6"/>
  <c r="CI84" i="6"/>
  <c r="CI83" i="6"/>
  <c r="CI82" i="6"/>
  <c r="CJ81" i="6"/>
  <c r="CJ80" i="6"/>
  <c r="CJ79" i="6"/>
  <c r="CJ78" i="6"/>
  <c r="CK77" i="6"/>
  <c r="CK76" i="6"/>
  <c r="CK72" i="6"/>
  <c r="CI71" i="6"/>
  <c r="CG70" i="6"/>
  <c r="CI69" i="6"/>
  <c r="CD68" i="6"/>
  <c r="CK67" i="6"/>
  <c r="CG66" i="6"/>
  <c r="CH64" i="6"/>
  <c r="CC63" i="6"/>
  <c r="CK62" i="6"/>
  <c r="CF61" i="6"/>
  <c r="CI59" i="6"/>
  <c r="CC58" i="6"/>
  <c r="CD57" i="6"/>
  <c r="CG56" i="6"/>
  <c r="CJ55" i="6"/>
  <c r="CC54" i="6"/>
  <c r="CF53" i="6"/>
  <c r="CJ52" i="6"/>
  <c r="CH51" i="6"/>
  <c r="CH50" i="6"/>
  <c r="CH49" i="6"/>
  <c r="CF48" i="6"/>
  <c r="CL47" i="6"/>
  <c r="CD47" i="6"/>
  <c r="CJ46" i="6"/>
  <c r="CH45" i="6"/>
  <c r="CF44" i="6"/>
  <c r="CL43" i="6"/>
  <c r="CD43" i="6"/>
  <c r="CJ42" i="6"/>
  <c r="CH41" i="6"/>
  <c r="CF40" i="6"/>
  <c r="CL39" i="6"/>
  <c r="CD39" i="6"/>
  <c r="CJ38" i="6"/>
  <c r="CH37" i="6"/>
  <c r="CF36" i="6"/>
  <c r="CL35" i="6"/>
  <c r="CD35" i="6"/>
  <c r="CJ34" i="6"/>
  <c r="CH33" i="6"/>
  <c r="CF32" i="6"/>
  <c r="CD98" i="6"/>
  <c r="CK97" i="6"/>
  <c r="CI94" i="6"/>
  <c r="CF91" i="6"/>
  <c r="CD88" i="6"/>
  <c r="CK87" i="6"/>
  <c r="CD85" i="6"/>
  <c r="CD84" i="6"/>
  <c r="CD83" i="6"/>
  <c r="CE82" i="6"/>
  <c r="CE81" i="6"/>
  <c r="CE80" i="6"/>
  <c r="CF79" i="6"/>
  <c r="CF78" i="6"/>
  <c r="CF77" i="6"/>
  <c r="CF76" i="6"/>
  <c r="CK74" i="6"/>
  <c r="CI73" i="6"/>
  <c r="CG72" i="6"/>
  <c r="CE71" i="6"/>
  <c r="CC70" i="6"/>
  <c r="CG69" i="6"/>
  <c r="CC68" i="6"/>
  <c r="CJ67" i="6"/>
  <c r="CD66" i="6"/>
  <c r="CG64" i="6"/>
  <c r="CI62" i="6"/>
  <c r="CE61" i="6"/>
  <c r="CL60" i="6"/>
  <c r="CF59" i="6"/>
  <c r="CE56" i="6"/>
  <c r="CH97" i="6"/>
  <c r="CE94" i="6"/>
  <c r="CC91" i="6"/>
  <c r="CJ90" i="6"/>
  <c r="CG87" i="6"/>
  <c r="CC81" i="6"/>
  <c r="CC80" i="6"/>
  <c r="CC79" i="6"/>
  <c r="CD78" i="6"/>
  <c r="CD77" i="6"/>
  <c r="CD76" i="6"/>
  <c r="CK75" i="6"/>
  <c r="CI74" i="6"/>
  <c r="CG73" i="6"/>
  <c r="CE72" i="6"/>
  <c r="CC71" i="6"/>
  <c r="CF69" i="6"/>
  <c r="CI67" i="6"/>
  <c r="CC66" i="6"/>
  <c r="CJ65" i="6"/>
  <c r="CE64" i="6"/>
  <c r="CH62" i="6"/>
  <c r="CK60" i="6"/>
  <c r="CE59" i="6"/>
  <c r="CL58" i="6"/>
  <c r="CL57" i="6"/>
  <c r="CD56" i="6"/>
  <c r="CH55" i="6"/>
  <c r="CK54" i="6"/>
  <c r="CD53" i="6"/>
  <c r="CG52" i="6"/>
  <c r="CF51" i="6"/>
  <c r="CF50" i="6"/>
  <c r="CF49" i="6"/>
  <c r="CL48" i="6"/>
  <c r="CD48" i="6"/>
  <c r="CJ47" i="6"/>
  <c r="CH46" i="6"/>
  <c r="CF45" i="6"/>
  <c r="CL44" i="6"/>
  <c r="CD44" i="6"/>
  <c r="CJ43" i="6"/>
  <c r="CH42" i="6"/>
  <c r="CF41" i="6"/>
  <c r="CL40" i="6"/>
  <c r="CD40" i="6"/>
  <c r="CJ39" i="6"/>
  <c r="CH38" i="6"/>
  <c r="CF37" i="6"/>
  <c r="CL36" i="6"/>
  <c r="CD36" i="6"/>
  <c r="CJ35" i="6"/>
  <c r="CH34" i="6"/>
  <c r="CF33" i="6"/>
  <c r="CL32" i="6"/>
  <c r="CG97" i="6"/>
  <c r="CD94" i="6"/>
  <c r="CK93" i="6"/>
  <c r="CI90" i="6"/>
  <c r="CF87" i="6"/>
  <c r="CC77" i="6"/>
  <c r="CC76" i="6"/>
  <c r="CJ75" i="6"/>
  <c r="CH74" i="6"/>
  <c r="CF73" i="6"/>
  <c r="CD72" i="6"/>
  <c r="CE69" i="6"/>
  <c r="CL68" i="6"/>
  <c r="CF67" i="6"/>
  <c r="CI65" i="6"/>
  <c r="CD64" i="6"/>
  <c r="CK63" i="6"/>
  <c r="CG62" i="6"/>
  <c r="CH60" i="6"/>
  <c r="CC59" i="6"/>
  <c r="CK58" i="6"/>
  <c r="CJ57" i="6"/>
  <c r="CC56" i="6"/>
  <c r="CF55" i="6"/>
  <c r="CI54" i="6"/>
  <c r="CE52" i="6"/>
  <c r="CE51" i="6"/>
  <c r="CE50" i="6"/>
  <c r="CE49" i="6"/>
  <c r="CF97" i="6"/>
  <c r="CJ93" i="6"/>
  <c r="CH90" i="6"/>
  <c r="CD87" i="6"/>
  <c r="CL86" i="6"/>
  <c r="CI75" i="6"/>
  <c r="CG74" i="6"/>
  <c r="CE73" i="6"/>
  <c r="CC72" i="6"/>
  <c r="CK68" i="6"/>
  <c r="CE67" i="6"/>
  <c r="CL66" i="6"/>
  <c r="CG65" i="6"/>
  <c r="CC64" i="6"/>
  <c r="CJ63" i="6"/>
  <c r="CD62" i="6"/>
  <c r="CG60" i="6"/>
  <c r="CI58" i="6"/>
  <c r="CI57" i="6"/>
  <c r="CL56" i="6"/>
  <c r="CE55" i="6"/>
  <c r="CH54" i="6"/>
  <c r="CL53" i="6"/>
  <c r="CD52" i="6"/>
  <c r="CC51" i="6"/>
  <c r="CD50" i="6"/>
  <c r="CL49" i="6"/>
  <c r="CD49" i="6"/>
  <c r="CJ48" i="6"/>
  <c r="CH47" i="6"/>
  <c r="CF46" i="6"/>
  <c r="CL45" i="6"/>
  <c r="CD45" i="6"/>
  <c r="CJ44" i="6"/>
  <c r="CH43" i="6"/>
  <c r="CF42" i="6"/>
  <c r="CL41" i="6"/>
  <c r="CD41" i="6"/>
  <c r="CJ40" i="6"/>
  <c r="CH39" i="6"/>
  <c r="CF38" i="6"/>
  <c r="CL37" i="6"/>
  <c r="CD37" i="6"/>
  <c r="CJ36" i="6"/>
  <c r="CH35" i="6"/>
  <c r="CF34" i="6"/>
  <c r="CL33" i="6"/>
  <c r="CD33" i="6"/>
  <c r="CJ32" i="6"/>
  <c r="CH31" i="6"/>
  <c r="CF30" i="6"/>
  <c r="CJ99" i="6"/>
  <c r="CD96" i="6"/>
  <c r="CE86" i="6"/>
  <c r="CK85" i="6"/>
  <c r="CL81" i="6"/>
  <c r="CK71" i="6"/>
  <c r="CI66" i="6"/>
  <c r="CC62" i="6"/>
  <c r="CJ61" i="6"/>
  <c r="CD58" i="6"/>
  <c r="CJ56" i="6"/>
  <c r="CI55" i="6"/>
  <c r="CL54" i="6"/>
  <c r="CG49" i="6"/>
  <c r="CI47" i="6"/>
  <c r="CD46" i="6"/>
  <c r="CK45" i="6"/>
  <c r="CG44" i="6"/>
  <c r="CI42" i="6"/>
  <c r="CC41" i="6"/>
  <c r="CK40" i="6"/>
  <c r="CF39" i="6"/>
  <c r="CI37" i="6"/>
  <c r="CC36" i="6"/>
  <c r="CK35" i="6"/>
  <c r="CE34" i="6"/>
  <c r="CH32" i="6"/>
  <c r="CI31" i="6"/>
  <c r="CI30" i="6"/>
  <c r="CI29" i="6"/>
  <c r="CG28" i="6"/>
  <c r="CE27" i="6"/>
  <c r="CK26" i="6"/>
  <c r="CC26" i="6"/>
  <c r="CI25" i="6"/>
  <c r="CG24" i="6"/>
  <c r="CE23" i="6"/>
  <c r="CK22" i="6"/>
  <c r="CC22" i="6"/>
  <c r="CI21" i="6"/>
  <c r="CG20" i="6"/>
  <c r="CE19" i="6"/>
  <c r="CK18" i="6"/>
  <c r="CC18" i="6"/>
  <c r="CI17" i="6"/>
  <c r="CG16" i="6"/>
  <c r="CE15" i="6"/>
  <c r="CL14" i="6"/>
  <c r="CD14" i="6"/>
  <c r="CL13" i="6"/>
  <c r="CD13" i="6"/>
  <c r="CL12" i="6"/>
  <c r="CD12" i="6"/>
  <c r="CL11" i="6"/>
  <c r="CD11" i="6"/>
  <c r="CL10" i="6"/>
  <c r="CD10" i="6"/>
  <c r="CL9" i="6"/>
  <c r="CD9" i="6"/>
  <c r="CL8" i="6"/>
  <c r="CD8" i="6"/>
  <c r="CL7" i="6"/>
  <c r="CD7" i="6"/>
  <c r="CL6" i="6"/>
  <c r="CD6" i="6"/>
  <c r="CL5" i="6"/>
  <c r="CD5" i="6"/>
  <c r="CF99" i="6"/>
  <c r="CH89" i="6"/>
  <c r="CJ85" i="6"/>
  <c r="CK81" i="6"/>
  <c r="CL77" i="6"/>
  <c r="CJ71" i="6"/>
  <c r="CH66" i="6"/>
  <c r="CI61" i="6"/>
  <c r="CG57" i="6"/>
  <c r="CH56" i="6"/>
  <c r="CC55" i="6"/>
  <c r="CG54" i="6"/>
  <c r="CJ53" i="6"/>
  <c r="CK51" i="6"/>
  <c r="CL50" i="6"/>
  <c r="CC49" i="6"/>
  <c r="CG47" i="6"/>
  <c r="CC46" i="6"/>
  <c r="CJ45" i="6"/>
  <c r="CE44" i="6"/>
  <c r="CG42" i="6"/>
  <c r="CI40" i="6"/>
  <c r="CE39" i="6"/>
  <c r="CL38" i="6"/>
  <c r="CG37" i="6"/>
  <c r="CI35" i="6"/>
  <c r="CD34" i="6"/>
  <c r="CK33" i="6"/>
  <c r="CG32" i="6"/>
  <c r="CG31" i="6"/>
  <c r="CH30" i="6"/>
  <c r="CH29" i="6"/>
  <c r="CF28" i="6"/>
  <c r="CL27" i="6"/>
  <c r="CD27" i="6"/>
  <c r="CJ26" i="6"/>
  <c r="CH25" i="6"/>
  <c r="CF24" i="6"/>
  <c r="CL23" i="6"/>
  <c r="CD23" i="6"/>
  <c r="CJ22" i="6"/>
  <c r="CH21" i="6"/>
  <c r="CF20" i="6"/>
  <c r="CL19" i="6"/>
  <c r="CD19" i="6"/>
  <c r="CJ18" i="6"/>
  <c r="CH17" i="6"/>
  <c r="CF16" i="6"/>
  <c r="CL15" i="6"/>
  <c r="CD15" i="6"/>
  <c r="CD99" i="6"/>
  <c r="CL92" i="6"/>
  <c r="CF89" i="6"/>
  <c r="CK84" i="6"/>
  <c r="CL80" i="6"/>
  <c r="CF65" i="6"/>
  <c r="CG61" i="6"/>
  <c r="CF57" i="6"/>
  <c r="CF54" i="6"/>
  <c r="CI53" i="6"/>
  <c r="CL52" i="6"/>
  <c r="CJ51" i="6"/>
  <c r="CK50" i="6"/>
  <c r="CK48" i="6"/>
  <c r="CF47" i="6"/>
  <c r="CI45" i="6"/>
  <c r="CC44" i="6"/>
  <c r="CK43" i="6"/>
  <c r="CE42" i="6"/>
  <c r="CH40" i="6"/>
  <c r="CC39" i="6"/>
  <c r="CK38" i="6"/>
  <c r="CE37" i="6"/>
  <c r="CG35" i="6"/>
  <c r="CC34" i="6"/>
  <c r="CJ33" i="6"/>
  <c r="CE32" i="6"/>
  <c r="CF31" i="6"/>
  <c r="CG30" i="6"/>
  <c r="CG29" i="6"/>
  <c r="CE28" i="6"/>
  <c r="CK27" i="6"/>
  <c r="CC27" i="6"/>
  <c r="CI26" i="6"/>
  <c r="CG25" i="6"/>
  <c r="CE24" i="6"/>
  <c r="CK23" i="6"/>
  <c r="CC23" i="6"/>
  <c r="CI22" i="6"/>
  <c r="CG21" i="6"/>
  <c r="CE20" i="6"/>
  <c r="CK19" i="6"/>
  <c r="CC19" i="6"/>
  <c r="CI18" i="6"/>
  <c r="CG17" i="6"/>
  <c r="CE16" i="6"/>
  <c r="CK15" i="6"/>
  <c r="CC15" i="6"/>
  <c r="CJ14" i="6"/>
  <c r="CJ13" i="6"/>
  <c r="CJ12" i="6"/>
  <c r="CJ11" i="6"/>
  <c r="CJ10" i="6"/>
  <c r="CJ9" i="6"/>
  <c r="CJ8" i="6"/>
  <c r="CJ7" i="6"/>
  <c r="CJ6" i="6"/>
  <c r="CJ5" i="6"/>
  <c r="CI4" i="6"/>
  <c r="CH3" i="6"/>
  <c r="CG2" i="6"/>
  <c r="CH99" i="5"/>
  <c r="BZ99" i="5"/>
  <c r="BR99" i="5"/>
  <c r="CF101" i="6"/>
  <c r="CH92" i="6"/>
  <c r="CC89" i="6"/>
  <c r="CJ84" i="6"/>
  <c r="CK80" i="6"/>
  <c r="CL76" i="6"/>
  <c r="CC74" i="6"/>
  <c r="CJ69" i="6"/>
  <c r="CE65" i="6"/>
  <c r="CL64" i="6"/>
  <c r="CE60" i="6"/>
  <c r="CE57" i="6"/>
  <c r="CD54" i="6"/>
  <c r="CG53" i="6"/>
  <c r="CK52" i="6"/>
  <c r="CI51" i="6"/>
  <c r="CI50" i="6"/>
  <c r="CI48" i="6"/>
  <c r="CE47" i="6"/>
  <c r="CL46" i="6"/>
  <c r="CG45" i="6"/>
  <c r="CI43" i="6"/>
  <c r="CD42" i="6"/>
  <c r="CK41" i="6"/>
  <c r="CG40" i="6"/>
  <c r="CI38" i="6"/>
  <c r="CC37" i="6"/>
  <c r="CK36" i="6"/>
  <c r="CF35" i="6"/>
  <c r="CI33" i="6"/>
  <c r="CD32" i="6"/>
  <c r="CE31" i="6"/>
  <c r="CE30" i="6"/>
  <c r="CF29" i="6"/>
  <c r="CL28" i="6"/>
  <c r="CD28" i="6"/>
  <c r="CJ27" i="6"/>
  <c r="CH26" i="6"/>
  <c r="CF25" i="6"/>
  <c r="CL24" i="6"/>
  <c r="CD24" i="6"/>
  <c r="CJ23" i="6"/>
  <c r="CH22" i="6"/>
  <c r="CF21" i="6"/>
  <c r="CL20" i="6"/>
  <c r="CD20" i="6"/>
  <c r="CJ19" i="6"/>
  <c r="CH18" i="6"/>
  <c r="CF17" i="6"/>
  <c r="CL16" i="6"/>
  <c r="CD16" i="6"/>
  <c r="CJ15" i="6"/>
  <c r="CI14" i="6"/>
  <c r="CI13" i="6"/>
  <c r="CI12" i="6"/>
  <c r="CI11" i="6"/>
  <c r="CI10" i="6"/>
  <c r="CI9" i="6"/>
  <c r="CI8" i="6"/>
  <c r="CI7" i="6"/>
  <c r="CI6" i="6"/>
  <c r="CI5" i="6"/>
  <c r="CH4" i="6"/>
  <c r="CG3" i="6"/>
  <c r="CF2" i="6"/>
  <c r="CG99" i="5"/>
  <c r="BY99" i="5"/>
  <c r="BQ99" i="5"/>
  <c r="CD101" i="6"/>
  <c r="CK95" i="6"/>
  <c r="CF92" i="6"/>
  <c r="CK83" i="6"/>
  <c r="CL79" i="6"/>
  <c r="CL72" i="6"/>
  <c r="CK70" i="6"/>
  <c r="CH68" i="6"/>
  <c r="CK64" i="6"/>
  <c r="CD60" i="6"/>
  <c r="CK59" i="6"/>
  <c r="CE53" i="6"/>
  <c r="CH52" i="6"/>
  <c r="CG51" i="6"/>
  <c r="CG50" i="6"/>
  <c r="CH48" i="6"/>
  <c r="CC47" i="6"/>
  <c r="CK46" i="6"/>
  <c r="CE45" i="6"/>
  <c r="CG43" i="6"/>
  <c r="CC42" i="6"/>
  <c r="CJ41" i="6"/>
  <c r="CE40" i="6"/>
  <c r="CG38" i="6"/>
  <c r="CI36" i="6"/>
  <c r="CE35" i="6"/>
  <c r="CL34" i="6"/>
  <c r="CG33" i="6"/>
  <c r="CC32" i="6"/>
  <c r="CD31" i="6"/>
  <c r="CD30" i="6"/>
  <c r="CE29" i="6"/>
  <c r="CK28" i="6"/>
  <c r="CC28" i="6"/>
  <c r="CI27" i="6"/>
  <c r="CG26" i="6"/>
  <c r="CE25" i="6"/>
  <c r="CK24" i="6"/>
  <c r="CC24" i="6"/>
  <c r="CI23" i="6"/>
  <c r="CG22" i="6"/>
  <c r="CE21" i="6"/>
  <c r="CK20" i="6"/>
  <c r="CC20" i="6"/>
  <c r="CI19" i="6"/>
  <c r="CG18" i="6"/>
  <c r="CE17" i="6"/>
  <c r="CK16" i="6"/>
  <c r="CC16" i="6"/>
  <c r="CI15" i="6"/>
  <c r="CH14" i="6"/>
  <c r="CH13" i="6"/>
  <c r="CH12" i="6"/>
  <c r="CH11" i="6"/>
  <c r="CH10" i="6"/>
  <c r="CH9" i="6"/>
  <c r="CH8" i="6"/>
  <c r="CH7" i="6"/>
  <c r="CH6" i="6"/>
  <c r="CH5" i="6"/>
  <c r="CG4" i="6"/>
  <c r="CF3" i="6"/>
  <c r="CE2" i="6"/>
  <c r="CF99" i="5"/>
  <c r="BX99" i="5"/>
  <c r="BP99" i="5"/>
  <c r="CF96" i="6"/>
  <c r="CL88" i="6"/>
  <c r="CJ82" i="6"/>
  <c r="CL78" i="6"/>
  <c r="CC75" i="6"/>
  <c r="CC67" i="6"/>
  <c r="CK66" i="6"/>
  <c r="CE63" i="6"/>
  <c r="CL62" i="6"/>
  <c r="CG58" i="6"/>
  <c r="CK56" i="6"/>
  <c r="CK55" i="6"/>
  <c r="CI44" i="6"/>
  <c r="CC40" i="6"/>
  <c r="CK39" i="6"/>
  <c r="CE36" i="6"/>
  <c r="CC31" i="6"/>
  <c r="CL29" i="6"/>
  <c r="CD26" i="6"/>
  <c r="CD25" i="6"/>
  <c r="CI24" i="6"/>
  <c r="CF19" i="6"/>
  <c r="CF18" i="6"/>
  <c r="CK17" i="6"/>
  <c r="CK14" i="6"/>
  <c r="CC10" i="6"/>
  <c r="CE9" i="6"/>
  <c r="CK79" i="6"/>
  <c r="CE75" i="6"/>
  <c r="CI70" i="6"/>
  <c r="CG68" i="6"/>
  <c r="CI63" i="6"/>
  <c r="CK49" i="6"/>
  <c r="CG48" i="6"/>
  <c r="CH44" i="6"/>
  <c r="CI39" i="6"/>
  <c r="CC35" i="6"/>
  <c r="CK34" i="6"/>
  <c r="CL30" i="6"/>
  <c r="CK29" i="6"/>
  <c r="CC25" i="6"/>
  <c r="CH24" i="6"/>
  <c r="CH23" i="6"/>
  <c r="CE18" i="6"/>
  <c r="CJ17" i="6"/>
  <c r="CJ16" i="6"/>
  <c r="CG14" i="6"/>
  <c r="CK13" i="6"/>
  <c r="CC9" i="6"/>
  <c r="CE8" i="6"/>
  <c r="CF7" i="6"/>
  <c r="CG6" i="6"/>
  <c r="CK5" i="6"/>
  <c r="CC4" i="6"/>
  <c r="CK3" i="6"/>
  <c r="CH2" i="6"/>
  <c r="CJ83" i="6"/>
  <c r="CH70" i="6"/>
  <c r="CE68" i="6"/>
  <c r="CF63" i="6"/>
  <c r="CC60" i="6"/>
  <c r="CJ59" i="6"/>
  <c r="CH58" i="6"/>
  <c r="CJ49" i="6"/>
  <c r="CE48" i="6"/>
  <c r="CF43" i="6"/>
  <c r="CG39" i="6"/>
  <c r="CI34" i="6"/>
  <c r="CK30" i="6"/>
  <c r="CJ29" i="6"/>
  <c r="CJ28" i="6"/>
  <c r="CG23" i="6"/>
  <c r="CL22" i="6"/>
  <c r="CL21" i="6"/>
  <c r="CD18" i="6"/>
  <c r="CD17" i="6"/>
  <c r="CI16" i="6"/>
  <c r="CF14" i="6"/>
  <c r="CG13" i="6"/>
  <c r="CK12" i="6"/>
  <c r="CC8" i="6"/>
  <c r="CE7" i="6"/>
  <c r="CF6" i="6"/>
  <c r="CG5" i="6"/>
  <c r="CJ3" i="6"/>
  <c r="CD2" i="6"/>
  <c r="CC52" i="6"/>
  <c r="CI49" i="6"/>
  <c r="CC48" i="6"/>
  <c r="CK47" i="6"/>
  <c r="CE43" i="6"/>
  <c r="CL42" i="6"/>
  <c r="CE38" i="6"/>
  <c r="CG34" i="6"/>
  <c r="CJ30" i="6"/>
  <c r="CD29" i="6"/>
  <c r="CI28" i="6"/>
  <c r="CF23" i="6"/>
  <c r="CF22" i="6"/>
  <c r="CK21" i="6"/>
  <c r="CC17" i="6"/>
  <c r="CH16" i="6"/>
  <c r="CH15" i="6"/>
  <c r="CE14" i="6"/>
  <c r="CF13" i="6"/>
  <c r="CG12" i="6"/>
  <c r="CK11" i="6"/>
  <c r="CC7" i="6"/>
  <c r="CE6" i="6"/>
  <c r="CF5" i="6"/>
  <c r="CL4" i="6"/>
  <c r="CI3" i="6"/>
  <c r="CC2" i="6"/>
  <c r="CK99" i="5"/>
  <c r="BW99" i="5"/>
  <c r="CJ100" i="6"/>
  <c r="CI46" i="6"/>
  <c r="CC43" i="6"/>
  <c r="CK42" i="6"/>
  <c r="CD38" i="6"/>
  <c r="CK37" i="6"/>
  <c r="CE33" i="6"/>
  <c r="CC30" i="6"/>
  <c r="CC29" i="6"/>
  <c r="CH28" i="6"/>
  <c r="CH27" i="6"/>
  <c r="CE22" i="6"/>
  <c r="CJ21" i="6"/>
  <c r="CJ20" i="6"/>
  <c r="CG15" i="6"/>
  <c r="CC14" i="6"/>
  <c r="CE13" i="6"/>
  <c r="CF12" i="6"/>
  <c r="CG11" i="6"/>
  <c r="CK10" i="6"/>
  <c r="CC6" i="6"/>
  <c r="CE5" i="6"/>
  <c r="CK4" i="6"/>
  <c r="CE3" i="6"/>
  <c r="CH100" i="6"/>
  <c r="CL98" i="6"/>
  <c r="CG46" i="6"/>
  <c r="CI41" i="6"/>
  <c r="CC38" i="6"/>
  <c r="CJ37" i="6"/>
  <c r="CC33" i="6"/>
  <c r="CK32" i="6"/>
  <c r="CL31" i="6"/>
  <c r="CG27" i="6"/>
  <c r="CL26" i="6"/>
  <c r="CL25" i="6"/>
  <c r="CJ95" i="6"/>
  <c r="CC93" i="6"/>
  <c r="CE46" i="6"/>
  <c r="CG41" i="6"/>
  <c r="CH36" i="6"/>
  <c r="CI32" i="6"/>
  <c r="CK31" i="6"/>
  <c r="CF27" i="6"/>
  <c r="CF26" i="6"/>
  <c r="CK25" i="6"/>
  <c r="CC21" i="6"/>
  <c r="CH20" i="6"/>
  <c r="CH19" i="6"/>
  <c r="CC12" i="6"/>
  <c r="CE11" i="6"/>
  <c r="CF10" i="6"/>
  <c r="CG9" i="6"/>
  <c r="CK8" i="6"/>
  <c r="CL82" i="6"/>
  <c r="CC50" i="6"/>
  <c r="CC45" i="6"/>
  <c r="CK44" i="6"/>
  <c r="CE41" i="6"/>
  <c r="CG36" i="6"/>
  <c r="CJ31" i="6"/>
  <c r="CE26" i="6"/>
  <c r="CJ25" i="6"/>
  <c r="CJ24" i="6"/>
  <c r="CG19" i="6"/>
  <c r="CL18" i="6"/>
  <c r="CL17" i="6"/>
  <c r="CC11" i="6"/>
  <c r="CE10" i="6"/>
  <c r="CF9" i="6"/>
  <c r="CG8" i="6"/>
  <c r="CK7" i="6"/>
  <c r="CE4" i="6"/>
  <c r="CJ2" i="6"/>
  <c r="CO11" i="6"/>
  <c r="CO15" i="6"/>
  <c r="CO10" i="6"/>
  <c r="CO27" i="6"/>
  <c r="CO9" i="6"/>
  <c r="CO33" i="6"/>
  <c r="CO8" i="6"/>
  <c r="CO19" i="6"/>
  <c r="CO7" i="6"/>
  <c r="CO35" i="6"/>
  <c r="CO13" i="6"/>
  <c r="CO23" i="6"/>
  <c r="CO12" i="6"/>
  <c r="CT2" i="6"/>
  <c r="BI6" i="6"/>
  <c r="BD95" i="5"/>
  <c r="BG96" i="5"/>
  <c r="BE20" i="6" s="1"/>
  <c r="BD97" i="5"/>
  <c r="BV97" i="5"/>
  <c r="BX98" i="5"/>
  <c r="CM98" i="5"/>
  <c r="BS99" i="5"/>
  <c r="CE99" i="5"/>
  <c r="BD100" i="5"/>
  <c r="F262" i="5"/>
  <c r="H317" i="5"/>
  <c r="BU2" i="6"/>
  <c r="O3" i="6"/>
  <c r="AQ3" i="6"/>
  <c r="CC3" i="6"/>
  <c r="DC3" i="6"/>
  <c r="BH4" i="6"/>
  <c r="DI4" i="6"/>
  <c r="AW5" i="6"/>
  <c r="BU6" i="6"/>
  <c r="BH7" i="6"/>
  <c r="AQ8" i="6"/>
  <c r="AO9" i="6"/>
  <c r="BQ10" i="6"/>
  <c r="CC13" i="6"/>
  <c r="AS14" i="6"/>
  <c r="BI15" i="6"/>
  <c r="BL20" i="6"/>
  <c r="BD93" i="5"/>
  <c r="BK93" i="5"/>
  <c r="BC93" i="5"/>
  <c r="BJ93" i="5"/>
  <c r="BB93" i="5"/>
  <c r="DA5" i="6"/>
  <c r="DA4" i="6"/>
  <c r="DA11" i="6"/>
  <c r="DA10" i="6"/>
  <c r="DA2" i="6"/>
  <c r="DA8" i="6"/>
  <c r="DA7" i="6"/>
  <c r="DA3" i="6"/>
  <c r="BV4" i="6"/>
  <c r="J223" i="5"/>
  <c r="S63" i="5"/>
  <c r="S67" i="5" s="1"/>
  <c r="S68" i="5" s="1"/>
  <c r="R63" i="5"/>
  <c r="R67" i="5" s="1"/>
  <c r="R68" i="5" s="1"/>
  <c r="AD30" i="5"/>
  <c r="R66" i="5"/>
  <c r="BY94" i="5"/>
  <c r="BZ94" i="5"/>
  <c r="BE96" i="5"/>
  <c r="BD96" i="5"/>
  <c r="BB41" i="6" s="1"/>
  <c r="BK96" i="5"/>
  <c r="BC96" i="5"/>
  <c r="BA32" i="6" s="1"/>
  <c r="BD49" i="6"/>
  <c r="BD21" i="6"/>
  <c r="BD20" i="6"/>
  <c r="BD4" i="6"/>
  <c r="BD33" i="6"/>
  <c r="BD25" i="6"/>
  <c r="BD24" i="6"/>
  <c r="BD2" i="6"/>
  <c r="BB96" i="5"/>
  <c r="BD45" i="6"/>
  <c r="BD29" i="6"/>
  <c r="BD28" i="6"/>
  <c r="BW98" i="5"/>
  <c r="CL98" i="5"/>
  <c r="CD99" i="5"/>
  <c r="J255" i="5"/>
  <c r="E310" i="5"/>
  <c r="BM2" i="6"/>
  <c r="AP3" i="6"/>
  <c r="CA3" i="6"/>
  <c r="AS5" i="6"/>
  <c r="DA6" i="6"/>
  <c r="DA9" i="6"/>
  <c r="BM13" i="6"/>
  <c r="AT20" i="6"/>
  <c r="CD22" i="6"/>
  <c r="AD31" i="5"/>
  <c r="I4" i="8"/>
  <c r="AB34" i="7"/>
  <c r="BA93" i="5"/>
  <c r="CD93" i="5" s="1"/>
  <c r="BE95" i="5"/>
  <c r="BH96" i="5"/>
  <c r="BF51" i="6" s="1"/>
  <c r="BE97" i="5"/>
  <c r="BW97" i="5"/>
  <c r="BY98" i="5"/>
  <c r="BT99" i="5"/>
  <c r="CI99" i="5"/>
  <c r="CY3" i="6"/>
  <c r="J240" i="5"/>
  <c r="F249" i="5"/>
  <c r="J262" i="5"/>
  <c r="BZ2" i="6"/>
  <c r="CY2" i="6"/>
  <c r="Q3" i="6"/>
  <c r="CD3" i="6"/>
  <c r="BP4" i="6"/>
  <c r="CO5" i="6"/>
  <c r="L6" i="6"/>
  <c r="BY6" i="6"/>
  <c r="BQ7" i="6"/>
  <c r="DC8" i="6"/>
  <c r="CG10" i="6"/>
  <c r="S12" i="6"/>
  <c r="BI14" i="6"/>
  <c r="CF15" i="6"/>
  <c r="BV17" i="6"/>
  <c r="CI20" i="6"/>
  <c r="M23" i="6"/>
  <c r="CS29" i="6"/>
  <c r="CS3" i="6"/>
  <c r="CS6" i="6"/>
  <c r="CS14" i="6"/>
  <c r="CS31" i="6"/>
  <c r="CS36" i="6"/>
  <c r="CS7" i="6"/>
  <c r="CS25" i="6"/>
  <c r="DM5" i="6"/>
  <c r="CS8" i="6"/>
  <c r="CS2" i="6"/>
  <c r="CS9" i="6"/>
  <c r="CS10" i="6"/>
  <c r="CS21" i="6"/>
  <c r="AA72" i="6"/>
  <c r="AK86" i="6"/>
  <c r="AJ89" i="6"/>
  <c r="AB96" i="6"/>
  <c r="AG101" i="6"/>
  <c r="AM101" i="6"/>
  <c r="AE101" i="6"/>
  <c r="AK101" i="6"/>
  <c r="AG100" i="6"/>
  <c r="AM99" i="6"/>
  <c r="AE99" i="6"/>
  <c r="AK98" i="6"/>
  <c r="AI97" i="6"/>
  <c r="AG96" i="6"/>
  <c r="AM95" i="6"/>
  <c r="AE95" i="6"/>
  <c r="AK94" i="6"/>
  <c r="AI93" i="6"/>
  <c r="AG92" i="6"/>
  <c r="AM91" i="6"/>
  <c r="AE91" i="6"/>
  <c r="AK90" i="6"/>
  <c r="AI89" i="6"/>
  <c r="AG88" i="6"/>
  <c r="AM87" i="6"/>
  <c r="AE87" i="6"/>
  <c r="AJ101" i="6"/>
  <c r="AN100" i="6"/>
  <c r="AF100" i="6"/>
  <c r="AL99" i="6"/>
  <c r="AJ98" i="6"/>
  <c r="AH97" i="6"/>
  <c r="AN96" i="6"/>
  <c r="AF96" i="6"/>
  <c r="AL95" i="6"/>
  <c r="AJ94" i="6"/>
  <c r="AH93" i="6"/>
  <c r="AN92" i="6"/>
  <c r="AF92" i="6"/>
  <c r="AL91" i="6"/>
  <c r="AJ90" i="6"/>
  <c r="AH89" i="6"/>
  <c r="AN88" i="6"/>
  <c r="AF88" i="6"/>
  <c r="AL87" i="6"/>
  <c r="AJ86" i="6"/>
  <c r="AF101" i="6"/>
  <c r="AK100" i="6"/>
  <c r="AI99" i="6"/>
  <c r="AG98" i="6"/>
  <c r="AM97" i="6"/>
  <c r="AE97" i="6"/>
  <c r="AK96" i="6"/>
  <c r="AI95" i="6"/>
  <c r="AG94" i="6"/>
  <c r="AM93" i="6"/>
  <c r="AE93" i="6"/>
  <c r="AK92" i="6"/>
  <c r="AI91" i="6"/>
  <c r="AG90" i="6"/>
  <c r="AM89" i="6"/>
  <c r="AE89" i="6"/>
  <c r="AK88" i="6"/>
  <c r="AI87" i="6"/>
  <c r="AG86" i="6"/>
  <c r="AM85" i="6"/>
  <c r="AE85" i="6"/>
  <c r="AK84" i="6"/>
  <c r="AI83" i="6"/>
  <c r="AG82" i="6"/>
  <c r="AM81" i="6"/>
  <c r="AE81" i="6"/>
  <c r="AK80" i="6"/>
  <c r="AI79" i="6"/>
  <c r="AG78" i="6"/>
  <c r="AM77" i="6"/>
  <c r="AE77" i="6"/>
  <c r="AK76" i="6"/>
  <c r="AN101" i="6"/>
  <c r="AH100" i="6"/>
  <c r="AI98" i="6"/>
  <c r="AL96" i="6"/>
  <c r="AG95" i="6"/>
  <c r="AN94" i="6"/>
  <c r="AJ93" i="6"/>
  <c r="AK91" i="6"/>
  <c r="AF90" i="6"/>
  <c r="AN89" i="6"/>
  <c r="AI88" i="6"/>
  <c r="AF86" i="6"/>
  <c r="AN85" i="6"/>
  <c r="AN84" i="6"/>
  <c r="AE84" i="6"/>
  <c r="AN83" i="6"/>
  <c r="AE83" i="6"/>
  <c r="AN82" i="6"/>
  <c r="AE82" i="6"/>
  <c r="AF81" i="6"/>
  <c r="AF80" i="6"/>
  <c r="AF79" i="6"/>
  <c r="AF78" i="6"/>
  <c r="AG77" i="6"/>
  <c r="AG76" i="6"/>
  <c r="AL75" i="6"/>
  <c r="AJ74" i="6"/>
  <c r="AH73" i="6"/>
  <c r="AN72" i="6"/>
  <c r="AF72" i="6"/>
  <c r="AL71" i="6"/>
  <c r="AJ70" i="6"/>
  <c r="AH69" i="6"/>
  <c r="AN68" i="6"/>
  <c r="AF68" i="6"/>
  <c r="AL67" i="6"/>
  <c r="AJ66" i="6"/>
  <c r="AH65" i="6"/>
  <c r="AN64" i="6"/>
  <c r="AF64" i="6"/>
  <c r="AL63" i="6"/>
  <c r="AJ62" i="6"/>
  <c r="AH61" i="6"/>
  <c r="AN60" i="6"/>
  <c r="AF60" i="6"/>
  <c r="AL59" i="6"/>
  <c r="AJ58" i="6"/>
  <c r="AL101" i="6"/>
  <c r="AE100" i="6"/>
  <c r="AN99" i="6"/>
  <c r="AH98" i="6"/>
  <c r="AJ96" i="6"/>
  <c r="AF95" i="6"/>
  <c r="AM94" i="6"/>
  <c r="AG93" i="6"/>
  <c r="AJ91" i="6"/>
  <c r="AE90" i="6"/>
  <c r="AL89" i="6"/>
  <c r="AH88" i="6"/>
  <c r="AE86" i="6"/>
  <c r="AL85" i="6"/>
  <c r="AM84" i="6"/>
  <c r="AM83" i="6"/>
  <c r="AM82" i="6"/>
  <c r="AN81" i="6"/>
  <c r="AN80" i="6"/>
  <c r="AE80" i="6"/>
  <c r="AN79" i="6"/>
  <c r="AE79" i="6"/>
  <c r="AN78" i="6"/>
  <c r="AE78" i="6"/>
  <c r="AF77" i="6"/>
  <c r="AF76" i="6"/>
  <c r="AK75" i="6"/>
  <c r="AI74" i="6"/>
  <c r="AG73" i="6"/>
  <c r="AM72" i="6"/>
  <c r="AE72" i="6"/>
  <c r="AK71" i="6"/>
  <c r="AI70" i="6"/>
  <c r="AG69" i="6"/>
  <c r="AM68" i="6"/>
  <c r="AE68" i="6"/>
  <c r="AK67" i="6"/>
  <c r="AI66" i="6"/>
  <c r="AG65" i="6"/>
  <c r="AM64" i="6"/>
  <c r="AE64" i="6"/>
  <c r="AK63" i="6"/>
  <c r="AI62" i="6"/>
  <c r="AG61" i="6"/>
  <c r="AM60" i="6"/>
  <c r="AE60" i="6"/>
  <c r="AK59" i="6"/>
  <c r="AI58" i="6"/>
  <c r="AG57" i="6"/>
  <c r="AM56" i="6"/>
  <c r="AE56" i="6"/>
  <c r="AK55" i="6"/>
  <c r="AI54" i="6"/>
  <c r="AG53" i="6"/>
  <c r="AI101" i="6"/>
  <c r="AK99" i="6"/>
  <c r="AF98" i="6"/>
  <c r="AN97" i="6"/>
  <c r="AI96" i="6"/>
  <c r="AL94" i="6"/>
  <c r="AF93" i="6"/>
  <c r="AM92" i="6"/>
  <c r="AH91" i="6"/>
  <c r="AK89" i="6"/>
  <c r="AE88" i="6"/>
  <c r="AN87" i="6"/>
  <c r="AN86" i="6"/>
  <c r="AK85" i="6"/>
  <c r="AL84" i="6"/>
  <c r="AL83" i="6"/>
  <c r="AL82" i="6"/>
  <c r="AL81" i="6"/>
  <c r="AM80" i="6"/>
  <c r="AM79" i="6"/>
  <c r="AM78" i="6"/>
  <c r="AN77" i="6"/>
  <c r="AN76" i="6"/>
  <c r="AE76" i="6"/>
  <c r="AJ75" i="6"/>
  <c r="AH74" i="6"/>
  <c r="AN73" i="6"/>
  <c r="AF73" i="6"/>
  <c r="AL72" i="6"/>
  <c r="AJ71" i="6"/>
  <c r="AH70" i="6"/>
  <c r="AM100" i="6"/>
  <c r="AH99" i="6"/>
  <c r="AK97" i="6"/>
  <c r="AE96" i="6"/>
  <c r="AN95" i="6"/>
  <c r="AH94" i="6"/>
  <c r="AJ92" i="6"/>
  <c r="AF91" i="6"/>
  <c r="AM90" i="6"/>
  <c r="AG89" i="6"/>
  <c r="AJ87" i="6"/>
  <c r="AL86" i="6"/>
  <c r="AI85" i="6"/>
  <c r="AI84" i="6"/>
  <c r="AJ83" i="6"/>
  <c r="AJ82" i="6"/>
  <c r="AJ81" i="6"/>
  <c r="AJ80" i="6"/>
  <c r="AK79" i="6"/>
  <c r="AK78" i="6"/>
  <c r="AK77" i="6"/>
  <c r="AL76" i="6"/>
  <c r="AH75" i="6"/>
  <c r="AN74" i="6"/>
  <c r="AF74" i="6"/>
  <c r="AL73" i="6"/>
  <c r="AJ72" i="6"/>
  <c r="AH71" i="6"/>
  <c r="AN70" i="6"/>
  <c r="AF70" i="6"/>
  <c r="AL69" i="6"/>
  <c r="AJ68" i="6"/>
  <c r="AH67" i="6"/>
  <c r="AN66" i="6"/>
  <c r="AF66" i="6"/>
  <c r="AL65" i="6"/>
  <c r="AJ64" i="6"/>
  <c r="AH63" i="6"/>
  <c r="AN62" i="6"/>
  <c r="AF62" i="6"/>
  <c r="AL61" i="6"/>
  <c r="AJ60" i="6"/>
  <c r="AH59" i="6"/>
  <c r="AN58" i="6"/>
  <c r="AF58" i="6"/>
  <c r="AL57" i="6"/>
  <c r="AJ56" i="6"/>
  <c r="AH55" i="6"/>
  <c r="AN54" i="6"/>
  <c r="AF54" i="6"/>
  <c r="AL53" i="6"/>
  <c r="AJ52" i="6"/>
  <c r="AH51" i="6"/>
  <c r="AN50" i="6"/>
  <c r="AL98" i="6"/>
  <c r="AH95" i="6"/>
  <c r="AE92" i="6"/>
  <c r="AN91" i="6"/>
  <c r="AJ88" i="6"/>
  <c r="AH86" i="6"/>
  <c r="AF85" i="6"/>
  <c r="AF84" i="6"/>
  <c r="AF83" i="6"/>
  <c r="AF82" i="6"/>
  <c r="AG81" i="6"/>
  <c r="AG80" i="6"/>
  <c r="AG79" i="6"/>
  <c r="AH78" i="6"/>
  <c r="AH77" i="6"/>
  <c r="AH76" i="6"/>
  <c r="AE75" i="6"/>
  <c r="AM71" i="6"/>
  <c r="AK70" i="6"/>
  <c r="AJ69" i="6"/>
  <c r="AM67" i="6"/>
  <c r="AG66" i="6"/>
  <c r="AN65" i="6"/>
  <c r="AI64" i="6"/>
  <c r="AE63" i="6"/>
  <c r="AL62" i="6"/>
  <c r="AF61" i="6"/>
  <c r="AI59" i="6"/>
  <c r="AM57" i="6"/>
  <c r="AF56" i="6"/>
  <c r="AI55" i="6"/>
  <c r="AL54" i="6"/>
  <c r="AE53" i="6"/>
  <c r="AN52" i="6"/>
  <c r="AE52" i="6"/>
  <c r="AN51" i="6"/>
  <c r="AE51" i="6"/>
  <c r="AF50" i="6"/>
  <c r="AL49" i="6"/>
  <c r="AJ48" i="6"/>
  <c r="AH47" i="6"/>
  <c r="AN46" i="6"/>
  <c r="AF46" i="6"/>
  <c r="AL45" i="6"/>
  <c r="AJ44" i="6"/>
  <c r="AH43" i="6"/>
  <c r="AN42" i="6"/>
  <c r="AF42" i="6"/>
  <c r="AL41" i="6"/>
  <c r="AJ40" i="6"/>
  <c r="AH39" i="6"/>
  <c r="AN38" i="6"/>
  <c r="AF38" i="6"/>
  <c r="AL37" i="6"/>
  <c r="AJ36" i="6"/>
  <c r="AH35" i="6"/>
  <c r="AN34" i="6"/>
  <c r="AF34" i="6"/>
  <c r="AL33" i="6"/>
  <c r="AJ32" i="6"/>
  <c r="AH101" i="6"/>
  <c r="AE98" i="6"/>
  <c r="AL97" i="6"/>
  <c r="AI94" i="6"/>
  <c r="AG91" i="6"/>
  <c r="AN90" i="6"/>
  <c r="AK87" i="6"/>
  <c r="AM73" i="6"/>
  <c r="AK72" i="6"/>
  <c r="AI71" i="6"/>
  <c r="AG70" i="6"/>
  <c r="AI69" i="6"/>
  <c r="AJ67" i="6"/>
  <c r="AE66" i="6"/>
  <c r="AM65" i="6"/>
  <c r="AH64" i="6"/>
  <c r="AK62" i="6"/>
  <c r="AE61" i="6"/>
  <c r="AL60" i="6"/>
  <c r="AG59" i="6"/>
  <c r="AK57" i="6"/>
  <c r="AL100" i="6"/>
  <c r="AJ97" i="6"/>
  <c r="AF94" i="6"/>
  <c r="AN93" i="6"/>
  <c r="AL90" i="6"/>
  <c r="AH87" i="6"/>
  <c r="AM74" i="6"/>
  <c r="AK73" i="6"/>
  <c r="AI72" i="6"/>
  <c r="AG71" i="6"/>
  <c r="AE70" i="6"/>
  <c r="AF69" i="6"/>
  <c r="AI67" i="6"/>
  <c r="AK65" i="6"/>
  <c r="AG64" i="6"/>
  <c r="AN63" i="6"/>
  <c r="AH62" i="6"/>
  <c r="AK60" i="6"/>
  <c r="AF59" i="6"/>
  <c r="AM58" i="6"/>
  <c r="AJ57" i="6"/>
  <c r="AN56" i="6"/>
  <c r="AF55" i="6"/>
  <c r="AJ54" i="6"/>
  <c r="AM53" i="6"/>
  <c r="AL52" i="6"/>
  <c r="AL51" i="6"/>
  <c r="AL50" i="6"/>
  <c r="AJ49" i="6"/>
  <c r="AH48" i="6"/>
  <c r="AN47" i="6"/>
  <c r="AF47" i="6"/>
  <c r="AL46" i="6"/>
  <c r="AJ45" i="6"/>
  <c r="AH44" i="6"/>
  <c r="AN43" i="6"/>
  <c r="AF43" i="6"/>
  <c r="AL42" i="6"/>
  <c r="AJ41" i="6"/>
  <c r="AH40" i="6"/>
  <c r="AN39" i="6"/>
  <c r="AF39" i="6"/>
  <c r="AL38" i="6"/>
  <c r="AJ37" i="6"/>
  <c r="AH36" i="6"/>
  <c r="AN35" i="6"/>
  <c r="AF35" i="6"/>
  <c r="AL34" i="6"/>
  <c r="AJ33" i="6"/>
  <c r="AJ100" i="6"/>
  <c r="AG97" i="6"/>
  <c r="AE94" i="6"/>
  <c r="AL93" i="6"/>
  <c r="AI90" i="6"/>
  <c r="AG87" i="6"/>
  <c r="AN75" i="6"/>
  <c r="AL74" i="6"/>
  <c r="AJ73" i="6"/>
  <c r="AH72" i="6"/>
  <c r="AF71" i="6"/>
  <c r="AE69" i="6"/>
  <c r="AL68" i="6"/>
  <c r="AG67" i="6"/>
  <c r="AJ65" i="6"/>
  <c r="AM63" i="6"/>
  <c r="AG62" i="6"/>
  <c r="AN61" i="6"/>
  <c r="AI60" i="6"/>
  <c r="AE59" i="6"/>
  <c r="AL58" i="6"/>
  <c r="AI57" i="6"/>
  <c r="AL56" i="6"/>
  <c r="AE55" i="6"/>
  <c r="AH54" i="6"/>
  <c r="AK53" i="6"/>
  <c r="AK52" i="6"/>
  <c r="AK51" i="6"/>
  <c r="AK50" i="6"/>
  <c r="AI49" i="6"/>
  <c r="AI100" i="6"/>
  <c r="AF97" i="6"/>
  <c r="AM96" i="6"/>
  <c r="AK93" i="6"/>
  <c r="AH90" i="6"/>
  <c r="AF87" i="6"/>
  <c r="AM75" i="6"/>
  <c r="AK74" i="6"/>
  <c r="AI73" i="6"/>
  <c r="AG72" i="6"/>
  <c r="AE71" i="6"/>
  <c r="AK68" i="6"/>
  <c r="AF67" i="6"/>
  <c r="AM66" i="6"/>
  <c r="AI65" i="6"/>
  <c r="AJ63" i="6"/>
  <c r="AE62" i="6"/>
  <c r="AM61" i="6"/>
  <c r="AH60" i="6"/>
  <c r="AK58" i="6"/>
  <c r="AH57" i="6"/>
  <c r="AK56" i="6"/>
  <c r="AN55" i="6"/>
  <c r="AG54" i="6"/>
  <c r="AJ53" i="6"/>
  <c r="AI52" i="6"/>
  <c r="AJ51" i="6"/>
  <c r="AJ50" i="6"/>
  <c r="AH49" i="6"/>
  <c r="AN48" i="6"/>
  <c r="AF48" i="6"/>
  <c r="AL47" i="6"/>
  <c r="AJ46" i="6"/>
  <c r="AH45" i="6"/>
  <c r="AN44" i="6"/>
  <c r="AF44" i="6"/>
  <c r="AL43" i="6"/>
  <c r="AJ42" i="6"/>
  <c r="AH41" i="6"/>
  <c r="AN40" i="6"/>
  <c r="AF40" i="6"/>
  <c r="AL39" i="6"/>
  <c r="AJ38" i="6"/>
  <c r="AH37" i="6"/>
  <c r="AN36" i="6"/>
  <c r="AF36" i="6"/>
  <c r="AL35" i="6"/>
  <c r="AJ34" i="6"/>
  <c r="AH33" i="6"/>
  <c r="AN32" i="6"/>
  <c r="AF32" i="6"/>
  <c r="AL31" i="6"/>
  <c r="CE94" i="5"/>
  <c r="CK102" i="5"/>
  <c r="AA2" i="6"/>
  <c r="AI2" i="6"/>
  <c r="CM2" i="6"/>
  <c r="CU2" i="6"/>
  <c r="DC2" i="6"/>
  <c r="DK2" i="6"/>
  <c r="AB3" i="6"/>
  <c r="AJ3" i="6"/>
  <c r="BH3" i="6"/>
  <c r="CN3" i="6"/>
  <c r="DD3" i="6"/>
  <c r="DL3" i="6"/>
  <c r="U4" i="6"/>
  <c r="AC4" i="6"/>
  <c r="AK4" i="6"/>
  <c r="CO4" i="6"/>
  <c r="CW4" i="6"/>
  <c r="DM4" i="6"/>
  <c r="V5" i="6"/>
  <c r="AD5" i="6"/>
  <c r="AL5" i="6"/>
  <c r="BB5" i="6"/>
  <c r="CX5" i="6"/>
  <c r="DN5" i="6"/>
  <c r="V6" i="6"/>
  <c r="AD6" i="6"/>
  <c r="AL6" i="6"/>
  <c r="BB6" i="6"/>
  <c r="CX6" i="6"/>
  <c r="DN6" i="6"/>
  <c r="V7" i="6"/>
  <c r="AD7" i="6"/>
  <c r="AL7" i="6"/>
  <c r="BB7" i="6"/>
  <c r="CX7" i="6"/>
  <c r="DN7" i="6"/>
  <c r="V8" i="6"/>
  <c r="AD8" i="6"/>
  <c r="AL8" i="6"/>
  <c r="BB8" i="6"/>
  <c r="CX8" i="6"/>
  <c r="DN8" i="6"/>
  <c r="V9" i="6"/>
  <c r="AD9" i="6"/>
  <c r="AL9" i="6"/>
  <c r="BB9" i="6"/>
  <c r="CX9" i="6"/>
  <c r="DN9" i="6"/>
  <c r="V10" i="6"/>
  <c r="AD10" i="6"/>
  <c r="AL10" i="6"/>
  <c r="BB10" i="6"/>
  <c r="CX10" i="6"/>
  <c r="DN10" i="6"/>
  <c r="V11" i="6"/>
  <c r="AD11" i="6"/>
  <c r="AL11" i="6"/>
  <c r="BB11" i="6"/>
  <c r="CX11" i="6"/>
  <c r="DN11" i="6"/>
  <c r="V12" i="6"/>
  <c r="AD12" i="6"/>
  <c r="AL12" i="6"/>
  <c r="BB12" i="6"/>
  <c r="CX12" i="6"/>
  <c r="DF12" i="6"/>
  <c r="DN12" i="6"/>
  <c r="V13" i="6"/>
  <c r="AD13" i="6"/>
  <c r="AL13" i="6"/>
  <c r="CX13" i="6"/>
  <c r="DF13" i="6"/>
  <c r="DN13" i="6"/>
  <c r="V14" i="6"/>
  <c r="AD14" i="6"/>
  <c r="AL14" i="6"/>
  <c r="BB14" i="6"/>
  <c r="CX14" i="6"/>
  <c r="DF14" i="6"/>
  <c r="DN14" i="6"/>
  <c r="W15" i="6"/>
  <c r="AE15" i="6"/>
  <c r="AM15" i="6"/>
  <c r="BC15" i="6"/>
  <c r="CY15" i="6"/>
  <c r="DG15" i="6"/>
  <c r="DO15" i="6"/>
  <c r="Y16" i="6"/>
  <c r="AG16" i="6"/>
  <c r="CS16" i="6"/>
  <c r="DA16" i="6"/>
  <c r="DI16" i="6"/>
  <c r="AA17" i="6"/>
  <c r="AI17" i="6"/>
  <c r="AY17" i="6"/>
  <c r="CM17" i="6"/>
  <c r="CU17" i="6"/>
  <c r="DC17" i="6"/>
  <c r="DK17" i="6"/>
  <c r="U18" i="6"/>
  <c r="AC18" i="6"/>
  <c r="AK18" i="6"/>
  <c r="CO18" i="6"/>
  <c r="CW18" i="6"/>
  <c r="DE18" i="6"/>
  <c r="DM18" i="6"/>
  <c r="W19" i="6"/>
  <c r="AE19" i="6"/>
  <c r="AM19" i="6"/>
  <c r="BC19" i="6"/>
  <c r="CY19" i="6"/>
  <c r="DG19" i="6"/>
  <c r="DO19" i="6"/>
  <c r="Y20" i="6"/>
  <c r="AG20" i="6"/>
  <c r="CS20" i="6"/>
  <c r="DA20" i="6"/>
  <c r="DI20" i="6"/>
  <c r="AA21" i="6"/>
  <c r="AI21" i="6"/>
  <c r="CM21" i="6"/>
  <c r="CU21" i="6"/>
  <c r="DC21" i="6"/>
  <c r="DK21" i="6"/>
  <c r="U22" i="6"/>
  <c r="AC22" i="6"/>
  <c r="AK22" i="6"/>
  <c r="BA22" i="6"/>
  <c r="CO22" i="6"/>
  <c r="CW22" i="6"/>
  <c r="DE22" i="6"/>
  <c r="DM22" i="6"/>
  <c r="W23" i="6"/>
  <c r="AE23" i="6"/>
  <c r="AM23" i="6"/>
  <c r="BC23" i="6"/>
  <c r="CY23" i="6"/>
  <c r="DG23" i="6"/>
  <c r="DO23" i="6"/>
  <c r="Y24" i="6"/>
  <c r="AG24" i="6"/>
  <c r="BE24" i="6"/>
  <c r="CS24" i="6"/>
  <c r="DA24" i="6"/>
  <c r="DI24" i="6"/>
  <c r="AA25" i="6"/>
  <c r="AI25" i="6"/>
  <c r="CM25" i="6"/>
  <c r="CU25" i="6"/>
  <c r="DC25" i="6"/>
  <c r="DK25" i="6"/>
  <c r="U26" i="6"/>
  <c r="AC26" i="6"/>
  <c r="AK26" i="6"/>
  <c r="CO26" i="6"/>
  <c r="CW26" i="6"/>
  <c r="DE26" i="6"/>
  <c r="DM26" i="6"/>
  <c r="W27" i="6"/>
  <c r="AE27" i="6"/>
  <c r="AM27" i="6"/>
  <c r="BC27" i="6"/>
  <c r="CY27" i="6"/>
  <c r="DG27" i="6"/>
  <c r="DO27" i="6"/>
  <c r="Y28" i="6"/>
  <c r="AG28" i="6"/>
  <c r="CS28" i="6"/>
  <c r="DA28" i="6"/>
  <c r="DI28" i="6"/>
  <c r="AA29" i="6"/>
  <c r="AI29" i="6"/>
  <c r="CM29" i="6"/>
  <c r="CU29" i="6"/>
  <c r="DC29" i="6"/>
  <c r="DK29" i="6"/>
  <c r="U30" i="6"/>
  <c r="AC30" i="6"/>
  <c r="AK30" i="6"/>
  <c r="BC30" i="6"/>
  <c r="CM30" i="6"/>
  <c r="CW30" i="6"/>
  <c r="DF30" i="6"/>
  <c r="DO30" i="6"/>
  <c r="AA31" i="6"/>
  <c r="AJ31" i="6"/>
  <c r="BC31" i="6"/>
  <c r="CM31" i="6"/>
  <c r="DE31" i="6"/>
  <c r="DO31" i="6"/>
  <c r="AA32" i="6"/>
  <c r="AL32" i="6"/>
  <c r="CO32" i="6"/>
  <c r="DA32" i="6"/>
  <c r="DN32" i="6"/>
  <c r="U33" i="6"/>
  <c r="AG33" i="6"/>
  <c r="CS33" i="6"/>
  <c r="DG33" i="6"/>
  <c r="Z34" i="6"/>
  <c r="AM34" i="6"/>
  <c r="CY34" i="6"/>
  <c r="DK34" i="6"/>
  <c r="AE35" i="6"/>
  <c r="BE35" i="6"/>
  <c r="DD35" i="6"/>
  <c r="W36" i="6"/>
  <c r="AK36" i="6"/>
  <c r="CW36" i="6"/>
  <c r="DI36" i="6"/>
  <c r="AC37" i="6"/>
  <c r="BC37" i="6"/>
  <c r="CO37" i="6"/>
  <c r="DA37" i="6"/>
  <c r="DO37" i="6"/>
  <c r="U38" i="6"/>
  <c r="AH38" i="6"/>
  <c r="CT38" i="6"/>
  <c r="DG38" i="6"/>
  <c r="AA39" i="6"/>
  <c r="AM39" i="6"/>
  <c r="AZ39" i="6"/>
  <c r="CM39" i="6"/>
  <c r="CY39" i="6"/>
  <c r="DL39" i="6"/>
  <c r="AE40" i="6"/>
  <c r="BE40" i="6"/>
  <c r="CQ40" i="6"/>
  <c r="DE40" i="6"/>
  <c r="X41" i="6"/>
  <c r="AK41" i="6"/>
  <c r="CW41" i="6"/>
  <c r="DI41" i="6"/>
  <c r="AC42" i="6"/>
  <c r="BC42" i="6"/>
  <c r="CO42" i="6"/>
  <c r="DB42" i="6"/>
  <c r="DO42" i="6"/>
  <c r="U43" i="6"/>
  <c r="AI43" i="6"/>
  <c r="BH43" i="6"/>
  <c r="CU43" i="6"/>
  <c r="DG43" i="6"/>
  <c r="AA44" i="6"/>
  <c r="AM44" i="6"/>
  <c r="CM44" i="6"/>
  <c r="CY44" i="6"/>
  <c r="DM44" i="6"/>
  <c r="AF45" i="6"/>
  <c r="BE45" i="6"/>
  <c r="CR45" i="6"/>
  <c r="DE45" i="6"/>
  <c r="Y46" i="6"/>
  <c r="AK46" i="6"/>
  <c r="CW46" i="6"/>
  <c r="DJ46" i="6"/>
  <c r="AC47" i="6"/>
  <c r="BC47" i="6"/>
  <c r="CO47" i="6"/>
  <c r="DC47" i="6"/>
  <c r="DO47" i="6"/>
  <c r="V48" i="6"/>
  <c r="AI48" i="6"/>
  <c r="CU48" i="6"/>
  <c r="DG48" i="6"/>
  <c r="AC49" i="6"/>
  <c r="CO49" i="6"/>
  <c r="DE49" i="6"/>
  <c r="AE50" i="6"/>
  <c r="CY50" i="6"/>
  <c r="AD51" i="6"/>
  <c r="CY51" i="6"/>
  <c r="AD52" i="6"/>
  <c r="DC52" i="6"/>
  <c r="AN53" i="6"/>
  <c r="CZ53" i="6"/>
  <c r="AK54" i="6"/>
  <c r="BF54" i="6"/>
  <c r="CW54" i="6"/>
  <c r="AG55" i="6"/>
  <c r="BC55" i="6"/>
  <c r="CV55" i="6"/>
  <c r="CU56" i="6"/>
  <c r="AY57" i="6"/>
  <c r="DB57" i="6"/>
  <c r="AE58" i="6"/>
  <c r="CS58" i="6"/>
  <c r="X59" i="6"/>
  <c r="AZ59" i="6"/>
  <c r="DN60" i="6"/>
  <c r="AK61" i="6"/>
  <c r="DG61" i="6"/>
  <c r="AD62" i="6"/>
  <c r="CY62" i="6"/>
  <c r="W63" i="6"/>
  <c r="BG63" i="6"/>
  <c r="CR63" i="6"/>
  <c r="AY64" i="6"/>
  <c r="DM64" i="6"/>
  <c r="DE65" i="6"/>
  <c r="AK66" i="6"/>
  <c r="CX66" i="6"/>
  <c r="AB67" i="6"/>
  <c r="CQ67" i="6"/>
  <c r="U68" i="6"/>
  <c r="BF68" i="6"/>
  <c r="AY69" i="6"/>
  <c r="DM69" i="6"/>
  <c r="BB70" i="6"/>
  <c r="Y71" i="6"/>
  <c r="DC71" i="6"/>
  <c r="DD73" i="6"/>
  <c r="AG74" i="6"/>
  <c r="AY75" i="6"/>
  <c r="CS75" i="6"/>
  <c r="AI76" i="6"/>
  <c r="DH77" i="6"/>
  <c r="BB78" i="6"/>
  <c r="DD78" i="6"/>
  <c r="AL79" i="6"/>
  <c r="AH80" i="6"/>
  <c r="DF81" i="6"/>
  <c r="BA82" i="6"/>
  <c r="DC82" i="6"/>
  <c r="AK83" i="6"/>
  <c r="AG84" i="6"/>
  <c r="DE85" i="6"/>
  <c r="BF86" i="6"/>
  <c r="AM88" i="6"/>
  <c r="DK88" i="6"/>
  <c r="X90" i="6"/>
  <c r="CU90" i="6"/>
  <c r="DP91" i="6"/>
  <c r="AD93" i="6"/>
  <c r="CZ93" i="6"/>
  <c r="BB96" i="6"/>
  <c r="DF96" i="6"/>
  <c r="AM98" i="6"/>
  <c r="CQ98" i="6"/>
  <c r="W100" i="6"/>
  <c r="CM100" i="6"/>
  <c r="BV93" i="5"/>
  <c r="BX94" i="5"/>
  <c r="BE101" i="6"/>
  <c r="BC100" i="6"/>
  <c r="BC101" i="6"/>
  <c r="BA100" i="6"/>
  <c r="BG101" i="6"/>
  <c r="AY100" i="6"/>
  <c r="BC99" i="6"/>
  <c r="BA98" i="6"/>
  <c r="BG97" i="6"/>
  <c r="AY97" i="6"/>
  <c r="BE96" i="6"/>
  <c r="BC95" i="6"/>
  <c r="BA94" i="6"/>
  <c r="BG93" i="6"/>
  <c r="AY93" i="6"/>
  <c r="BE92" i="6"/>
  <c r="BC91" i="6"/>
  <c r="BA90" i="6"/>
  <c r="BG89" i="6"/>
  <c r="AY89" i="6"/>
  <c r="BE88" i="6"/>
  <c r="BC87" i="6"/>
  <c r="BF101" i="6"/>
  <c r="BH100" i="6"/>
  <c r="BB99" i="6"/>
  <c r="BH98" i="6"/>
  <c r="AZ98" i="6"/>
  <c r="BF97" i="6"/>
  <c r="BD96" i="6"/>
  <c r="BB95" i="6"/>
  <c r="BH94" i="6"/>
  <c r="AZ94" i="6"/>
  <c r="BF93" i="6"/>
  <c r="BD92" i="6"/>
  <c r="BB91" i="6"/>
  <c r="BH90" i="6"/>
  <c r="AZ90" i="6"/>
  <c r="BF89" i="6"/>
  <c r="BD88" i="6"/>
  <c r="BB87" i="6"/>
  <c r="BH86" i="6"/>
  <c r="AZ86" i="6"/>
  <c r="BA101" i="6"/>
  <c r="BE100" i="6"/>
  <c r="BG99" i="6"/>
  <c r="AY99" i="6"/>
  <c r="BE98" i="6"/>
  <c r="BC97" i="6"/>
  <c r="BA96" i="6"/>
  <c r="BG95" i="6"/>
  <c r="AY95" i="6"/>
  <c r="BE94" i="6"/>
  <c r="BC93" i="6"/>
  <c r="BA92" i="6"/>
  <c r="BG91" i="6"/>
  <c r="AY91" i="6"/>
  <c r="BE90" i="6"/>
  <c r="BC89" i="6"/>
  <c r="BA88" i="6"/>
  <c r="BG87" i="6"/>
  <c r="AY87" i="6"/>
  <c r="BE86" i="6"/>
  <c r="BC85" i="6"/>
  <c r="BA84" i="6"/>
  <c r="BG83" i="6"/>
  <c r="AY83" i="6"/>
  <c r="BE82" i="6"/>
  <c r="BC81" i="6"/>
  <c r="BA80" i="6"/>
  <c r="BG79" i="6"/>
  <c r="AY79" i="6"/>
  <c r="BE78" i="6"/>
  <c r="BC77" i="6"/>
  <c r="BA76" i="6"/>
  <c r="BD101" i="6"/>
  <c r="BA99" i="6"/>
  <c r="BD97" i="6"/>
  <c r="AY96" i="6"/>
  <c r="BF95" i="6"/>
  <c r="BB94" i="6"/>
  <c r="BC92" i="6"/>
  <c r="BF90" i="6"/>
  <c r="BA89" i="6"/>
  <c r="BH88" i="6"/>
  <c r="BD87" i="6"/>
  <c r="BB86" i="6"/>
  <c r="BF85" i="6"/>
  <c r="BF84" i="6"/>
  <c r="BF83" i="6"/>
  <c r="BG82" i="6"/>
  <c r="BG81" i="6"/>
  <c r="BG80" i="6"/>
  <c r="BH79" i="6"/>
  <c r="BH78" i="6"/>
  <c r="AY78" i="6"/>
  <c r="BH77" i="6"/>
  <c r="AY77" i="6"/>
  <c r="BH76" i="6"/>
  <c r="AY76" i="6"/>
  <c r="BB75" i="6"/>
  <c r="BH74" i="6"/>
  <c r="AZ74" i="6"/>
  <c r="BF73" i="6"/>
  <c r="BD72" i="6"/>
  <c r="BB71" i="6"/>
  <c r="BH70" i="6"/>
  <c r="AZ70" i="6"/>
  <c r="BF69" i="6"/>
  <c r="BD68" i="6"/>
  <c r="BB67" i="6"/>
  <c r="BH66" i="6"/>
  <c r="AZ66" i="6"/>
  <c r="BF65" i="6"/>
  <c r="BD64" i="6"/>
  <c r="BB63" i="6"/>
  <c r="BH62" i="6"/>
  <c r="AZ62" i="6"/>
  <c r="BF61" i="6"/>
  <c r="BD60" i="6"/>
  <c r="BB59" i="6"/>
  <c r="BH58" i="6"/>
  <c r="AZ58" i="6"/>
  <c r="BB101" i="6"/>
  <c r="AZ99" i="6"/>
  <c r="BG98" i="6"/>
  <c r="BB97" i="6"/>
  <c r="BE95" i="6"/>
  <c r="AY94" i="6"/>
  <c r="BH93" i="6"/>
  <c r="BB92" i="6"/>
  <c r="BD90" i="6"/>
  <c r="AZ89" i="6"/>
  <c r="BG88" i="6"/>
  <c r="BA87" i="6"/>
  <c r="BA86" i="6"/>
  <c r="BE85" i="6"/>
  <c r="BE84" i="6"/>
  <c r="BE83" i="6"/>
  <c r="BF82" i="6"/>
  <c r="BF81" i="6"/>
  <c r="BF80" i="6"/>
  <c r="BF79" i="6"/>
  <c r="BG78" i="6"/>
  <c r="BG77" i="6"/>
  <c r="BG76" i="6"/>
  <c r="BA75" i="6"/>
  <c r="BG74" i="6"/>
  <c r="AY74" i="6"/>
  <c r="BE73" i="6"/>
  <c r="BC72" i="6"/>
  <c r="BA71" i="6"/>
  <c r="BG70" i="6"/>
  <c r="AY70" i="6"/>
  <c r="BE69" i="6"/>
  <c r="BC68" i="6"/>
  <c r="BA67" i="6"/>
  <c r="BG66" i="6"/>
  <c r="AY66" i="6"/>
  <c r="BE65" i="6"/>
  <c r="BC64" i="6"/>
  <c r="BA63" i="6"/>
  <c r="BG62" i="6"/>
  <c r="AY62" i="6"/>
  <c r="BE61" i="6"/>
  <c r="BC60" i="6"/>
  <c r="BA59" i="6"/>
  <c r="BG58" i="6"/>
  <c r="AY58" i="6"/>
  <c r="BE57" i="6"/>
  <c r="BC56" i="6"/>
  <c r="BA55" i="6"/>
  <c r="BG54" i="6"/>
  <c r="AY54" i="6"/>
  <c r="BE53" i="6"/>
  <c r="AZ101" i="6"/>
  <c r="BG100" i="6"/>
  <c r="BF98" i="6"/>
  <c r="BA97" i="6"/>
  <c r="BH96" i="6"/>
  <c r="BD95" i="6"/>
  <c r="BE93" i="6"/>
  <c r="AZ92" i="6"/>
  <c r="BH91" i="6"/>
  <c r="BC90" i="6"/>
  <c r="BF88" i="6"/>
  <c r="AZ87" i="6"/>
  <c r="AY86" i="6"/>
  <c r="BD85" i="6"/>
  <c r="BD84" i="6"/>
  <c r="BD83" i="6"/>
  <c r="BD82" i="6"/>
  <c r="BE81" i="6"/>
  <c r="BE80" i="6"/>
  <c r="BE79" i="6"/>
  <c r="BF78" i="6"/>
  <c r="BF77" i="6"/>
  <c r="BF76" i="6"/>
  <c r="BH75" i="6"/>
  <c r="AZ75" i="6"/>
  <c r="BF74" i="6"/>
  <c r="BD73" i="6"/>
  <c r="BB72" i="6"/>
  <c r="BH71" i="6"/>
  <c r="AZ71" i="6"/>
  <c r="BF70" i="6"/>
  <c r="BD100" i="6"/>
  <c r="BH99" i="6"/>
  <c r="BC98" i="6"/>
  <c r="BF96" i="6"/>
  <c r="AZ95" i="6"/>
  <c r="BG94" i="6"/>
  <c r="BB93" i="6"/>
  <c r="BE91" i="6"/>
  <c r="AY90" i="6"/>
  <c r="BH89" i="6"/>
  <c r="BB88" i="6"/>
  <c r="BG86" i="6"/>
  <c r="BA85" i="6"/>
  <c r="BB84" i="6"/>
  <c r="BB83" i="6"/>
  <c r="BB82" i="6"/>
  <c r="BB81" i="6"/>
  <c r="BC80" i="6"/>
  <c r="BC79" i="6"/>
  <c r="BC78" i="6"/>
  <c r="BD77" i="6"/>
  <c r="BD76" i="6"/>
  <c r="BF75" i="6"/>
  <c r="BD74" i="6"/>
  <c r="BB73" i="6"/>
  <c r="BH72" i="6"/>
  <c r="AZ72" i="6"/>
  <c r="BF71" i="6"/>
  <c r="BD70" i="6"/>
  <c r="BB69" i="6"/>
  <c r="BH68" i="6"/>
  <c r="AZ68" i="6"/>
  <c r="BF67" i="6"/>
  <c r="BD66" i="6"/>
  <c r="BB65" i="6"/>
  <c r="BH64" i="6"/>
  <c r="AZ64" i="6"/>
  <c r="BF63" i="6"/>
  <c r="BD62" i="6"/>
  <c r="BB61" i="6"/>
  <c r="BH60" i="6"/>
  <c r="AZ60" i="6"/>
  <c r="BF59" i="6"/>
  <c r="BD58" i="6"/>
  <c r="BB57" i="6"/>
  <c r="BH56" i="6"/>
  <c r="AZ56" i="6"/>
  <c r="BF55" i="6"/>
  <c r="BD54" i="6"/>
  <c r="BB53" i="6"/>
  <c r="BH52" i="6"/>
  <c r="AZ52" i="6"/>
  <c r="BD50" i="6"/>
  <c r="BD99" i="6"/>
  <c r="AZ96" i="6"/>
  <c r="BH95" i="6"/>
  <c r="BF92" i="6"/>
  <c r="BB89" i="6"/>
  <c r="BC86" i="6"/>
  <c r="AY82" i="6"/>
  <c r="AY81" i="6"/>
  <c r="AY80" i="6"/>
  <c r="AZ79" i="6"/>
  <c r="AZ78" i="6"/>
  <c r="AZ77" i="6"/>
  <c r="AZ76" i="6"/>
  <c r="BG73" i="6"/>
  <c r="BE72" i="6"/>
  <c r="BC71" i="6"/>
  <c r="BA70" i="6"/>
  <c r="BE68" i="6"/>
  <c r="AY67" i="6"/>
  <c r="BF66" i="6"/>
  <c r="BA65" i="6"/>
  <c r="BD63" i="6"/>
  <c r="BG61" i="6"/>
  <c r="BA60" i="6"/>
  <c r="BH59" i="6"/>
  <c r="BC58" i="6"/>
  <c r="BH57" i="6"/>
  <c r="BA56" i="6"/>
  <c r="BD55" i="6"/>
  <c r="BH54" i="6"/>
  <c r="AZ53" i="6"/>
  <c r="BF52" i="6"/>
  <c r="BG51" i="6"/>
  <c r="BH48" i="6"/>
  <c r="BD46" i="6"/>
  <c r="BH44" i="6"/>
  <c r="BD42" i="6"/>
  <c r="BH40" i="6"/>
  <c r="AZ40" i="6"/>
  <c r="BF39" i="6"/>
  <c r="BD38" i="6"/>
  <c r="BH36" i="6"/>
  <c r="AZ36" i="6"/>
  <c r="BD34" i="6"/>
  <c r="BH32" i="6"/>
  <c r="AZ32" i="6"/>
  <c r="BD98" i="6"/>
  <c r="BA95" i="6"/>
  <c r="AY92" i="6"/>
  <c r="BF91" i="6"/>
  <c r="BC88" i="6"/>
  <c r="BG75" i="6"/>
  <c r="BE74" i="6"/>
  <c r="BC73" i="6"/>
  <c r="BA72" i="6"/>
  <c r="AY71" i="6"/>
  <c r="BH69" i="6"/>
  <c r="BB68" i="6"/>
  <c r="BE66" i="6"/>
  <c r="AZ65" i="6"/>
  <c r="BG64" i="6"/>
  <c r="BC63" i="6"/>
  <c r="BD61" i="6"/>
  <c r="AY60" i="6"/>
  <c r="BG59" i="6"/>
  <c r="BB58" i="6"/>
  <c r="BG57" i="6"/>
  <c r="AY56" i="6"/>
  <c r="BB98" i="6"/>
  <c r="BF94" i="6"/>
  <c r="BD91" i="6"/>
  <c r="AZ88" i="6"/>
  <c r="BH87" i="6"/>
  <c r="BE75" i="6"/>
  <c r="BC74" i="6"/>
  <c r="BA73" i="6"/>
  <c r="AY72" i="6"/>
  <c r="BG69" i="6"/>
  <c r="BA68" i="6"/>
  <c r="BH67" i="6"/>
  <c r="BC66" i="6"/>
  <c r="AY65" i="6"/>
  <c r="BF64" i="6"/>
  <c r="AZ63" i="6"/>
  <c r="BC61" i="6"/>
  <c r="BE59" i="6"/>
  <c r="BA58" i="6"/>
  <c r="BF57" i="6"/>
  <c r="BB55" i="6"/>
  <c r="BE54" i="6"/>
  <c r="BH53" i="6"/>
  <c r="BD52" i="6"/>
  <c r="BD51" i="6"/>
  <c r="BE50" i="6"/>
  <c r="BH49" i="6"/>
  <c r="BF48" i="6"/>
  <c r="BD47" i="6"/>
  <c r="BB46" i="6"/>
  <c r="BH45" i="6"/>
  <c r="AZ45" i="6"/>
  <c r="BD43" i="6"/>
  <c r="BH41" i="6"/>
  <c r="BF40" i="6"/>
  <c r="BD39" i="6"/>
  <c r="BB38" i="6"/>
  <c r="BH37" i="6"/>
  <c r="BD35" i="6"/>
  <c r="BH33" i="6"/>
  <c r="AZ33" i="6"/>
  <c r="AY98" i="6"/>
  <c r="BH97" i="6"/>
  <c r="BD94" i="6"/>
  <c r="BA91" i="6"/>
  <c r="AY88" i="6"/>
  <c r="BF87" i="6"/>
  <c r="BH85" i="6"/>
  <c r="BH84" i="6"/>
  <c r="BD75" i="6"/>
  <c r="BB74" i="6"/>
  <c r="AZ73" i="6"/>
  <c r="BD69" i="6"/>
  <c r="AY68" i="6"/>
  <c r="BG67" i="6"/>
  <c r="BB66" i="6"/>
  <c r="BE64" i="6"/>
  <c r="AY63" i="6"/>
  <c r="BF62" i="6"/>
  <c r="BA61" i="6"/>
  <c r="BD59" i="6"/>
  <c r="BD57" i="6"/>
  <c r="BG56" i="6"/>
  <c r="AZ55" i="6"/>
  <c r="BC54" i="6"/>
  <c r="BG53" i="6"/>
  <c r="BC52" i="6"/>
  <c r="BC51" i="6"/>
  <c r="BC50" i="6"/>
  <c r="BH101" i="6"/>
  <c r="BE97" i="6"/>
  <c r="BC94" i="6"/>
  <c r="AZ91" i="6"/>
  <c r="BG90" i="6"/>
  <c r="BE87" i="6"/>
  <c r="BG85" i="6"/>
  <c r="BG84" i="6"/>
  <c r="BH83" i="6"/>
  <c r="BH82" i="6"/>
  <c r="BH81" i="6"/>
  <c r="BH80" i="6"/>
  <c r="BC75" i="6"/>
  <c r="BA74" i="6"/>
  <c r="AY73" i="6"/>
  <c r="BC69" i="6"/>
  <c r="BE67" i="6"/>
  <c r="BA66" i="6"/>
  <c r="BH65" i="6"/>
  <c r="BB64" i="6"/>
  <c r="BE62" i="6"/>
  <c r="AZ61" i="6"/>
  <c r="BG60" i="6"/>
  <c r="BC59" i="6"/>
  <c r="BC57" i="6"/>
  <c r="BF56" i="6"/>
  <c r="AY55" i="6"/>
  <c r="BB54" i="6"/>
  <c r="BF53" i="6"/>
  <c r="BB52" i="6"/>
  <c r="BF49" i="6"/>
  <c r="BD48" i="6"/>
  <c r="BB47" i="6"/>
  <c r="BH46" i="6"/>
  <c r="BD44" i="6"/>
  <c r="BH42" i="6"/>
  <c r="AZ42" i="6"/>
  <c r="BD40" i="6"/>
  <c r="BH38" i="6"/>
  <c r="AZ38" i="6"/>
  <c r="BD36" i="6"/>
  <c r="BH34" i="6"/>
  <c r="AZ34" i="6"/>
  <c r="BD32" i="6"/>
  <c r="BH30" i="6"/>
  <c r="AZ30" i="6"/>
  <c r="CM96" i="5"/>
  <c r="BV102" i="5"/>
  <c r="CD102" i="5"/>
  <c r="AB2" i="6"/>
  <c r="AJ2" i="6"/>
  <c r="BH2" i="6"/>
  <c r="CN2" i="6"/>
  <c r="DD2" i="6"/>
  <c r="DL2" i="6"/>
  <c r="U3" i="6"/>
  <c r="AC3" i="6"/>
  <c r="AK3" i="6"/>
  <c r="BA3" i="6"/>
  <c r="CO3" i="6"/>
  <c r="CW3" i="6"/>
  <c r="DE3" i="6"/>
  <c r="DM3" i="6"/>
  <c r="V4" i="6"/>
  <c r="AD4" i="6"/>
  <c r="AL4" i="6"/>
  <c r="BB4" i="6"/>
  <c r="CP4" i="6"/>
  <c r="CX4" i="6"/>
  <c r="DN4" i="6"/>
  <c r="W5" i="6"/>
  <c r="AE5" i="6"/>
  <c r="AM5" i="6"/>
  <c r="BC5" i="6"/>
  <c r="CY5" i="6"/>
  <c r="DG5" i="6"/>
  <c r="DO5" i="6"/>
  <c r="W6" i="6"/>
  <c r="AE6" i="6"/>
  <c r="AM6" i="6"/>
  <c r="BC6" i="6"/>
  <c r="CY6" i="6"/>
  <c r="DG6" i="6"/>
  <c r="DO6" i="6"/>
  <c r="W7" i="6"/>
  <c r="AE7" i="6"/>
  <c r="AM7" i="6"/>
  <c r="BC7" i="6"/>
  <c r="CY7" i="6"/>
  <c r="DG7" i="6"/>
  <c r="DO7" i="6"/>
  <c r="W8" i="6"/>
  <c r="AE8" i="6"/>
  <c r="AM8" i="6"/>
  <c r="BC8" i="6"/>
  <c r="CY8" i="6"/>
  <c r="DG8" i="6"/>
  <c r="DO8" i="6"/>
  <c r="W9" i="6"/>
  <c r="AE9" i="6"/>
  <c r="AM9" i="6"/>
  <c r="BC9" i="6"/>
  <c r="CY9" i="6"/>
  <c r="DG9" i="6"/>
  <c r="DO9" i="6"/>
  <c r="W10" i="6"/>
  <c r="AE10" i="6"/>
  <c r="AM10" i="6"/>
  <c r="BC10" i="6"/>
  <c r="CY10" i="6"/>
  <c r="DG10" i="6"/>
  <c r="DO10" i="6"/>
  <c r="W11" i="6"/>
  <c r="AE11" i="6"/>
  <c r="AM11" i="6"/>
  <c r="BC11" i="6"/>
  <c r="CY11" i="6"/>
  <c r="DG11" i="6"/>
  <c r="DO11" i="6"/>
  <c r="W12" i="6"/>
  <c r="AE12" i="6"/>
  <c r="AM12" i="6"/>
  <c r="BC12" i="6"/>
  <c r="CY12" i="6"/>
  <c r="DG12" i="6"/>
  <c r="DO12" i="6"/>
  <c r="W13" i="6"/>
  <c r="AE13" i="6"/>
  <c r="AM13" i="6"/>
  <c r="BC13" i="6"/>
  <c r="CY13" i="6"/>
  <c r="DG13" i="6"/>
  <c r="DO13" i="6"/>
  <c r="W14" i="6"/>
  <c r="AE14" i="6"/>
  <c r="AM14" i="6"/>
  <c r="BC14" i="6"/>
  <c r="CY14" i="6"/>
  <c r="DG14" i="6"/>
  <c r="DO14" i="6"/>
  <c r="X15" i="6"/>
  <c r="AF15" i="6"/>
  <c r="AN15" i="6"/>
  <c r="BD15" i="6"/>
  <c r="CR15" i="6"/>
  <c r="CZ15" i="6"/>
  <c r="DH15" i="6"/>
  <c r="DP15" i="6"/>
  <c r="Z16" i="6"/>
  <c r="AH16" i="6"/>
  <c r="CT16" i="6"/>
  <c r="DB16" i="6"/>
  <c r="DJ16" i="6"/>
  <c r="AB17" i="6"/>
  <c r="AJ17" i="6"/>
  <c r="BH17" i="6"/>
  <c r="CN17" i="6"/>
  <c r="DD17" i="6"/>
  <c r="DL17" i="6"/>
  <c r="V18" i="6"/>
  <c r="AD18" i="6"/>
  <c r="AL18" i="6"/>
  <c r="BB18" i="6"/>
  <c r="CP18" i="6"/>
  <c r="CX18" i="6"/>
  <c r="DF18" i="6"/>
  <c r="DN18" i="6"/>
  <c r="X19" i="6"/>
  <c r="AF19" i="6"/>
  <c r="AN19" i="6"/>
  <c r="BD19" i="6"/>
  <c r="CR19" i="6"/>
  <c r="CZ19" i="6"/>
  <c r="DH19" i="6"/>
  <c r="DP19" i="6"/>
  <c r="Z20" i="6"/>
  <c r="AH20" i="6"/>
  <c r="CT20" i="6"/>
  <c r="DB20" i="6"/>
  <c r="DJ20" i="6"/>
  <c r="AB21" i="6"/>
  <c r="AJ21" i="6"/>
  <c r="AZ21" i="6"/>
  <c r="BH21" i="6"/>
  <c r="CN21" i="6"/>
  <c r="DD21" i="6"/>
  <c r="DL21" i="6"/>
  <c r="V22" i="6"/>
  <c r="AD22" i="6"/>
  <c r="AL22" i="6"/>
  <c r="CP22" i="6"/>
  <c r="CX22" i="6"/>
  <c r="DF22" i="6"/>
  <c r="DN22" i="6"/>
  <c r="X23" i="6"/>
  <c r="AF23" i="6"/>
  <c r="AN23" i="6"/>
  <c r="BD23" i="6"/>
  <c r="CR23" i="6"/>
  <c r="CZ23" i="6"/>
  <c r="DH23" i="6"/>
  <c r="DP23" i="6"/>
  <c r="Z24" i="6"/>
  <c r="AH24" i="6"/>
  <c r="BF24" i="6"/>
  <c r="CT24" i="6"/>
  <c r="DB24" i="6"/>
  <c r="DJ24" i="6"/>
  <c r="AB25" i="6"/>
  <c r="AJ25" i="6"/>
  <c r="AZ25" i="6"/>
  <c r="BH25" i="6"/>
  <c r="CN25" i="6"/>
  <c r="DD25" i="6"/>
  <c r="DL25" i="6"/>
  <c r="V26" i="6"/>
  <c r="AD26" i="6"/>
  <c r="AL26" i="6"/>
  <c r="BB26" i="6"/>
  <c r="CP26" i="6"/>
  <c r="CX26" i="6"/>
  <c r="DF26" i="6"/>
  <c r="DN26" i="6"/>
  <c r="X27" i="6"/>
  <c r="AF27" i="6"/>
  <c r="AN27" i="6"/>
  <c r="BD27" i="6"/>
  <c r="CR27" i="6"/>
  <c r="CZ27" i="6"/>
  <c r="DH27" i="6"/>
  <c r="DP27" i="6"/>
  <c r="Z28" i="6"/>
  <c r="AH28" i="6"/>
  <c r="CT28" i="6"/>
  <c r="DB28" i="6"/>
  <c r="DJ28" i="6"/>
  <c r="AB29" i="6"/>
  <c r="AJ29" i="6"/>
  <c r="AZ29" i="6"/>
  <c r="BH29" i="6"/>
  <c r="CN29" i="6"/>
  <c r="DD29" i="6"/>
  <c r="DL29" i="6"/>
  <c r="V30" i="6"/>
  <c r="AD30" i="6"/>
  <c r="AL30" i="6"/>
  <c r="BD30" i="6"/>
  <c r="CO30" i="6"/>
  <c r="CX30" i="6"/>
  <c r="DG30" i="6"/>
  <c r="DP30" i="6"/>
  <c r="AB31" i="6"/>
  <c r="AK31" i="6"/>
  <c r="BD31" i="6"/>
  <c r="CN31" i="6"/>
  <c r="CW31" i="6"/>
  <c r="DG31" i="6"/>
  <c r="DP31" i="6"/>
  <c r="AC32" i="6"/>
  <c r="AM32" i="6"/>
  <c r="CP32" i="6"/>
  <c r="DC32" i="6"/>
  <c r="DO32" i="6"/>
  <c r="W33" i="6"/>
  <c r="AI33" i="6"/>
  <c r="CU33" i="6"/>
  <c r="DH33" i="6"/>
  <c r="AA34" i="6"/>
  <c r="BA34" i="6"/>
  <c r="CM34" i="6"/>
  <c r="DA34" i="6"/>
  <c r="DM34" i="6"/>
  <c r="AG35" i="6"/>
  <c r="BG35" i="6"/>
  <c r="CS35" i="6"/>
  <c r="DE35" i="6"/>
  <c r="Y36" i="6"/>
  <c r="AL36" i="6"/>
  <c r="CX36" i="6"/>
  <c r="DK36" i="6"/>
  <c r="AE37" i="6"/>
  <c r="BD37" i="6"/>
  <c r="CQ37" i="6"/>
  <c r="DC37" i="6"/>
  <c r="DP37" i="6"/>
  <c r="W38" i="6"/>
  <c r="AI38" i="6"/>
  <c r="CU38" i="6"/>
  <c r="DI38" i="6"/>
  <c r="AB39" i="6"/>
  <c r="CN39" i="6"/>
  <c r="DA39" i="6"/>
  <c r="DM39" i="6"/>
  <c r="U40" i="6"/>
  <c r="AG40" i="6"/>
  <c r="BG40" i="6"/>
  <c r="CS40" i="6"/>
  <c r="DF40" i="6"/>
  <c r="Y41" i="6"/>
  <c r="AM41" i="6"/>
  <c r="CY41" i="6"/>
  <c r="DK41" i="6"/>
  <c r="AE42" i="6"/>
  <c r="CQ42" i="6"/>
  <c r="DC42" i="6"/>
  <c r="W43" i="6"/>
  <c r="AJ43" i="6"/>
  <c r="CV43" i="6"/>
  <c r="DI43" i="6"/>
  <c r="AC44" i="6"/>
  <c r="CO44" i="6"/>
  <c r="DA44" i="6"/>
  <c r="DN44" i="6"/>
  <c r="U45" i="6"/>
  <c r="AG45" i="6"/>
  <c r="CS45" i="6"/>
  <c r="DG45" i="6"/>
  <c r="Z46" i="6"/>
  <c r="AM46" i="6"/>
  <c r="CY46" i="6"/>
  <c r="DK46" i="6"/>
  <c r="AE47" i="6"/>
  <c r="CQ47" i="6"/>
  <c r="DD47" i="6"/>
  <c r="W48" i="6"/>
  <c r="AK48" i="6"/>
  <c r="CW48" i="6"/>
  <c r="DI48" i="6"/>
  <c r="AE49" i="6"/>
  <c r="CQ49" i="6"/>
  <c r="DG49" i="6"/>
  <c r="AG50" i="6"/>
  <c r="DB50" i="6"/>
  <c r="AF51" i="6"/>
  <c r="DA51" i="6"/>
  <c r="AF52" i="6"/>
  <c r="DF52" i="6"/>
  <c r="U53" i="6"/>
  <c r="DC53" i="6"/>
  <c r="AM54" i="6"/>
  <c r="CY54" i="6"/>
  <c r="AJ55" i="6"/>
  <c r="BE55" i="6"/>
  <c r="CX55" i="6"/>
  <c r="V56" i="6"/>
  <c r="DC56" i="6"/>
  <c r="U57" i="6"/>
  <c r="AZ57" i="6"/>
  <c r="DC57" i="6"/>
  <c r="AG58" i="6"/>
  <c r="CT58" i="6"/>
  <c r="Y59" i="6"/>
  <c r="CM59" i="6"/>
  <c r="BB60" i="6"/>
  <c r="DH61" i="6"/>
  <c r="AM62" i="6"/>
  <c r="DA62" i="6"/>
  <c r="AF63" i="6"/>
  <c r="BH63" i="6"/>
  <c r="CS63" i="6"/>
  <c r="Y64" i="6"/>
  <c r="BA64" i="6"/>
  <c r="DO65" i="6"/>
  <c r="AL66" i="6"/>
  <c r="DG66" i="6"/>
  <c r="AE67" i="6"/>
  <c r="CZ67" i="6"/>
  <c r="V68" i="6"/>
  <c r="BG68" i="6"/>
  <c r="CS68" i="6"/>
  <c r="AZ69" i="6"/>
  <c r="DO69" i="6"/>
  <c r="BC70" i="6"/>
  <c r="CX70" i="6"/>
  <c r="AA71" i="6"/>
  <c r="DP71" i="6"/>
  <c r="CM72" i="6"/>
  <c r="AB73" i="6"/>
  <c r="DE73" i="6"/>
  <c r="CU75" i="6"/>
  <c r="AJ76" i="6"/>
  <c r="BD78" i="6"/>
  <c r="DE78" i="6"/>
  <c r="BA79" i="6"/>
  <c r="CO79" i="6"/>
  <c r="AI80" i="6"/>
  <c r="BC82" i="6"/>
  <c r="DD82" i="6"/>
  <c r="AZ83" i="6"/>
  <c r="CN83" i="6"/>
  <c r="AH84" i="6"/>
  <c r="U87" i="6"/>
  <c r="CS87" i="6"/>
  <c r="DL88" i="6"/>
  <c r="AA90" i="6"/>
  <c r="CX90" i="6"/>
  <c r="AZ93" i="6"/>
  <c r="AJ95" i="6"/>
  <c r="BC96" i="6"/>
  <c r="U97" i="6"/>
  <c r="AN98" i="6"/>
  <c r="DK98" i="6"/>
  <c r="AB36" i="8"/>
  <c r="Y36" i="8"/>
  <c r="AA36" i="8" s="1"/>
  <c r="U36" i="8"/>
  <c r="Y101" i="6"/>
  <c r="W101" i="6"/>
  <c r="AA101" i="6"/>
  <c r="Y100" i="6"/>
  <c r="W99" i="6"/>
  <c r="AC98" i="6"/>
  <c r="U98" i="6"/>
  <c r="AA97" i="6"/>
  <c r="Y96" i="6"/>
  <c r="W95" i="6"/>
  <c r="AC94" i="6"/>
  <c r="U94" i="6"/>
  <c r="AA93" i="6"/>
  <c r="Y92" i="6"/>
  <c r="W91" i="6"/>
  <c r="AC90" i="6"/>
  <c r="U90" i="6"/>
  <c r="AA89" i="6"/>
  <c r="Y88" i="6"/>
  <c r="W87" i="6"/>
  <c r="Z101" i="6"/>
  <c r="X100" i="6"/>
  <c r="AD99" i="6"/>
  <c r="V99" i="6"/>
  <c r="AB98" i="6"/>
  <c r="Z97" i="6"/>
  <c r="X96" i="6"/>
  <c r="AD95" i="6"/>
  <c r="V95" i="6"/>
  <c r="AB94" i="6"/>
  <c r="Z93" i="6"/>
  <c r="X92" i="6"/>
  <c r="AD91" i="6"/>
  <c r="V91" i="6"/>
  <c r="AB90" i="6"/>
  <c r="Z89" i="6"/>
  <c r="X88" i="6"/>
  <c r="AD87" i="6"/>
  <c r="V87" i="6"/>
  <c r="AB86" i="6"/>
  <c r="U101" i="6"/>
  <c r="AC100" i="6"/>
  <c r="U100" i="6"/>
  <c r="AA99" i="6"/>
  <c r="Y98" i="6"/>
  <c r="W97" i="6"/>
  <c r="AC96" i="6"/>
  <c r="U96" i="6"/>
  <c r="AA95" i="6"/>
  <c r="Y94" i="6"/>
  <c r="W93" i="6"/>
  <c r="AC92" i="6"/>
  <c r="U92" i="6"/>
  <c r="AA91" i="6"/>
  <c r="Y90" i="6"/>
  <c r="W89" i="6"/>
  <c r="AC88" i="6"/>
  <c r="U88" i="6"/>
  <c r="AA87" i="6"/>
  <c r="Y86" i="6"/>
  <c r="W85" i="6"/>
  <c r="AC84" i="6"/>
  <c r="U84" i="6"/>
  <c r="AA83" i="6"/>
  <c r="Y82" i="6"/>
  <c r="W81" i="6"/>
  <c r="AC80" i="6"/>
  <c r="U80" i="6"/>
  <c r="AA79" i="6"/>
  <c r="Y78" i="6"/>
  <c r="W77" i="6"/>
  <c r="AC76" i="6"/>
  <c r="V101" i="6"/>
  <c r="AB99" i="6"/>
  <c r="W98" i="6"/>
  <c r="AD97" i="6"/>
  <c r="Z96" i="6"/>
  <c r="AA94" i="6"/>
  <c r="V93" i="6"/>
  <c r="AD92" i="6"/>
  <c r="Y91" i="6"/>
  <c r="AB89" i="6"/>
  <c r="V88" i="6"/>
  <c r="AC87" i="6"/>
  <c r="V86" i="6"/>
  <c r="AD85" i="6"/>
  <c r="U85" i="6"/>
  <c r="V84" i="6"/>
  <c r="V83" i="6"/>
  <c r="V82" i="6"/>
  <c r="V81" i="6"/>
  <c r="W80" i="6"/>
  <c r="W79" i="6"/>
  <c r="W78" i="6"/>
  <c r="X77" i="6"/>
  <c r="X76" i="6"/>
  <c r="AD75" i="6"/>
  <c r="V75" i="6"/>
  <c r="AB74" i="6"/>
  <c r="Z73" i="6"/>
  <c r="X72" i="6"/>
  <c r="AD71" i="6"/>
  <c r="V71" i="6"/>
  <c r="AB70" i="6"/>
  <c r="Z69" i="6"/>
  <c r="X68" i="6"/>
  <c r="AD67" i="6"/>
  <c r="V67" i="6"/>
  <c r="AB66" i="6"/>
  <c r="Z65" i="6"/>
  <c r="X64" i="6"/>
  <c r="AD63" i="6"/>
  <c r="V63" i="6"/>
  <c r="AB62" i="6"/>
  <c r="Z61" i="6"/>
  <c r="X60" i="6"/>
  <c r="AD59" i="6"/>
  <c r="V59" i="6"/>
  <c r="AB58" i="6"/>
  <c r="Z99" i="6"/>
  <c r="V98" i="6"/>
  <c r="AC97" i="6"/>
  <c r="W96" i="6"/>
  <c r="Z94" i="6"/>
  <c r="U93" i="6"/>
  <c r="AB92" i="6"/>
  <c r="X91" i="6"/>
  <c r="Y89" i="6"/>
  <c r="AB87" i="6"/>
  <c r="U86" i="6"/>
  <c r="AC85" i="6"/>
  <c r="AD84" i="6"/>
  <c r="AD83" i="6"/>
  <c r="U83" i="6"/>
  <c r="AD82" i="6"/>
  <c r="U82" i="6"/>
  <c r="AD81" i="6"/>
  <c r="U81" i="6"/>
  <c r="V80" i="6"/>
  <c r="V79" i="6"/>
  <c r="V78" i="6"/>
  <c r="V77" i="6"/>
  <c r="W76" i="6"/>
  <c r="AC75" i="6"/>
  <c r="U75" i="6"/>
  <c r="AA74" i="6"/>
  <c r="Y73" i="6"/>
  <c r="W72" i="6"/>
  <c r="AC71" i="6"/>
  <c r="U71" i="6"/>
  <c r="AA70" i="6"/>
  <c r="Y69" i="6"/>
  <c r="W68" i="6"/>
  <c r="AC67" i="6"/>
  <c r="U67" i="6"/>
  <c r="AA66" i="6"/>
  <c r="Y65" i="6"/>
  <c r="W64" i="6"/>
  <c r="AC63" i="6"/>
  <c r="U63" i="6"/>
  <c r="AA62" i="6"/>
  <c r="Y61" i="6"/>
  <c r="W60" i="6"/>
  <c r="AC59" i="6"/>
  <c r="U59" i="6"/>
  <c r="AA58" i="6"/>
  <c r="Y57" i="6"/>
  <c r="W56" i="6"/>
  <c r="AC55" i="6"/>
  <c r="U55" i="6"/>
  <c r="AA54" i="6"/>
  <c r="Y53" i="6"/>
  <c r="AD100" i="6"/>
  <c r="Y99" i="6"/>
  <c r="AB97" i="6"/>
  <c r="V96" i="6"/>
  <c r="AC95" i="6"/>
  <c r="X94" i="6"/>
  <c r="AA92" i="6"/>
  <c r="U91" i="6"/>
  <c r="AD90" i="6"/>
  <c r="X89" i="6"/>
  <c r="Z87" i="6"/>
  <c r="AD86" i="6"/>
  <c r="AB85" i="6"/>
  <c r="AB84" i="6"/>
  <c r="AC83" i="6"/>
  <c r="AC82" i="6"/>
  <c r="AC81" i="6"/>
  <c r="AD80" i="6"/>
  <c r="AD79" i="6"/>
  <c r="U79" i="6"/>
  <c r="AD78" i="6"/>
  <c r="U78" i="6"/>
  <c r="AD77" i="6"/>
  <c r="U77" i="6"/>
  <c r="V76" i="6"/>
  <c r="AB75" i="6"/>
  <c r="Z74" i="6"/>
  <c r="X73" i="6"/>
  <c r="AD72" i="6"/>
  <c r="V72" i="6"/>
  <c r="AB71" i="6"/>
  <c r="Z70" i="6"/>
  <c r="AD101" i="6"/>
  <c r="AA100" i="6"/>
  <c r="U99" i="6"/>
  <c r="AD98" i="6"/>
  <c r="X97" i="6"/>
  <c r="Z95" i="6"/>
  <c r="V94" i="6"/>
  <c r="AC93" i="6"/>
  <c r="W92" i="6"/>
  <c r="Z90" i="6"/>
  <c r="U89" i="6"/>
  <c r="AB88" i="6"/>
  <c r="X87" i="6"/>
  <c r="AA86" i="6"/>
  <c r="Z85" i="6"/>
  <c r="Z84" i="6"/>
  <c r="Z83" i="6"/>
  <c r="AA82" i="6"/>
  <c r="AA81" i="6"/>
  <c r="AA80" i="6"/>
  <c r="AB79" i="6"/>
  <c r="AB78" i="6"/>
  <c r="AB77" i="6"/>
  <c r="AB76" i="6"/>
  <c r="Z75" i="6"/>
  <c r="X74" i="6"/>
  <c r="AD73" i="6"/>
  <c r="V73" i="6"/>
  <c r="AB72" i="6"/>
  <c r="Z71" i="6"/>
  <c r="X70" i="6"/>
  <c r="AD69" i="6"/>
  <c r="V69" i="6"/>
  <c r="AB68" i="6"/>
  <c r="Z67" i="6"/>
  <c r="X66" i="6"/>
  <c r="AD65" i="6"/>
  <c r="V65" i="6"/>
  <c r="AB64" i="6"/>
  <c r="Z63" i="6"/>
  <c r="X62" i="6"/>
  <c r="AD61" i="6"/>
  <c r="V61" i="6"/>
  <c r="AB60" i="6"/>
  <c r="Z59" i="6"/>
  <c r="X58" i="6"/>
  <c r="AD57" i="6"/>
  <c r="V57" i="6"/>
  <c r="AB56" i="6"/>
  <c r="Z55" i="6"/>
  <c r="X54" i="6"/>
  <c r="AD53" i="6"/>
  <c r="V53" i="6"/>
  <c r="AB52" i="6"/>
  <c r="Z51" i="6"/>
  <c r="V100" i="6"/>
  <c r="AC99" i="6"/>
  <c r="AA96" i="6"/>
  <c r="X93" i="6"/>
  <c r="V90" i="6"/>
  <c r="AC89" i="6"/>
  <c r="AC74" i="6"/>
  <c r="AA73" i="6"/>
  <c r="Y72" i="6"/>
  <c r="W71" i="6"/>
  <c r="U70" i="6"/>
  <c r="W69" i="6"/>
  <c r="AD68" i="6"/>
  <c r="Y67" i="6"/>
  <c r="U66" i="6"/>
  <c r="AB65" i="6"/>
  <c r="V64" i="6"/>
  <c r="Y62" i="6"/>
  <c r="AA60" i="6"/>
  <c r="W59" i="6"/>
  <c r="AD58" i="6"/>
  <c r="AB57" i="6"/>
  <c r="U56" i="6"/>
  <c r="X55" i="6"/>
  <c r="AB54" i="6"/>
  <c r="V52" i="6"/>
  <c r="V51" i="6"/>
  <c r="X50" i="6"/>
  <c r="AD49" i="6"/>
  <c r="V49" i="6"/>
  <c r="AB48" i="6"/>
  <c r="Z47" i="6"/>
  <c r="X46" i="6"/>
  <c r="AD45" i="6"/>
  <c r="V45" i="6"/>
  <c r="AB44" i="6"/>
  <c r="Z43" i="6"/>
  <c r="X42" i="6"/>
  <c r="AD41" i="6"/>
  <c r="V41" i="6"/>
  <c r="AB40" i="6"/>
  <c r="Z39" i="6"/>
  <c r="X38" i="6"/>
  <c r="AD37" i="6"/>
  <c r="V37" i="6"/>
  <c r="AB36" i="6"/>
  <c r="Z35" i="6"/>
  <c r="X34" i="6"/>
  <c r="AD33" i="6"/>
  <c r="V33" i="6"/>
  <c r="AB32" i="6"/>
  <c r="X99" i="6"/>
  <c r="AB95" i="6"/>
  <c r="Z92" i="6"/>
  <c r="V89" i="6"/>
  <c r="AD88" i="6"/>
  <c r="AC86" i="6"/>
  <c r="AA85" i="6"/>
  <c r="AA84" i="6"/>
  <c r="AB83" i="6"/>
  <c r="AB82" i="6"/>
  <c r="AB81" i="6"/>
  <c r="AB80" i="6"/>
  <c r="AC79" i="6"/>
  <c r="AC78" i="6"/>
  <c r="AC77" i="6"/>
  <c r="AD76" i="6"/>
  <c r="AA75" i="6"/>
  <c r="Y74" i="6"/>
  <c r="W73" i="6"/>
  <c r="U72" i="6"/>
  <c r="U69" i="6"/>
  <c r="AC68" i="6"/>
  <c r="X67" i="6"/>
  <c r="AA65" i="6"/>
  <c r="U64" i="6"/>
  <c r="AB63" i="6"/>
  <c r="W62" i="6"/>
  <c r="Z60" i="6"/>
  <c r="AC58" i="6"/>
  <c r="AA57" i="6"/>
  <c r="AD56" i="6"/>
  <c r="AC101" i="6"/>
  <c r="AA98" i="6"/>
  <c r="Y95" i="6"/>
  <c r="V92" i="6"/>
  <c r="AC91" i="6"/>
  <c r="AA88" i="6"/>
  <c r="Z86" i="6"/>
  <c r="Y85" i="6"/>
  <c r="Y84" i="6"/>
  <c r="Y83" i="6"/>
  <c r="Z82" i="6"/>
  <c r="Z81" i="6"/>
  <c r="Z80" i="6"/>
  <c r="Z79" i="6"/>
  <c r="AA78" i="6"/>
  <c r="AA77" i="6"/>
  <c r="AA76" i="6"/>
  <c r="Y75" i="6"/>
  <c r="W74" i="6"/>
  <c r="U73" i="6"/>
  <c r="AA68" i="6"/>
  <c r="W67" i="6"/>
  <c r="AD66" i="6"/>
  <c r="X65" i="6"/>
  <c r="AA63" i="6"/>
  <c r="V62" i="6"/>
  <c r="AC61" i="6"/>
  <c r="Y60" i="6"/>
  <c r="Z58" i="6"/>
  <c r="Z57" i="6"/>
  <c r="AC56" i="6"/>
  <c r="V55" i="6"/>
  <c r="Y54" i="6"/>
  <c r="AB53" i="6"/>
  <c r="AC52" i="6"/>
  <c r="AC51" i="6"/>
  <c r="AD50" i="6"/>
  <c r="V50" i="6"/>
  <c r="AB49" i="6"/>
  <c r="Z48" i="6"/>
  <c r="X47" i="6"/>
  <c r="AD46" i="6"/>
  <c r="V46" i="6"/>
  <c r="AB45" i="6"/>
  <c r="Z44" i="6"/>
  <c r="X43" i="6"/>
  <c r="AD42" i="6"/>
  <c r="V42" i="6"/>
  <c r="AB41" i="6"/>
  <c r="Z40" i="6"/>
  <c r="X39" i="6"/>
  <c r="AD38" i="6"/>
  <c r="V38" i="6"/>
  <c r="AB37" i="6"/>
  <c r="Z36" i="6"/>
  <c r="X35" i="6"/>
  <c r="AD34" i="6"/>
  <c r="V34" i="6"/>
  <c r="AB33" i="6"/>
  <c r="AB101" i="6"/>
  <c r="Z98" i="6"/>
  <c r="X95" i="6"/>
  <c r="AB91" i="6"/>
  <c r="Z88" i="6"/>
  <c r="X86" i="6"/>
  <c r="X85" i="6"/>
  <c r="X84" i="6"/>
  <c r="X83" i="6"/>
  <c r="X82" i="6"/>
  <c r="Y81" i="6"/>
  <c r="Y80" i="6"/>
  <c r="Y79" i="6"/>
  <c r="Z78" i="6"/>
  <c r="Z77" i="6"/>
  <c r="Z76" i="6"/>
  <c r="X75" i="6"/>
  <c r="V74" i="6"/>
  <c r="AD70" i="6"/>
  <c r="Z68" i="6"/>
  <c r="AC66" i="6"/>
  <c r="W65" i="6"/>
  <c r="AD64" i="6"/>
  <c r="Y63" i="6"/>
  <c r="U62" i="6"/>
  <c r="AB61" i="6"/>
  <c r="V60" i="6"/>
  <c r="Y58" i="6"/>
  <c r="X57" i="6"/>
  <c r="AA56" i="6"/>
  <c r="W54" i="6"/>
  <c r="AA53" i="6"/>
  <c r="AA52" i="6"/>
  <c r="AB51" i="6"/>
  <c r="AC50" i="6"/>
  <c r="U50" i="6"/>
  <c r="AA49" i="6"/>
  <c r="X101" i="6"/>
  <c r="X98" i="6"/>
  <c r="U95" i="6"/>
  <c r="AD94" i="6"/>
  <c r="Z91" i="6"/>
  <c r="W88" i="6"/>
  <c r="W86" i="6"/>
  <c r="V85" i="6"/>
  <c r="W84" i="6"/>
  <c r="W83" i="6"/>
  <c r="W82" i="6"/>
  <c r="X81" i="6"/>
  <c r="X80" i="6"/>
  <c r="X79" i="6"/>
  <c r="X78" i="6"/>
  <c r="Y77" i="6"/>
  <c r="Y76" i="6"/>
  <c r="W75" i="6"/>
  <c r="U74" i="6"/>
  <c r="AC70" i="6"/>
  <c r="AC69" i="6"/>
  <c r="Y68" i="6"/>
  <c r="Z66" i="6"/>
  <c r="U65" i="6"/>
  <c r="AC64" i="6"/>
  <c r="X63" i="6"/>
  <c r="AA61" i="6"/>
  <c r="U60" i="6"/>
  <c r="AB59" i="6"/>
  <c r="W58" i="6"/>
  <c r="W57" i="6"/>
  <c r="Z56" i="6"/>
  <c r="AD55" i="6"/>
  <c r="V54" i="6"/>
  <c r="Z53" i="6"/>
  <c r="Z52" i="6"/>
  <c r="AA51" i="6"/>
  <c r="AB50" i="6"/>
  <c r="Z49" i="6"/>
  <c r="X48" i="6"/>
  <c r="AD47" i="6"/>
  <c r="V47" i="6"/>
  <c r="AB46" i="6"/>
  <c r="Z45" i="6"/>
  <c r="X44" i="6"/>
  <c r="AD43" i="6"/>
  <c r="V43" i="6"/>
  <c r="AB42" i="6"/>
  <c r="Z41" i="6"/>
  <c r="X40" i="6"/>
  <c r="AD39" i="6"/>
  <c r="V39" i="6"/>
  <c r="AB38" i="6"/>
  <c r="Z37" i="6"/>
  <c r="X36" i="6"/>
  <c r="AD35" i="6"/>
  <c r="V35" i="6"/>
  <c r="AB34" i="6"/>
  <c r="Z33" i="6"/>
  <c r="X32" i="6"/>
  <c r="AD31" i="6"/>
  <c r="V31" i="6"/>
  <c r="CS101" i="6"/>
  <c r="CQ100" i="6"/>
  <c r="CQ101" i="6"/>
  <c r="CO100" i="6"/>
  <c r="CM101" i="6"/>
  <c r="CP100" i="6"/>
  <c r="CQ99" i="6"/>
  <c r="CO98" i="6"/>
  <c r="CU97" i="6"/>
  <c r="CM97" i="6"/>
  <c r="CS96" i="6"/>
  <c r="CQ95" i="6"/>
  <c r="CO94" i="6"/>
  <c r="CU93" i="6"/>
  <c r="CM93" i="6"/>
  <c r="CS92" i="6"/>
  <c r="CQ91" i="6"/>
  <c r="CO90" i="6"/>
  <c r="CU89" i="6"/>
  <c r="CM89" i="6"/>
  <c r="CS88" i="6"/>
  <c r="CQ87" i="6"/>
  <c r="CO86" i="6"/>
  <c r="CV101" i="6"/>
  <c r="CN100" i="6"/>
  <c r="CP99" i="6"/>
  <c r="CV98" i="6"/>
  <c r="CN98" i="6"/>
  <c r="CT97" i="6"/>
  <c r="CR96" i="6"/>
  <c r="CP95" i="6"/>
  <c r="CV94" i="6"/>
  <c r="CN94" i="6"/>
  <c r="CT93" i="6"/>
  <c r="CR92" i="6"/>
  <c r="CP91" i="6"/>
  <c r="CV90" i="6"/>
  <c r="CN90" i="6"/>
  <c r="CT89" i="6"/>
  <c r="CR88" i="6"/>
  <c r="CP87" i="6"/>
  <c r="CV86" i="6"/>
  <c r="CN86" i="6"/>
  <c r="CR101" i="6"/>
  <c r="CU100" i="6"/>
  <c r="CU99" i="6"/>
  <c r="CM99" i="6"/>
  <c r="CS98" i="6"/>
  <c r="CQ97" i="6"/>
  <c r="CO96" i="6"/>
  <c r="CU95" i="6"/>
  <c r="CM95" i="6"/>
  <c r="CS94" i="6"/>
  <c r="CQ93" i="6"/>
  <c r="CO92" i="6"/>
  <c r="CU91" i="6"/>
  <c r="CM91" i="6"/>
  <c r="CS90" i="6"/>
  <c r="CQ89" i="6"/>
  <c r="CO88" i="6"/>
  <c r="CU87" i="6"/>
  <c r="CM87" i="6"/>
  <c r="CS86" i="6"/>
  <c r="CQ85" i="6"/>
  <c r="CO84" i="6"/>
  <c r="CU83" i="6"/>
  <c r="CM83" i="6"/>
  <c r="CS82" i="6"/>
  <c r="CQ81" i="6"/>
  <c r="CO80" i="6"/>
  <c r="CU79" i="6"/>
  <c r="CM79" i="6"/>
  <c r="CS78" i="6"/>
  <c r="CQ77" i="6"/>
  <c r="CO76" i="6"/>
  <c r="CN101" i="6"/>
  <c r="CT100" i="6"/>
  <c r="CN99" i="6"/>
  <c r="CU98" i="6"/>
  <c r="CP97" i="6"/>
  <c r="CS95" i="6"/>
  <c r="CM94" i="6"/>
  <c r="CV93" i="6"/>
  <c r="CP92" i="6"/>
  <c r="CR90" i="6"/>
  <c r="CN89" i="6"/>
  <c r="CU88" i="6"/>
  <c r="CO87" i="6"/>
  <c r="CP85" i="6"/>
  <c r="CQ84" i="6"/>
  <c r="CQ83" i="6"/>
  <c r="CQ82" i="6"/>
  <c r="CR81" i="6"/>
  <c r="CR80" i="6"/>
  <c r="CR79" i="6"/>
  <c r="CR78" i="6"/>
  <c r="CS77" i="6"/>
  <c r="CS76" i="6"/>
  <c r="CP75" i="6"/>
  <c r="CV74" i="6"/>
  <c r="CN74" i="6"/>
  <c r="CT73" i="6"/>
  <c r="CR72" i="6"/>
  <c r="CP71" i="6"/>
  <c r="CV70" i="6"/>
  <c r="CN70" i="6"/>
  <c r="CT69" i="6"/>
  <c r="CR68" i="6"/>
  <c r="CP67" i="6"/>
  <c r="CV66" i="6"/>
  <c r="CN66" i="6"/>
  <c r="CT65" i="6"/>
  <c r="CR64" i="6"/>
  <c r="CP63" i="6"/>
  <c r="CV62" i="6"/>
  <c r="CN62" i="6"/>
  <c r="CT61" i="6"/>
  <c r="CR60" i="6"/>
  <c r="CP59" i="6"/>
  <c r="CV58" i="6"/>
  <c r="CN58" i="6"/>
  <c r="CS100" i="6"/>
  <c r="CT98" i="6"/>
  <c r="CO97" i="6"/>
  <c r="CV96" i="6"/>
  <c r="CR95" i="6"/>
  <c r="CS93" i="6"/>
  <c r="CN92" i="6"/>
  <c r="CV91" i="6"/>
  <c r="CQ90" i="6"/>
  <c r="CT88" i="6"/>
  <c r="CN87" i="6"/>
  <c r="CU86" i="6"/>
  <c r="CO85" i="6"/>
  <c r="CP84" i="6"/>
  <c r="CP83" i="6"/>
  <c r="CP82" i="6"/>
  <c r="CP81" i="6"/>
  <c r="CQ80" i="6"/>
  <c r="CQ79" i="6"/>
  <c r="CQ78" i="6"/>
  <c r="CR77" i="6"/>
  <c r="CR76" i="6"/>
  <c r="CO75" i="6"/>
  <c r="CU74" i="6"/>
  <c r="CM74" i="6"/>
  <c r="CS73" i="6"/>
  <c r="CQ72" i="6"/>
  <c r="CO71" i="6"/>
  <c r="CU70" i="6"/>
  <c r="CM70" i="6"/>
  <c r="CS69" i="6"/>
  <c r="CQ68" i="6"/>
  <c r="CO67" i="6"/>
  <c r="CU66" i="6"/>
  <c r="CM66" i="6"/>
  <c r="CS65" i="6"/>
  <c r="CQ64" i="6"/>
  <c r="CO63" i="6"/>
  <c r="CU62" i="6"/>
  <c r="CM62" i="6"/>
  <c r="CS61" i="6"/>
  <c r="CQ60" i="6"/>
  <c r="CO59" i="6"/>
  <c r="CU58" i="6"/>
  <c r="CM58" i="6"/>
  <c r="CS57" i="6"/>
  <c r="CQ56" i="6"/>
  <c r="CO55" i="6"/>
  <c r="CU54" i="6"/>
  <c r="CM54" i="6"/>
  <c r="CS53" i="6"/>
  <c r="CQ52" i="6"/>
  <c r="CR100" i="6"/>
  <c r="CR98" i="6"/>
  <c r="CN97" i="6"/>
  <c r="CU96" i="6"/>
  <c r="CO95" i="6"/>
  <c r="CR93" i="6"/>
  <c r="CM92" i="6"/>
  <c r="CT91" i="6"/>
  <c r="CP90" i="6"/>
  <c r="CQ88" i="6"/>
  <c r="CT86" i="6"/>
  <c r="CN85" i="6"/>
  <c r="CN84" i="6"/>
  <c r="CO83" i="6"/>
  <c r="CO82" i="6"/>
  <c r="CO81" i="6"/>
  <c r="CP80" i="6"/>
  <c r="CP79" i="6"/>
  <c r="CP78" i="6"/>
  <c r="CP77" i="6"/>
  <c r="CQ76" i="6"/>
  <c r="CV75" i="6"/>
  <c r="CN75" i="6"/>
  <c r="CT74" i="6"/>
  <c r="CR73" i="6"/>
  <c r="CP72" i="6"/>
  <c r="CV71" i="6"/>
  <c r="CN71" i="6"/>
  <c r="CT70" i="6"/>
  <c r="CU101" i="6"/>
  <c r="CT99" i="6"/>
  <c r="CP98" i="6"/>
  <c r="CQ96" i="6"/>
  <c r="CT94" i="6"/>
  <c r="CO93" i="6"/>
  <c r="CV92" i="6"/>
  <c r="CR91" i="6"/>
  <c r="CS89" i="6"/>
  <c r="CN88" i="6"/>
  <c r="CV87" i="6"/>
  <c r="CQ86" i="6"/>
  <c r="CU85" i="6"/>
  <c r="CU84" i="6"/>
  <c r="CV83" i="6"/>
  <c r="CV82" i="6"/>
  <c r="CM82" i="6"/>
  <c r="CV81" i="6"/>
  <c r="CM81" i="6"/>
  <c r="CV80" i="6"/>
  <c r="CM80" i="6"/>
  <c r="CN79" i="6"/>
  <c r="CN78" i="6"/>
  <c r="CN77" i="6"/>
  <c r="CN76" i="6"/>
  <c r="CT75" i="6"/>
  <c r="CR74" i="6"/>
  <c r="CP73" i="6"/>
  <c r="CV72" i="6"/>
  <c r="CN72" i="6"/>
  <c r="CT71" i="6"/>
  <c r="CR70" i="6"/>
  <c r="CP69" i="6"/>
  <c r="CV68" i="6"/>
  <c r="CN68" i="6"/>
  <c r="CT67" i="6"/>
  <c r="CR66" i="6"/>
  <c r="CP65" i="6"/>
  <c r="CV64" i="6"/>
  <c r="CN64" i="6"/>
  <c r="CT63" i="6"/>
  <c r="CR62" i="6"/>
  <c r="CP61" i="6"/>
  <c r="CV60" i="6"/>
  <c r="CN60" i="6"/>
  <c r="CT59" i="6"/>
  <c r="CR58" i="6"/>
  <c r="CP57" i="6"/>
  <c r="CV56" i="6"/>
  <c r="CN56" i="6"/>
  <c r="CT55" i="6"/>
  <c r="CR54" i="6"/>
  <c r="CP53" i="6"/>
  <c r="CV52" i="6"/>
  <c r="CN52" i="6"/>
  <c r="CT51" i="6"/>
  <c r="CR50" i="6"/>
  <c r="CR97" i="6"/>
  <c r="CP94" i="6"/>
  <c r="CT90" i="6"/>
  <c r="CR87" i="6"/>
  <c r="CQ75" i="6"/>
  <c r="CO74" i="6"/>
  <c r="CM73" i="6"/>
  <c r="CV69" i="6"/>
  <c r="CP68" i="6"/>
  <c r="CS66" i="6"/>
  <c r="CN65" i="6"/>
  <c r="CU64" i="6"/>
  <c r="CQ63" i="6"/>
  <c r="CR61" i="6"/>
  <c r="CM60" i="6"/>
  <c r="CU59" i="6"/>
  <c r="CP58" i="6"/>
  <c r="CN57" i="6"/>
  <c r="CR56" i="6"/>
  <c r="CU55" i="6"/>
  <c r="CN54" i="6"/>
  <c r="CQ53" i="6"/>
  <c r="CT52" i="6"/>
  <c r="CQ51" i="6"/>
  <c r="CQ50" i="6"/>
  <c r="CP49" i="6"/>
  <c r="CV48" i="6"/>
  <c r="CN48" i="6"/>
  <c r="CT47" i="6"/>
  <c r="CR46" i="6"/>
  <c r="CP45" i="6"/>
  <c r="CV44" i="6"/>
  <c r="CN44" i="6"/>
  <c r="CT43" i="6"/>
  <c r="CR42" i="6"/>
  <c r="CP41" i="6"/>
  <c r="CV40" i="6"/>
  <c r="CN40" i="6"/>
  <c r="CT39" i="6"/>
  <c r="CR38" i="6"/>
  <c r="CP37" i="6"/>
  <c r="CN36" i="6"/>
  <c r="CT35" i="6"/>
  <c r="CR34" i="6"/>
  <c r="CP33" i="6"/>
  <c r="CN32" i="6"/>
  <c r="CV99" i="6"/>
  <c r="CT96" i="6"/>
  <c r="CP93" i="6"/>
  <c r="CM90" i="6"/>
  <c r="CV89" i="6"/>
  <c r="CR86" i="6"/>
  <c r="CV85" i="6"/>
  <c r="CV84" i="6"/>
  <c r="CM75" i="6"/>
  <c r="CU71" i="6"/>
  <c r="CS70" i="6"/>
  <c r="CU69" i="6"/>
  <c r="CO68" i="6"/>
  <c r="CV67" i="6"/>
  <c r="CQ66" i="6"/>
  <c r="CM65" i="6"/>
  <c r="CT64" i="6"/>
  <c r="CN63" i="6"/>
  <c r="CQ61" i="6"/>
  <c r="CS59" i="6"/>
  <c r="CO58" i="6"/>
  <c r="CM57" i="6"/>
  <c r="CP56" i="6"/>
  <c r="CS55" i="6"/>
  <c r="CT101" i="6"/>
  <c r="CS99" i="6"/>
  <c r="CP96" i="6"/>
  <c r="CN93" i="6"/>
  <c r="CU92" i="6"/>
  <c r="CR89" i="6"/>
  <c r="CP86" i="6"/>
  <c r="CT85" i="6"/>
  <c r="CT84" i="6"/>
  <c r="CT83" i="6"/>
  <c r="CU82" i="6"/>
  <c r="CU81" i="6"/>
  <c r="CU80" i="6"/>
  <c r="CV79" i="6"/>
  <c r="CV78" i="6"/>
  <c r="CV77" i="6"/>
  <c r="CV76" i="6"/>
  <c r="CU72" i="6"/>
  <c r="CS71" i="6"/>
  <c r="CQ70" i="6"/>
  <c r="CR69" i="6"/>
  <c r="CM68" i="6"/>
  <c r="CU67" i="6"/>
  <c r="CP66" i="6"/>
  <c r="CS64" i="6"/>
  <c r="CM63" i="6"/>
  <c r="CT62" i="6"/>
  <c r="CO61" i="6"/>
  <c r="CR59" i="6"/>
  <c r="CV57" i="6"/>
  <c r="CO56" i="6"/>
  <c r="CR55" i="6"/>
  <c r="CV54" i="6"/>
  <c r="CN53" i="6"/>
  <c r="CR52" i="6"/>
  <c r="CO51" i="6"/>
  <c r="CO50" i="6"/>
  <c r="CV49" i="6"/>
  <c r="CN49" i="6"/>
  <c r="CT48" i="6"/>
  <c r="CR47" i="6"/>
  <c r="CP46" i="6"/>
  <c r="CV45" i="6"/>
  <c r="CN45" i="6"/>
  <c r="CT44" i="6"/>
  <c r="CR43" i="6"/>
  <c r="CP42" i="6"/>
  <c r="CV41" i="6"/>
  <c r="CN41" i="6"/>
  <c r="CT40" i="6"/>
  <c r="CR39" i="6"/>
  <c r="CP38" i="6"/>
  <c r="CV37" i="6"/>
  <c r="CN37" i="6"/>
  <c r="CT36" i="6"/>
  <c r="CR35" i="6"/>
  <c r="CP34" i="6"/>
  <c r="CN33" i="6"/>
  <c r="CT32" i="6"/>
  <c r="CP101" i="6"/>
  <c r="CR99" i="6"/>
  <c r="CN96" i="6"/>
  <c r="CV95" i="6"/>
  <c r="CT92" i="6"/>
  <c r="CP89" i="6"/>
  <c r="CM86" i="6"/>
  <c r="CS85" i="6"/>
  <c r="CS84" i="6"/>
  <c r="CS83" i="6"/>
  <c r="CT82" i="6"/>
  <c r="CT81" i="6"/>
  <c r="CT80" i="6"/>
  <c r="CT79" i="6"/>
  <c r="CU78" i="6"/>
  <c r="CU77" i="6"/>
  <c r="CU76" i="6"/>
  <c r="CV73" i="6"/>
  <c r="CT72" i="6"/>
  <c r="CR71" i="6"/>
  <c r="CP70" i="6"/>
  <c r="CQ69" i="6"/>
  <c r="CS67" i="6"/>
  <c r="CO66" i="6"/>
  <c r="CV65" i="6"/>
  <c r="CP64" i="6"/>
  <c r="CS62" i="6"/>
  <c r="CN61" i="6"/>
  <c r="CU60" i="6"/>
  <c r="CQ59" i="6"/>
  <c r="CU57" i="6"/>
  <c r="CM56" i="6"/>
  <c r="CQ55" i="6"/>
  <c r="CT54" i="6"/>
  <c r="CM53" i="6"/>
  <c r="CP52" i="6"/>
  <c r="CN51" i="6"/>
  <c r="CN50" i="6"/>
  <c r="CU49" i="6"/>
  <c r="CM49" i="6"/>
  <c r="CO101" i="6"/>
  <c r="CV100" i="6"/>
  <c r="CO99" i="6"/>
  <c r="CM96" i="6"/>
  <c r="CT95" i="6"/>
  <c r="CQ92" i="6"/>
  <c r="CO89" i="6"/>
  <c r="CV88" i="6"/>
  <c r="CR85" i="6"/>
  <c r="CR84" i="6"/>
  <c r="CR83" i="6"/>
  <c r="CR82" i="6"/>
  <c r="CS81" i="6"/>
  <c r="CS80" i="6"/>
  <c r="CS79" i="6"/>
  <c r="CT78" i="6"/>
  <c r="CT77" i="6"/>
  <c r="CT76" i="6"/>
  <c r="CU73" i="6"/>
  <c r="CS72" i="6"/>
  <c r="CQ71" i="6"/>
  <c r="CO70" i="6"/>
  <c r="CO69" i="6"/>
  <c r="CR67" i="6"/>
  <c r="CU65" i="6"/>
  <c r="CO64" i="6"/>
  <c r="CV63" i="6"/>
  <c r="CQ62" i="6"/>
  <c r="CM61" i="6"/>
  <c r="CT60" i="6"/>
  <c r="CN59" i="6"/>
  <c r="CT57" i="6"/>
  <c r="CP55" i="6"/>
  <c r="CS54" i="6"/>
  <c r="CV53" i="6"/>
  <c r="CO52" i="6"/>
  <c r="CV51" i="6"/>
  <c r="CM51" i="6"/>
  <c r="CV50" i="6"/>
  <c r="CM50" i="6"/>
  <c r="CT49" i="6"/>
  <c r="CR48" i="6"/>
  <c r="CP47" i="6"/>
  <c r="CV46" i="6"/>
  <c r="CN46" i="6"/>
  <c r="CT45" i="6"/>
  <c r="CR44" i="6"/>
  <c r="CP43" i="6"/>
  <c r="CV42" i="6"/>
  <c r="CN42" i="6"/>
  <c r="CT41" i="6"/>
  <c r="CR40" i="6"/>
  <c r="CP39" i="6"/>
  <c r="CV38" i="6"/>
  <c r="CN38" i="6"/>
  <c r="CT37" i="6"/>
  <c r="CR36" i="6"/>
  <c r="CP35" i="6"/>
  <c r="CN34" i="6"/>
  <c r="CT33" i="6"/>
  <c r="CR32" i="6"/>
  <c r="CP31" i="6"/>
  <c r="CN30" i="6"/>
  <c r="DA101" i="6"/>
  <c r="CY100" i="6"/>
  <c r="CY101" i="6"/>
  <c r="DE100" i="6"/>
  <c r="CW100" i="6"/>
  <c r="CW101" i="6"/>
  <c r="DA100" i="6"/>
  <c r="CY99" i="6"/>
  <c r="DE98" i="6"/>
  <c r="CW98" i="6"/>
  <c r="DC97" i="6"/>
  <c r="DA96" i="6"/>
  <c r="CY95" i="6"/>
  <c r="DE94" i="6"/>
  <c r="CW94" i="6"/>
  <c r="DC93" i="6"/>
  <c r="DA92" i="6"/>
  <c r="CY91" i="6"/>
  <c r="DE90" i="6"/>
  <c r="CW90" i="6"/>
  <c r="DC89" i="6"/>
  <c r="DA88" i="6"/>
  <c r="CY87" i="6"/>
  <c r="DE86" i="6"/>
  <c r="CW86" i="6"/>
  <c r="DF101" i="6"/>
  <c r="CZ100" i="6"/>
  <c r="DF99" i="6"/>
  <c r="CX99" i="6"/>
  <c r="DD98" i="6"/>
  <c r="DB97" i="6"/>
  <c r="CZ96" i="6"/>
  <c r="DF95" i="6"/>
  <c r="CX95" i="6"/>
  <c r="DD94" i="6"/>
  <c r="DB93" i="6"/>
  <c r="CZ92" i="6"/>
  <c r="DF91" i="6"/>
  <c r="CX91" i="6"/>
  <c r="DD90" i="6"/>
  <c r="DB89" i="6"/>
  <c r="CZ88" i="6"/>
  <c r="DF87" i="6"/>
  <c r="CX87" i="6"/>
  <c r="DD86" i="6"/>
  <c r="DC101" i="6"/>
  <c r="DF100" i="6"/>
  <c r="DC99" i="6"/>
  <c r="DA98" i="6"/>
  <c r="CY97" i="6"/>
  <c r="DE96" i="6"/>
  <c r="CW96" i="6"/>
  <c r="DC95" i="6"/>
  <c r="DA94" i="6"/>
  <c r="CY93" i="6"/>
  <c r="DE92" i="6"/>
  <c r="CW92" i="6"/>
  <c r="DC91" i="6"/>
  <c r="DA90" i="6"/>
  <c r="CY89" i="6"/>
  <c r="DE88" i="6"/>
  <c r="CW88" i="6"/>
  <c r="DC87" i="6"/>
  <c r="DA86" i="6"/>
  <c r="CY85" i="6"/>
  <c r="DE84" i="6"/>
  <c r="CW84" i="6"/>
  <c r="DC83" i="6"/>
  <c r="DA82" i="6"/>
  <c r="CY81" i="6"/>
  <c r="DE80" i="6"/>
  <c r="CW80" i="6"/>
  <c r="DC79" i="6"/>
  <c r="DA78" i="6"/>
  <c r="CY77" i="6"/>
  <c r="DE76" i="6"/>
  <c r="CW76" i="6"/>
  <c r="DD101" i="6"/>
  <c r="DA99" i="6"/>
  <c r="DD97" i="6"/>
  <c r="CX96" i="6"/>
  <c r="DE95" i="6"/>
  <c r="CZ94" i="6"/>
  <c r="DC92" i="6"/>
  <c r="CW91" i="6"/>
  <c r="DF90" i="6"/>
  <c r="CZ89" i="6"/>
  <c r="DB87" i="6"/>
  <c r="CX86" i="6"/>
  <c r="CZ85" i="6"/>
  <c r="CZ84" i="6"/>
  <c r="CZ83" i="6"/>
  <c r="CZ82" i="6"/>
  <c r="DA81" i="6"/>
  <c r="DA80" i="6"/>
  <c r="DA79" i="6"/>
  <c r="DB78" i="6"/>
  <c r="DB77" i="6"/>
  <c r="DB76" i="6"/>
  <c r="DF75" i="6"/>
  <c r="CX75" i="6"/>
  <c r="DD74" i="6"/>
  <c r="DB73" i="6"/>
  <c r="CZ72" i="6"/>
  <c r="DF71" i="6"/>
  <c r="CX71" i="6"/>
  <c r="DD70" i="6"/>
  <c r="DB69" i="6"/>
  <c r="CZ68" i="6"/>
  <c r="DF67" i="6"/>
  <c r="CX67" i="6"/>
  <c r="DD66" i="6"/>
  <c r="DB65" i="6"/>
  <c r="CZ64" i="6"/>
  <c r="DF63" i="6"/>
  <c r="CX63" i="6"/>
  <c r="DD62" i="6"/>
  <c r="DB61" i="6"/>
  <c r="CZ60" i="6"/>
  <c r="DF59" i="6"/>
  <c r="CX59" i="6"/>
  <c r="DD58" i="6"/>
  <c r="DB101" i="6"/>
  <c r="CZ99" i="6"/>
  <c r="DA97" i="6"/>
  <c r="DD95" i="6"/>
  <c r="CY94" i="6"/>
  <c r="DF93" i="6"/>
  <c r="DB92" i="6"/>
  <c r="DC90" i="6"/>
  <c r="CX89" i="6"/>
  <c r="DF88" i="6"/>
  <c r="DA87" i="6"/>
  <c r="CX85" i="6"/>
  <c r="CY84" i="6"/>
  <c r="CY83" i="6"/>
  <c r="CY82" i="6"/>
  <c r="CZ81" i="6"/>
  <c r="CZ80" i="6"/>
  <c r="CZ79" i="6"/>
  <c r="CZ78" i="6"/>
  <c r="DA77" i="6"/>
  <c r="DA76" i="6"/>
  <c r="DE75" i="6"/>
  <c r="CW75" i="6"/>
  <c r="DC74" i="6"/>
  <c r="DA73" i="6"/>
  <c r="CY72" i="6"/>
  <c r="DE71" i="6"/>
  <c r="CW71" i="6"/>
  <c r="DC70" i="6"/>
  <c r="DA69" i="6"/>
  <c r="CY68" i="6"/>
  <c r="DE67" i="6"/>
  <c r="CW67" i="6"/>
  <c r="DC66" i="6"/>
  <c r="DA65" i="6"/>
  <c r="CY64" i="6"/>
  <c r="DE63" i="6"/>
  <c r="CW63" i="6"/>
  <c r="DC62" i="6"/>
  <c r="DA61" i="6"/>
  <c r="CY60" i="6"/>
  <c r="DE59" i="6"/>
  <c r="CW59" i="6"/>
  <c r="DC58" i="6"/>
  <c r="DA57" i="6"/>
  <c r="CY56" i="6"/>
  <c r="DE55" i="6"/>
  <c r="CW55" i="6"/>
  <c r="DC54" i="6"/>
  <c r="DA53" i="6"/>
  <c r="CY52" i="6"/>
  <c r="CZ101" i="6"/>
  <c r="CW99" i="6"/>
  <c r="DF98" i="6"/>
  <c r="CZ97" i="6"/>
  <c r="DB95" i="6"/>
  <c r="CX94" i="6"/>
  <c r="DE93" i="6"/>
  <c r="CY92" i="6"/>
  <c r="DB90" i="6"/>
  <c r="CW89" i="6"/>
  <c r="DD88" i="6"/>
  <c r="CZ87" i="6"/>
  <c r="DF85" i="6"/>
  <c r="CW85" i="6"/>
  <c r="CX84" i="6"/>
  <c r="CX83" i="6"/>
  <c r="CX82" i="6"/>
  <c r="CX81" i="6"/>
  <c r="CY80" i="6"/>
  <c r="CY79" i="6"/>
  <c r="CY78" i="6"/>
  <c r="CZ77" i="6"/>
  <c r="CZ76" i="6"/>
  <c r="DD75" i="6"/>
  <c r="DB74" i="6"/>
  <c r="CZ73" i="6"/>
  <c r="DF72" i="6"/>
  <c r="CX72" i="6"/>
  <c r="DD71" i="6"/>
  <c r="DB70" i="6"/>
  <c r="DC100" i="6"/>
  <c r="DB98" i="6"/>
  <c r="CW97" i="6"/>
  <c r="DD96" i="6"/>
  <c r="CZ95" i="6"/>
  <c r="DA93" i="6"/>
  <c r="DD91" i="6"/>
  <c r="CY90" i="6"/>
  <c r="DF89" i="6"/>
  <c r="DB88" i="6"/>
  <c r="DC86" i="6"/>
  <c r="DD85" i="6"/>
  <c r="DD84" i="6"/>
  <c r="DE83" i="6"/>
  <c r="DE82" i="6"/>
  <c r="DE81" i="6"/>
  <c r="DF80" i="6"/>
  <c r="DF79" i="6"/>
  <c r="CW79" i="6"/>
  <c r="DF78" i="6"/>
  <c r="CW78" i="6"/>
  <c r="DF77" i="6"/>
  <c r="CW77" i="6"/>
  <c r="CX76" i="6"/>
  <c r="DB75" i="6"/>
  <c r="CZ74" i="6"/>
  <c r="DF73" i="6"/>
  <c r="CX73" i="6"/>
  <c r="DD72" i="6"/>
  <c r="DB71" i="6"/>
  <c r="CZ70" i="6"/>
  <c r="DF69" i="6"/>
  <c r="CX69" i="6"/>
  <c r="DD68" i="6"/>
  <c r="DB67" i="6"/>
  <c r="CZ66" i="6"/>
  <c r="DF65" i="6"/>
  <c r="CX65" i="6"/>
  <c r="DD64" i="6"/>
  <c r="DB63" i="6"/>
  <c r="CZ62" i="6"/>
  <c r="DF61" i="6"/>
  <c r="CX61" i="6"/>
  <c r="DD60" i="6"/>
  <c r="DB59" i="6"/>
  <c r="CZ58" i="6"/>
  <c r="DF57" i="6"/>
  <c r="CX57" i="6"/>
  <c r="DD56" i="6"/>
  <c r="DB55" i="6"/>
  <c r="CZ54" i="6"/>
  <c r="DF53" i="6"/>
  <c r="CX53" i="6"/>
  <c r="DD52" i="6"/>
  <c r="DB51" i="6"/>
  <c r="CZ50" i="6"/>
  <c r="DE101" i="6"/>
  <c r="DB99" i="6"/>
  <c r="CY96" i="6"/>
  <c r="CW93" i="6"/>
  <c r="DD92" i="6"/>
  <c r="DA89" i="6"/>
  <c r="CY86" i="6"/>
  <c r="DA85" i="6"/>
  <c r="DA84" i="6"/>
  <c r="DA83" i="6"/>
  <c r="DB82" i="6"/>
  <c r="DB81" i="6"/>
  <c r="DB80" i="6"/>
  <c r="DB79" i="6"/>
  <c r="DC78" i="6"/>
  <c r="DC77" i="6"/>
  <c r="DC76" i="6"/>
  <c r="DE74" i="6"/>
  <c r="DC73" i="6"/>
  <c r="DA72" i="6"/>
  <c r="CY71" i="6"/>
  <c r="CW70" i="6"/>
  <c r="DC68" i="6"/>
  <c r="CY67" i="6"/>
  <c r="DF66" i="6"/>
  <c r="CZ65" i="6"/>
  <c r="DC63" i="6"/>
  <c r="CX62" i="6"/>
  <c r="DE61" i="6"/>
  <c r="DA60" i="6"/>
  <c r="DB58" i="6"/>
  <c r="CY57" i="6"/>
  <c r="DB56" i="6"/>
  <c r="DF55" i="6"/>
  <c r="CX54" i="6"/>
  <c r="DB53" i="6"/>
  <c r="DE52" i="6"/>
  <c r="CZ51" i="6"/>
  <c r="DA50" i="6"/>
  <c r="DF49" i="6"/>
  <c r="CX49" i="6"/>
  <c r="DD48" i="6"/>
  <c r="DB47" i="6"/>
  <c r="CZ46" i="6"/>
  <c r="DF45" i="6"/>
  <c r="CX45" i="6"/>
  <c r="DD44" i="6"/>
  <c r="DB43" i="6"/>
  <c r="CZ42" i="6"/>
  <c r="DF41" i="6"/>
  <c r="CX41" i="6"/>
  <c r="DD40" i="6"/>
  <c r="DB39" i="6"/>
  <c r="CZ38" i="6"/>
  <c r="DF37" i="6"/>
  <c r="CX37" i="6"/>
  <c r="DD36" i="6"/>
  <c r="DB35" i="6"/>
  <c r="CZ34" i="6"/>
  <c r="DF33" i="6"/>
  <c r="CX33" i="6"/>
  <c r="DD32" i="6"/>
  <c r="CX101" i="6"/>
  <c r="DD100" i="6"/>
  <c r="DC98" i="6"/>
  <c r="DA95" i="6"/>
  <c r="CX92" i="6"/>
  <c r="DE91" i="6"/>
  <c r="DC88" i="6"/>
  <c r="CW83" i="6"/>
  <c r="CW82" i="6"/>
  <c r="CW81" i="6"/>
  <c r="CX80" i="6"/>
  <c r="CX79" i="6"/>
  <c r="CX78" i="6"/>
  <c r="CX77" i="6"/>
  <c r="CY76" i="6"/>
  <c r="DC75" i="6"/>
  <c r="DA74" i="6"/>
  <c r="CY73" i="6"/>
  <c r="CW72" i="6"/>
  <c r="DB68" i="6"/>
  <c r="DE66" i="6"/>
  <c r="CY65" i="6"/>
  <c r="DF64" i="6"/>
  <c r="DA63" i="6"/>
  <c r="CW62" i="6"/>
  <c r="DD61" i="6"/>
  <c r="CX60" i="6"/>
  <c r="DA58" i="6"/>
  <c r="CW57" i="6"/>
  <c r="DA56" i="6"/>
  <c r="DD55" i="6"/>
  <c r="DB100" i="6"/>
  <c r="CZ98" i="6"/>
  <c r="CW95" i="6"/>
  <c r="DF94" i="6"/>
  <c r="DB91" i="6"/>
  <c r="CY88" i="6"/>
  <c r="DA75" i="6"/>
  <c r="CY74" i="6"/>
  <c r="CW73" i="6"/>
  <c r="DE69" i="6"/>
  <c r="DA68" i="6"/>
  <c r="DB66" i="6"/>
  <c r="CW65" i="6"/>
  <c r="DE64" i="6"/>
  <c r="CZ63" i="6"/>
  <c r="DC61" i="6"/>
  <c r="CW60" i="6"/>
  <c r="DD59" i="6"/>
  <c r="CY58" i="6"/>
  <c r="CZ56" i="6"/>
  <c r="DC55" i="6"/>
  <c r="DF54" i="6"/>
  <c r="CY53" i="6"/>
  <c r="DB52" i="6"/>
  <c r="CX51" i="6"/>
  <c r="CX50" i="6"/>
  <c r="DD49" i="6"/>
  <c r="DB48" i="6"/>
  <c r="CZ47" i="6"/>
  <c r="DF46" i="6"/>
  <c r="CX46" i="6"/>
  <c r="DD45" i="6"/>
  <c r="DB44" i="6"/>
  <c r="CZ43" i="6"/>
  <c r="DF42" i="6"/>
  <c r="CX42" i="6"/>
  <c r="DD41" i="6"/>
  <c r="DB40" i="6"/>
  <c r="CZ39" i="6"/>
  <c r="DF38" i="6"/>
  <c r="CX38" i="6"/>
  <c r="DD37" i="6"/>
  <c r="DB36" i="6"/>
  <c r="CZ35" i="6"/>
  <c r="DF34" i="6"/>
  <c r="CX34" i="6"/>
  <c r="DD33" i="6"/>
  <c r="DB32" i="6"/>
  <c r="CX100" i="6"/>
  <c r="CY98" i="6"/>
  <c r="DF97" i="6"/>
  <c r="DC94" i="6"/>
  <c r="DA91" i="6"/>
  <c r="CX88" i="6"/>
  <c r="DE87" i="6"/>
  <c r="CZ75" i="6"/>
  <c r="CX74" i="6"/>
  <c r="DF70" i="6"/>
  <c r="DD69" i="6"/>
  <c r="CX68" i="6"/>
  <c r="DA66" i="6"/>
  <c r="DC64" i="6"/>
  <c r="CY63" i="6"/>
  <c r="DF62" i="6"/>
  <c r="CZ61" i="6"/>
  <c r="DC59" i="6"/>
  <c r="CX58" i="6"/>
  <c r="DE57" i="6"/>
  <c r="CX56" i="6"/>
  <c r="DA55" i="6"/>
  <c r="DE54" i="6"/>
  <c r="CW53" i="6"/>
  <c r="DA52" i="6"/>
  <c r="DF51" i="6"/>
  <c r="CW51" i="6"/>
  <c r="DF50" i="6"/>
  <c r="CW50" i="6"/>
  <c r="DC49" i="6"/>
  <c r="CX98" i="6"/>
  <c r="DE97" i="6"/>
  <c r="DB94" i="6"/>
  <c r="CZ91" i="6"/>
  <c r="DD87" i="6"/>
  <c r="CY75" i="6"/>
  <c r="CW74" i="6"/>
  <c r="DE70" i="6"/>
  <c r="DC69" i="6"/>
  <c r="CW68" i="6"/>
  <c r="DD67" i="6"/>
  <c r="CY66" i="6"/>
  <c r="DB64" i="6"/>
  <c r="DE62" i="6"/>
  <c r="CY61" i="6"/>
  <c r="DF60" i="6"/>
  <c r="DA59" i="6"/>
  <c r="CW58" i="6"/>
  <c r="DD57" i="6"/>
  <c r="CW56" i="6"/>
  <c r="CZ55" i="6"/>
  <c r="DD54" i="6"/>
  <c r="CZ52" i="6"/>
  <c r="DE51" i="6"/>
  <c r="DE50" i="6"/>
  <c r="DB49" i="6"/>
  <c r="CZ48" i="6"/>
  <c r="DF47" i="6"/>
  <c r="CX47" i="6"/>
  <c r="DD46" i="6"/>
  <c r="DB45" i="6"/>
  <c r="CZ44" i="6"/>
  <c r="DF43" i="6"/>
  <c r="CX43" i="6"/>
  <c r="DD42" i="6"/>
  <c r="DB41" i="6"/>
  <c r="CZ40" i="6"/>
  <c r="DF39" i="6"/>
  <c r="CX39" i="6"/>
  <c r="DD38" i="6"/>
  <c r="DB37" i="6"/>
  <c r="CZ36" i="6"/>
  <c r="DF35" i="6"/>
  <c r="CX35" i="6"/>
  <c r="DD34" i="6"/>
  <c r="DB33" i="6"/>
  <c r="CZ32" i="6"/>
  <c r="DF31" i="6"/>
  <c r="CX31" i="6"/>
  <c r="DD30" i="6"/>
  <c r="DI101" i="6"/>
  <c r="DO100" i="6"/>
  <c r="DG100" i="6"/>
  <c r="DO101" i="6"/>
  <c r="DG101" i="6"/>
  <c r="DM100" i="6"/>
  <c r="DH101" i="6"/>
  <c r="DK100" i="6"/>
  <c r="DO99" i="6"/>
  <c r="DG99" i="6"/>
  <c r="DM98" i="6"/>
  <c r="DK97" i="6"/>
  <c r="DI96" i="6"/>
  <c r="DO95" i="6"/>
  <c r="DG95" i="6"/>
  <c r="DM94" i="6"/>
  <c r="DK93" i="6"/>
  <c r="DI92" i="6"/>
  <c r="DO91" i="6"/>
  <c r="DG91" i="6"/>
  <c r="DM90" i="6"/>
  <c r="DK89" i="6"/>
  <c r="DI88" i="6"/>
  <c r="DO87" i="6"/>
  <c r="DG87" i="6"/>
  <c r="DM86" i="6"/>
  <c r="DJ100" i="6"/>
  <c r="DN99" i="6"/>
  <c r="DL98" i="6"/>
  <c r="DJ97" i="6"/>
  <c r="DP96" i="6"/>
  <c r="DH96" i="6"/>
  <c r="DN95" i="6"/>
  <c r="DL94" i="6"/>
  <c r="DJ93" i="6"/>
  <c r="DP92" i="6"/>
  <c r="DH92" i="6"/>
  <c r="DN91" i="6"/>
  <c r="DL90" i="6"/>
  <c r="DJ89" i="6"/>
  <c r="DP88" i="6"/>
  <c r="DH88" i="6"/>
  <c r="DN87" i="6"/>
  <c r="DL86" i="6"/>
  <c r="DM101" i="6"/>
  <c r="DK99" i="6"/>
  <c r="DI98" i="6"/>
  <c r="DO97" i="6"/>
  <c r="DG97" i="6"/>
  <c r="DM96" i="6"/>
  <c r="DK95" i="6"/>
  <c r="DI94" i="6"/>
  <c r="DO93" i="6"/>
  <c r="DG93" i="6"/>
  <c r="DM92" i="6"/>
  <c r="DK91" i="6"/>
  <c r="DI90" i="6"/>
  <c r="DO89" i="6"/>
  <c r="DG89" i="6"/>
  <c r="DM88" i="6"/>
  <c r="DK87" i="6"/>
  <c r="DI86" i="6"/>
  <c r="DO85" i="6"/>
  <c r="DG85" i="6"/>
  <c r="DM84" i="6"/>
  <c r="DK83" i="6"/>
  <c r="DI82" i="6"/>
  <c r="DO81" i="6"/>
  <c r="DG81" i="6"/>
  <c r="DM80" i="6"/>
  <c r="DK79" i="6"/>
  <c r="DI78" i="6"/>
  <c r="DO77" i="6"/>
  <c r="DG77" i="6"/>
  <c r="DM76" i="6"/>
  <c r="DL100" i="6"/>
  <c r="DM99" i="6"/>
  <c r="DH98" i="6"/>
  <c r="DP97" i="6"/>
  <c r="DK96" i="6"/>
  <c r="DN94" i="6"/>
  <c r="DH93" i="6"/>
  <c r="DO92" i="6"/>
  <c r="DJ91" i="6"/>
  <c r="DM89" i="6"/>
  <c r="DG88" i="6"/>
  <c r="DP87" i="6"/>
  <c r="DJ86" i="6"/>
  <c r="DI85" i="6"/>
  <c r="DI84" i="6"/>
  <c r="DI83" i="6"/>
  <c r="DJ82" i="6"/>
  <c r="DJ81" i="6"/>
  <c r="DJ80" i="6"/>
  <c r="DJ79" i="6"/>
  <c r="DK78" i="6"/>
  <c r="DK77" i="6"/>
  <c r="DK76" i="6"/>
  <c r="DN75" i="6"/>
  <c r="DL74" i="6"/>
  <c r="DJ73" i="6"/>
  <c r="DP72" i="6"/>
  <c r="DH72" i="6"/>
  <c r="DN71" i="6"/>
  <c r="DL70" i="6"/>
  <c r="DJ69" i="6"/>
  <c r="DP68" i="6"/>
  <c r="DH68" i="6"/>
  <c r="DN67" i="6"/>
  <c r="DL66" i="6"/>
  <c r="DJ65" i="6"/>
  <c r="DP64" i="6"/>
  <c r="DH64" i="6"/>
  <c r="DN63" i="6"/>
  <c r="DL62" i="6"/>
  <c r="DJ61" i="6"/>
  <c r="DP60" i="6"/>
  <c r="DH60" i="6"/>
  <c r="DN59" i="6"/>
  <c r="DL58" i="6"/>
  <c r="DJ57" i="6"/>
  <c r="DI100" i="6"/>
  <c r="DL99" i="6"/>
  <c r="DG98" i="6"/>
  <c r="DN97" i="6"/>
  <c r="DJ96" i="6"/>
  <c r="DK94" i="6"/>
  <c r="DN92" i="6"/>
  <c r="DI91" i="6"/>
  <c r="DP90" i="6"/>
  <c r="DL89" i="6"/>
  <c r="DM87" i="6"/>
  <c r="DH86" i="6"/>
  <c r="DH85" i="6"/>
  <c r="DH84" i="6"/>
  <c r="DH83" i="6"/>
  <c r="DH82" i="6"/>
  <c r="DI81" i="6"/>
  <c r="DI80" i="6"/>
  <c r="DI79" i="6"/>
  <c r="DJ78" i="6"/>
  <c r="DJ77" i="6"/>
  <c r="DJ76" i="6"/>
  <c r="DM75" i="6"/>
  <c r="DK74" i="6"/>
  <c r="DI73" i="6"/>
  <c r="DO72" i="6"/>
  <c r="DG72" i="6"/>
  <c r="DM71" i="6"/>
  <c r="DK70" i="6"/>
  <c r="DI69" i="6"/>
  <c r="DO68" i="6"/>
  <c r="DG68" i="6"/>
  <c r="DM67" i="6"/>
  <c r="DK66" i="6"/>
  <c r="DI65" i="6"/>
  <c r="DO64" i="6"/>
  <c r="DG64" i="6"/>
  <c r="DM63" i="6"/>
  <c r="DK62" i="6"/>
  <c r="DI61" i="6"/>
  <c r="DO60" i="6"/>
  <c r="DG60" i="6"/>
  <c r="DM59" i="6"/>
  <c r="DK58" i="6"/>
  <c r="DI57" i="6"/>
  <c r="DO56" i="6"/>
  <c r="DG56" i="6"/>
  <c r="DM55" i="6"/>
  <c r="DK54" i="6"/>
  <c r="DI53" i="6"/>
  <c r="DO52" i="6"/>
  <c r="DG52" i="6"/>
  <c r="DP101" i="6"/>
  <c r="DH100" i="6"/>
  <c r="DJ99" i="6"/>
  <c r="DM97" i="6"/>
  <c r="DG96" i="6"/>
  <c r="DP95" i="6"/>
  <c r="DJ94" i="6"/>
  <c r="DL92" i="6"/>
  <c r="DH91" i="6"/>
  <c r="DO90" i="6"/>
  <c r="DI89" i="6"/>
  <c r="DL87" i="6"/>
  <c r="DG86" i="6"/>
  <c r="DP85" i="6"/>
  <c r="DP84" i="6"/>
  <c r="DG84" i="6"/>
  <c r="DP83" i="6"/>
  <c r="DG83" i="6"/>
  <c r="DP82" i="6"/>
  <c r="DG82" i="6"/>
  <c r="DH81" i="6"/>
  <c r="DH80" i="6"/>
  <c r="DH79" i="6"/>
  <c r="DH78" i="6"/>
  <c r="DI77" i="6"/>
  <c r="DI76" i="6"/>
  <c r="DL75" i="6"/>
  <c r="DJ74" i="6"/>
  <c r="DP73" i="6"/>
  <c r="DH73" i="6"/>
  <c r="DN72" i="6"/>
  <c r="DL71" i="6"/>
  <c r="DJ70" i="6"/>
  <c r="DP69" i="6"/>
  <c r="DH69" i="6"/>
  <c r="DL101" i="6"/>
  <c r="DH99" i="6"/>
  <c r="DO98" i="6"/>
  <c r="DI97" i="6"/>
  <c r="DL95" i="6"/>
  <c r="DG94" i="6"/>
  <c r="DN93" i="6"/>
  <c r="DJ92" i="6"/>
  <c r="DK90" i="6"/>
  <c r="DN88" i="6"/>
  <c r="DI87" i="6"/>
  <c r="DP86" i="6"/>
  <c r="DM85" i="6"/>
  <c r="DN84" i="6"/>
  <c r="DN83" i="6"/>
  <c r="DN82" i="6"/>
  <c r="DN81" i="6"/>
  <c r="DO80" i="6"/>
  <c r="DO79" i="6"/>
  <c r="DO78" i="6"/>
  <c r="DP77" i="6"/>
  <c r="DP76" i="6"/>
  <c r="DG76" i="6"/>
  <c r="DJ75" i="6"/>
  <c r="DP74" i="6"/>
  <c r="DH74" i="6"/>
  <c r="DN73" i="6"/>
  <c r="DL72" i="6"/>
  <c r="DJ71" i="6"/>
  <c r="DP70" i="6"/>
  <c r="DH70" i="6"/>
  <c r="DN69" i="6"/>
  <c r="DL68" i="6"/>
  <c r="DJ67" i="6"/>
  <c r="DP66" i="6"/>
  <c r="DH66" i="6"/>
  <c r="DN65" i="6"/>
  <c r="DL64" i="6"/>
  <c r="DJ63" i="6"/>
  <c r="DP62" i="6"/>
  <c r="DH62" i="6"/>
  <c r="DN61" i="6"/>
  <c r="DL60" i="6"/>
  <c r="DJ59" i="6"/>
  <c r="DP58" i="6"/>
  <c r="DH58" i="6"/>
  <c r="DN57" i="6"/>
  <c r="DL56" i="6"/>
  <c r="DJ55" i="6"/>
  <c r="DP54" i="6"/>
  <c r="DH54" i="6"/>
  <c r="DN53" i="6"/>
  <c r="DL52" i="6"/>
  <c r="DJ51" i="6"/>
  <c r="DP50" i="6"/>
  <c r="DH50" i="6"/>
  <c r="DN100" i="6"/>
  <c r="DJ98" i="6"/>
  <c r="DH95" i="6"/>
  <c r="DO94" i="6"/>
  <c r="DL91" i="6"/>
  <c r="DJ88" i="6"/>
  <c r="DG75" i="6"/>
  <c r="DO71" i="6"/>
  <c r="DM70" i="6"/>
  <c r="DK69" i="6"/>
  <c r="DK67" i="6"/>
  <c r="DM65" i="6"/>
  <c r="DI64" i="6"/>
  <c r="DP63" i="6"/>
  <c r="DJ62" i="6"/>
  <c r="DM60" i="6"/>
  <c r="DH59" i="6"/>
  <c r="DO58" i="6"/>
  <c r="DK57" i="6"/>
  <c r="DM56" i="6"/>
  <c r="DP55" i="6"/>
  <c r="DI54" i="6"/>
  <c r="DL53" i="6"/>
  <c r="DP52" i="6"/>
  <c r="DI51" i="6"/>
  <c r="DJ50" i="6"/>
  <c r="DN49" i="6"/>
  <c r="DL48" i="6"/>
  <c r="DJ47" i="6"/>
  <c r="DP46" i="6"/>
  <c r="DH46" i="6"/>
  <c r="DN45" i="6"/>
  <c r="DL44" i="6"/>
  <c r="DJ43" i="6"/>
  <c r="DP42" i="6"/>
  <c r="DH42" i="6"/>
  <c r="DN41" i="6"/>
  <c r="DL40" i="6"/>
  <c r="DJ39" i="6"/>
  <c r="DP38" i="6"/>
  <c r="DH38" i="6"/>
  <c r="DN37" i="6"/>
  <c r="DL36" i="6"/>
  <c r="DJ35" i="6"/>
  <c r="DP34" i="6"/>
  <c r="DH34" i="6"/>
  <c r="DN33" i="6"/>
  <c r="DL32" i="6"/>
  <c r="DL97" i="6"/>
  <c r="DH94" i="6"/>
  <c r="DP93" i="6"/>
  <c r="DN90" i="6"/>
  <c r="DJ87" i="6"/>
  <c r="DN85" i="6"/>
  <c r="DO84" i="6"/>
  <c r="DO83" i="6"/>
  <c r="DO82" i="6"/>
  <c r="DP81" i="6"/>
  <c r="DP80" i="6"/>
  <c r="DP79" i="6"/>
  <c r="DP78" i="6"/>
  <c r="DO73" i="6"/>
  <c r="DM72" i="6"/>
  <c r="DK71" i="6"/>
  <c r="DI70" i="6"/>
  <c r="DG69" i="6"/>
  <c r="DN68" i="6"/>
  <c r="DI67" i="6"/>
  <c r="DL65" i="6"/>
  <c r="DO63" i="6"/>
  <c r="DI62" i="6"/>
  <c r="DP61" i="6"/>
  <c r="DK60" i="6"/>
  <c r="DG59" i="6"/>
  <c r="DN58" i="6"/>
  <c r="DH57" i="6"/>
  <c r="DK56" i="6"/>
  <c r="DO55" i="6"/>
  <c r="DH97" i="6"/>
  <c r="DO96" i="6"/>
  <c r="DM93" i="6"/>
  <c r="DJ90" i="6"/>
  <c r="DH87" i="6"/>
  <c r="DO86" i="6"/>
  <c r="DL85" i="6"/>
  <c r="DL84" i="6"/>
  <c r="DM83" i="6"/>
  <c r="DM82" i="6"/>
  <c r="DM81" i="6"/>
  <c r="DN80" i="6"/>
  <c r="DN79" i="6"/>
  <c r="DN78" i="6"/>
  <c r="DN77" i="6"/>
  <c r="DO76" i="6"/>
  <c r="DO74" i="6"/>
  <c r="DM73" i="6"/>
  <c r="DK72" i="6"/>
  <c r="DI71" i="6"/>
  <c r="DG70" i="6"/>
  <c r="DM68" i="6"/>
  <c r="DH67" i="6"/>
  <c r="DO66" i="6"/>
  <c r="DK65" i="6"/>
  <c r="DL63" i="6"/>
  <c r="DG62" i="6"/>
  <c r="DO61" i="6"/>
  <c r="DJ60" i="6"/>
  <c r="DM58" i="6"/>
  <c r="DG57" i="6"/>
  <c r="DJ56" i="6"/>
  <c r="DN55" i="6"/>
  <c r="DJ53" i="6"/>
  <c r="DM52" i="6"/>
  <c r="DP51" i="6"/>
  <c r="DG51" i="6"/>
  <c r="DG50" i="6"/>
  <c r="DL49" i="6"/>
  <c r="DJ48" i="6"/>
  <c r="DP47" i="6"/>
  <c r="DH47" i="6"/>
  <c r="DN46" i="6"/>
  <c r="DL45" i="6"/>
  <c r="DJ44" i="6"/>
  <c r="DP43" i="6"/>
  <c r="DH43" i="6"/>
  <c r="DN42" i="6"/>
  <c r="DL41" i="6"/>
  <c r="DJ40" i="6"/>
  <c r="DP39" i="6"/>
  <c r="DH39" i="6"/>
  <c r="DN38" i="6"/>
  <c r="DL37" i="6"/>
  <c r="DJ36" i="6"/>
  <c r="DP35" i="6"/>
  <c r="DH35" i="6"/>
  <c r="DN34" i="6"/>
  <c r="DL33" i="6"/>
  <c r="DJ32" i="6"/>
  <c r="DN96" i="6"/>
  <c r="DL93" i="6"/>
  <c r="DH90" i="6"/>
  <c r="DP89" i="6"/>
  <c r="DN86" i="6"/>
  <c r="DK85" i="6"/>
  <c r="DK84" i="6"/>
  <c r="DL83" i="6"/>
  <c r="DL82" i="6"/>
  <c r="DL81" i="6"/>
  <c r="DL80" i="6"/>
  <c r="DM79" i="6"/>
  <c r="DM78" i="6"/>
  <c r="DM77" i="6"/>
  <c r="DN76" i="6"/>
  <c r="DP75" i="6"/>
  <c r="DN74" i="6"/>
  <c r="DL73" i="6"/>
  <c r="DJ72" i="6"/>
  <c r="DH71" i="6"/>
  <c r="DK68" i="6"/>
  <c r="DG67" i="6"/>
  <c r="DN66" i="6"/>
  <c r="DH65" i="6"/>
  <c r="DK63" i="6"/>
  <c r="DM61" i="6"/>
  <c r="DI60" i="6"/>
  <c r="DP59" i="6"/>
  <c r="DJ58" i="6"/>
  <c r="DI56" i="6"/>
  <c r="DL55" i="6"/>
  <c r="DO54" i="6"/>
  <c r="DH53" i="6"/>
  <c r="DK52" i="6"/>
  <c r="DO51" i="6"/>
  <c r="DO50" i="6"/>
  <c r="DK49" i="6"/>
  <c r="DP99" i="6"/>
  <c r="DL96" i="6"/>
  <c r="DI93" i="6"/>
  <c r="DG90" i="6"/>
  <c r="DN89" i="6"/>
  <c r="DK86" i="6"/>
  <c r="DJ85" i="6"/>
  <c r="DJ84" i="6"/>
  <c r="DJ83" i="6"/>
  <c r="DK82" i="6"/>
  <c r="DK81" i="6"/>
  <c r="DK80" i="6"/>
  <c r="DL79" i="6"/>
  <c r="DL78" i="6"/>
  <c r="DL77" i="6"/>
  <c r="DL76" i="6"/>
  <c r="DO75" i="6"/>
  <c r="DM74" i="6"/>
  <c r="DK73" i="6"/>
  <c r="DI72" i="6"/>
  <c r="DG71" i="6"/>
  <c r="DJ68" i="6"/>
  <c r="DM66" i="6"/>
  <c r="DG65" i="6"/>
  <c r="DN64" i="6"/>
  <c r="DI63" i="6"/>
  <c r="DL61" i="6"/>
  <c r="DO59" i="6"/>
  <c r="DI58" i="6"/>
  <c r="DP57" i="6"/>
  <c r="DH56" i="6"/>
  <c r="DK55" i="6"/>
  <c r="DN54" i="6"/>
  <c r="DG53" i="6"/>
  <c r="DJ52" i="6"/>
  <c r="DN51" i="6"/>
  <c r="DN50" i="6"/>
  <c r="DJ49" i="6"/>
  <c r="DP48" i="6"/>
  <c r="DH48" i="6"/>
  <c r="DN47" i="6"/>
  <c r="DL46" i="6"/>
  <c r="DJ45" i="6"/>
  <c r="DP44" i="6"/>
  <c r="DH44" i="6"/>
  <c r="DN43" i="6"/>
  <c r="DL42" i="6"/>
  <c r="DJ41" i="6"/>
  <c r="DP40" i="6"/>
  <c r="DH40" i="6"/>
  <c r="DN39" i="6"/>
  <c r="DL38" i="6"/>
  <c r="DJ37" i="6"/>
  <c r="DP36" i="6"/>
  <c r="DH36" i="6"/>
  <c r="DN35" i="6"/>
  <c r="DL34" i="6"/>
  <c r="DJ33" i="6"/>
  <c r="DP32" i="6"/>
  <c r="DH32" i="6"/>
  <c r="DN31" i="6"/>
  <c r="DL30" i="6"/>
  <c r="CM102" i="5"/>
  <c r="U2" i="6"/>
  <c r="AC2" i="6"/>
  <c r="AK2" i="6"/>
  <c r="BA2" i="6"/>
  <c r="CO2" i="6"/>
  <c r="CW2" i="6"/>
  <c r="DM2" i="6"/>
  <c r="V3" i="6"/>
  <c r="AD3" i="6"/>
  <c r="AL3" i="6"/>
  <c r="CP3" i="6"/>
  <c r="CX3" i="6"/>
  <c r="DN3" i="6"/>
  <c r="W4" i="6"/>
  <c r="AE4" i="6"/>
  <c r="AM4" i="6"/>
  <c r="BC4" i="6"/>
  <c r="CY4" i="6"/>
  <c r="DG4" i="6"/>
  <c r="DO4" i="6"/>
  <c r="X5" i="6"/>
  <c r="AF5" i="6"/>
  <c r="AN5" i="6"/>
  <c r="BD5" i="6"/>
  <c r="CR5" i="6"/>
  <c r="CZ5" i="6"/>
  <c r="DH5" i="6"/>
  <c r="DP5" i="6"/>
  <c r="X6" i="6"/>
  <c r="AF6" i="6"/>
  <c r="AN6" i="6"/>
  <c r="BD6" i="6"/>
  <c r="CR6" i="6"/>
  <c r="CZ6" i="6"/>
  <c r="DH6" i="6"/>
  <c r="DP6" i="6"/>
  <c r="X7" i="6"/>
  <c r="AF7" i="6"/>
  <c r="AN7" i="6"/>
  <c r="BD7" i="6"/>
  <c r="CR7" i="6"/>
  <c r="CZ7" i="6"/>
  <c r="DH7" i="6"/>
  <c r="DP7" i="6"/>
  <c r="X8" i="6"/>
  <c r="AF8" i="6"/>
  <c r="AN8" i="6"/>
  <c r="BD8" i="6"/>
  <c r="CR8" i="6"/>
  <c r="CZ8" i="6"/>
  <c r="DH8" i="6"/>
  <c r="DP8" i="6"/>
  <c r="X9" i="6"/>
  <c r="AF9" i="6"/>
  <c r="AN9" i="6"/>
  <c r="BD9" i="6"/>
  <c r="CR9" i="6"/>
  <c r="CZ9" i="6"/>
  <c r="DH9" i="6"/>
  <c r="DP9" i="6"/>
  <c r="X10" i="6"/>
  <c r="AF10" i="6"/>
  <c r="AN10" i="6"/>
  <c r="BD10" i="6"/>
  <c r="CR10" i="6"/>
  <c r="CZ10" i="6"/>
  <c r="DH10" i="6"/>
  <c r="DP10" i="6"/>
  <c r="X11" i="6"/>
  <c r="AF11" i="6"/>
  <c r="AN11" i="6"/>
  <c r="BD11" i="6"/>
  <c r="CR11" i="6"/>
  <c r="CZ11" i="6"/>
  <c r="DH11" i="6"/>
  <c r="DP11" i="6"/>
  <c r="X12" i="6"/>
  <c r="AF12" i="6"/>
  <c r="AN12" i="6"/>
  <c r="BD12" i="6"/>
  <c r="CR12" i="6"/>
  <c r="CZ12" i="6"/>
  <c r="DH12" i="6"/>
  <c r="DP12" i="6"/>
  <c r="X13" i="6"/>
  <c r="AF13" i="6"/>
  <c r="AN13" i="6"/>
  <c r="BD13" i="6"/>
  <c r="CR13" i="6"/>
  <c r="CZ13" i="6"/>
  <c r="DH13" i="6"/>
  <c r="DP13" i="6"/>
  <c r="X14" i="6"/>
  <c r="AF14" i="6"/>
  <c r="AN14" i="6"/>
  <c r="BD14" i="6"/>
  <c r="CR14" i="6"/>
  <c r="CZ14" i="6"/>
  <c r="DH14" i="6"/>
  <c r="DP14" i="6"/>
  <c r="Y15" i="6"/>
  <c r="AG15" i="6"/>
  <c r="BE15" i="6"/>
  <c r="CS15" i="6"/>
  <c r="DA15" i="6"/>
  <c r="DI15" i="6"/>
  <c r="AA16" i="6"/>
  <c r="AI16" i="6"/>
  <c r="CM16" i="6"/>
  <c r="CU16" i="6"/>
  <c r="DC16" i="6"/>
  <c r="DK16" i="6"/>
  <c r="U17" i="6"/>
  <c r="AC17" i="6"/>
  <c r="AK17" i="6"/>
  <c r="CO17" i="6"/>
  <c r="CW17" i="6"/>
  <c r="DE17" i="6"/>
  <c r="DM17" i="6"/>
  <c r="W18" i="6"/>
  <c r="AE18" i="6"/>
  <c r="AM18" i="6"/>
  <c r="BC18" i="6"/>
  <c r="CY18" i="6"/>
  <c r="DG18" i="6"/>
  <c r="DO18" i="6"/>
  <c r="Y19" i="6"/>
  <c r="AG19" i="6"/>
  <c r="CS19" i="6"/>
  <c r="DA19" i="6"/>
  <c r="DI19" i="6"/>
  <c r="AA20" i="6"/>
  <c r="AI20" i="6"/>
  <c r="CM20" i="6"/>
  <c r="CU20" i="6"/>
  <c r="DC20" i="6"/>
  <c r="DK20" i="6"/>
  <c r="U21" i="6"/>
  <c r="AC21" i="6"/>
  <c r="AK21" i="6"/>
  <c r="BA21" i="6"/>
  <c r="CO21" i="6"/>
  <c r="CW21" i="6"/>
  <c r="DE21" i="6"/>
  <c r="DM21" i="6"/>
  <c r="W22" i="6"/>
  <c r="AE22" i="6"/>
  <c r="AM22" i="6"/>
  <c r="BC22" i="6"/>
  <c r="CY22" i="6"/>
  <c r="DG22" i="6"/>
  <c r="DO22" i="6"/>
  <c r="Y23" i="6"/>
  <c r="AG23" i="6"/>
  <c r="BE23" i="6"/>
  <c r="CS23" i="6"/>
  <c r="DA23" i="6"/>
  <c r="DI23" i="6"/>
  <c r="AA24" i="6"/>
  <c r="AI24" i="6"/>
  <c r="AY24" i="6"/>
  <c r="CM24" i="6"/>
  <c r="CU24" i="6"/>
  <c r="DC24" i="6"/>
  <c r="DK24" i="6"/>
  <c r="U25" i="6"/>
  <c r="AC25" i="6"/>
  <c r="AK25" i="6"/>
  <c r="CO25" i="6"/>
  <c r="CW25" i="6"/>
  <c r="DE25" i="6"/>
  <c r="DM25" i="6"/>
  <c r="W26" i="6"/>
  <c r="AE26" i="6"/>
  <c r="AM26" i="6"/>
  <c r="BC26" i="6"/>
  <c r="CY26" i="6"/>
  <c r="DG26" i="6"/>
  <c r="DO26" i="6"/>
  <c r="Y27" i="6"/>
  <c r="AG27" i="6"/>
  <c r="CS27" i="6"/>
  <c r="DA27" i="6"/>
  <c r="DI27" i="6"/>
  <c r="AA28" i="6"/>
  <c r="AI28" i="6"/>
  <c r="CM28" i="6"/>
  <c r="CU28" i="6"/>
  <c r="DC28" i="6"/>
  <c r="DK28" i="6"/>
  <c r="U29" i="6"/>
  <c r="AC29" i="6"/>
  <c r="AK29" i="6"/>
  <c r="BA29" i="6"/>
  <c r="CO29" i="6"/>
  <c r="CW29" i="6"/>
  <c r="DE29" i="6"/>
  <c r="DM29" i="6"/>
  <c r="W30" i="6"/>
  <c r="AE30" i="6"/>
  <c r="AM30" i="6"/>
  <c r="BE30" i="6"/>
  <c r="CP30" i="6"/>
  <c r="CY30" i="6"/>
  <c r="DH30" i="6"/>
  <c r="AC31" i="6"/>
  <c r="AM31" i="6"/>
  <c r="BE31" i="6"/>
  <c r="CO31" i="6"/>
  <c r="CY31" i="6"/>
  <c r="DH31" i="6"/>
  <c r="AD32" i="6"/>
  <c r="DE32" i="6"/>
  <c r="X33" i="6"/>
  <c r="AK33" i="6"/>
  <c r="CW33" i="6"/>
  <c r="DI33" i="6"/>
  <c r="AC34" i="6"/>
  <c r="BC34" i="6"/>
  <c r="CO34" i="6"/>
  <c r="DB34" i="6"/>
  <c r="DO34" i="6"/>
  <c r="U35" i="6"/>
  <c r="AI35" i="6"/>
  <c r="BH35" i="6"/>
  <c r="CU35" i="6"/>
  <c r="DG35" i="6"/>
  <c r="AA36" i="6"/>
  <c r="AM36" i="6"/>
  <c r="BA36" i="6"/>
  <c r="CM36" i="6"/>
  <c r="CY36" i="6"/>
  <c r="DM36" i="6"/>
  <c r="AF37" i="6"/>
  <c r="CR37" i="6"/>
  <c r="DE37" i="6"/>
  <c r="Y38" i="6"/>
  <c r="AK38" i="6"/>
  <c r="CW38" i="6"/>
  <c r="DJ38" i="6"/>
  <c r="AC39" i="6"/>
  <c r="BC39" i="6"/>
  <c r="CO39" i="6"/>
  <c r="DC39" i="6"/>
  <c r="DO39" i="6"/>
  <c r="V40" i="6"/>
  <c r="AI40" i="6"/>
  <c r="CU40" i="6"/>
  <c r="DG40" i="6"/>
  <c r="AA41" i="6"/>
  <c r="AN41" i="6"/>
  <c r="CM41" i="6"/>
  <c r="CZ41" i="6"/>
  <c r="DM41" i="6"/>
  <c r="AG42" i="6"/>
  <c r="CS42" i="6"/>
  <c r="DE42" i="6"/>
  <c r="Y43" i="6"/>
  <c r="AK43" i="6"/>
  <c r="CW43" i="6"/>
  <c r="DK43" i="6"/>
  <c r="AD44" i="6"/>
  <c r="BC44" i="6"/>
  <c r="CP44" i="6"/>
  <c r="DC44" i="6"/>
  <c r="DO44" i="6"/>
  <c r="W45" i="6"/>
  <c r="AI45" i="6"/>
  <c r="CU45" i="6"/>
  <c r="DH45" i="6"/>
  <c r="AA46" i="6"/>
  <c r="CM46" i="6"/>
  <c r="DA46" i="6"/>
  <c r="DM46" i="6"/>
  <c r="AG47" i="6"/>
  <c r="BG47" i="6"/>
  <c r="CS47" i="6"/>
  <c r="DE47" i="6"/>
  <c r="Y48" i="6"/>
  <c r="AL48" i="6"/>
  <c r="CX48" i="6"/>
  <c r="DK48" i="6"/>
  <c r="AF49" i="6"/>
  <c r="CR49" i="6"/>
  <c r="DH49" i="6"/>
  <c r="AH50" i="6"/>
  <c r="AZ50" i="6"/>
  <c r="DC50" i="6"/>
  <c r="AG51" i="6"/>
  <c r="AZ51" i="6"/>
  <c r="DC51" i="6"/>
  <c r="AG52" i="6"/>
  <c r="AY52" i="6"/>
  <c r="DH52" i="6"/>
  <c r="W53" i="6"/>
  <c r="DD53" i="6"/>
  <c r="DA54" i="6"/>
  <c r="AL55" i="6"/>
  <c r="BG55" i="6"/>
  <c r="CY55" i="6"/>
  <c r="X56" i="6"/>
  <c r="BB56" i="6"/>
  <c r="DE56" i="6"/>
  <c r="AC57" i="6"/>
  <c r="BA57" i="6"/>
  <c r="DL57" i="6"/>
  <c r="AH58" i="6"/>
  <c r="DE58" i="6"/>
  <c r="AA59" i="6"/>
  <c r="CV59" i="6"/>
  <c r="BE60" i="6"/>
  <c r="CO60" i="6"/>
  <c r="DK61" i="6"/>
  <c r="DB62" i="6"/>
  <c r="AG63" i="6"/>
  <c r="CU63" i="6"/>
  <c r="Z64" i="6"/>
  <c r="CM64" i="6"/>
  <c r="BC65" i="6"/>
  <c r="DP65" i="6"/>
  <c r="DI66" i="6"/>
  <c r="AN67" i="6"/>
  <c r="DA67" i="6"/>
  <c r="AG68" i="6"/>
  <c r="CT68" i="6"/>
  <c r="X69" i="6"/>
  <c r="BA69" i="6"/>
  <c r="CM69" i="6"/>
  <c r="V70" i="6"/>
  <c r="BE70" i="6"/>
  <c r="CY70" i="6"/>
  <c r="AN71" i="6"/>
  <c r="BF72" i="6"/>
  <c r="CO72" i="6"/>
  <c r="AC73" i="6"/>
  <c r="DG73" i="6"/>
  <c r="CP74" i="6"/>
  <c r="DH75" i="6"/>
  <c r="AM76" i="6"/>
  <c r="CM76" i="6"/>
  <c r="AI77" i="6"/>
  <c r="DG78" i="6"/>
  <c r="BB79" i="6"/>
  <c r="DD79" i="6"/>
  <c r="AL80" i="6"/>
  <c r="AH81" i="6"/>
  <c r="DF82" i="6"/>
  <c r="BA83" i="6"/>
  <c r="DB83" i="6"/>
  <c r="AJ84" i="6"/>
  <c r="AG85" i="6"/>
  <c r="Y87" i="6"/>
  <c r="CT87" i="6"/>
  <c r="DO88" i="6"/>
  <c r="CZ90" i="6"/>
  <c r="AH92" i="6"/>
  <c r="BA93" i="6"/>
  <c r="AK95" i="6"/>
  <c r="DI95" i="6"/>
  <c r="BG96" i="6"/>
  <c r="V97" i="6"/>
  <c r="CS97" i="6"/>
  <c r="DN98" i="6"/>
  <c r="AB100" i="6"/>
  <c r="DJ101" i="6"/>
  <c r="AC36" i="8"/>
  <c r="Z36" i="8"/>
  <c r="Z15" i="6"/>
  <c r="AH15" i="6"/>
  <c r="BF15" i="6"/>
  <c r="CT15" i="6"/>
  <c r="DB15" i="6"/>
  <c r="DJ15" i="6"/>
  <c r="AB16" i="6"/>
  <c r="AJ16" i="6"/>
  <c r="AZ16" i="6"/>
  <c r="BH16" i="6"/>
  <c r="CN16" i="6"/>
  <c r="DD16" i="6"/>
  <c r="DL16" i="6"/>
  <c r="V17" i="6"/>
  <c r="AD17" i="6"/>
  <c r="AL17" i="6"/>
  <c r="BB17" i="6"/>
  <c r="CP17" i="6"/>
  <c r="CX17" i="6"/>
  <c r="DF17" i="6"/>
  <c r="DN17" i="6"/>
  <c r="X18" i="6"/>
  <c r="AF18" i="6"/>
  <c r="AN18" i="6"/>
  <c r="BD18" i="6"/>
  <c r="CR18" i="6"/>
  <c r="CZ18" i="6"/>
  <c r="DH18" i="6"/>
  <c r="DP18" i="6"/>
  <c r="Z19" i="6"/>
  <c r="AH19" i="6"/>
  <c r="CT19" i="6"/>
  <c r="DB19" i="6"/>
  <c r="DJ19" i="6"/>
  <c r="AB20" i="6"/>
  <c r="AJ20" i="6"/>
  <c r="AZ20" i="6"/>
  <c r="BH20" i="6"/>
  <c r="CN20" i="6"/>
  <c r="DD20" i="6"/>
  <c r="DL20" i="6"/>
  <c r="V21" i="6"/>
  <c r="AD21" i="6"/>
  <c r="AL21" i="6"/>
  <c r="BB21" i="6"/>
  <c r="CP21" i="6"/>
  <c r="CX21" i="6"/>
  <c r="DF21" i="6"/>
  <c r="DN21" i="6"/>
  <c r="X22" i="6"/>
  <c r="AF22" i="6"/>
  <c r="AN22" i="6"/>
  <c r="BD22" i="6"/>
  <c r="CR22" i="6"/>
  <c r="CZ22" i="6"/>
  <c r="DH22" i="6"/>
  <c r="DP22" i="6"/>
  <c r="Z23" i="6"/>
  <c r="AH23" i="6"/>
  <c r="CT23" i="6"/>
  <c r="DB23" i="6"/>
  <c r="DJ23" i="6"/>
  <c r="AB24" i="6"/>
  <c r="AJ24" i="6"/>
  <c r="AZ24" i="6"/>
  <c r="BH24" i="6"/>
  <c r="CN24" i="6"/>
  <c r="DD24" i="6"/>
  <c r="DL24" i="6"/>
  <c r="V25" i="6"/>
  <c r="AD25" i="6"/>
  <c r="AL25" i="6"/>
  <c r="BB25" i="6"/>
  <c r="CP25" i="6"/>
  <c r="CX25" i="6"/>
  <c r="DF25" i="6"/>
  <c r="DN25" i="6"/>
  <c r="X26" i="6"/>
  <c r="AF26" i="6"/>
  <c r="AN26" i="6"/>
  <c r="BD26" i="6"/>
  <c r="CR26" i="6"/>
  <c r="CZ26" i="6"/>
  <c r="DH26" i="6"/>
  <c r="DP26" i="6"/>
  <c r="Z27" i="6"/>
  <c r="AH27" i="6"/>
  <c r="CT27" i="6"/>
  <c r="DB27" i="6"/>
  <c r="DJ27" i="6"/>
  <c r="AB28" i="6"/>
  <c r="AJ28" i="6"/>
  <c r="AZ28" i="6"/>
  <c r="BH28" i="6"/>
  <c r="CN28" i="6"/>
  <c r="DD28" i="6"/>
  <c r="DL28" i="6"/>
  <c r="V29" i="6"/>
  <c r="AD29" i="6"/>
  <c r="AL29" i="6"/>
  <c r="CP29" i="6"/>
  <c r="CX29" i="6"/>
  <c r="DF29" i="6"/>
  <c r="DN29" i="6"/>
  <c r="X30" i="6"/>
  <c r="AF30" i="6"/>
  <c r="AN30" i="6"/>
  <c r="CZ30" i="6"/>
  <c r="DI30" i="6"/>
  <c r="U31" i="6"/>
  <c r="AE31" i="6"/>
  <c r="AN31" i="6"/>
  <c r="BF31" i="6"/>
  <c r="CZ31" i="6"/>
  <c r="DI31" i="6"/>
  <c r="U32" i="6"/>
  <c r="AE32" i="6"/>
  <c r="CS32" i="6"/>
  <c r="DF32" i="6"/>
  <c r="Y33" i="6"/>
  <c r="AM33" i="6"/>
  <c r="CY33" i="6"/>
  <c r="DK33" i="6"/>
  <c r="AE34" i="6"/>
  <c r="BE34" i="6"/>
  <c r="DC34" i="6"/>
  <c r="W35" i="6"/>
  <c r="AJ35" i="6"/>
  <c r="DI35" i="6"/>
  <c r="AC36" i="6"/>
  <c r="BB36" i="6"/>
  <c r="CO36" i="6"/>
  <c r="DA36" i="6"/>
  <c r="DN36" i="6"/>
  <c r="U37" i="6"/>
  <c r="AG37" i="6"/>
  <c r="CS37" i="6"/>
  <c r="DG37" i="6"/>
  <c r="Z38" i="6"/>
  <c r="AM38" i="6"/>
  <c r="CY38" i="6"/>
  <c r="DK38" i="6"/>
  <c r="AE39" i="6"/>
  <c r="CQ39" i="6"/>
  <c r="DD39" i="6"/>
  <c r="W40" i="6"/>
  <c r="AK40" i="6"/>
  <c r="CW40" i="6"/>
  <c r="DI40" i="6"/>
  <c r="AC41" i="6"/>
  <c r="BC41" i="6"/>
  <c r="CO41" i="6"/>
  <c r="DA41" i="6"/>
  <c r="DO41" i="6"/>
  <c r="U42" i="6"/>
  <c r="AH42" i="6"/>
  <c r="CT42" i="6"/>
  <c r="DG42" i="6"/>
  <c r="AA43" i="6"/>
  <c r="AM43" i="6"/>
  <c r="AZ43" i="6"/>
  <c r="CM43" i="6"/>
  <c r="CY43" i="6"/>
  <c r="DL43" i="6"/>
  <c r="AE44" i="6"/>
  <c r="BE44" i="6"/>
  <c r="CQ44" i="6"/>
  <c r="DE44" i="6"/>
  <c r="X45" i="6"/>
  <c r="AK45" i="6"/>
  <c r="CW45" i="6"/>
  <c r="DI45" i="6"/>
  <c r="AC46" i="6"/>
  <c r="BC46" i="6"/>
  <c r="CO46" i="6"/>
  <c r="DB46" i="6"/>
  <c r="DO46" i="6"/>
  <c r="U47" i="6"/>
  <c r="AI47" i="6"/>
  <c r="BH47" i="6"/>
  <c r="CU47" i="6"/>
  <c r="DG47" i="6"/>
  <c r="AA48" i="6"/>
  <c r="AM48" i="6"/>
  <c r="CM48" i="6"/>
  <c r="CY48" i="6"/>
  <c r="DM48" i="6"/>
  <c r="AG49" i="6"/>
  <c r="CS49" i="6"/>
  <c r="DI49" i="6"/>
  <c r="AI50" i="6"/>
  <c r="DD50" i="6"/>
  <c r="AI51" i="6"/>
  <c r="DD51" i="6"/>
  <c r="AH52" i="6"/>
  <c r="BA52" i="6"/>
  <c r="CM52" i="6"/>
  <c r="DI52" i="6"/>
  <c r="X53" i="6"/>
  <c r="DE53" i="6"/>
  <c r="U54" i="6"/>
  <c r="DB54" i="6"/>
  <c r="AM55" i="6"/>
  <c r="BH55" i="6"/>
  <c r="DG55" i="6"/>
  <c r="Y56" i="6"/>
  <c r="BD56" i="6"/>
  <c r="DF56" i="6"/>
  <c r="AE57" i="6"/>
  <c r="DM57" i="6"/>
  <c r="DF58" i="6"/>
  <c r="AJ59" i="6"/>
  <c r="CY59" i="6"/>
  <c r="AC60" i="6"/>
  <c r="BF60" i="6"/>
  <c r="CP60" i="6"/>
  <c r="U61" i="6"/>
  <c r="AY61" i="6"/>
  <c r="DM62" i="6"/>
  <c r="AI63" i="6"/>
  <c r="DD63" i="6"/>
  <c r="AA64" i="6"/>
  <c r="CW64" i="6"/>
  <c r="BD65" i="6"/>
  <c r="CO65" i="6"/>
  <c r="DJ66" i="6"/>
  <c r="DC67" i="6"/>
  <c r="AH68" i="6"/>
  <c r="CU68" i="6"/>
  <c r="AA69" i="6"/>
  <c r="CN69" i="6"/>
  <c r="W70" i="6"/>
  <c r="DA70" i="6"/>
  <c r="BG72" i="6"/>
  <c r="DB72" i="6"/>
  <c r="AE73" i="6"/>
  <c r="CQ74" i="6"/>
  <c r="AF75" i="6"/>
  <c r="DI75" i="6"/>
  <c r="BB76" i="6"/>
  <c r="CP76" i="6"/>
  <c r="AJ77" i="6"/>
  <c r="BD79" i="6"/>
  <c r="DE79" i="6"/>
  <c r="AZ80" i="6"/>
  <c r="CN80" i="6"/>
  <c r="AI81" i="6"/>
  <c r="BC83" i="6"/>
  <c r="DD83" i="6"/>
  <c r="AY84" i="6"/>
  <c r="CM84" i="6"/>
  <c r="AH85" i="6"/>
  <c r="CW87" i="6"/>
  <c r="AD89" i="6"/>
  <c r="AI92" i="6"/>
  <c r="DF92" i="6"/>
  <c r="BD93" i="6"/>
  <c r="CQ94" i="6"/>
  <c r="DJ95" i="6"/>
  <c r="Y97" i="6"/>
  <c r="CV97" i="6"/>
  <c r="DP98" i="6"/>
  <c r="AZ100" i="6"/>
  <c r="DK101" i="6"/>
  <c r="Z5" i="6"/>
  <c r="AH5" i="6"/>
  <c r="CT5" i="6"/>
  <c r="DB5" i="6"/>
  <c r="DJ5" i="6"/>
  <c r="Z6" i="6"/>
  <c r="AH6" i="6"/>
  <c r="CT6" i="6"/>
  <c r="DB6" i="6"/>
  <c r="DJ6" i="6"/>
  <c r="Z7" i="6"/>
  <c r="AH7" i="6"/>
  <c r="CT7" i="6"/>
  <c r="DB7" i="6"/>
  <c r="DJ7" i="6"/>
  <c r="Z8" i="6"/>
  <c r="AH8" i="6"/>
  <c r="CT8" i="6"/>
  <c r="DB8" i="6"/>
  <c r="DJ8" i="6"/>
  <c r="Z9" i="6"/>
  <c r="AH9" i="6"/>
  <c r="BF9" i="6"/>
  <c r="CT9" i="6"/>
  <c r="DB9" i="6"/>
  <c r="DJ9" i="6"/>
  <c r="Z10" i="6"/>
  <c r="AH10" i="6"/>
  <c r="BF10" i="6"/>
  <c r="CT10" i="6"/>
  <c r="DB10" i="6"/>
  <c r="DJ10" i="6"/>
  <c r="Z11" i="6"/>
  <c r="AH11" i="6"/>
  <c r="BF11" i="6"/>
  <c r="CT11" i="6"/>
  <c r="DB11" i="6"/>
  <c r="DJ11" i="6"/>
  <c r="Z12" i="6"/>
  <c r="AH12" i="6"/>
  <c r="CT12" i="6"/>
  <c r="DB12" i="6"/>
  <c r="DJ12" i="6"/>
  <c r="Z13" i="6"/>
  <c r="AH13" i="6"/>
  <c r="CT13" i="6"/>
  <c r="DB13" i="6"/>
  <c r="DJ13" i="6"/>
  <c r="Z14" i="6"/>
  <c r="AH14" i="6"/>
  <c r="CT14" i="6"/>
  <c r="DB14" i="6"/>
  <c r="DJ14" i="6"/>
  <c r="AA15" i="6"/>
  <c r="AI15" i="6"/>
  <c r="CM15" i="6"/>
  <c r="CU15" i="6"/>
  <c r="DC15" i="6"/>
  <c r="DK15" i="6"/>
  <c r="U16" i="6"/>
  <c r="AC16" i="6"/>
  <c r="AK16" i="6"/>
  <c r="CO16" i="6"/>
  <c r="CW16" i="6"/>
  <c r="DE16" i="6"/>
  <c r="DM16" i="6"/>
  <c r="W17" i="6"/>
  <c r="AE17" i="6"/>
  <c r="AM17" i="6"/>
  <c r="BC17" i="6"/>
  <c r="CY17" i="6"/>
  <c r="DG17" i="6"/>
  <c r="DO17" i="6"/>
  <c r="Y18" i="6"/>
  <c r="AG18" i="6"/>
  <c r="CS18" i="6"/>
  <c r="DA18" i="6"/>
  <c r="DI18" i="6"/>
  <c r="AA19" i="6"/>
  <c r="AI19" i="6"/>
  <c r="CM19" i="6"/>
  <c r="CU19" i="6"/>
  <c r="DC19" i="6"/>
  <c r="DK19" i="6"/>
  <c r="U20" i="6"/>
  <c r="AC20" i="6"/>
  <c r="AK20" i="6"/>
  <c r="CO20" i="6"/>
  <c r="CW20" i="6"/>
  <c r="DE20" i="6"/>
  <c r="DM20" i="6"/>
  <c r="W21" i="6"/>
  <c r="AE21" i="6"/>
  <c r="AM21" i="6"/>
  <c r="BC21" i="6"/>
  <c r="CY21" i="6"/>
  <c r="DG21" i="6"/>
  <c r="DO21" i="6"/>
  <c r="Y22" i="6"/>
  <c r="AG22" i="6"/>
  <c r="CS22" i="6"/>
  <c r="DA22" i="6"/>
  <c r="DI22" i="6"/>
  <c r="AA23" i="6"/>
  <c r="AI23" i="6"/>
  <c r="BG23" i="6"/>
  <c r="CM23" i="6"/>
  <c r="CU23" i="6"/>
  <c r="DC23" i="6"/>
  <c r="DK23" i="6"/>
  <c r="U24" i="6"/>
  <c r="AC24" i="6"/>
  <c r="AK24" i="6"/>
  <c r="CO24" i="6"/>
  <c r="CW24" i="6"/>
  <c r="DE24" i="6"/>
  <c r="DM24" i="6"/>
  <c r="W25" i="6"/>
  <c r="AE25" i="6"/>
  <c r="AM25" i="6"/>
  <c r="BC25" i="6"/>
  <c r="CY25" i="6"/>
  <c r="DG25" i="6"/>
  <c r="DO25" i="6"/>
  <c r="Y26" i="6"/>
  <c r="AG26" i="6"/>
  <c r="CS26" i="6"/>
  <c r="DA26" i="6"/>
  <c r="DI26" i="6"/>
  <c r="AA27" i="6"/>
  <c r="AI27" i="6"/>
  <c r="CM27" i="6"/>
  <c r="CU27" i="6"/>
  <c r="DC27" i="6"/>
  <c r="DK27" i="6"/>
  <c r="U28" i="6"/>
  <c r="AC28" i="6"/>
  <c r="AK28" i="6"/>
  <c r="CO28" i="6"/>
  <c r="CW28" i="6"/>
  <c r="DE28" i="6"/>
  <c r="DM28" i="6"/>
  <c r="W29" i="6"/>
  <c r="AE29" i="6"/>
  <c r="AM29" i="6"/>
  <c r="BC29" i="6"/>
  <c r="CY29" i="6"/>
  <c r="DG29" i="6"/>
  <c r="DO29" i="6"/>
  <c r="Y30" i="6"/>
  <c r="AG30" i="6"/>
  <c r="CR30" i="6"/>
  <c r="DA30" i="6"/>
  <c r="DJ30" i="6"/>
  <c r="W31" i="6"/>
  <c r="AF31" i="6"/>
  <c r="CR31" i="6"/>
  <c r="DA31" i="6"/>
  <c r="DJ31" i="6"/>
  <c r="V32" i="6"/>
  <c r="AG32" i="6"/>
  <c r="CU32" i="6"/>
  <c r="DG32" i="6"/>
  <c r="AA33" i="6"/>
  <c r="AN33" i="6"/>
  <c r="CM33" i="6"/>
  <c r="CZ33" i="6"/>
  <c r="DM33" i="6"/>
  <c r="AG34" i="6"/>
  <c r="CS34" i="6"/>
  <c r="DE34" i="6"/>
  <c r="Y35" i="6"/>
  <c r="AK35" i="6"/>
  <c r="AY35" i="6"/>
  <c r="CW35" i="6"/>
  <c r="DK35" i="6"/>
  <c r="AD36" i="6"/>
  <c r="BC36" i="6"/>
  <c r="CP36" i="6"/>
  <c r="DC36" i="6"/>
  <c r="DO36" i="6"/>
  <c r="W37" i="6"/>
  <c r="AI37" i="6"/>
  <c r="CU37" i="6"/>
  <c r="DH37" i="6"/>
  <c r="AA38" i="6"/>
  <c r="CM38" i="6"/>
  <c r="DA38" i="6"/>
  <c r="DM38" i="6"/>
  <c r="AG39" i="6"/>
  <c r="CS39" i="6"/>
  <c r="DE39" i="6"/>
  <c r="Y40" i="6"/>
  <c r="AL40" i="6"/>
  <c r="CX40" i="6"/>
  <c r="DK40" i="6"/>
  <c r="AE41" i="6"/>
  <c r="BD41" i="6"/>
  <c r="CQ41" i="6"/>
  <c r="DC41" i="6"/>
  <c r="DP41" i="6"/>
  <c r="W42" i="6"/>
  <c r="AI42" i="6"/>
  <c r="CU42" i="6"/>
  <c r="DI42" i="6"/>
  <c r="AB43" i="6"/>
  <c r="CN43" i="6"/>
  <c r="DA43" i="6"/>
  <c r="DM43" i="6"/>
  <c r="U44" i="6"/>
  <c r="AG44" i="6"/>
  <c r="CS44" i="6"/>
  <c r="DF44" i="6"/>
  <c r="Y45" i="6"/>
  <c r="AM45" i="6"/>
  <c r="CY45" i="6"/>
  <c r="DK45" i="6"/>
  <c r="AE46" i="6"/>
  <c r="BE46" i="6"/>
  <c r="CQ46" i="6"/>
  <c r="DC46" i="6"/>
  <c r="W47" i="6"/>
  <c r="AJ47" i="6"/>
  <c r="CV47" i="6"/>
  <c r="DI47" i="6"/>
  <c r="AC48" i="6"/>
  <c r="BB48" i="6"/>
  <c r="CO48" i="6"/>
  <c r="DA48" i="6"/>
  <c r="DN48" i="6"/>
  <c r="U49" i="6"/>
  <c r="AK49" i="6"/>
  <c r="CW49" i="6"/>
  <c r="DM49" i="6"/>
  <c r="W50" i="6"/>
  <c r="AM50" i="6"/>
  <c r="CP50" i="6"/>
  <c r="DI50" i="6"/>
  <c r="U51" i="6"/>
  <c r="AM51" i="6"/>
  <c r="BE51" i="6"/>
  <c r="CP51" i="6"/>
  <c r="DH51" i="6"/>
  <c r="U52" i="6"/>
  <c r="AM52" i="6"/>
  <c r="BE52" i="6"/>
  <c r="CS52" i="6"/>
  <c r="DN52" i="6"/>
  <c r="AC53" i="6"/>
  <c r="AY53" i="6"/>
  <c r="CO53" i="6"/>
  <c r="DK53" i="6"/>
  <c r="Z54" i="6"/>
  <c r="DG54" i="6"/>
  <c r="W55" i="6"/>
  <c r="DH55" i="6"/>
  <c r="AG56" i="6"/>
  <c r="BE56" i="6"/>
  <c r="DN56" i="6"/>
  <c r="AF57" i="6"/>
  <c r="CO57" i="6"/>
  <c r="DO57" i="6"/>
  <c r="DG58" i="6"/>
  <c r="AM59" i="6"/>
  <c r="CZ59" i="6"/>
  <c r="AD60" i="6"/>
  <c r="CS60" i="6"/>
  <c r="W61" i="6"/>
  <c r="BH61" i="6"/>
  <c r="BA62" i="6"/>
  <c r="DN62" i="6"/>
  <c r="DG63" i="6"/>
  <c r="AK64" i="6"/>
  <c r="CX64" i="6"/>
  <c r="AC65" i="6"/>
  <c r="BG65" i="6"/>
  <c r="CQ65" i="6"/>
  <c r="V66" i="6"/>
  <c r="DL67" i="6"/>
  <c r="AI68" i="6"/>
  <c r="DE68" i="6"/>
  <c r="AB69" i="6"/>
  <c r="CW69" i="6"/>
  <c r="Y70" i="6"/>
  <c r="DN70" i="6"/>
  <c r="Z72" i="6"/>
  <c r="DC72" i="6"/>
  <c r="CS74" i="6"/>
  <c r="AG75" i="6"/>
  <c r="DK75" i="6"/>
  <c r="BC76" i="6"/>
  <c r="DD76" i="6"/>
  <c r="AL77" i="6"/>
  <c r="CM77" i="6"/>
  <c r="AI78" i="6"/>
  <c r="DG79" i="6"/>
  <c r="BB80" i="6"/>
  <c r="DC80" i="6"/>
  <c r="AK81" i="6"/>
  <c r="AH82" i="6"/>
  <c r="DF83" i="6"/>
  <c r="AZ84" i="6"/>
  <c r="DB84" i="6"/>
  <c r="AJ85" i="6"/>
  <c r="AI86" i="6"/>
  <c r="AF89" i="6"/>
  <c r="DD89" i="6"/>
  <c r="BB90" i="6"/>
  <c r="CN91" i="6"/>
  <c r="AL92" i="6"/>
  <c r="DG92" i="6"/>
  <c r="W94" i="6"/>
  <c r="CR94" i="6"/>
  <c r="DM95" i="6"/>
  <c r="CX97" i="6"/>
  <c r="AF99" i="6"/>
  <c r="BB100" i="6"/>
  <c r="DN101" i="6"/>
  <c r="B39" i="13"/>
  <c r="Q39" i="8"/>
  <c r="R39" i="8"/>
  <c r="S38" i="8"/>
  <c r="V38" i="8"/>
  <c r="BL39" i="8"/>
  <c r="V39" i="8"/>
  <c r="B91" i="13"/>
  <c r="Q91" i="8"/>
  <c r="R91" i="8"/>
  <c r="S90" i="8"/>
  <c r="BL91" i="8"/>
  <c r="V90" i="8"/>
  <c r="U33" i="8"/>
  <c r="AB33" i="8"/>
  <c r="Y33" i="8"/>
  <c r="AA33" i="8" s="1"/>
  <c r="B24" i="13"/>
  <c r="BL24" i="8"/>
  <c r="Q24" i="8"/>
  <c r="S23" i="8"/>
  <c r="BL95" i="8"/>
  <c r="R24" i="8"/>
  <c r="AC37" i="8"/>
  <c r="Z37" i="8"/>
  <c r="B54" i="13"/>
  <c r="Q54" i="8"/>
  <c r="V53" i="8"/>
  <c r="R54" i="8"/>
  <c r="S53" i="8"/>
  <c r="BL54" i="8"/>
  <c r="AC85" i="8"/>
  <c r="B51" i="13"/>
  <c r="Q51" i="8"/>
  <c r="V50" i="8"/>
  <c r="S50" i="8"/>
  <c r="R51" i="8"/>
  <c r="BL51" i="8"/>
  <c r="B68" i="13"/>
  <c r="Q68" i="8"/>
  <c r="V67" i="8"/>
  <c r="BL68" i="8"/>
  <c r="S67" i="8"/>
  <c r="R68" i="8"/>
  <c r="B25" i="13"/>
  <c r="BL96" i="8"/>
  <c r="R25" i="8"/>
  <c r="S24" i="8"/>
  <c r="Q25" i="8"/>
  <c r="V24" i="8"/>
  <c r="BL25" i="8"/>
  <c r="Z64" i="8"/>
  <c r="AC64" i="8"/>
  <c r="B32" i="13"/>
  <c r="BL103" i="8"/>
  <c r="BL32" i="8"/>
  <c r="Q32" i="8"/>
  <c r="S31" i="8"/>
  <c r="V32" i="8"/>
  <c r="R32" i="8"/>
  <c r="V31" i="8"/>
  <c r="B43" i="13"/>
  <c r="BL43" i="8"/>
  <c r="Q43" i="8"/>
  <c r="Y42" i="8" s="1"/>
  <c r="AA42" i="8" s="1"/>
  <c r="V43" i="8"/>
  <c r="V42" i="8"/>
  <c r="R43" i="8"/>
  <c r="Z58" i="8"/>
  <c r="AC58" i="8"/>
  <c r="B26" i="13"/>
  <c r="BL97" i="8"/>
  <c r="V25" i="8"/>
  <c r="R26" i="8"/>
  <c r="S25" i="8"/>
  <c r="Q26" i="8"/>
  <c r="B35" i="13"/>
  <c r="R105" i="8"/>
  <c r="R35" i="8"/>
  <c r="Q35" i="8"/>
  <c r="Y34" i="8" s="1"/>
  <c r="AA34" i="8" s="1"/>
  <c r="S34" i="8"/>
  <c r="BL35" i="8"/>
  <c r="V34" i="8"/>
  <c r="B46" i="13"/>
  <c r="Q46" i="8"/>
  <c r="BL46" i="8"/>
  <c r="R46" i="8"/>
  <c r="V46" i="8"/>
  <c r="V45" i="8"/>
  <c r="B77" i="13"/>
  <c r="R77" i="8"/>
  <c r="V77" i="8"/>
  <c r="V76" i="8"/>
  <c r="Q77" i="8"/>
  <c r="Y76" i="8" s="1"/>
  <c r="AA76" i="8" s="1"/>
  <c r="S76" i="8"/>
  <c r="BL77" i="8"/>
  <c r="AC29" i="8"/>
  <c r="Z29" i="8"/>
  <c r="AB40" i="8"/>
  <c r="U40" i="8"/>
  <c r="Y40" i="8"/>
  <c r="AA40" i="8" s="1"/>
  <c r="AC41" i="8"/>
  <c r="AC42" i="8"/>
  <c r="R28" i="8"/>
  <c r="AB41" i="8"/>
  <c r="U41" i="8"/>
  <c r="B56" i="13"/>
  <c r="Q56" i="8"/>
  <c r="V55" i="8"/>
  <c r="BL56" i="8"/>
  <c r="R56" i="8"/>
  <c r="U78" i="8"/>
  <c r="AB78" i="8"/>
  <c r="B36" i="13"/>
  <c r="AC53" i="8"/>
  <c r="Z53" i="8"/>
  <c r="Z30" i="8"/>
  <c r="AB34" i="8"/>
  <c r="U34" i="8"/>
  <c r="B45" i="13"/>
  <c r="R45" i="8"/>
  <c r="S44" i="8"/>
  <c r="BL45" i="8"/>
  <c r="Q45" i="8"/>
  <c r="B64" i="13"/>
  <c r="Q64" i="8"/>
  <c r="V63" i="8"/>
  <c r="BL64" i="8"/>
  <c r="B94" i="13"/>
  <c r="Q94" i="8"/>
  <c r="R94" i="8"/>
  <c r="S93" i="8"/>
  <c r="B28" i="13"/>
  <c r="BL99" i="8"/>
  <c r="BL28" i="8"/>
  <c r="Q28" i="8"/>
  <c r="S27" i="8"/>
  <c r="V28" i="8"/>
  <c r="Z47" i="8"/>
  <c r="AC47" i="8"/>
  <c r="B52" i="13"/>
  <c r="Q52" i="8"/>
  <c r="V51" i="8"/>
  <c r="BL52" i="8"/>
  <c r="S51" i="8"/>
  <c r="R52" i="8"/>
  <c r="B60" i="13"/>
  <c r="Q60" i="8"/>
  <c r="V59" i="8"/>
  <c r="BL60" i="8"/>
  <c r="S59" i="8"/>
  <c r="R60" i="8"/>
  <c r="B62" i="13"/>
  <c r="Q62" i="8"/>
  <c r="V61" i="8"/>
  <c r="R62" i="8"/>
  <c r="BL62" i="8"/>
  <c r="Z63" i="8"/>
  <c r="AC63" i="8"/>
  <c r="AC69" i="8"/>
  <c r="B86" i="13"/>
  <c r="Q86" i="8"/>
  <c r="R86" i="8"/>
  <c r="V85" i="8"/>
  <c r="S85" i="8"/>
  <c r="BL86" i="8"/>
  <c r="B92" i="13"/>
  <c r="Q92" i="8"/>
  <c r="R92" i="8"/>
  <c r="S91" i="8"/>
  <c r="BL92" i="8"/>
  <c r="V92" i="8"/>
  <c r="V91" i="8"/>
  <c r="B29" i="13"/>
  <c r="BL100" i="8"/>
  <c r="BL29" i="8"/>
  <c r="S29" i="8"/>
  <c r="Q30" i="8"/>
  <c r="B33" i="13"/>
  <c r="BL104" i="8"/>
  <c r="S33" i="8"/>
  <c r="BL34" i="8"/>
  <c r="R40" i="8"/>
  <c r="Z55" i="8"/>
  <c r="B27" i="13"/>
  <c r="BL98" i="8"/>
  <c r="BL27" i="8"/>
  <c r="Q27" i="8"/>
  <c r="B30" i="13"/>
  <c r="BL30" i="8"/>
  <c r="U31" i="8"/>
  <c r="Z31" i="8"/>
  <c r="V33" i="8"/>
  <c r="R34" i="8"/>
  <c r="BL40" i="8"/>
  <c r="B42" i="13"/>
  <c r="V41" i="8"/>
  <c r="S41" i="8"/>
  <c r="B67" i="13"/>
  <c r="Q67" i="8"/>
  <c r="V66" i="8"/>
  <c r="R67" i="8"/>
  <c r="S66" i="8"/>
  <c r="B74" i="13"/>
  <c r="R74" i="8"/>
  <c r="Q74" i="8"/>
  <c r="S73" i="8"/>
  <c r="BL74" i="8"/>
  <c r="V73" i="8"/>
  <c r="V26" i="8"/>
  <c r="R27" i="8"/>
  <c r="B41" i="13"/>
  <c r="BL41" i="8"/>
  <c r="B47" i="13"/>
  <c r="Q47" i="8"/>
  <c r="S46" i="8"/>
  <c r="V47" i="8"/>
  <c r="AC61" i="8"/>
  <c r="U72" i="8"/>
  <c r="AB72" i="8"/>
  <c r="Y72" i="8"/>
  <c r="AA72" i="8" s="1"/>
  <c r="B99" i="13"/>
  <c r="Q99" i="8"/>
  <c r="R99" i="8"/>
  <c r="V98" i="8"/>
  <c r="S98" i="8"/>
  <c r="V99" i="8"/>
  <c r="V30" i="8"/>
  <c r="B31" i="13"/>
  <c r="BL102" i="8"/>
  <c r="BL31" i="8"/>
  <c r="B38" i="13"/>
  <c r="R38" i="8"/>
  <c r="S37" i="8"/>
  <c r="BL47" i="8"/>
  <c r="B48" i="13"/>
  <c r="R48" i="8"/>
  <c r="V48" i="8"/>
  <c r="BL48" i="8"/>
  <c r="B59" i="13"/>
  <c r="Q59" i="8"/>
  <c r="V58" i="8"/>
  <c r="R59" i="8"/>
  <c r="S58" i="8"/>
  <c r="B70" i="13"/>
  <c r="Q70" i="8"/>
  <c r="V69" i="8"/>
  <c r="R70" i="8"/>
  <c r="BL70" i="8"/>
  <c r="Z83" i="8"/>
  <c r="AC83" i="8"/>
  <c r="AC87" i="8"/>
  <c r="Z87" i="8"/>
  <c r="AC89" i="8"/>
  <c r="Z89" i="8"/>
  <c r="Z100" i="8"/>
  <c r="Z101" i="8"/>
  <c r="AC101" i="8"/>
  <c r="B49" i="13"/>
  <c r="Q49" i="8"/>
  <c r="U48" i="8" s="1"/>
  <c r="B57" i="13"/>
  <c r="Q57" i="8"/>
  <c r="V56" i="8"/>
  <c r="B65" i="13"/>
  <c r="Q65" i="8"/>
  <c r="V64" i="8"/>
  <c r="B71" i="13"/>
  <c r="R71" i="8"/>
  <c r="V71" i="8"/>
  <c r="V70" i="8"/>
  <c r="B75" i="13"/>
  <c r="R75" i="8"/>
  <c r="Q75" i="8"/>
  <c r="S74" i="8"/>
  <c r="BL75" i="8"/>
  <c r="B81" i="13"/>
  <c r="Q81" i="8"/>
  <c r="R81" i="8"/>
  <c r="V80" i="8"/>
  <c r="S80" i="8"/>
  <c r="B84" i="13"/>
  <c r="Q84" i="8"/>
  <c r="S83" i="8"/>
  <c r="V84" i="8"/>
  <c r="B93" i="13"/>
  <c r="Q93" i="8"/>
  <c r="BL93" i="8"/>
  <c r="S92" i="8"/>
  <c r="R93" i="8"/>
  <c r="B55" i="13"/>
  <c r="Q55" i="8"/>
  <c r="V54" i="8"/>
  <c r="B63" i="13"/>
  <c r="Q63" i="8"/>
  <c r="V62" i="8"/>
  <c r="B76" i="13"/>
  <c r="R76" i="8"/>
  <c r="BL76" i="8"/>
  <c r="B50" i="13"/>
  <c r="Q50" i="8"/>
  <c r="V49" i="8"/>
  <c r="B58" i="13"/>
  <c r="Q58" i="8"/>
  <c r="V57" i="8"/>
  <c r="B66" i="13"/>
  <c r="Q66" i="8"/>
  <c r="V65" i="8"/>
  <c r="B95" i="13"/>
  <c r="Q95" i="8"/>
  <c r="V94" i="8"/>
  <c r="R95" i="8"/>
  <c r="S94" i="8"/>
  <c r="B53" i="13"/>
  <c r="Q53" i="8"/>
  <c r="V52" i="8"/>
  <c r="S54" i="8"/>
  <c r="B61" i="13"/>
  <c r="Q61" i="8"/>
  <c r="V60" i="8"/>
  <c r="S62" i="8"/>
  <c r="B69" i="13"/>
  <c r="Q69" i="8"/>
  <c r="V68" i="8"/>
  <c r="BL73" i="8"/>
  <c r="S75" i="8"/>
  <c r="AC90" i="8"/>
  <c r="Z90" i="8"/>
  <c r="B97" i="13"/>
  <c r="Q97" i="8"/>
  <c r="S96" i="8"/>
  <c r="R97" i="8"/>
  <c r="V96" i="8"/>
  <c r="S71" i="8"/>
  <c r="B78" i="13"/>
  <c r="R78" i="8"/>
  <c r="AC80" i="8"/>
  <c r="B82" i="13"/>
  <c r="Q82" i="8"/>
  <c r="R82" i="8"/>
  <c r="S81" i="8"/>
  <c r="B79" i="13"/>
  <c r="R79" i="8"/>
  <c r="B87" i="13"/>
  <c r="Q87" i="8"/>
  <c r="V86" i="8"/>
  <c r="B72" i="13"/>
  <c r="R72" i="8"/>
  <c r="V78" i="8"/>
  <c r="B85" i="13"/>
  <c r="Q85" i="8"/>
  <c r="BL85" i="8"/>
  <c r="V87" i="8"/>
  <c r="BL87" i="8"/>
  <c r="AC96" i="8"/>
  <c r="I41" i="10" a="1"/>
  <c r="I41" i="10" s="1"/>
  <c r="B73" i="13"/>
  <c r="R73" i="8"/>
  <c r="V79" i="8"/>
  <c r="B83" i="13"/>
  <c r="Q83" i="8"/>
  <c r="BL83" i="8"/>
  <c r="AC88" i="8"/>
  <c r="B100" i="13"/>
  <c r="Q100" i="8"/>
  <c r="S99" i="8"/>
  <c r="V100" i="8"/>
  <c r="B80" i="13"/>
  <c r="Q80" i="8"/>
  <c r="U79" i="8" s="1"/>
  <c r="B88" i="13"/>
  <c r="Q88" i="8"/>
  <c r="S89" i="8"/>
  <c r="V95" i="8"/>
  <c r="B98" i="13"/>
  <c r="Q98" i="8"/>
  <c r="B89" i="13"/>
  <c r="Q89" i="8"/>
  <c r="B101" i="13"/>
  <c r="Q101" i="8"/>
  <c r="Z103" i="8"/>
  <c r="B90" i="13"/>
  <c r="Q90" i="8"/>
  <c r="B96" i="13"/>
  <c r="Q96" i="8"/>
  <c r="Q102" i="8"/>
  <c r="Q103" i="8"/>
  <c r="Q104" i="8"/>
  <c r="J41" i="10" a="1"/>
  <c r="J41" i="10" s="1"/>
  <c r="D200" i="11"/>
  <c r="D174" i="11"/>
  <c r="D148" i="11"/>
  <c r="E9" i="11"/>
  <c r="D47" i="11"/>
  <c r="D122" i="11"/>
  <c r="D96" i="11"/>
  <c r="D97" i="11" s="1"/>
  <c r="BO104" i="11"/>
  <c r="BO107" i="11" s="1"/>
  <c r="BL112" i="11"/>
  <c r="BL110" i="11"/>
  <c r="B51" i="11"/>
  <c r="B151" i="11"/>
  <c r="C200" i="11"/>
  <c r="C174" i="11"/>
  <c r="B98" i="11"/>
  <c r="B124" i="11"/>
  <c r="C150" i="11"/>
  <c r="B176" i="11"/>
  <c r="B203" i="11"/>
  <c r="D175" i="11"/>
  <c r="C202" i="11"/>
  <c r="C175" i="11"/>
  <c r="D202" i="11"/>
  <c r="C205" i="5" l="1" a="1"/>
  <c r="CB95" i="5"/>
  <c r="CF95" i="5"/>
  <c r="CA94" i="5"/>
  <c r="BR95" i="5"/>
  <c r="Y44" i="8"/>
  <c r="AA44" i="8" s="1"/>
  <c r="BA38" i="6"/>
  <c r="BF34" i="6"/>
  <c r="BE26" i="6"/>
  <c r="BA24" i="6"/>
  <c r="BE22" i="6"/>
  <c r="BE18" i="6"/>
  <c r="BF14" i="6"/>
  <c r="BF13" i="6"/>
  <c r="BF7" i="6"/>
  <c r="BF6" i="6"/>
  <c r="BF5" i="6"/>
  <c r="BE39" i="6"/>
  <c r="BA46" i="6"/>
  <c r="BE37" i="6"/>
  <c r="BE27" i="6"/>
  <c r="BE19" i="6"/>
  <c r="BA17" i="6"/>
  <c r="BB3" i="6"/>
  <c r="BE47" i="6"/>
  <c r="BE42" i="6"/>
  <c r="BB31" i="6"/>
  <c r="BF41" i="6"/>
  <c r="BB51" i="6"/>
  <c r="BF44" i="6"/>
  <c r="BB45" i="6"/>
  <c r="BF47" i="6"/>
  <c r="BA44" i="6"/>
  <c r="BA26" i="6"/>
  <c r="BB13" i="6"/>
  <c r="BA4" i="6"/>
  <c r="CM97" i="5"/>
  <c r="BX95" i="5"/>
  <c r="BT94" i="5"/>
  <c r="CB97" i="5"/>
  <c r="CL95" i="5"/>
  <c r="CI95" i="5"/>
  <c r="BU94" i="5"/>
  <c r="BX102" i="5"/>
  <c r="CE97" i="5"/>
  <c r="BY92" i="5"/>
  <c r="CJ102" i="5"/>
  <c r="E254" i="5"/>
  <c r="AC84" i="8"/>
  <c r="DN2" i="6"/>
  <c r="G309" i="5"/>
  <c r="AX106" i="5"/>
  <c r="U44" i="8"/>
  <c r="AC33" i="8"/>
  <c r="AC49" i="8"/>
  <c r="Z49" i="8"/>
  <c r="Y71" i="8"/>
  <c r="AA71" i="8" s="1"/>
  <c r="AB71" i="8"/>
  <c r="AC57" i="8"/>
  <c r="Z57" i="8"/>
  <c r="U37" i="8"/>
  <c r="Y37" i="8"/>
  <c r="AA37" i="8" s="1"/>
  <c r="AB37" i="8"/>
  <c r="AC104" i="8"/>
  <c r="Z104" i="8"/>
  <c r="AC98" i="8"/>
  <c r="Z98" i="8"/>
  <c r="AC44" i="8"/>
  <c r="Z44" i="8"/>
  <c r="Z102" i="8"/>
  <c r="AC102" i="8"/>
  <c r="C43" i="11"/>
  <c r="O55" i="11"/>
  <c r="D48" i="11" s="1"/>
  <c r="N205" i="5"/>
  <c r="H16" i="5" s="1"/>
  <c r="F205" i="5"/>
  <c r="H8" i="5" s="1"/>
  <c r="U205" i="5"/>
  <c r="H23" i="5" s="1"/>
  <c r="M205" i="5"/>
  <c r="H15" i="5" s="1"/>
  <c r="E205" i="5"/>
  <c r="H7" i="5" s="1"/>
  <c r="T205" i="5"/>
  <c r="H22" i="5" s="1"/>
  <c r="L205" i="5"/>
  <c r="H14" i="5" s="1"/>
  <c r="D205" i="5"/>
  <c r="H6" i="5" s="1"/>
  <c r="P205" i="5"/>
  <c r="H18" i="5" s="1"/>
  <c r="C205" i="5"/>
  <c r="H5" i="5" s="1"/>
  <c r="O205" i="5"/>
  <c r="H17" i="5" s="1"/>
  <c r="K205" i="5"/>
  <c r="H13" i="5" s="1"/>
  <c r="J205" i="5"/>
  <c r="H12" i="5" s="1"/>
  <c r="S205" i="5"/>
  <c r="H21" i="5" s="1"/>
  <c r="R205" i="5"/>
  <c r="H20" i="5" s="1"/>
  <c r="Q205" i="5"/>
  <c r="H19" i="5" s="1"/>
  <c r="I205" i="5"/>
  <c r="H11" i="5" s="1"/>
  <c r="H205" i="5"/>
  <c r="H10" i="5" s="1"/>
  <c r="G205" i="5"/>
  <c r="H9" i="5" s="1"/>
  <c r="Z72" i="8"/>
  <c r="AC72" i="8"/>
  <c r="Y75" i="8"/>
  <c r="AA75" i="8" s="1"/>
  <c r="AB75" i="8"/>
  <c r="U75" i="8"/>
  <c r="U32" i="8"/>
  <c r="Y32" i="8"/>
  <c r="AA32" i="8" s="1"/>
  <c r="Y31" i="8"/>
  <c r="AA31" i="8" s="1"/>
  <c r="AB32" i="8"/>
  <c r="J11" i="7"/>
  <c r="J7" i="7"/>
  <c r="J3" i="7"/>
  <c r="J8" i="7"/>
  <c r="J4" i="7"/>
  <c r="J17" i="7"/>
  <c r="J13" i="7"/>
  <c r="J19" i="7"/>
  <c r="J6" i="7"/>
  <c r="J16" i="7"/>
  <c r="J15" i="7"/>
  <c r="J10" i="7"/>
  <c r="J5" i="7"/>
  <c r="AU3" i="7"/>
  <c r="J9" i="7"/>
  <c r="L279" i="5"/>
  <c r="N230" i="5"/>
  <c r="N235" i="5"/>
  <c r="N223" i="5" s="1"/>
  <c r="D151" i="11"/>
  <c r="B152" i="11"/>
  <c r="C151" i="11"/>
  <c r="F9" i="11"/>
  <c r="E122" i="11"/>
  <c r="E96" i="11"/>
  <c r="E97" i="11" s="1"/>
  <c r="E200" i="11"/>
  <c r="E174" i="11"/>
  <c r="E47" i="11"/>
  <c r="E18" i="11"/>
  <c r="E45" i="11" s="1"/>
  <c r="E148" i="11"/>
  <c r="AB104" i="8"/>
  <c r="AD104" i="8" s="1"/>
  <c r="Y104" i="8"/>
  <c r="AA104" i="8" s="1"/>
  <c r="U104" i="8"/>
  <c r="AB101" i="8"/>
  <c r="Y101" i="8"/>
  <c r="AA101" i="8" s="1"/>
  <c r="U101" i="8"/>
  <c r="Y93" i="8"/>
  <c r="AA93" i="8" s="1"/>
  <c r="U93" i="8"/>
  <c r="AB93" i="8"/>
  <c r="Z38" i="8"/>
  <c r="AC38" i="8"/>
  <c r="Y56" i="8"/>
  <c r="AA56" i="8" s="1"/>
  <c r="U56" i="8"/>
  <c r="AB56" i="8"/>
  <c r="Z24" i="8"/>
  <c r="AC24" i="8"/>
  <c r="CE96" i="5"/>
  <c r="BG33" i="6"/>
  <c r="BG21" i="6"/>
  <c r="BZ93" i="5"/>
  <c r="CF93" i="5"/>
  <c r="BQ93" i="5"/>
  <c r="CA93" i="5"/>
  <c r="CB93" i="5"/>
  <c r="BP93" i="5"/>
  <c r="BS93" i="5"/>
  <c r="BY93" i="5"/>
  <c r="BT93" i="5"/>
  <c r="CH93" i="5"/>
  <c r="CJ93" i="5"/>
  <c r="BX93" i="5"/>
  <c r="CI93" i="5"/>
  <c r="CG93" i="5"/>
  <c r="BR93" i="5"/>
  <c r="N6" i="8"/>
  <c r="T6" i="13" s="1"/>
  <c r="N5" i="8"/>
  <c r="T5" i="13" s="1"/>
  <c r="C256" i="5"/>
  <c r="DP4" i="6"/>
  <c r="DP2" i="6"/>
  <c r="DP3" i="6"/>
  <c r="G225" i="5"/>
  <c r="N261" i="5"/>
  <c r="G278" i="5"/>
  <c r="P314" i="5"/>
  <c r="BY102" i="5"/>
  <c r="BP97" i="5"/>
  <c r="BY97" i="5"/>
  <c r="AB103" i="8"/>
  <c r="Y103" i="8"/>
  <c r="AA103" i="8" s="1"/>
  <c r="U103" i="8"/>
  <c r="AB98" i="8"/>
  <c r="Y98" i="8"/>
  <c r="AA98" i="8" s="1"/>
  <c r="U98" i="8"/>
  <c r="Y66" i="8"/>
  <c r="AA66" i="8" s="1"/>
  <c r="U66" i="8"/>
  <c r="AB66" i="8"/>
  <c r="Y50" i="8"/>
  <c r="AA50" i="8" s="1"/>
  <c r="AB50" i="8"/>
  <c r="U50" i="8"/>
  <c r="AC81" i="8"/>
  <c r="Z81" i="8"/>
  <c r="Y70" i="8"/>
  <c r="AA70" i="8" s="1"/>
  <c r="AB70" i="8"/>
  <c r="U70" i="8"/>
  <c r="Z74" i="8"/>
  <c r="AC74" i="8"/>
  <c r="AC40" i="8"/>
  <c r="Z40" i="8"/>
  <c r="Z92" i="8"/>
  <c r="AC92" i="8"/>
  <c r="Y86" i="8"/>
  <c r="AA86" i="8" s="1"/>
  <c r="AB86" i="8"/>
  <c r="U86" i="8"/>
  <c r="U45" i="8"/>
  <c r="Y45" i="8"/>
  <c r="AA45" i="8" s="1"/>
  <c r="AB45" i="8"/>
  <c r="AB44" i="8"/>
  <c r="Y25" i="8"/>
  <c r="AA25" i="8" s="1"/>
  <c r="AB25" i="8"/>
  <c r="U25" i="8"/>
  <c r="BF50" i="6"/>
  <c r="BA33" i="6"/>
  <c r="BA28" i="6"/>
  <c r="BG27" i="6"/>
  <c r="BF19" i="6"/>
  <c r="AY43" i="6"/>
  <c r="AY28" i="6"/>
  <c r="AY51" i="6"/>
  <c r="BF28" i="6"/>
  <c r="BW96" i="5"/>
  <c r="BB35" i="6"/>
  <c r="BB33" i="6"/>
  <c r="BG38" i="6"/>
  <c r="DE4" i="6"/>
  <c r="CC102" i="5"/>
  <c r="CM94" i="5"/>
  <c r="AZ35" i="6"/>
  <c r="AZ15" i="6"/>
  <c r="AZ7" i="6"/>
  <c r="AZ31" i="6"/>
  <c r="AZ27" i="6"/>
  <c r="AZ26" i="6"/>
  <c r="AZ14" i="6"/>
  <c r="AZ6" i="6"/>
  <c r="AZ4" i="6"/>
  <c r="AZ47" i="6"/>
  <c r="AZ13" i="6"/>
  <c r="AZ5" i="6"/>
  <c r="AZ19" i="6"/>
  <c r="AZ18" i="6"/>
  <c r="AZ12" i="6"/>
  <c r="AZ10" i="6"/>
  <c r="AZ23" i="6"/>
  <c r="AZ22" i="6"/>
  <c r="AZ9" i="6"/>
  <c r="AZ8" i="6"/>
  <c r="AZ11" i="6"/>
  <c r="BQ94" i="5"/>
  <c r="CP16" i="6"/>
  <c r="CP15" i="6"/>
  <c r="CP28" i="6"/>
  <c r="CP27" i="6"/>
  <c r="CP20" i="6"/>
  <c r="CP19" i="6"/>
  <c r="CP2" i="6"/>
  <c r="CP24" i="6"/>
  <c r="CP23" i="6"/>
  <c r="BE100" i="5"/>
  <c r="BE48" i="6"/>
  <c r="BE14" i="6"/>
  <c r="BE43" i="6"/>
  <c r="BE13" i="6"/>
  <c r="BE5" i="6"/>
  <c r="BE38" i="6"/>
  <c r="BE33" i="6"/>
  <c r="BE25" i="6"/>
  <c r="BE12" i="6"/>
  <c r="BE2" i="6"/>
  <c r="BE11" i="6"/>
  <c r="BE17" i="6"/>
  <c r="BE10" i="6"/>
  <c r="BE41" i="6"/>
  <c r="BE29" i="6"/>
  <c r="BE36" i="6"/>
  <c r="BE32" i="6"/>
  <c r="BE8" i="6"/>
  <c r="BE49" i="6"/>
  <c r="BE21" i="6"/>
  <c r="BE7" i="6"/>
  <c r="BE9" i="6"/>
  <c r="BE6" i="6"/>
  <c r="BE4" i="6"/>
  <c r="BE3" i="6"/>
  <c r="BT95" i="5"/>
  <c r="CL92" i="5"/>
  <c r="BW92" i="5"/>
  <c r="CI92" i="5"/>
  <c r="BT92" i="5"/>
  <c r="CB92" i="5"/>
  <c r="CK92" i="5"/>
  <c r="BU92" i="5"/>
  <c r="CC92" i="5"/>
  <c r="CM92" i="5"/>
  <c r="CA92" i="5"/>
  <c r="G294" i="5"/>
  <c r="P315" i="5"/>
  <c r="P293" i="5"/>
  <c r="P291" i="5" s="1"/>
  <c r="E293" i="5" s="1"/>
  <c r="G293" i="5"/>
  <c r="G279" i="5"/>
  <c r="P292" i="5"/>
  <c r="P290" i="5" s="1"/>
  <c r="E279" i="5" s="1"/>
  <c r="CE95" i="5"/>
  <c r="BV92" i="5"/>
  <c r="BZ92" i="5"/>
  <c r="BX97" i="5"/>
  <c r="BU97" i="5"/>
  <c r="BZ95" i="5"/>
  <c r="BR102" i="5"/>
  <c r="BZ102" i="5"/>
  <c r="G230" i="5"/>
  <c r="E253" i="5" s="1"/>
  <c r="AB100" i="8"/>
  <c r="Y100" i="8"/>
  <c r="AA100" i="8" s="1"/>
  <c r="U100" i="8"/>
  <c r="Y65" i="8"/>
  <c r="AA65" i="8" s="1"/>
  <c r="AB65" i="8"/>
  <c r="U65" i="8"/>
  <c r="AC70" i="8"/>
  <c r="Z70" i="8"/>
  <c r="Y59" i="8"/>
  <c r="AA59" i="8" s="1"/>
  <c r="AB59" i="8"/>
  <c r="U59" i="8"/>
  <c r="U30" i="8"/>
  <c r="AB30" i="8"/>
  <c r="Y30" i="8"/>
  <c r="AA30" i="8" s="1"/>
  <c r="AC26" i="8"/>
  <c r="Z26" i="8"/>
  <c r="Z73" i="8"/>
  <c r="AC73" i="8"/>
  <c r="AC82" i="8"/>
  <c r="Z82" i="8"/>
  <c r="Z35" i="8"/>
  <c r="AC35" i="8"/>
  <c r="AB43" i="8"/>
  <c r="Y43" i="8"/>
  <c r="AA43" i="8" s="1"/>
  <c r="U43" i="8"/>
  <c r="AB42" i="8"/>
  <c r="CF96" i="5"/>
  <c r="BX96" i="5"/>
  <c r="BP96" i="5"/>
  <c r="CL96" i="5"/>
  <c r="CD96" i="5"/>
  <c r="BV96" i="5"/>
  <c r="AY44" i="6"/>
  <c r="AY22" i="6"/>
  <c r="AY9" i="6"/>
  <c r="AY39" i="6"/>
  <c r="AY8" i="6"/>
  <c r="AY7" i="6"/>
  <c r="AY31" i="6"/>
  <c r="AY26" i="6"/>
  <c r="AY14" i="6"/>
  <c r="AY6" i="6"/>
  <c r="AY4" i="6"/>
  <c r="CC96" i="5"/>
  <c r="BR96" i="5"/>
  <c r="AY47" i="6"/>
  <c r="AY42" i="6"/>
  <c r="AY13" i="6"/>
  <c r="AY5" i="6"/>
  <c r="AY37" i="6"/>
  <c r="AY11" i="6"/>
  <c r="AY30" i="6"/>
  <c r="AY10" i="6"/>
  <c r="AY18" i="6"/>
  <c r="AY3" i="6"/>
  <c r="CK96" i="5"/>
  <c r="BY96" i="5"/>
  <c r="CI96" i="5"/>
  <c r="BT96" i="5"/>
  <c r="AY12" i="6"/>
  <c r="CA96" i="5"/>
  <c r="CJ96" i="5"/>
  <c r="BU96" i="5"/>
  <c r="CH96" i="5"/>
  <c r="BS96" i="5"/>
  <c r="CB96" i="5"/>
  <c r="CG96" i="5"/>
  <c r="BQ96" i="5"/>
  <c r="BZ96" i="5"/>
  <c r="N13" i="8"/>
  <c r="V6" i="13" s="1"/>
  <c r="N12" i="8"/>
  <c r="V5" i="13" s="1"/>
  <c r="Y55" i="8"/>
  <c r="AA55" i="8" s="1"/>
  <c r="AB55" i="8"/>
  <c r="U55" i="8"/>
  <c r="Z75" i="8"/>
  <c r="AC75" i="8"/>
  <c r="U42" i="8"/>
  <c r="AC54" i="8"/>
  <c r="Z54" i="8"/>
  <c r="AY40" i="6"/>
  <c r="AY23" i="6"/>
  <c r="Y89" i="8"/>
  <c r="AA89" i="8" s="1"/>
  <c r="U89" i="8"/>
  <c r="AB89" i="8"/>
  <c r="Z76" i="8"/>
  <c r="AC76" i="8"/>
  <c r="AB31" i="8"/>
  <c r="AC27" i="8"/>
  <c r="Z27" i="8"/>
  <c r="Y92" i="8"/>
  <c r="AA92" i="8" s="1"/>
  <c r="U92" i="8"/>
  <c r="AB92" i="8"/>
  <c r="Y52" i="8"/>
  <c r="AA52" i="8" s="1"/>
  <c r="AB52" i="8"/>
  <c r="U52" i="8"/>
  <c r="Y94" i="8"/>
  <c r="AA94" i="8" s="1"/>
  <c r="AB94" i="8"/>
  <c r="U94" i="8"/>
  <c r="U77" i="8"/>
  <c r="AB77" i="8"/>
  <c r="Y77" i="8"/>
  <c r="AA77" i="8" s="1"/>
  <c r="Y29" i="8"/>
  <c r="AA29" i="8" s="1"/>
  <c r="Y54" i="8"/>
  <c r="AA54" i="8" s="1"/>
  <c r="U54" i="8"/>
  <c r="AB54" i="8"/>
  <c r="AC39" i="8"/>
  <c r="Z39" i="8"/>
  <c r="BG30" i="6"/>
  <c r="AY27" i="6"/>
  <c r="BG37" i="6"/>
  <c r="AY48" i="6"/>
  <c r="BG16" i="6"/>
  <c r="CM93" i="5"/>
  <c r="AY41" i="6"/>
  <c r="AY36" i="6"/>
  <c r="BG25" i="6"/>
  <c r="BU102" i="5"/>
  <c r="BF38" i="6"/>
  <c r="BF26" i="6"/>
  <c r="BF25" i="6"/>
  <c r="BF2" i="6"/>
  <c r="BF18" i="6"/>
  <c r="BF17" i="6"/>
  <c r="BF46" i="6"/>
  <c r="BF29" i="6"/>
  <c r="BF3" i="6"/>
  <c r="BF32" i="6"/>
  <c r="BF22" i="6"/>
  <c r="BF21" i="6"/>
  <c r="BF4" i="6"/>
  <c r="BA40" i="6"/>
  <c r="BA35" i="6"/>
  <c r="BA15" i="6"/>
  <c r="BA31" i="6"/>
  <c r="BA27" i="6"/>
  <c r="BA14" i="6"/>
  <c r="BA6" i="6"/>
  <c r="BA47" i="6"/>
  <c r="BA13" i="6"/>
  <c r="BA5" i="6"/>
  <c r="BA42" i="6"/>
  <c r="BA19" i="6"/>
  <c r="BA12" i="6"/>
  <c r="BA37" i="6"/>
  <c r="BA11" i="6"/>
  <c r="BA30" i="6"/>
  <c r="BA23" i="6"/>
  <c r="BA9" i="6"/>
  <c r="BA45" i="6"/>
  <c r="BA8" i="6"/>
  <c r="BA10" i="6"/>
  <c r="BA7" i="6"/>
  <c r="N224" i="5"/>
  <c r="L276" i="5"/>
  <c r="CD97" i="5"/>
  <c r="BP95" i="5"/>
  <c r="CL97" i="5"/>
  <c r="CC97" i="5"/>
  <c r="CH95" i="5"/>
  <c r="CJ94" i="5"/>
  <c r="CC95" i="5"/>
  <c r="B177" i="11"/>
  <c r="Y61" i="8"/>
  <c r="AA61" i="8" s="1"/>
  <c r="U61" i="8"/>
  <c r="AB61" i="8"/>
  <c r="AC95" i="8"/>
  <c r="Z95" i="8"/>
  <c r="AC99" i="8"/>
  <c r="Z99" i="8"/>
  <c r="AC62" i="8"/>
  <c r="Z62" i="8"/>
  <c r="U28" i="8"/>
  <c r="Y28" i="8"/>
  <c r="AA28" i="8" s="1"/>
  <c r="AB28" i="8"/>
  <c r="AB29" i="8"/>
  <c r="AC32" i="8"/>
  <c r="Z32" i="8"/>
  <c r="AC25" i="8"/>
  <c r="Z25" i="8"/>
  <c r="Y68" i="8"/>
  <c r="AA68" i="8" s="1"/>
  <c r="AB68" i="8"/>
  <c r="U68" i="8"/>
  <c r="Y51" i="8"/>
  <c r="AA51" i="8" s="1"/>
  <c r="U51" i="8"/>
  <c r="AB51" i="8"/>
  <c r="U39" i="8"/>
  <c r="Y39" i="8"/>
  <c r="AA39" i="8" s="1"/>
  <c r="AB39" i="8"/>
  <c r="AB38" i="8"/>
  <c r="U38" i="8"/>
  <c r="Y38" i="8"/>
  <c r="AA38" i="8" s="1"/>
  <c r="BA43" i="6"/>
  <c r="BA16" i="6"/>
  <c r="BG15" i="6"/>
  <c r="BA51" i="6"/>
  <c r="BF23" i="6"/>
  <c r="BA41" i="6"/>
  <c r="AY16" i="6"/>
  <c r="CE93" i="5"/>
  <c r="AY46" i="6"/>
  <c r="BF16" i="6"/>
  <c r="AZ2" i="6"/>
  <c r="BF37" i="6"/>
  <c r="BB43" i="6"/>
  <c r="BB50" i="6"/>
  <c r="AY49" i="6"/>
  <c r="BB34" i="6"/>
  <c r="AZ41" i="6"/>
  <c r="BF35" i="6"/>
  <c r="AZ48" i="6"/>
  <c r="CF94" i="5"/>
  <c r="AY34" i="6"/>
  <c r="BE28" i="6"/>
  <c r="AY25" i="6"/>
  <c r="CP14" i="6"/>
  <c r="CP13" i="6"/>
  <c r="CP12" i="6"/>
  <c r="CP11" i="6"/>
  <c r="CP10" i="6"/>
  <c r="CP9" i="6"/>
  <c r="CP8" i="6"/>
  <c r="CP7" i="6"/>
  <c r="CP6" i="6"/>
  <c r="CP5" i="6"/>
  <c r="BW94" i="5"/>
  <c r="CG102" i="5"/>
  <c r="CM95" i="5"/>
  <c r="CG94" i="5"/>
  <c r="CF102" i="5"/>
  <c r="BV95" i="5"/>
  <c r="CB102" i="5"/>
  <c r="CC94" i="5"/>
  <c r="N241" i="5"/>
  <c r="N239" i="5" s="1"/>
  <c r="E226" i="5" s="1"/>
  <c r="G240" i="5"/>
  <c r="G226" i="5"/>
  <c r="N242" i="5"/>
  <c r="N240" i="5" s="1"/>
  <c r="E240" i="5" s="1"/>
  <c r="G280" i="5"/>
  <c r="P294" i="5"/>
  <c r="CD95" i="5"/>
  <c r="CB94" i="5"/>
  <c r="BQ92" i="5"/>
  <c r="CK97" i="5"/>
  <c r="CH102" i="5"/>
  <c r="CG97" i="5"/>
  <c r="BR97" i="5"/>
  <c r="BZ97" i="5"/>
  <c r="CJ95" i="5"/>
  <c r="Z79" i="8"/>
  <c r="AC79" i="8"/>
  <c r="Z60" i="8"/>
  <c r="AC60" i="8"/>
  <c r="E309" i="5"/>
  <c r="E311" i="5"/>
  <c r="C201" i="5" a="1"/>
  <c r="BG43" i="6"/>
  <c r="BG26" i="6"/>
  <c r="BG13" i="6"/>
  <c r="BG34" i="6"/>
  <c r="BG12" i="6"/>
  <c r="BG18" i="6"/>
  <c r="BG11" i="6"/>
  <c r="BG46" i="6"/>
  <c r="BG10" i="6"/>
  <c r="BG3" i="6"/>
  <c r="BG41" i="6"/>
  <c r="BG9" i="6"/>
  <c r="BG36" i="6"/>
  <c r="BG7" i="6"/>
  <c r="BG48" i="6"/>
  <c r="BG14" i="6"/>
  <c r="BG6" i="6"/>
  <c r="BG5" i="6"/>
  <c r="BG4" i="6"/>
  <c r="BG22" i="6"/>
  <c r="BG8" i="6"/>
  <c r="B52" i="11"/>
  <c r="AB96" i="8"/>
  <c r="Y96" i="8"/>
  <c r="AA96" i="8" s="1"/>
  <c r="U96" i="8"/>
  <c r="Y80" i="8"/>
  <c r="AA80" i="8" s="1"/>
  <c r="U80" i="8"/>
  <c r="AB80" i="8"/>
  <c r="Y79" i="8"/>
  <c r="AA79" i="8" s="1"/>
  <c r="Y82" i="8"/>
  <c r="AA82" i="8" s="1"/>
  <c r="U82" i="8"/>
  <c r="AB82" i="8"/>
  <c r="Y53" i="8"/>
  <c r="AA53" i="8" s="1"/>
  <c r="U53" i="8"/>
  <c r="AB53" i="8"/>
  <c r="AB74" i="8"/>
  <c r="Y74" i="8"/>
  <c r="AA74" i="8" s="1"/>
  <c r="U74" i="8"/>
  <c r="U73" i="8"/>
  <c r="Z86" i="8"/>
  <c r="AC86" i="8"/>
  <c r="AC94" i="8"/>
  <c r="Z94" i="8"/>
  <c r="Z105" i="8"/>
  <c r="AC105" i="8"/>
  <c r="AC51" i="8"/>
  <c r="Z51" i="8"/>
  <c r="AY45" i="6"/>
  <c r="BG28" i="6"/>
  <c r="BG45" i="6"/>
  <c r="AB102" i="8"/>
  <c r="Y102" i="8"/>
  <c r="AA102" i="8" s="1"/>
  <c r="U102" i="8"/>
  <c r="Y90" i="8"/>
  <c r="AA90" i="8" s="1"/>
  <c r="AB90" i="8"/>
  <c r="U90" i="8"/>
  <c r="Y81" i="8"/>
  <c r="AA81" i="8" s="1"/>
  <c r="AB81" i="8"/>
  <c r="U81" i="8"/>
  <c r="Y57" i="8"/>
  <c r="AA57" i="8" s="1"/>
  <c r="AB57" i="8"/>
  <c r="U57" i="8"/>
  <c r="U27" i="8"/>
  <c r="AB27" i="8"/>
  <c r="Y27" i="8"/>
  <c r="AA27" i="8" s="1"/>
  <c r="AC46" i="8"/>
  <c r="Z46" i="8"/>
  <c r="B204" i="11"/>
  <c r="Y83" i="8"/>
  <c r="AA83" i="8" s="1"/>
  <c r="U83" i="8"/>
  <c r="AB83" i="8"/>
  <c r="Y85" i="8"/>
  <c r="AA85" i="8" s="1"/>
  <c r="U85" i="8"/>
  <c r="AB85" i="8"/>
  <c r="Z78" i="8"/>
  <c r="AC78" i="8"/>
  <c r="Z97" i="8"/>
  <c r="AC97" i="8"/>
  <c r="Z93" i="8"/>
  <c r="AC93" i="8"/>
  <c r="Y84" i="8"/>
  <c r="AA84" i="8" s="1"/>
  <c r="AB84" i="8"/>
  <c r="U84" i="8"/>
  <c r="Z71" i="8"/>
  <c r="AC71" i="8"/>
  <c r="Y49" i="8"/>
  <c r="AA49" i="8" s="1"/>
  <c r="AB49" i="8"/>
  <c r="U49" i="8"/>
  <c r="AB48" i="8"/>
  <c r="Z48" i="8"/>
  <c r="AC48" i="8"/>
  <c r="AB99" i="8"/>
  <c r="Y99" i="8"/>
  <c r="AA99" i="8" s="1"/>
  <c r="U99" i="8"/>
  <c r="AC67" i="8"/>
  <c r="Z67" i="8"/>
  <c r="AC34" i="8"/>
  <c r="Z34" i="8"/>
  <c r="Y60" i="8"/>
  <c r="AA60" i="8" s="1"/>
  <c r="AB60" i="8"/>
  <c r="U60" i="8"/>
  <c r="Z45" i="8"/>
  <c r="AC45" i="8"/>
  <c r="Y48" i="8"/>
  <c r="AA48" i="8" s="1"/>
  <c r="AC28" i="8"/>
  <c r="Z28" i="8"/>
  <c r="U29" i="8"/>
  <c r="Z43" i="8"/>
  <c r="AC43" i="8"/>
  <c r="Y24" i="8"/>
  <c r="AA24" i="8" s="1"/>
  <c r="U24" i="8"/>
  <c r="AB24" i="8"/>
  <c r="Z91" i="8"/>
  <c r="AC91" i="8"/>
  <c r="BG31" i="6"/>
  <c r="AY15" i="6"/>
  <c r="AY33" i="6"/>
  <c r="BG20" i="6"/>
  <c r="BW93" i="5"/>
  <c r="AY50" i="6"/>
  <c r="BG49" i="6"/>
  <c r="BG29" i="6"/>
  <c r="BG2" i="6"/>
  <c r="CK93" i="5"/>
  <c r="BQ102" i="5"/>
  <c r="BB28" i="6"/>
  <c r="BB27" i="6"/>
  <c r="BB20" i="6"/>
  <c r="BB19" i="6"/>
  <c r="BB30" i="6"/>
  <c r="BB24" i="6"/>
  <c r="BB40" i="6"/>
  <c r="BB16" i="6"/>
  <c r="BB15" i="6"/>
  <c r="BB2" i="6"/>
  <c r="BB23" i="6"/>
  <c r="BP102" i="5"/>
  <c r="N237" i="5"/>
  <c r="BS97" i="5"/>
  <c r="BW95" i="5"/>
  <c r="BQ95" i="5"/>
  <c r="BS95" i="5"/>
  <c r="BJ101" i="5"/>
  <c r="BV101" i="5" s="1"/>
  <c r="DE11" i="6"/>
  <c r="DE10" i="6"/>
  <c r="DE9" i="6"/>
  <c r="DE8" i="6"/>
  <c r="DE7" i="6"/>
  <c r="DE6" i="6"/>
  <c r="DE5" i="6"/>
  <c r="C124" i="11"/>
  <c r="D124" i="11"/>
  <c r="B125" i="11"/>
  <c r="Y87" i="8"/>
  <c r="AA87" i="8" s="1"/>
  <c r="U87" i="8"/>
  <c r="AB87" i="8"/>
  <c r="Y58" i="8"/>
  <c r="AA58" i="8" s="1"/>
  <c r="U58" i="8"/>
  <c r="AB58" i="8"/>
  <c r="Y63" i="8"/>
  <c r="AA63" i="8" s="1"/>
  <c r="U63" i="8"/>
  <c r="AB63" i="8"/>
  <c r="AC59" i="8"/>
  <c r="Z59" i="8"/>
  <c r="Y47" i="8"/>
  <c r="AA47" i="8" s="1"/>
  <c r="U47" i="8"/>
  <c r="AB47" i="8"/>
  <c r="Y62" i="8"/>
  <c r="AA62" i="8" s="1"/>
  <c r="AB62" i="8"/>
  <c r="U62" i="8"/>
  <c r="U76" i="8"/>
  <c r="AC56" i="8"/>
  <c r="Z56" i="8"/>
  <c r="Y46" i="8"/>
  <c r="AA46" i="8" s="1"/>
  <c r="AB46" i="8"/>
  <c r="U46" i="8"/>
  <c r="U26" i="8"/>
  <c r="AB26" i="8"/>
  <c r="Y26" i="8"/>
  <c r="AA26" i="8" s="1"/>
  <c r="Y91" i="8"/>
  <c r="AA91" i="8" s="1"/>
  <c r="AB91" i="8"/>
  <c r="U91" i="8"/>
  <c r="BG44" i="6"/>
  <c r="BG39" i="6"/>
  <c r="BA20" i="6"/>
  <c r="BG19" i="6"/>
  <c r="AY38" i="6"/>
  <c r="BF27" i="6"/>
  <c r="AY32" i="6"/>
  <c r="AY20" i="6"/>
  <c r="DE2" i="6"/>
  <c r="CE102" i="5"/>
  <c r="BA39" i="6"/>
  <c r="BF20" i="6"/>
  <c r="AZ17" i="6"/>
  <c r="BF45" i="6"/>
  <c r="BF36" i="6"/>
  <c r="BB42" i="6"/>
  <c r="AZ49" i="6"/>
  <c r="BF43" i="6"/>
  <c r="BB49" i="6"/>
  <c r="BP94" i="5"/>
  <c r="AY29" i="6"/>
  <c r="BE16" i="6"/>
  <c r="AZ3" i="6"/>
  <c r="AY2" i="6"/>
  <c r="CC93" i="5"/>
  <c r="BC49" i="6"/>
  <c r="BC48" i="6"/>
  <c r="BC20" i="6"/>
  <c r="BC43" i="6"/>
  <c r="BC38" i="6"/>
  <c r="BC33" i="6"/>
  <c r="BC24" i="6"/>
  <c r="BC2" i="6"/>
  <c r="BC45" i="6"/>
  <c r="BC40" i="6"/>
  <c r="BC16" i="6"/>
  <c r="BC35" i="6"/>
  <c r="BC32" i="6"/>
  <c r="BC28" i="6"/>
  <c r="BC3" i="6"/>
  <c r="BS94" i="5"/>
  <c r="CA102" i="5"/>
  <c r="CF97" i="5"/>
  <c r="BV94" i="5"/>
  <c r="BR94" i="5"/>
  <c r="CL94" i="5"/>
  <c r="G239" i="5"/>
  <c r="N244" i="5"/>
  <c r="BJ100" i="5"/>
  <c r="CU9" i="6"/>
  <c r="CU26" i="6"/>
  <c r="CU8" i="6"/>
  <c r="CU31" i="6"/>
  <c r="CU7" i="6"/>
  <c r="CU3" i="6"/>
  <c r="CU36" i="6"/>
  <c r="CU18" i="6"/>
  <c r="CU14" i="6"/>
  <c r="CU6" i="6"/>
  <c r="CU13" i="6"/>
  <c r="CU5" i="6"/>
  <c r="CU30" i="6"/>
  <c r="CU22" i="6"/>
  <c r="CU11" i="6"/>
  <c r="CU34" i="6"/>
  <c r="CU10" i="6"/>
  <c r="CU12" i="6"/>
  <c r="CU4" i="6"/>
  <c r="CD92" i="5"/>
  <c r="BX92" i="5"/>
  <c r="CG92" i="5"/>
  <c r="BT102" i="5"/>
  <c r="CA97" i="5"/>
  <c r="BT97" i="5"/>
  <c r="CK95" i="5"/>
  <c r="BY95" i="5"/>
  <c r="CA95" i="5"/>
  <c r="P276" i="5"/>
  <c r="E281" i="5" s="1"/>
  <c r="CH94" i="5"/>
  <c r="BU95" i="5"/>
  <c r="E98" i="11"/>
  <c r="D98" i="11"/>
  <c r="C98" i="11"/>
  <c r="B99" i="11"/>
  <c r="BO112" i="11"/>
  <c r="BO110" i="11"/>
  <c r="D123" i="11"/>
  <c r="D150" i="11"/>
  <c r="D149" i="11"/>
  <c r="Y88" i="8"/>
  <c r="AA88" i="8" s="1"/>
  <c r="AB88" i="8"/>
  <c r="U88" i="8"/>
  <c r="Y73" i="8"/>
  <c r="AA73" i="8" s="1"/>
  <c r="AB97" i="8"/>
  <c r="Y97" i="8"/>
  <c r="AA97" i="8" s="1"/>
  <c r="U97" i="8"/>
  <c r="Y69" i="8"/>
  <c r="AA69" i="8" s="1"/>
  <c r="U69" i="8"/>
  <c r="AB69" i="8"/>
  <c r="AB95" i="8"/>
  <c r="Y95" i="8"/>
  <c r="AA95" i="8" s="1"/>
  <c r="U95" i="8"/>
  <c r="AB79" i="8"/>
  <c r="Y67" i="8"/>
  <c r="AA67" i="8" s="1"/>
  <c r="AB67" i="8"/>
  <c r="U67" i="8"/>
  <c r="AB73" i="8"/>
  <c r="AC52" i="8"/>
  <c r="Z52" i="8"/>
  <c r="Y64" i="8"/>
  <c r="AA64" i="8" s="1"/>
  <c r="U64" i="8"/>
  <c r="AB64" i="8"/>
  <c r="AB76" i="8"/>
  <c r="Z77" i="8"/>
  <c r="AC77" i="8"/>
  <c r="AB35" i="8"/>
  <c r="Y35" i="8"/>
  <c r="AA35" i="8" s="1"/>
  <c r="U35" i="8"/>
  <c r="Z68" i="8"/>
  <c r="AC68" i="8"/>
  <c r="BA49" i="6"/>
  <c r="BB32" i="6"/>
  <c r="AY19" i="6"/>
  <c r="BF12" i="6"/>
  <c r="BF8" i="6"/>
  <c r="BA50" i="6"/>
  <c r="BA48" i="6"/>
  <c r="BF30" i="6"/>
  <c r="BB29" i="6"/>
  <c r="BF42" i="6"/>
  <c r="BA25" i="6"/>
  <c r="BG24" i="6"/>
  <c r="BW102" i="5"/>
  <c r="BB44" i="6"/>
  <c r="BB22" i="6"/>
  <c r="CL102" i="5"/>
  <c r="BF33" i="6"/>
  <c r="BB39" i="6"/>
  <c r="AZ46" i="6"/>
  <c r="AZ37" i="6"/>
  <c r="BB37" i="6"/>
  <c r="AZ44" i="6"/>
  <c r="BG50" i="6"/>
  <c r="CL93" i="5"/>
  <c r="BG32" i="6"/>
  <c r="BA18" i="6"/>
  <c r="BG17" i="6"/>
  <c r="BU93" i="5"/>
  <c r="G241" i="5"/>
  <c r="N262" i="5"/>
  <c r="CI94" i="5"/>
  <c r="CH97" i="5"/>
  <c r="O17" i="8"/>
  <c r="N9" i="7"/>
  <c r="N5" i="7"/>
  <c r="N10" i="7"/>
  <c r="N6" i="7"/>
  <c r="N16" i="7"/>
  <c r="N3" i="7"/>
  <c r="N19" i="7"/>
  <c r="N7" i="7"/>
  <c r="N11" i="7"/>
  <c r="N8" i="7"/>
  <c r="N15" i="7"/>
  <c r="N4" i="7"/>
  <c r="N17" i="7"/>
  <c r="BQ97" i="5"/>
  <c r="N243" i="5"/>
  <c r="G227" i="5"/>
  <c r="G242" i="5"/>
  <c r="N260" i="5"/>
  <c r="N258" i="5" s="1"/>
  <c r="E242" i="5" s="1"/>
  <c r="G224" i="5"/>
  <c r="N259" i="5"/>
  <c r="N257" i="5" s="1"/>
  <c r="E224" i="5" s="1"/>
  <c r="P312" i="5"/>
  <c r="P310" i="5" s="1"/>
  <c r="E277" i="5" s="1"/>
  <c r="G277" i="5"/>
  <c r="G295" i="5"/>
  <c r="P313" i="5"/>
  <c r="P311" i="5" s="1"/>
  <c r="E295" i="5" s="1"/>
  <c r="DK6" i="6"/>
  <c r="DK4" i="6"/>
  <c r="DK5" i="6"/>
  <c r="DK3" i="6"/>
  <c r="BS102" i="5"/>
  <c r="CF92" i="5"/>
  <c r="CI97" i="5"/>
  <c r="CG95" i="5"/>
  <c r="CI102" i="5"/>
  <c r="P295" i="5"/>
  <c r="E203" i="11"/>
  <c r="D201" i="11"/>
  <c r="E176" i="11"/>
  <c r="C203" i="11"/>
  <c r="D176" i="11"/>
  <c r="E175" i="11"/>
  <c r="C201" i="11"/>
  <c r="C176" i="11"/>
  <c r="D203" i="11"/>
  <c r="AD92" i="8" l="1"/>
  <c r="E291" i="5"/>
  <c r="AD97" i="8"/>
  <c r="AD79" i="8"/>
  <c r="D49" i="11"/>
  <c r="AD72" i="8"/>
  <c r="AD67" i="8"/>
  <c r="AD64" i="8"/>
  <c r="AD96" i="8"/>
  <c r="AD103" i="8"/>
  <c r="AD33" i="8"/>
  <c r="AD41" i="8"/>
  <c r="AD81" i="8"/>
  <c r="C48" i="11"/>
  <c r="O61" i="11"/>
  <c r="O64" i="11" s="1"/>
  <c r="O66" i="11" s="1"/>
  <c r="E51" i="11"/>
  <c r="C50" i="11"/>
  <c r="D51" i="11"/>
  <c r="D50" i="11"/>
  <c r="O73" i="11"/>
  <c r="O76" i="11" s="1"/>
  <c r="O77" i="11" s="1"/>
  <c r="C49" i="11"/>
  <c r="C51" i="11"/>
  <c r="BU101" i="5"/>
  <c r="AD39" i="8"/>
  <c r="AD52" i="8"/>
  <c r="AD31" i="8"/>
  <c r="AD42" i="8"/>
  <c r="CA101" i="5"/>
  <c r="CQ28" i="6"/>
  <c r="CQ33" i="6"/>
  <c r="CQ20" i="6"/>
  <c r="CQ2" i="6"/>
  <c r="CQ36" i="6"/>
  <c r="CQ24" i="6"/>
  <c r="CQ16" i="6"/>
  <c r="CQ3" i="6"/>
  <c r="CQ35" i="6"/>
  <c r="CQ31" i="6"/>
  <c r="CQ25" i="6"/>
  <c r="CG100" i="5"/>
  <c r="CQ19" i="6"/>
  <c r="CD100" i="5"/>
  <c r="CQ26" i="6"/>
  <c r="CQ30" i="6"/>
  <c r="BY100" i="5"/>
  <c r="CI100" i="5"/>
  <c r="CL100" i="5"/>
  <c r="CQ32" i="6"/>
  <c r="CQ21" i="6"/>
  <c r="CE100" i="5"/>
  <c r="CQ29" i="6"/>
  <c r="CC100" i="5"/>
  <c r="CQ23" i="6"/>
  <c r="CM100" i="5"/>
  <c r="CQ15" i="6"/>
  <c r="CQ22" i="6"/>
  <c r="CB100" i="5"/>
  <c r="BR100" i="5"/>
  <c r="CJ100" i="5"/>
  <c r="CQ17" i="6"/>
  <c r="CQ4" i="6"/>
  <c r="CQ27" i="6"/>
  <c r="CQ5" i="6"/>
  <c r="CQ6" i="6"/>
  <c r="CQ7" i="6"/>
  <c r="CQ8" i="6"/>
  <c r="CQ9" i="6"/>
  <c r="CQ10" i="6"/>
  <c r="CQ11" i="6"/>
  <c r="CQ12" i="6"/>
  <c r="CQ13" i="6"/>
  <c r="CQ14" i="6"/>
  <c r="BW100" i="5"/>
  <c r="CQ18" i="6"/>
  <c r="CF100" i="5"/>
  <c r="BS100" i="5"/>
  <c r="AZ136" i="5" s="1"/>
  <c r="BU100" i="5"/>
  <c r="CH100" i="5"/>
  <c r="CQ34" i="6"/>
  <c r="BP101" i="5"/>
  <c r="CL101" i="5"/>
  <c r="AD45" i="8"/>
  <c r="AD70" i="8"/>
  <c r="AD66" i="8"/>
  <c r="C257" i="5"/>
  <c r="C258" i="5" s="1"/>
  <c r="C259" i="5" s="1"/>
  <c r="C255" i="5"/>
  <c r="C254" i="5" s="1"/>
  <c r="C253" i="5" s="1"/>
  <c r="E123" i="11"/>
  <c r="E149" i="11"/>
  <c r="E150" i="11"/>
  <c r="B153" i="11"/>
  <c r="D152" i="11"/>
  <c r="C152" i="11"/>
  <c r="E152" i="11"/>
  <c r="AD75" i="8"/>
  <c r="F11" i="8"/>
  <c r="D8" i="4"/>
  <c r="D11" i="13" s="1"/>
  <c r="F18" i="8"/>
  <c r="D15" i="4"/>
  <c r="D18" i="13" s="1"/>
  <c r="F16" i="8"/>
  <c r="D13" i="4"/>
  <c r="D16" i="13" s="1"/>
  <c r="BR101" i="5"/>
  <c r="AD46" i="8"/>
  <c r="AD62" i="8"/>
  <c r="AD63" i="8"/>
  <c r="B126" i="11"/>
  <c r="E125" i="11"/>
  <c r="D125" i="11"/>
  <c r="C125" i="11"/>
  <c r="AD48" i="8"/>
  <c r="AD84" i="8"/>
  <c r="AD102" i="8"/>
  <c r="B53" i="11"/>
  <c r="E52" i="11"/>
  <c r="D52" i="11"/>
  <c r="C52" i="11"/>
  <c r="BT101" i="5"/>
  <c r="BX100" i="5"/>
  <c r="B178" i="11"/>
  <c r="N225" i="5"/>
  <c r="N226" i="5" s="1"/>
  <c r="E237" i="5"/>
  <c r="E229" i="5"/>
  <c r="C252" i="5" s="1"/>
  <c r="AD93" i="8"/>
  <c r="F200" i="11"/>
  <c r="F148" i="11"/>
  <c r="F47" i="11"/>
  <c r="F122" i="11"/>
  <c r="F96" i="11"/>
  <c r="G9" i="11"/>
  <c r="F174" i="11"/>
  <c r="F18" i="11"/>
  <c r="F45" i="11" s="1"/>
  <c r="F52" i="11" s="1"/>
  <c r="E151" i="11"/>
  <c r="G282" i="5"/>
  <c r="G290" i="5"/>
  <c r="G284" i="5"/>
  <c r="G308" i="5" s="1"/>
  <c r="G289" i="5"/>
  <c r="P283" i="5"/>
  <c r="G283" i="5"/>
  <c r="G307" i="5" s="1"/>
  <c r="G288" i="5"/>
  <c r="G312" i="5" s="1"/>
  <c r="F19" i="8"/>
  <c r="D16" i="4"/>
  <c r="D19" i="13" s="1"/>
  <c r="F6" i="8"/>
  <c r="D3" i="4"/>
  <c r="D6" i="13" s="1"/>
  <c r="AX203" i="7"/>
  <c r="AX201" i="7"/>
  <c r="AX199" i="7"/>
  <c r="AX197" i="7"/>
  <c r="AX195" i="7"/>
  <c r="AX193" i="7"/>
  <c r="AX191" i="7"/>
  <c r="AX189" i="7"/>
  <c r="AX187" i="7"/>
  <c r="AX185" i="7"/>
  <c r="AX183" i="7"/>
  <c r="AX181" i="7"/>
  <c r="AX179" i="7"/>
  <c r="AX177" i="7"/>
  <c r="AX175" i="7"/>
  <c r="AX173" i="7"/>
  <c r="AX171" i="7"/>
  <c r="AX169" i="7"/>
  <c r="AX167" i="7"/>
  <c r="AX165" i="7"/>
  <c r="AX163" i="7"/>
  <c r="AX161" i="7"/>
  <c r="AX159" i="7"/>
  <c r="AX157" i="7"/>
  <c r="AX155" i="7"/>
  <c r="AX153" i="7"/>
  <c r="AX151" i="7"/>
  <c r="AX149" i="7"/>
  <c r="AX147" i="7"/>
  <c r="AX145" i="7"/>
  <c r="AX143" i="7"/>
  <c r="AX141" i="7"/>
  <c r="AX139" i="7"/>
  <c r="AX137" i="7"/>
  <c r="AX135" i="7"/>
  <c r="AX133" i="7"/>
  <c r="AX190" i="7"/>
  <c r="AX182" i="7"/>
  <c r="AX160" i="7"/>
  <c r="AX144" i="7"/>
  <c r="AX118" i="7"/>
  <c r="AX117" i="7"/>
  <c r="AX102" i="7"/>
  <c r="AX101" i="7"/>
  <c r="AX192" i="7"/>
  <c r="AX184" i="7"/>
  <c r="AX162" i="7"/>
  <c r="AX146" i="7"/>
  <c r="AX120" i="7"/>
  <c r="AX119" i="7"/>
  <c r="AX104" i="7"/>
  <c r="AX103" i="7"/>
  <c r="AX194" i="7"/>
  <c r="AX186" i="7"/>
  <c r="AX170" i="7"/>
  <c r="AX164" i="7"/>
  <c r="AX148" i="7"/>
  <c r="AX132" i="7"/>
  <c r="AX122" i="7"/>
  <c r="AX121" i="7"/>
  <c r="AX196" i="7"/>
  <c r="AX172" i="7"/>
  <c r="AX166" i="7"/>
  <c r="AX150" i="7"/>
  <c r="AX134" i="7"/>
  <c r="AX124" i="7"/>
  <c r="AX123" i="7"/>
  <c r="AX108" i="7"/>
  <c r="AX107" i="7"/>
  <c r="AX100" i="7"/>
  <c r="AX98" i="7"/>
  <c r="AX96" i="7"/>
  <c r="AX94" i="7"/>
  <c r="AX92" i="7"/>
  <c r="AX90" i="7"/>
  <c r="AX88" i="7"/>
  <c r="AX86" i="7"/>
  <c r="AX84" i="7"/>
  <c r="AX82" i="7"/>
  <c r="AX80" i="7"/>
  <c r="AX78" i="7"/>
  <c r="AX76" i="7"/>
  <c r="AX74" i="7"/>
  <c r="AX72" i="7"/>
  <c r="AX174" i="7"/>
  <c r="AX156" i="7"/>
  <c r="AX140" i="7"/>
  <c r="AX115" i="7"/>
  <c r="AX105" i="7"/>
  <c r="AX69" i="7"/>
  <c r="AX44" i="7"/>
  <c r="AX33" i="7"/>
  <c r="AX200" i="7"/>
  <c r="AX158" i="7"/>
  <c r="AX142" i="7"/>
  <c r="AX129" i="7"/>
  <c r="AX128" i="7"/>
  <c r="AX95" i="7"/>
  <c r="AX93" i="7"/>
  <c r="AX91" i="7"/>
  <c r="AX89" i="7"/>
  <c r="AX87" i="7"/>
  <c r="AX85" i="7"/>
  <c r="AX83" i="7"/>
  <c r="AX81" i="7"/>
  <c r="AX79" i="7"/>
  <c r="AX77" i="7"/>
  <c r="AX75" i="7"/>
  <c r="AX73" i="7"/>
  <c r="AX71" i="7"/>
  <c r="AX67" i="7"/>
  <c r="AX30" i="7"/>
  <c r="AX22" i="7"/>
  <c r="AX19" i="7"/>
  <c r="AX18" i="7"/>
  <c r="AX13" i="7"/>
  <c r="AX12" i="7"/>
  <c r="AX9" i="7"/>
  <c r="AX5" i="7"/>
  <c r="AX180" i="7"/>
  <c r="AX110" i="7"/>
  <c r="AX65" i="7"/>
  <c r="AX63" i="7"/>
  <c r="AX61" i="7"/>
  <c r="AX59" i="7"/>
  <c r="AX57" i="7"/>
  <c r="AX55" i="7"/>
  <c r="AX53" i="7"/>
  <c r="AX51" i="7"/>
  <c r="AX49" i="7"/>
  <c r="AX47" i="7"/>
  <c r="AX42" i="7"/>
  <c r="AX40" i="7"/>
  <c r="AX38" i="7"/>
  <c r="AX36" i="7"/>
  <c r="AX202" i="7"/>
  <c r="AX116" i="7"/>
  <c r="AX113" i="7"/>
  <c r="AX106" i="7"/>
  <c r="AX45" i="7"/>
  <c r="AX34" i="7"/>
  <c r="AX26" i="7"/>
  <c r="AX23" i="7"/>
  <c r="AX10" i="7"/>
  <c r="AX6" i="7"/>
  <c r="AX204" i="7"/>
  <c r="AX178" i="7"/>
  <c r="AX68" i="7"/>
  <c r="AX62" i="7"/>
  <c r="AX46" i="7"/>
  <c r="AX32" i="7"/>
  <c r="AX28" i="7"/>
  <c r="AX27" i="7"/>
  <c r="AX21" i="7"/>
  <c r="AX11" i="7"/>
  <c r="AX3" i="7"/>
  <c r="AX130" i="7"/>
  <c r="AX70" i="7"/>
  <c r="AX64" i="7"/>
  <c r="AX48" i="7"/>
  <c r="AX37" i="7"/>
  <c r="AX31" i="7"/>
  <c r="AX15" i="7"/>
  <c r="AX176" i="7"/>
  <c r="AX126" i="7"/>
  <c r="AX66" i="7"/>
  <c r="AX50" i="7"/>
  <c r="AX39" i="7"/>
  <c r="AX35" i="7"/>
  <c r="AX24" i="7"/>
  <c r="AX7" i="7"/>
  <c r="AX198" i="7"/>
  <c r="AX168" i="7"/>
  <c r="AX97" i="7"/>
  <c r="AX54" i="7"/>
  <c r="AX14" i="7"/>
  <c r="AX8" i="7"/>
  <c r="AX154" i="7"/>
  <c r="AX111" i="7"/>
  <c r="AX109" i="7"/>
  <c r="AX60" i="7"/>
  <c r="AX136" i="7"/>
  <c r="AX125" i="7"/>
  <c r="AX152" i="7"/>
  <c r="AX52" i="7"/>
  <c r="AX41" i="7"/>
  <c r="AX29" i="7"/>
  <c r="AX17" i="7"/>
  <c r="AX188" i="7"/>
  <c r="AX131" i="7"/>
  <c r="AX112" i="7"/>
  <c r="AX56" i="7"/>
  <c r="AX25" i="7"/>
  <c r="AX127" i="7"/>
  <c r="AX99" i="7"/>
  <c r="AX43" i="7"/>
  <c r="AX138" i="7"/>
  <c r="AX114" i="7"/>
  <c r="AX20" i="7"/>
  <c r="AX58" i="7"/>
  <c r="AX16" i="7"/>
  <c r="AX4" i="7"/>
  <c r="DF2" i="6"/>
  <c r="CM101" i="5"/>
  <c r="DF3" i="6"/>
  <c r="CC101" i="5"/>
  <c r="CF101" i="5"/>
  <c r="CI101" i="5"/>
  <c r="CD101" i="5"/>
  <c r="BY101" i="5"/>
  <c r="DF4" i="6"/>
  <c r="DF5" i="6"/>
  <c r="DF6" i="6"/>
  <c r="DF7" i="6"/>
  <c r="DF8" i="6"/>
  <c r="DF9" i="6"/>
  <c r="DF10" i="6"/>
  <c r="DF11" i="6"/>
  <c r="CJ101" i="5"/>
  <c r="CB101" i="5"/>
  <c r="BQ101" i="5"/>
  <c r="F20" i="8"/>
  <c r="D17" i="4"/>
  <c r="D20" i="13" s="1"/>
  <c r="AD91" i="8"/>
  <c r="AD74" i="8"/>
  <c r="AD65" i="8"/>
  <c r="AD32" i="8"/>
  <c r="AD58" i="8"/>
  <c r="AD85" i="8"/>
  <c r="AD27" i="8"/>
  <c r="AD53" i="8"/>
  <c r="AD89" i="8"/>
  <c r="BQ100" i="5"/>
  <c r="AZ134" i="5" s="1"/>
  <c r="AD25" i="8"/>
  <c r="AD86" i="8"/>
  <c r="F12" i="8"/>
  <c r="D9" i="4"/>
  <c r="D12" i="13" s="1"/>
  <c r="F7" i="8"/>
  <c r="D4" i="4"/>
  <c r="D7" i="13" s="1"/>
  <c r="CV27" i="6"/>
  <c r="CV26" i="6"/>
  <c r="CV8" i="6"/>
  <c r="CV7" i="6"/>
  <c r="CV19" i="6"/>
  <c r="CV18" i="6"/>
  <c r="CV14" i="6"/>
  <c r="CV6" i="6"/>
  <c r="CV13" i="6"/>
  <c r="CV5" i="6"/>
  <c r="CV12" i="6"/>
  <c r="CV4" i="6"/>
  <c r="CV10" i="6"/>
  <c r="CV15" i="6"/>
  <c r="CV9" i="6"/>
  <c r="CV23" i="6"/>
  <c r="CV22" i="6"/>
  <c r="CV11" i="6"/>
  <c r="CV25" i="6"/>
  <c r="CV16" i="6"/>
  <c r="CV36" i="6"/>
  <c r="CV33" i="6"/>
  <c r="CV21" i="6"/>
  <c r="CV28" i="6"/>
  <c r="CV31" i="6"/>
  <c r="CV30" i="6"/>
  <c r="CV35" i="6"/>
  <c r="CV3" i="6"/>
  <c r="CV17" i="6"/>
  <c r="CV24" i="6"/>
  <c r="CV2" i="6"/>
  <c r="CV29" i="6"/>
  <c r="CV32" i="6"/>
  <c r="CV34" i="6"/>
  <c r="CV20" i="6"/>
  <c r="AD71" i="8"/>
  <c r="CK101" i="5"/>
  <c r="AD77" i="8"/>
  <c r="BS101" i="5"/>
  <c r="BV100" i="5"/>
  <c r="AZ139" i="5" s="1"/>
  <c r="AD47" i="8"/>
  <c r="AD80" i="8"/>
  <c r="AD43" i="8"/>
  <c r="AD56" i="8"/>
  <c r="F21" i="8"/>
  <c r="D18" i="4"/>
  <c r="D21" i="13" s="1"/>
  <c r="AD24" i="8"/>
  <c r="AD95" i="8"/>
  <c r="B100" i="11"/>
  <c r="F99" i="11"/>
  <c r="E99" i="11"/>
  <c r="D99" i="11"/>
  <c r="C99" i="11"/>
  <c r="G281" i="5"/>
  <c r="P284" i="5"/>
  <c r="P282" i="5" s="1"/>
  <c r="P281" i="5" s="1"/>
  <c r="P285" i="5" s="1"/>
  <c r="P286" i="5" s="1"/>
  <c r="P287" i="5" s="1"/>
  <c r="G291" i="5"/>
  <c r="AD99" i="8"/>
  <c r="B205" i="11"/>
  <c r="AD90" i="8"/>
  <c r="AD54" i="8"/>
  <c r="AD94" i="8"/>
  <c r="AD59" i="8"/>
  <c r="AD98" i="8"/>
  <c r="BX101" i="5"/>
  <c r="AZ141" i="5" s="1"/>
  <c r="F13" i="8"/>
  <c r="D10" i="4"/>
  <c r="D13" i="13" s="1"/>
  <c r="F15" i="8"/>
  <c r="D12" i="4"/>
  <c r="D15" i="13" s="1"/>
  <c r="AD55" i="8"/>
  <c r="BZ101" i="5"/>
  <c r="AD35" i="8"/>
  <c r="AD60" i="8"/>
  <c r="R201" i="5"/>
  <c r="J201" i="5"/>
  <c r="C201" i="5"/>
  <c r="Q201" i="5"/>
  <c r="I201" i="5"/>
  <c r="P201" i="5"/>
  <c r="H201" i="5"/>
  <c r="L201" i="5"/>
  <c r="K201" i="5"/>
  <c r="U201" i="5"/>
  <c r="G201" i="5"/>
  <c r="T201" i="5"/>
  <c r="F201" i="5"/>
  <c r="E201" i="5"/>
  <c r="D201" i="5"/>
  <c r="S201" i="5"/>
  <c r="O201" i="5"/>
  <c r="M201" i="5"/>
  <c r="N201" i="5"/>
  <c r="F22" i="8"/>
  <c r="D19" i="4"/>
  <c r="D22" i="13" s="1"/>
  <c r="AD69" i="8"/>
  <c r="AD26" i="8"/>
  <c r="BP100" i="5"/>
  <c r="AZ133" i="5" s="1"/>
  <c r="AD61" i="8"/>
  <c r="AZ145" i="5"/>
  <c r="AD44" i="8"/>
  <c r="AD50" i="8"/>
  <c r="AD101" i="8"/>
  <c r="N231" i="5"/>
  <c r="N229" i="5" s="1"/>
  <c r="N228" i="5" s="1"/>
  <c r="N232" i="5" s="1"/>
  <c r="N233" i="5" s="1"/>
  <c r="N234" i="5" s="1"/>
  <c r="G238" i="5"/>
  <c r="G228" i="5"/>
  <c r="G229" i="5"/>
  <c r="E252" i="5" s="1"/>
  <c r="E228" i="5"/>
  <c r="G237" i="5"/>
  <c r="E260" i="5" s="1"/>
  <c r="E238" i="5"/>
  <c r="F9" i="8"/>
  <c r="D6" i="4"/>
  <c r="D9" i="13" s="1"/>
  <c r="F17" i="8"/>
  <c r="D14" i="4"/>
  <c r="D17" i="13" s="1"/>
  <c r="F23" i="8"/>
  <c r="D20" i="4"/>
  <c r="D23" i="13" s="1"/>
  <c r="AD28" i="8"/>
  <c r="AD36" i="8"/>
  <c r="AD30" i="8"/>
  <c r="AZ156" i="5"/>
  <c r="D11" i="4"/>
  <c r="D14" i="13" s="1"/>
  <c r="CA100" i="5"/>
  <c r="AZ144" i="5" s="1"/>
  <c r="AD40" i="8"/>
  <c r="AD49" i="8"/>
  <c r="AD51" i="8"/>
  <c r="AZ146" i="5"/>
  <c r="E48" i="11"/>
  <c r="E50" i="11"/>
  <c r="E49" i="11"/>
  <c r="AD73" i="8"/>
  <c r="AD88" i="8"/>
  <c r="CG101" i="5"/>
  <c r="AZ150" i="5" s="1"/>
  <c r="CH101" i="5"/>
  <c r="O19" i="8"/>
  <c r="O18" i="8"/>
  <c r="AV3" i="8"/>
  <c r="BH3" i="8" s="1"/>
  <c r="CK100" i="5"/>
  <c r="AZ154" i="5" s="1"/>
  <c r="BW101" i="5"/>
  <c r="AD76" i="8"/>
  <c r="CE101" i="5"/>
  <c r="AD87" i="8"/>
  <c r="E124" i="11"/>
  <c r="AD83" i="8"/>
  <c r="AD57" i="8"/>
  <c r="AD82" i="8"/>
  <c r="BT100" i="5"/>
  <c r="AD38" i="8"/>
  <c r="AD37" i="8"/>
  <c r="AD68" i="8"/>
  <c r="AD29" i="8"/>
  <c r="P277" i="5"/>
  <c r="P278" i="5" s="1"/>
  <c r="P279" i="5" s="1"/>
  <c r="AD78" i="8"/>
  <c r="AD100" i="8"/>
  <c r="AZ137" i="5"/>
  <c r="BZ100" i="5"/>
  <c r="AD34" i="8"/>
  <c r="AS204" i="7"/>
  <c r="AS202" i="7"/>
  <c r="AS200" i="7"/>
  <c r="AS198" i="7"/>
  <c r="AS196" i="7"/>
  <c r="AS194" i="7"/>
  <c r="AS192" i="7"/>
  <c r="AS190" i="7"/>
  <c r="AS188" i="7"/>
  <c r="AS186" i="7"/>
  <c r="AS184" i="7"/>
  <c r="AS182" i="7"/>
  <c r="AS180" i="7"/>
  <c r="AS178" i="7"/>
  <c r="AS176" i="7"/>
  <c r="AS174" i="7"/>
  <c r="AS172" i="7"/>
  <c r="AS170" i="7"/>
  <c r="AS191" i="7"/>
  <c r="AS175" i="7"/>
  <c r="AS168" i="7"/>
  <c r="AS161" i="7"/>
  <c r="AS152" i="7"/>
  <c r="AS145" i="7"/>
  <c r="AS136" i="7"/>
  <c r="AS125" i="7"/>
  <c r="AS124" i="7"/>
  <c r="AS109" i="7"/>
  <c r="AS108" i="7"/>
  <c r="AS100" i="7"/>
  <c r="AS98" i="7"/>
  <c r="AS193" i="7"/>
  <c r="AS177" i="7"/>
  <c r="AS163" i="7"/>
  <c r="AS154" i="7"/>
  <c r="AS147" i="7"/>
  <c r="AS138" i="7"/>
  <c r="AS127" i="7"/>
  <c r="AS126" i="7"/>
  <c r="AS111" i="7"/>
  <c r="AS110" i="7"/>
  <c r="AS195" i="7"/>
  <c r="AS179" i="7"/>
  <c r="AS165" i="7"/>
  <c r="AS156" i="7"/>
  <c r="AS149" i="7"/>
  <c r="AS140" i="7"/>
  <c r="AS133" i="7"/>
  <c r="AS129" i="7"/>
  <c r="AS128" i="7"/>
  <c r="AS197" i="7"/>
  <c r="AS181" i="7"/>
  <c r="AS167" i="7"/>
  <c r="AS158" i="7"/>
  <c r="AS151" i="7"/>
  <c r="AS142" i="7"/>
  <c r="AS135" i="7"/>
  <c r="AS131" i="7"/>
  <c r="AS130" i="7"/>
  <c r="AS115" i="7"/>
  <c r="AS114" i="7"/>
  <c r="AS173" i="7"/>
  <c r="AS155" i="7"/>
  <c r="AS153" i="7"/>
  <c r="AS139" i="7"/>
  <c r="AS137" i="7"/>
  <c r="AS117" i="7"/>
  <c r="AS96" i="7"/>
  <c r="AS94" i="7"/>
  <c r="AS92" i="7"/>
  <c r="AS90" i="7"/>
  <c r="AS88" i="7"/>
  <c r="AS86" i="7"/>
  <c r="AS84" i="7"/>
  <c r="AS82" i="7"/>
  <c r="AS45" i="7"/>
  <c r="AS34" i="7"/>
  <c r="AS26" i="7"/>
  <c r="AS23" i="7"/>
  <c r="AS10" i="7"/>
  <c r="AS203" i="7"/>
  <c r="AS187" i="7"/>
  <c r="AS185" i="7"/>
  <c r="AS171" i="7"/>
  <c r="AS169" i="7"/>
  <c r="AS166" i="7"/>
  <c r="AS157" i="7"/>
  <c r="AS150" i="7"/>
  <c r="AS141" i="7"/>
  <c r="AS134" i="7"/>
  <c r="AS104" i="7"/>
  <c r="AS70" i="7"/>
  <c r="AS68" i="7"/>
  <c r="AS32" i="7"/>
  <c r="AS27" i="7"/>
  <c r="AS183" i="7"/>
  <c r="AS159" i="7"/>
  <c r="AS143" i="7"/>
  <c r="AS123" i="7"/>
  <c r="AS112" i="7"/>
  <c r="AS107" i="7"/>
  <c r="AS102" i="7"/>
  <c r="AS43" i="7"/>
  <c r="AS160" i="7"/>
  <c r="AS144" i="7"/>
  <c r="AS122" i="7"/>
  <c r="AS121" i="7"/>
  <c r="AS105" i="7"/>
  <c r="AS66" i="7"/>
  <c r="AS64" i="7"/>
  <c r="AS62" i="7"/>
  <c r="AS60" i="7"/>
  <c r="AS58" i="7"/>
  <c r="AS56" i="7"/>
  <c r="AS54" i="7"/>
  <c r="AS52" i="7"/>
  <c r="AS50" i="7"/>
  <c r="AS48" i="7"/>
  <c r="AS46" i="7"/>
  <c r="AS41" i="7"/>
  <c r="AS39" i="7"/>
  <c r="AS37" i="7"/>
  <c r="AS28" i="7"/>
  <c r="AS162" i="7"/>
  <c r="AS93" i="7"/>
  <c r="AS85" i="7"/>
  <c r="AS69" i="7"/>
  <c r="AS67" i="7"/>
  <c r="AS65" i="7"/>
  <c r="AS49" i="7"/>
  <c r="AS38" i="7"/>
  <c r="AS29" i="7"/>
  <c r="AS22" i="7"/>
  <c r="AS146" i="7"/>
  <c r="AS113" i="7"/>
  <c r="AS106" i="7"/>
  <c r="AS79" i="7"/>
  <c r="AS75" i="7"/>
  <c r="AS71" i="7"/>
  <c r="AS51" i="7"/>
  <c r="AS40" i="7"/>
  <c r="AS16" i="7"/>
  <c r="AS119" i="7"/>
  <c r="AS95" i="7"/>
  <c r="AS87" i="7"/>
  <c r="AS53" i="7"/>
  <c r="AS44" i="7"/>
  <c r="AS42" i="7"/>
  <c r="AS21" i="7"/>
  <c r="AS20" i="7"/>
  <c r="AS19" i="7"/>
  <c r="AS199" i="7"/>
  <c r="AS148" i="7"/>
  <c r="AS101" i="7"/>
  <c r="AS89" i="7"/>
  <c r="AS57" i="7"/>
  <c r="AS33" i="7"/>
  <c r="AS15" i="7"/>
  <c r="AS12" i="7"/>
  <c r="AS3" i="7"/>
  <c r="AS201" i="7"/>
  <c r="AS189" i="7"/>
  <c r="AS118" i="7"/>
  <c r="AS72" i="7"/>
  <c r="AS31" i="7"/>
  <c r="AS25" i="7"/>
  <c r="AS5" i="7"/>
  <c r="AS77" i="7"/>
  <c r="AS74" i="7"/>
  <c r="AS6" i="7"/>
  <c r="AS164" i="7"/>
  <c r="AS103" i="7"/>
  <c r="AS91" i="7"/>
  <c r="AS80" i="7"/>
  <c r="AS55" i="7"/>
  <c r="AS35" i="7"/>
  <c r="AS18" i="7"/>
  <c r="AS132" i="7"/>
  <c r="AS99" i="7"/>
  <c r="AS73" i="7"/>
  <c r="AS24" i="7"/>
  <c r="AS83" i="7"/>
  <c r="AS61" i="7"/>
  <c r="AS63" i="7"/>
  <c r="AS13" i="7"/>
  <c r="AS9" i="7"/>
  <c r="AS116" i="7"/>
  <c r="AS78" i="7"/>
  <c r="AS76" i="7"/>
  <c r="AS17" i="7"/>
  <c r="AS14" i="7"/>
  <c r="AS47" i="7"/>
  <c r="AS8" i="7"/>
  <c r="AS4" i="7"/>
  <c r="AS11" i="7"/>
  <c r="AS30" i="7"/>
  <c r="AS97" i="7"/>
  <c r="AS81" i="7"/>
  <c r="AS36" i="7"/>
  <c r="AS7" i="7"/>
  <c r="AS120" i="7"/>
  <c r="AS59" i="7"/>
  <c r="F10" i="8"/>
  <c r="AG8" i="5"/>
  <c r="Q9" i="13" s="1"/>
  <c r="AF8" i="5"/>
  <c r="P9" i="13" s="1"/>
  <c r="D7" i="4"/>
  <c r="D10" i="13" s="1"/>
  <c r="AJ3" i="5"/>
  <c r="AJ10" i="5"/>
  <c r="A10" i="7" s="1"/>
  <c r="F5" i="8"/>
  <c r="AJ4" i="5"/>
  <c r="A4" i="7" s="1"/>
  <c r="AJ6" i="5"/>
  <c r="A6" i="7" s="1"/>
  <c r="AJ5" i="5"/>
  <c r="A5" i="7" s="1"/>
  <c r="D2" i="4"/>
  <c r="D5" i="13" s="1"/>
  <c r="AJ7" i="5"/>
  <c r="A7" i="7" s="1"/>
  <c r="AJ9" i="5"/>
  <c r="A9" i="7" s="1"/>
  <c r="AJ8" i="5"/>
  <c r="A8" i="7" s="1"/>
  <c r="B8" i="7" s="1"/>
  <c r="A31" i="7" s="1"/>
  <c r="AJ11" i="5"/>
  <c r="A11" i="7" s="1"/>
  <c r="F8" i="8"/>
  <c r="AF6" i="5"/>
  <c r="P7" i="13" s="1"/>
  <c r="D5" i="4"/>
  <c r="D8" i="13" s="1"/>
  <c r="AG6" i="5"/>
  <c r="Q7" i="13" s="1"/>
  <c r="F204" i="11"/>
  <c r="D204" i="11"/>
  <c r="E202" i="11"/>
  <c r="E204" i="11"/>
  <c r="F177" i="11"/>
  <c r="E201" i="11"/>
  <c r="E177" i="11"/>
  <c r="D177" i="11"/>
  <c r="C177" i="11"/>
  <c r="C204" i="11"/>
  <c r="G306" i="5" l="1"/>
  <c r="AZ149" i="5"/>
  <c r="AZ140" i="5"/>
  <c r="AZ155" i="5"/>
  <c r="AZ138" i="5"/>
  <c r="I14" i="5"/>
  <c r="D14" i="8" s="1"/>
  <c r="E251" i="5"/>
  <c r="E250" i="5" s="1"/>
  <c r="E249" i="5" s="1"/>
  <c r="E248" i="5" s="1"/>
  <c r="E247" i="5" s="1"/>
  <c r="AZ143" i="5"/>
  <c r="G305" i="5"/>
  <c r="G304" i="5" s="1"/>
  <c r="G303" i="5" s="1"/>
  <c r="G302" i="5" s="1"/>
  <c r="G301" i="5" s="1"/>
  <c r="AZ151" i="5"/>
  <c r="AZ135" i="5"/>
  <c r="AZ148" i="5"/>
  <c r="AZ152" i="5"/>
  <c r="AZ147" i="5"/>
  <c r="I8" i="5"/>
  <c r="D8" i="8" s="1"/>
  <c r="F13" i="6"/>
  <c r="BD14" i="5" s="1"/>
  <c r="AW34" i="5" s="1"/>
  <c r="F12" i="6"/>
  <c r="BD13" i="5" s="1"/>
  <c r="AW33" i="5" s="1"/>
  <c r="F15" i="6"/>
  <c r="BD16" i="5" s="1"/>
  <c r="AW36" i="5" s="1"/>
  <c r="F4" i="6"/>
  <c r="BD5" i="5" s="1"/>
  <c r="F11" i="6"/>
  <c r="BD12" i="5" s="1"/>
  <c r="AW32" i="5" s="1"/>
  <c r="F9" i="6"/>
  <c r="BD10" i="5" s="1"/>
  <c r="AW30" i="5" s="1"/>
  <c r="I23" i="5"/>
  <c r="D23" i="8" s="1"/>
  <c r="I21" i="5"/>
  <c r="D21" i="8" s="1"/>
  <c r="I15" i="5"/>
  <c r="D15" i="8" s="1"/>
  <c r="L9" i="8"/>
  <c r="L16" i="8" s="1"/>
  <c r="F14" i="8" s="1"/>
  <c r="A3" i="7"/>
  <c r="F7" i="6"/>
  <c r="BD8" i="5" s="1"/>
  <c r="AW28" i="5" s="1"/>
  <c r="I22" i="5"/>
  <c r="D22" i="8" s="1"/>
  <c r="F126" i="11"/>
  <c r="B127" i="11"/>
  <c r="E126" i="11"/>
  <c r="D126" i="11"/>
  <c r="C126" i="11"/>
  <c r="I16" i="5"/>
  <c r="D16" i="8" s="1"/>
  <c r="I11" i="5"/>
  <c r="D11" i="8" s="1"/>
  <c r="C153" i="11"/>
  <c r="E153" i="11"/>
  <c r="B154" i="11"/>
  <c r="F153" i="11"/>
  <c r="D153" i="11"/>
  <c r="AZ153" i="5"/>
  <c r="G200" i="11"/>
  <c r="G174" i="11"/>
  <c r="G47" i="11"/>
  <c r="G122" i="11"/>
  <c r="G126" i="11" s="1"/>
  <c r="G96" i="11"/>
  <c r="G148" i="11"/>
  <c r="G18" i="11"/>
  <c r="G45" i="11" s="1"/>
  <c r="H9" i="11"/>
  <c r="I20" i="5"/>
  <c r="D20" i="8" s="1"/>
  <c r="F97" i="11"/>
  <c r="F98" i="11"/>
  <c r="F14" i="6"/>
  <c r="BD15" i="5" s="1"/>
  <c r="AW35" i="5" s="1"/>
  <c r="B179" i="11"/>
  <c r="E289" i="5"/>
  <c r="E312" i="5"/>
  <c r="E283" i="5"/>
  <c r="E282" i="5"/>
  <c r="E290" i="5"/>
  <c r="E308" i="5"/>
  <c r="I17" i="5"/>
  <c r="D17" i="8" s="1"/>
  <c r="F3" i="6"/>
  <c r="BD4" i="5" s="1"/>
  <c r="I13" i="5"/>
  <c r="D13" i="8" s="1"/>
  <c r="I19" i="5"/>
  <c r="D19" i="8" s="1"/>
  <c r="F149" i="11"/>
  <c r="F123" i="11"/>
  <c r="F150" i="11"/>
  <c r="F151" i="11"/>
  <c r="F124" i="11"/>
  <c r="F10" i="6"/>
  <c r="BD11" i="5" s="1"/>
  <c r="AW31" i="5" s="1"/>
  <c r="I18" i="5"/>
  <c r="D18" i="8" s="1"/>
  <c r="F6" i="6"/>
  <c r="BD7" i="5" s="1"/>
  <c r="AW27" i="5" s="1"/>
  <c r="L27" i="8"/>
  <c r="F5" i="6"/>
  <c r="BD6" i="5" s="1"/>
  <c r="AW26" i="5" s="1"/>
  <c r="C100" i="11"/>
  <c r="B101" i="11"/>
  <c r="G100" i="11"/>
  <c r="F100" i="11"/>
  <c r="D100" i="11"/>
  <c r="E100" i="11"/>
  <c r="I7" i="5"/>
  <c r="D7" i="8" s="1"/>
  <c r="C260" i="5"/>
  <c r="C261" i="5" s="1"/>
  <c r="C262" i="5" s="1"/>
  <c r="C263" i="5" s="1"/>
  <c r="C264" i="5" s="1"/>
  <c r="C265" i="5" s="1"/>
  <c r="B206" i="11"/>
  <c r="E261" i="5"/>
  <c r="E262" i="5" s="1"/>
  <c r="E263" i="5" s="1"/>
  <c r="E264" i="5" s="1"/>
  <c r="E265" i="5" s="1"/>
  <c r="F8" i="6"/>
  <c r="BD9" i="5" s="1"/>
  <c r="AW29" i="5" s="1"/>
  <c r="I6" i="5"/>
  <c r="D6" i="8" s="1"/>
  <c r="G313" i="5"/>
  <c r="G314" i="5" s="1"/>
  <c r="G315" i="5" s="1"/>
  <c r="G316" i="5" s="1"/>
  <c r="G317" i="5" s="1"/>
  <c r="G318" i="5" s="1"/>
  <c r="G319" i="5" s="1"/>
  <c r="AZ142" i="5"/>
  <c r="AZ157" i="5" s="1"/>
  <c r="B6" i="7"/>
  <c r="A24" i="7" s="1"/>
  <c r="M32" i="5"/>
  <c r="M42" i="5"/>
  <c r="M110" i="5" s="1"/>
  <c r="I12" i="5"/>
  <c r="D12" i="8" s="1"/>
  <c r="I10" i="5"/>
  <c r="D10" i="8" s="1"/>
  <c r="I5" i="5"/>
  <c r="D5" i="8" s="1"/>
  <c r="I9" i="5"/>
  <c r="C251" i="5"/>
  <c r="C250" i="5" s="1"/>
  <c r="C249" i="5" s="1"/>
  <c r="C248" i="5" s="1"/>
  <c r="C247" i="5" s="1"/>
  <c r="F48" i="11"/>
  <c r="F50" i="11"/>
  <c r="F49" i="11"/>
  <c r="F51" i="11"/>
  <c r="D53" i="11"/>
  <c r="C53" i="11"/>
  <c r="F53" i="11"/>
  <c r="E53" i="11"/>
  <c r="B54" i="11"/>
  <c r="G53" i="11"/>
  <c r="F125" i="11"/>
  <c r="F152" i="11"/>
  <c r="G205" i="11"/>
  <c r="E178" i="11"/>
  <c r="E205" i="11"/>
  <c r="D178" i="11"/>
  <c r="F175" i="11"/>
  <c r="F178" i="11"/>
  <c r="F201" i="11"/>
  <c r="C205" i="11"/>
  <c r="D205" i="11"/>
  <c r="F176" i="11"/>
  <c r="F205" i="11"/>
  <c r="M114" i="5"/>
  <c r="C178" i="11"/>
  <c r="F202" i="11"/>
  <c r="F203" i="11"/>
  <c r="M115" i="5"/>
  <c r="E307" i="5" l="1"/>
  <c r="C200" i="5" a="1"/>
  <c r="E306" i="5"/>
  <c r="E305" i="5" s="1"/>
  <c r="E304" i="5" s="1"/>
  <c r="E303" i="5" s="1"/>
  <c r="E302" i="5" s="1"/>
  <c r="E301" i="5" s="1"/>
  <c r="E313" i="5"/>
  <c r="C204" i="5" a="1"/>
  <c r="I204" i="5" s="1"/>
  <c r="G11" i="5" s="1"/>
  <c r="C199" i="5" a="1"/>
  <c r="R199" i="5" s="1"/>
  <c r="C36" i="3"/>
  <c r="C35" i="3"/>
  <c r="BB154" i="5"/>
  <c r="BB146" i="5"/>
  <c r="BB151" i="5"/>
  <c r="BB143" i="5"/>
  <c r="BB156" i="5"/>
  <c r="BB148" i="5"/>
  <c r="BB140" i="5"/>
  <c r="BB138" i="5"/>
  <c r="BB136" i="5"/>
  <c r="BB134" i="5"/>
  <c r="BB149" i="5"/>
  <c r="BB137" i="5"/>
  <c r="BB144" i="5"/>
  <c r="BB152" i="5"/>
  <c r="BB147" i="5"/>
  <c r="BB139" i="5"/>
  <c r="BB142" i="5"/>
  <c r="BB145" i="5"/>
  <c r="BB150" i="5"/>
  <c r="BB135" i="5"/>
  <c r="BB141" i="5"/>
  <c r="BB155" i="5"/>
  <c r="BB153" i="5"/>
  <c r="BA151" i="5"/>
  <c r="BA148" i="5"/>
  <c r="BA135" i="5"/>
  <c r="BA156" i="5"/>
  <c r="BE139" i="5" s="1"/>
  <c r="BA146" i="5"/>
  <c r="BA141" i="5"/>
  <c r="BA155" i="5"/>
  <c r="BA154" i="5"/>
  <c r="BA145" i="5"/>
  <c r="BA139" i="5"/>
  <c r="BA149" i="5"/>
  <c r="BA138" i="5"/>
  <c r="BA136" i="5"/>
  <c r="BA152" i="5"/>
  <c r="BA137" i="5"/>
  <c r="BA150" i="5"/>
  <c r="BA133" i="5"/>
  <c r="BE134" i="5" s="1"/>
  <c r="BA143" i="5"/>
  <c r="BA140" i="5"/>
  <c r="BA147" i="5"/>
  <c r="BA134" i="5"/>
  <c r="BB133" i="5"/>
  <c r="BA144" i="5"/>
  <c r="B180" i="11"/>
  <c r="K27" i="8" a="1"/>
  <c r="K27" i="8" s="1"/>
  <c r="E101" i="11"/>
  <c r="D101" i="11"/>
  <c r="C101" i="11"/>
  <c r="G101" i="11"/>
  <c r="B102" i="11"/>
  <c r="F101" i="11"/>
  <c r="G97" i="11"/>
  <c r="G98" i="11"/>
  <c r="G99" i="11"/>
  <c r="B155" i="11"/>
  <c r="F154" i="11"/>
  <c r="D154" i="11"/>
  <c r="G154" i="11"/>
  <c r="C154" i="11"/>
  <c r="E154" i="11"/>
  <c r="G153" i="11"/>
  <c r="J199" i="5"/>
  <c r="Q199" i="5"/>
  <c r="P199" i="5"/>
  <c r="M199" i="5"/>
  <c r="K199" i="5"/>
  <c r="G199" i="5"/>
  <c r="S199" i="5"/>
  <c r="N199" i="5"/>
  <c r="F199" i="5"/>
  <c r="H174" i="11"/>
  <c r="H122" i="11"/>
  <c r="H127" i="11" s="1"/>
  <c r="H96" i="11"/>
  <c r="H101" i="11" s="1"/>
  <c r="H148" i="11"/>
  <c r="H18" i="11"/>
  <c r="H45" i="11" s="1"/>
  <c r="H200" i="11"/>
  <c r="I9" i="11"/>
  <c r="H47" i="11"/>
  <c r="BA153" i="5"/>
  <c r="B128" i="11"/>
  <c r="F127" i="11"/>
  <c r="C127" i="11"/>
  <c r="E127" i="11"/>
  <c r="D127" i="11"/>
  <c r="G127" i="11"/>
  <c r="G149" i="11"/>
  <c r="G123" i="11"/>
  <c r="G150" i="11"/>
  <c r="G151" i="11"/>
  <c r="G124" i="11"/>
  <c r="G152" i="11"/>
  <c r="G125" i="11"/>
  <c r="N200" i="5"/>
  <c r="F200" i="5"/>
  <c r="U200" i="5"/>
  <c r="M200" i="5"/>
  <c r="E200" i="5"/>
  <c r="T200" i="5"/>
  <c r="L200" i="5"/>
  <c r="D200" i="5"/>
  <c r="R200" i="5"/>
  <c r="G200" i="5"/>
  <c r="Q200" i="5"/>
  <c r="P200" i="5"/>
  <c r="C200" i="5"/>
  <c r="O200" i="5"/>
  <c r="S200" i="5"/>
  <c r="K200" i="5"/>
  <c r="J200" i="5"/>
  <c r="H200" i="5"/>
  <c r="I200" i="5"/>
  <c r="D9" i="8"/>
  <c r="AD28" i="5"/>
  <c r="B207" i="11"/>
  <c r="J204" i="5"/>
  <c r="G12" i="5" s="1"/>
  <c r="Q204" i="5"/>
  <c r="G19" i="5" s="1"/>
  <c r="H204" i="5"/>
  <c r="G10" i="5" s="1"/>
  <c r="U204" i="5"/>
  <c r="G23" i="5" s="1"/>
  <c r="AG11" i="5" s="1"/>
  <c r="Q12" i="13" s="1"/>
  <c r="T204" i="5"/>
  <c r="G22" i="5" s="1"/>
  <c r="E204" i="5"/>
  <c r="G7" i="5" s="1"/>
  <c r="M204" i="5"/>
  <c r="G15" i="5" s="1"/>
  <c r="L204" i="5"/>
  <c r="G14" i="5" s="1"/>
  <c r="B55" i="11"/>
  <c r="G54" i="11"/>
  <c r="F54" i="11"/>
  <c r="E54" i="11"/>
  <c r="D54" i="11"/>
  <c r="C54" i="11"/>
  <c r="M111" i="5"/>
  <c r="C32" i="3" s="1"/>
  <c r="M123" i="5"/>
  <c r="C29" i="3"/>
  <c r="C16" i="2"/>
  <c r="C31" i="3"/>
  <c r="E314" i="5"/>
  <c r="E315" i="5" s="1"/>
  <c r="E316" i="5" s="1"/>
  <c r="E317" i="5" s="1"/>
  <c r="E318" i="5" s="1"/>
  <c r="E319" i="5" s="1"/>
  <c r="M102" i="5"/>
  <c r="C25" i="3" s="1"/>
  <c r="C22" i="3"/>
  <c r="M103" i="5"/>
  <c r="C26" i="3" s="1"/>
  <c r="M101" i="5"/>
  <c r="C24" i="3" s="1"/>
  <c r="C6" i="2"/>
  <c r="G49" i="11"/>
  <c r="G48" i="11"/>
  <c r="G50" i="11"/>
  <c r="G51" i="11"/>
  <c r="G52" i="11"/>
  <c r="BA142" i="5"/>
  <c r="G178" i="11"/>
  <c r="E179" i="11"/>
  <c r="G175" i="11"/>
  <c r="F179" i="11"/>
  <c r="H179" i="11"/>
  <c r="C206" i="11"/>
  <c r="G201" i="11"/>
  <c r="E206" i="11"/>
  <c r="G202" i="11"/>
  <c r="C179" i="11"/>
  <c r="G204" i="11"/>
  <c r="D179" i="11"/>
  <c r="D206" i="11"/>
  <c r="F206" i="11"/>
  <c r="G203" i="11"/>
  <c r="G206" i="11"/>
  <c r="H206" i="11"/>
  <c r="G177" i="11"/>
  <c r="G176" i="11"/>
  <c r="G179" i="11"/>
  <c r="E199" i="5" l="1"/>
  <c r="D199" i="5"/>
  <c r="O199" i="5"/>
  <c r="T199" i="5"/>
  <c r="U199" i="5"/>
  <c r="L199" i="5"/>
  <c r="H199" i="5"/>
  <c r="I199" i="5"/>
  <c r="C199" i="5"/>
  <c r="D204" i="5"/>
  <c r="G6" i="5" s="1"/>
  <c r="C6" i="8" s="1"/>
  <c r="C6" i="13" s="1"/>
  <c r="N204" i="5"/>
  <c r="G16" i="5" s="1"/>
  <c r="C16" i="8" s="1"/>
  <c r="C16" i="13" s="1"/>
  <c r="O204" i="5"/>
  <c r="G17" i="5" s="1"/>
  <c r="C17" i="8" s="1"/>
  <c r="C17" i="13" s="1"/>
  <c r="F204" i="5"/>
  <c r="G8" i="5" s="1"/>
  <c r="G7" i="10" s="1"/>
  <c r="N7" i="10" s="1"/>
  <c r="G204" i="5"/>
  <c r="G9" i="5" s="1"/>
  <c r="C9" i="8" s="1"/>
  <c r="C9" i="13" s="1"/>
  <c r="K204" i="5"/>
  <c r="G13" i="5" s="1"/>
  <c r="G12" i="10" s="1"/>
  <c r="N12" i="10" s="1"/>
  <c r="P204" i="5"/>
  <c r="G18" i="5" s="1"/>
  <c r="C18" i="8" s="1"/>
  <c r="C18" i="13" s="1"/>
  <c r="C204" i="5"/>
  <c r="G5" i="5" s="1"/>
  <c r="AG3" i="5" s="1"/>
  <c r="Q4" i="13" s="1"/>
  <c r="R204" i="5"/>
  <c r="G20" i="5" s="1"/>
  <c r="G19" i="10" s="1"/>
  <c r="N19" i="10" s="1"/>
  <c r="BE135" i="5"/>
  <c r="S204" i="5"/>
  <c r="G21" i="5" s="1"/>
  <c r="G20" i="10" s="1"/>
  <c r="N20" i="10" s="1"/>
  <c r="G22" i="10"/>
  <c r="N22" i="10" s="1"/>
  <c r="C23" i="8"/>
  <c r="C23" i="13" s="1"/>
  <c r="B20" i="4"/>
  <c r="I148" i="11"/>
  <c r="I200" i="11"/>
  <c r="I174" i="11"/>
  <c r="J9" i="11"/>
  <c r="I96" i="11"/>
  <c r="I47" i="11"/>
  <c r="I18" i="11"/>
  <c r="I45" i="11" s="1"/>
  <c r="I122" i="11"/>
  <c r="B181" i="11"/>
  <c r="C203" i="5" a="1"/>
  <c r="G16" i="10"/>
  <c r="N16" i="10" s="1"/>
  <c r="B14" i="4"/>
  <c r="G9" i="10"/>
  <c r="N9" i="10" s="1"/>
  <c r="C10" i="8"/>
  <c r="C10" i="13" s="1"/>
  <c r="B7" i="4"/>
  <c r="B208" i="11"/>
  <c r="H49" i="11"/>
  <c r="H48" i="11"/>
  <c r="H50" i="11"/>
  <c r="H51" i="11"/>
  <c r="H52" i="11"/>
  <c r="H53" i="11"/>
  <c r="G102" i="11"/>
  <c r="F102" i="11"/>
  <c r="E102" i="11"/>
  <c r="D102" i="11"/>
  <c r="C102" i="11"/>
  <c r="B103" i="11"/>
  <c r="H102" i="11"/>
  <c r="G6" i="10"/>
  <c r="N6" i="10" s="1"/>
  <c r="C7" i="8"/>
  <c r="C7" i="13" s="1"/>
  <c r="B4" i="4"/>
  <c r="AG4" i="5"/>
  <c r="Q5" i="13" s="1"/>
  <c r="G17" i="10"/>
  <c r="N17" i="10" s="1"/>
  <c r="B15" i="4"/>
  <c r="BE138" i="5"/>
  <c r="H97" i="11"/>
  <c r="H98" i="11"/>
  <c r="H99" i="11"/>
  <c r="H100" i="11"/>
  <c r="H54" i="11"/>
  <c r="G18" i="10"/>
  <c r="N18" i="10" s="1"/>
  <c r="C19" i="8"/>
  <c r="C19" i="13" s="1"/>
  <c r="B16" i="4"/>
  <c r="AG9" i="5"/>
  <c r="Q10" i="13" s="1"/>
  <c r="I128" i="11"/>
  <c r="H128" i="11"/>
  <c r="G128" i="11"/>
  <c r="F128" i="11"/>
  <c r="B129" i="11"/>
  <c r="E128" i="11"/>
  <c r="C128" i="11"/>
  <c r="D128" i="11"/>
  <c r="H149" i="11"/>
  <c r="H123" i="11"/>
  <c r="H150" i="11"/>
  <c r="H124" i="11"/>
  <c r="H151" i="11"/>
  <c r="H152" i="11"/>
  <c r="H125" i="11"/>
  <c r="H126" i="11"/>
  <c r="H153" i="11"/>
  <c r="H154" i="11"/>
  <c r="G15" i="10"/>
  <c r="N15" i="10" s="1"/>
  <c r="C5" i="8"/>
  <c r="C20" i="8"/>
  <c r="C20" i="13" s="1"/>
  <c r="G14" i="10"/>
  <c r="N14" i="10" s="1"/>
  <c r="C15" i="8"/>
  <c r="C15" i="13" s="1"/>
  <c r="B12" i="4"/>
  <c r="C55" i="11"/>
  <c r="I55" i="11"/>
  <c r="H55" i="11"/>
  <c r="B56" i="11"/>
  <c r="G55" i="11"/>
  <c r="D55" i="11"/>
  <c r="E55" i="11"/>
  <c r="F55" i="11"/>
  <c r="G10" i="10"/>
  <c r="N10" i="10" s="1"/>
  <c r="C11" i="8"/>
  <c r="C11" i="13" s="1"/>
  <c r="B8" i="4"/>
  <c r="I155" i="11"/>
  <c r="H155" i="11"/>
  <c r="G155" i="11"/>
  <c r="F155" i="11"/>
  <c r="E155" i="11"/>
  <c r="C155" i="11"/>
  <c r="B156" i="11"/>
  <c r="D155" i="11"/>
  <c r="G5" i="10"/>
  <c r="N5" i="10" s="1"/>
  <c r="B3" i="4"/>
  <c r="G21" i="10"/>
  <c r="N21" i="10" s="1"/>
  <c r="C22" i="8"/>
  <c r="C22" i="13" s="1"/>
  <c r="B19" i="4"/>
  <c r="G13" i="10"/>
  <c r="N13" i="10" s="1"/>
  <c r="C14" i="8"/>
  <c r="C14" i="13" s="1"/>
  <c r="B11" i="4"/>
  <c r="AG7" i="5"/>
  <c r="G8" i="10"/>
  <c r="N8" i="10" s="1"/>
  <c r="B6" i="4"/>
  <c r="G11" i="10"/>
  <c r="N11" i="10" s="1"/>
  <c r="C12" i="8"/>
  <c r="C12" i="13" s="1"/>
  <c r="B9" i="4"/>
  <c r="BE136" i="5"/>
  <c r="BE137" i="5"/>
  <c r="D180" i="11"/>
  <c r="H176" i="11"/>
  <c r="H204" i="11"/>
  <c r="H177" i="11"/>
  <c r="G180" i="11"/>
  <c r="H180" i="11"/>
  <c r="H178" i="11"/>
  <c r="E180" i="11"/>
  <c r="H207" i="11"/>
  <c r="H203" i="11"/>
  <c r="H175" i="11"/>
  <c r="C180" i="11"/>
  <c r="I180" i="11"/>
  <c r="E207" i="11"/>
  <c r="H205" i="11"/>
  <c r="H201" i="11"/>
  <c r="G207" i="11"/>
  <c r="I207" i="11"/>
  <c r="F180" i="11"/>
  <c r="H202" i="11"/>
  <c r="C207" i="11"/>
  <c r="D207" i="11"/>
  <c r="F207" i="11"/>
  <c r="AG5" i="5" l="1"/>
  <c r="Q6" i="13" s="1"/>
  <c r="B17" i="4"/>
  <c r="B13" i="4"/>
  <c r="C8" i="8"/>
  <c r="C8" i="13" s="1"/>
  <c r="C13" i="8"/>
  <c r="C13" i="13" s="1"/>
  <c r="B2" i="4"/>
  <c r="G4" i="10"/>
  <c r="N4" i="10" s="1"/>
  <c r="B5" i="4"/>
  <c r="B10" i="4"/>
  <c r="AG10" i="5"/>
  <c r="Q11" i="13" s="1"/>
  <c r="C21" i="8"/>
  <c r="C21" i="13" s="1"/>
  <c r="B18" i="4"/>
  <c r="I97" i="11"/>
  <c r="I98" i="11"/>
  <c r="I99" i="11"/>
  <c r="I100" i="11"/>
  <c r="I101" i="11"/>
  <c r="C5" i="13"/>
  <c r="B57" i="11"/>
  <c r="F56" i="11"/>
  <c r="E56" i="11"/>
  <c r="D56" i="11"/>
  <c r="C56" i="11"/>
  <c r="I56" i="11"/>
  <c r="H56" i="11"/>
  <c r="G56" i="11"/>
  <c r="B130" i="11"/>
  <c r="F129" i="11"/>
  <c r="G129" i="11"/>
  <c r="E129" i="11"/>
  <c r="D129" i="11"/>
  <c r="C129" i="11"/>
  <c r="I129" i="11"/>
  <c r="H129" i="11"/>
  <c r="I102" i="11"/>
  <c r="B209" i="11"/>
  <c r="I149" i="11"/>
  <c r="I150" i="11"/>
  <c r="I123" i="11"/>
  <c r="I151" i="11"/>
  <c r="I124" i="11"/>
  <c r="I125" i="11"/>
  <c r="I152" i="11"/>
  <c r="I153" i="11"/>
  <c r="I126" i="11"/>
  <c r="I127" i="11"/>
  <c r="I154" i="11"/>
  <c r="N203" i="5"/>
  <c r="F16" i="5" s="1"/>
  <c r="F203" i="5"/>
  <c r="F8" i="5" s="1"/>
  <c r="U203" i="5"/>
  <c r="F23" i="5" s="1"/>
  <c r="AF11" i="5" s="1"/>
  <c r="M203" i="5"/>
  <c r="F15" i="5" s="1"/>
  <c r="E203" i="5"/>
  <c r="F7" i="5" s="1"/>
  <c r="T203" i="5"/>
  <c r="F22" i="5" s="1"/>
  <c r="L203" i="5"/>
  <c r="F14" i="5" s="1"/>
  <c r="D203" i="5"/>
  <c r="F6" i="5" s="1"/>
  <c r="Q203" i="5"/>
  <c r="F19" i="5" s="1"/>
  <c r="P203" i="5"/>
  <c r="F18" i="5" s="1"/>
  <c r="C203" i="5"/>
  <c r="F5" i="5" s="1"/>
  <c r="AF3" i="5" s="1"/>
  <c r="O203" i="5"/>
  <c r="F17" i="5" s="1"/>
  <c r="K203" i="5"/>
  <c r="F13" i="5" s="1"/>
  <c r="J203" i="5"/>
  <c r="F12" i="5" s="1"/>
  <c r="I203" i="5"/>
  <c r="F11" i="5" s="1"/>
  <c r="H203" i="5"/>
  <c r="F10" i="5" s="1"/>
  <c r="G203" i="5"/>
  <c r="F9" i="5" s="1"/>
  <c r="S203" i="5"/>
  <c r="F21" i="5" s="1"/>
  <c r="R203" i="5"/>
  <c r="F20" i="5" s="1"/>
  <c r="B182" i="11"/>
  <c r="H103" i="11"/>
  <c r="I103" i="11"/>
  <c r="G103" i="11"/>
  <c r="F103" i="11"/>
  <c r="B104" i="11"/>
  <c r="E103" i="11"/>
  <c r="D103" i="11"/>
  <c r="C103" i="11"/>
  <c r="I48" i="11"/>
  <c r="I49" i="11"/>
  <c r="I50" i="11"/>
  <c r="I51" i="11"/>
  <c r="I52" i="11"/>
  <c r="I53" i="11"/>
  <c r="I54" i="11"/>
  <c r="J174" i="11"/>
  <c r="J122" i="11"/>
  <c r="J129" i="11" s="1"/>
  <c r="J200" i="11"/>
  <c r="J148" i="11"/>
  <c r="J18" i="11"/>
  <c r="J45" i="11" s="1"/>
  <c r="J56" i="11" s="1"/>
  <c r="K9" i="11"/>
  <c r="J96" i="11"/>
  <c r="J47" i="11"/>
  <c r="Q8" i="13"/>
  <c r="I33" i="10"/>
  <c r="I36" i="10" s="1"/>
  <c r="B157" i="11"/>
  <c r="F156" i="11"/>
  <c r="H156" i="11"/>
  <c r="I156" i="11"/>
  <c r="G156" i="11"/>
  <c r="E156" i="11"/>
  <c r="D156" i="11"/>
  <c r="C156" i="11"/>
  <c r="I204" i="11"/>
  <c r="I206" i="11"/>
  <c r="F181" i="11"/>
  <c r="I179" i="11"/>
  <c r="C208" i="11"/>
  <c r="I202" i="11"/>
  <c r="H181" i="11"/>
  <c r="G181" i="11"/>
  <c r="I178" i="11"/>
  <c r="I201" i="11"/>
  <c r="I176" i="11"/>
  <c r="I175" i="11"/>
  <c r="E208" i="11"/>
  <c r="I181" i="11"/>
  <c r="H208" i="11"/>
  <c r="D208" i="11"/>
  <c r="D181" i="11"/>
  <c r="C181" i="11"/>
  <c r="I205" i="11"/>
  <c r="I208" i="11"/>
  <c r="J208" i="11"/>
  <c r="E181" i="11"/>
  <c r="I177" i="11"/>
  <c r="G208" i="11"/>
  <c r="I203" i="11"/>
  <c r="F208" i="11"/>
  <c r="O12" i="8" l="1" a="1"/>
  <c r="O12" i="8" s="1"/>
  <c r="W5" i="13" s="1"/>
  <c r="P4" i="13"/>
  <c r="B3" i="7"/>
  <c r="A21" i="7" s="1"/>
  <c r="P12" i="13"/>
  <c r="B11" i="7"/>
  <c r="A28" i="7" s="1"/>
  <c r="O6" i="8" a="1"/>
  <c r="O6" i="8" s="1"/>
  <c r="U6" i="13" s="1"/>
  <c r="O22" i="8" a="1"/>
  <c r="O22" i="8" s="1"/>
  <c r="O13" i="8" a="1"/>
  <c r="O13" i="8" s="1"/>
  <c r="W6" i="13" s="1"/>
  <c r="C3" i="8" a="1"/>
  <c r="C3" i="8" s="1"/>
  <c r="O5" i="8" a="1"/>
  <c r="O5" i="8" s="1"/>
  <c r="U5" i="13" s="1"/>
  <c r="J156" i="11"/>
  <c r="B183" i="11"/>
  <c r="F4" i="10"/>
  <c r="B5" i="8"/>
  <c r="A2" i="4"/>
  <c r="J157" i="11"/>
  <c r="H157" i="11"/>
  <c r="B158" i="11"/>
  <c r="E157" i="11"/>
  <c r="G157" i="11"/>
  <c r="F157" i="11"/>
  <c r="D157" i="11"/>
  <c r="C157" i="11"/>
  <c r="I157" i="11"/>
  <c r="F20" i="10"/>
  <c r="B21" i="8"/>
  <c r="A18" i="4"/>
  <c r="AF10" i="5"/>
  <c r="F17" i="10"/>
  <c r="B18" i="8"/>
  <c r="A15" i="4"/>
  <c r="F7" i="10"/>
  <c r="B8" i="8"/>
  <c r="A5" i="4"/>
  <c r="K200" i="11"/>
  <c r="K148" i="11"/>
  <c r="K18" i="11"/>
  <c r="K45" i="11" s="1"/>
  <c r="K174" i="11"/>
  <c r="K47" i="11"/>
  <c r="L9" i="11"/>
  <c r="K122" i="11"/>
  <c r="K96" i="11"/>
  <c r="F6" i="10"/>
  <c r="B7" i="8"/>
  <c r="A4" i="4"/>
  <c r="AF4" i="5"/>
  <c r="F14" i="10"/>
  <c r="B15" i="8"/>
  <c r="A12" i="4"/>
  <c r="F19" i="10"/>
  <c r="B20" i="8"/>
  <c r="A17" i="4"/>
  <c r="F22" i="10"/>
  <c r="B23" i="8"/>
  <c r="A20" i="4"/>
  <c r="J123" i="11"/>
  <c r="J150" i="11"/>
  <c r="J149" i="11"/>
  <c r="J151" i="11"/>
  <c r="J124" i="11"/>
  <c r="J152" i="11"/>
  <c r="J125" i="11"/>
  <c r="J126" i="11"/>
  <c r="J153" i="11"/>
  <c r="J154" i="11"/>
  <c r="J127" i="11"/>
  <c r="J128" i="11"/>
  <c r="J155" i="11"/>
  <c r="D104" i="11"/>
  <c r="F104" i="11"/>
  <c r="E104" i="11"/>
  <c r="C104" i="11"/>
  <c r="K104" i="11"/>
  <c r="J104" i="11"/>
  <c r="I104" i="11"/>
  <c r="G104" i="11"/>
  <c r="B105" i="11"/>
  <c r="H104" i="11"/>
  <c r="F8" i="10"/>
  <c r="I3" i="10"/>
  <c r="B9" i="8"/>
  <c r="A6" i="4"/>
  <c r="AF5" i="5"/>
  <c r="F18" i="10"/>
  <c r="J3" i="10"/>
  <c r="B19" i="8"/>
  <c r="A16" i="4"/>
  <c r="AF9" i="5"/>
  <c r="F15" i="10"/>
  <c r="B16" i="8"/>
  <c r="A13" i="4"/>
  <c r="J57" i="11"/>
  <c r="I57" i="11"/>
  <c r="H57" i="11"/>
  <c r="G57" i="11"/>
  <c r="B58" i="11"/>
  <c r="F57" i="11"/>
  <c r="E57" i="11"/>
  <c r="D57" i="11"/>
  <c r="C57" i="11"/>
  <c r="J97" i="11"/>
  <c r="J98" i="11"/>
  <c r="J99" i="11"/>
  <c r="J100" i="11"/>
  <c r="J101" i="11"/>
  <c r="J102" i="11"/>
  <c r="F11" i="10"/>
  <c r="B12" i="8"/>
  <c r="A9" i="4"/>
  <c r="F21" i="10"/>
  <c r="B22" i="8"/>
  <c r="A19" i="4"/>
  <c r="F12" i="10"/>
  <c r="B13" i="8"/>
  <c r="A10" i="4"/>
  <c r="J130" i="11"/>
  <c r="D130" i="11"/>
  <c r="C130" i="11"/>
  <c r="K130" i="11"/>
  <c r="I130" i="11"/>
  <c r="H130" i="11"/>
  <c r="F130" i="11"/>
  <c r="B131" i="11"/>
  <c r="E130" i="11"/>
  <c r="G130" i="11"/>
  <c r="J50" i="11"/>
  <c r="J48" i="11"/>
  <c r="J49" i="11"/>
  <c r="J51" i="11"/>
  <c r="J52" i="11"/>
  <c r="J53" i="11"/>
  <c r="J54" i="11"/>
  <c r="J55" i="11"/>
  <c r="F16" i="10"/>
  <c r="B17" i="8"/>
  <c r="A14" i="4"/>
  <c r="L56" i="5"/>
  <c r="F9" i="10"/>
  <c r="B10" i="8"/>
  <c r="A7" i="4"/>
  <c r="F5" i="10"/>
  <c r="B6" i="8"/>
  <c r="A3" i="4"/>
  <c r="J103" i="11"/>
  <c r="F10" i="10"/>
  <c r="B11" i="8"/>
  <c r="A8" i="4"/>
  <c r="L57" i="5"/>
  <c r="F13" i="10"/>
  <c r="B14" i="8"/>
  <c r="A11" i="4"/>
  <c r="AF7" i="5"/>
  <c r="B210" i="11"/>
  <c r="J175" i="11"/>
  <c r="J182" i="11"/>
  <c r="J178" i="11"/>
  <c r="I209" i="11"/>
  <c r="J177" i="11"/>
  <c r="I182" i="11"/>
  <c r="J203" i="11"/>
  <c r="J204" i="11"/>
  <c r="J180" i="11"/>
  <c r="D182" i="11"/>
  <c r="J206" i="11"/>
  <c r="J179" i="11"/>
  <c r="H182" i="11"/>
  <c r="J202" i="11"/>
  <c r="E182" i="11"/>
  <c r="J207" i="11"/>
  <c r="D209" i="11"/>
  <c r="J181" i="11"/>
  <c r="E209" i="11"/>
  <c r="J205" i="11"/>
  <c r="G182" i="11"/>
  <c r="G209" i="11"/>
  <c r="J201" i="11"/>
  <c r="F209" i="11"/>
  <c r="J176" i="11"/>
  <c r="J209" i="11"/>
  <c r="F182" i="11"/>
  <c r="K182" i="11"/>
  <c r="C182" i="11"/>
  <c r="H209" i="11"/>
  <c r="C209" i="11"/>
  <c r="I6" i="10" l="1"/>
  <c r="M6" i="10" s="1"/>
  <c r="B17" i="13"/>
  <c r="V16" i="8"/>
  <c r="R17" i="8"/>
  <c r="AY16" i="8"/>
  <c r="Q17" i="8"/>
  <c r="S16" i="8"/>
  <c r="B18" i="13"/>
  <c r="R18" i="8"/>
  <c r="Q18" i="8"/>
  <c r="AY17" i="8"/>
  <c r="V17" i="8"/>
  <c r="S17" i="8"/>
  <c r="P6" i="13"/>
  <c r="B5" i="7"/>
  <c r="A23" i="7" s="1"/>
  <c r="B132" i="11"/>
  <c r="F131" i="11"/>
  <c r="J131" i="11"/>
  <c r="I131" i="11"/>
  <c r="H131" i="11"/>
  <c r="G131" i="11"/>
  <c r="E131" i="11"/>
  <c r="C131" i="11"/>
  <c r="K131" i="11"/>
  <c r="D131" i="11"/>
  <c r="B59" i="11"/>
  <c r="F58" i="11"/>
  <c r="E58" i="11"/>
  <c r="D58" i="11"/>
  <c r="K58" i="11"/>
  <c r="C58" i="11"/>
  <c r="J58" i="11"/>
  <c r="H58" i="11"/>
  <c r="G58" i="11"/>
  <c r="I58" i="11"/>
  <c r="P10" i="13"/>
  <c r="B9" i="7"/>
  <c r="A30" i="7" s="1"/>
  <c r="M78" i="10"/>
  <c r="M95" i="10"/>
  <c r="M38" i="10"/>
  <c r="M24" i="10"/>
  <c r="M36" i="10"/>
  <c r="M70" i="10"/>
  <c r="M47" i="10"/>
  <c r="M103" i="10"/>
  <c r="M41" i="10"/>
  <c r="M40" i="10"/>
  <c r="M93" i="10"/>
  <c r="M97" i="10"/>
  <c r="M53" i="10"/>
  <c r="M61" i="10"/>
  <c r="M50" i="10"/>
  <c r="M83" i="10"/>
  <c r="M57" i="10"/>
  <c r="M60" i="10"/>
  <c r="M101" i="10"/>
  <c r="M51" i="10"/>
  <c r="M89" i="10"/>
  <c r="M71" i="10"/>
  <c r="M23" i="10"/>
  <c r="M46" i="10"/>
  <c r="M80" i="10"/>
  <c r="M87" i="10"/>
  <c r="M72" i="10"/>
  <c r="M63" i="10"/>
  <c r="M86" i="10"/>
  <c r="M56" i="10"/>
  <c r="M102" i="10"/>
  <c r="M39" i="10"/>
  <c r="M55" i="10"/>
  <c r="M77" i="10"/>
  <c r="M69" i="10"/>
  <c r="M73" i="10"/>
  <c r="K97" i="11"/>
  <c r="K98" i="11"/>
  <c r="K99" i="11"/>
  <c r="K100" i="11"/>
  <c r="K101" i="11"/>
  <c r="K102" i="11"/>
  <c r="K103" i="11"/>
  <c r="B21" i="13"/>
  <c r="Q21" i="8"/>
  <c r="BL21" i="8"/>
  <c r="BL22" i="8" s="1"/>
  <c r="BL23" i="8" s="1"/>
  <c r="S20" i="8"/>
  <c r="AY20" i="8"/>
  <c r="V20" i="8"/>
  <c r="R21" i="8"/>
  <c r="B23" i="13"/>
  <c r="R23" i="8"/>
  <c r="Q23" i="8"/>
  <c r="V22" i="8"/>
  <c r="S22" i="8"/>
  <c r="AY22" i="8"/>
  <c r="V23" i="8"/>
  <c r="B16" i="13"/>
  <c r="V15" i="8"/>
  <c r="S15" i="8"/>
  <c r="AY15" i="8"/>
  <c r="R16" i="8"/>
  <c r="Q16" i="8"/>
  <c r="B12" i="13"/>
  <c r="R12" i="8"/>
  <c r="Q12" i="8"/>
  <c r="AY11" i="8"/>
  <c r="V11" i="8"/>
  <c r="S11" i="8"/>
  <c r="K149" i="11"/>
  <c r="K150" i="11"/>
  <c r="K123" i="11"/>
  <c r="K124" i="11"/>
  <c r="K151" i="11"/>
  <c r="K125" i="11"/>
  <c r="K152" i="11"/>
  <c r="K126" i="11"/>
  <c r="K153" i="11"/>
  <c r="K127" i="11"/>
  <c r="K154" i="11"/>
  <c r="K155" i="11"/>
  <c r="K128" i="11"/>
  <c r="K156" i="11"/>
  <c r="K129" i="11"/>
  <c r="B8" i="13"/>
  <c r="R8" i="8"/>
  <c r="S7" i="8"/>
  <c r="Q8" i="8"/>
  <c r="AY7" i="8"/>
  <c r="V7" i="8"/>
  <c r="P8" i="13"/>
  <c r="B7" i="7"/>
  <c r="P5" i="13"/>
  <c r="B4" i="7"/>
  <c r="A22" i="7" s="1"/>
  <c r="B22" i="13"/>
  <c r="R22" i="8"/>
  <c r="Q22" i="8"/>
  <c r="V21" i="8"/>
  <c r="AY21" i="8"/>
  <c r="S21" i="8"/>
  <c r="B7" i="13"/>
  <c r="R7" i="8"/>
  <c r="BL7" i="8"/>
  <c r="BL8" i="8" s="1"/>
  <c r="Q7" i="8"/>
  <c r="S6" i="8"/>
  <c r="AY6" i="8"/>
  <c r="V6" i="8"/>
  <c r="B5" i="13"/>
  <c r="BL5" i="8"/>
  <c r="BL6" i="8" s="1"/>
  <c r="R5" i="8"/>
  <c r="B3" i="8" a="1"/>
  <c r="B3" i="8" s="1"/>
  <c r="Q5" i="8"/>
  <c r="AY4" i="8"/>
  <c r="O11" i="8" a="1"/>
  <c r="O11" i="8" s="1"/>
  <c r="O4" i="8" a="1"/>
  <c r="O4" i="8" s="1"/>
  <c r="N18" i="8" s="1"/>
  <c r="B6" i="13"/>
  <c r="Q6" i="8"/>
  <c r="AY5" i="8"/>
  <c r="S5" i="8"/>
  <c r="R6" i="8"/>
  <c r="V5" i="8"/>
  <c r="B9" i="13"/>
  <c r="BL9" i="8"/>
  <c r="BL10" i="8" s="1"/>
  <c r="BL11" i="8" s="1"/>
  <c r="BL12" i="8" s="1"/>
  <c r="BL13" i="8" s="1"/>
  <c r="BL14" i="8" s="1"/>
  <c r="BL15" i="8" s="1"/>
  <c r="BL16" i="8" s="1"/>
  <c r="BL17" i="8" s="1"/>
  <c r="BL18" i="8" s="1"/>
  <c r="AY8" i="8"/>
  <c r="V8" i="8"/>
  <c r="Q9" i="8"/>
  <c r="S8" i="8"/>
  <c r="R9" i="8"/>
  <c r="B20" i="13"/>
  <c r="Q20" i="8"/>
  <c r="V19" i="8"/>
  <c r="R20" i="8"/>
  <c r="AY19" i="8"/>
  <c r="S19" i="8"/>
  <c r="B11" i="13"/>
  <c r="V10" i="8"/>
  <c r="S10" i="8"/>
  <c r="R11" i="8"/>
  <c r="Q11" i="8"/>
  <c r="AY10" i="8"/>
  <c r="B19" i="13"/>
  <c r="Q19" i="8"/>
  <c r="AY18" i="8"/>
  <c r="S18" i="8"/>
  <c r="R19" i="8"/>
  <c r="V18" i="8"/>
  <c r="BL19" i="8"/>
  <c r="BL20" i="8" s="1"/>
  <c r="B15" i="13"/>
  <c r="V14" i="8"/>
  <c r="AY14" i="8"/>
  <c r="R15" i="8"/>
  <c r="Q15" i="8"/>
  <c r="S14" i="8"/>
  <c r="L200" i="11"/>
  <c r="M9" i="11"/>
  <c r="L174" i="11"/>
  <c r="L47" i="11"/>
  <c r="L96" i="11"/>
  <c r="L122" i="11"/>
  <c r="L131" i="11" s="1"/>
  <c r="L18" i="11"/>
  <c r="L45" i="11" s="1"/>
  <c r="L148" i="11"/>
  <c r="B159" i="11"/>
  <c r="F158" i="11"/>
  <c r="E158" i="11"/>
  <c r="K158" i="11"/>
  <c r="H158" i="11"/>
  <c r="G158" i="11"/>
  <c r="D158" i="11"/>
  <c r="C158" i="11"/>
  <c r="J158" i="11"/>
  <c r="L158" i="11"/>
  <c r="I158" i="11"/>
  <c r="B184" i="11"/>
  <c r="K48" i="11"/>
  <c r="K50" i="11"/>
  <c r="K49" i="11"/>
  <c r="K51" i="11"/>
  <c r="K52" i="11"/>
  <c r="K53" i="11"/>
  <c r="K54" i="11"/>
  <c r="K55" i="11"/>
  <c r="K56" i="11"/>
  <c r="B14" i="13"/>
  <c r="V13" i="8"/>
  <c r="AY13" i="8"/>
  <c r="R14" i="8"/>
  <c r="S13" i="8"/>
  <c r="Q14" i="8"/>
  <c r="P11" i="13"/>
  <c r="B10" i="7"/>
  <c r="A29" i="7" s="1"/>
  <c r="B10" i="13"/>
  <c r="AY9" i="8"/>
  <c r="R10" i="8"/>
  <c r="Q10" i="8"/>
  <c r="V9" i="8"/>
  <c r="S9" i="8"/>
  <c r="B211" i="11"/>
  <c r="M9" i="10"/>
  <c r="B13" i="13"/>
  <c r="S12" i="8"/>
  <c r="V12" i="8"/>
  <c r="AY12" i="8"/>
  <c r="R13" i="8"/>
  <c r="Q13" i="8"/>
  <c r="K57" i="11"/>
  <c r="F105" i="11"/>
  <c r="J105" i="11"/>
  <c r="I105" i="11"/>
  <c r="H105" i="11"/>
  <c r="G105" i="11"/>
  <c r="B106" i="11"/>
  <c r="E105" i="11"/>
  <c r="L105" i="11"/>
  <c r="D105" i="11"/>
  <c r="C105" i="11"/>
  <c r="K105" i="11"/>
  <c r="K157" i="11"/>
  <c r="K181" i="11"/>
  <c r="E183" i="11"/>
  <c r="G183" i="11"/>
  <c r="K205" i="11"/>
  <c r="G210" i="11"/>
  <c r="K209" i="11"/>
  <c r="K208" i="11"/>
  <c r="I210" i="11"/>
  <c r="J183" i="11"/>
  <c r="J210" i="11"/>
  <c r="I183" i="11"/>
  <c r="C210" i="11"/>
  <c r="E210" i="11"/>
  <c r="D183" i="11"/>
  <c r="K183" i="11"/>
  <c r="K177" i="11"/>
  <c r="D210" i="11"/>
  <c r="F210" i="11"/>
  <c r="K207" i="11"/>
  <c r="H210" i="11"/>
  <c r="K202" i="11"/>
  <c r="K175" i="11"/>
  <c r="K203" i="11"/>
  <c r="K210" i="11"/>
  <c r="F183" i="11"/>
  <c r="L210" i="11"/>
  <c r="H183" i="11"/>
  <c r="K204" i="11"/>
  <c r="K176" i="11"/>
  <c r="K179" i="11"/>
  <c r="K178" i="11"/>
  <c r="K206" i="11"/>
  <c r="K180" i="11"/>
  <c r="K201" i="11"/>
  <c r="C183" i="11"/>
  <c r="M14" i="10" l="1"/>
  <c r="M7" i="10"/>
  <c r="M11" i="10"/>
  <c r="M8" i="10"/>
  <c r="M19" i="10"/>
  <c r="M92" i="10"/>
  <c r="M90" i="10"/>
  <c r="M37" i="10"/>
  <c r="M79" i="10"/>
  <c r="M88" i="10"/>
  <c r="M98" i="10"/>
  <c r="M62" i="10"/>
  <c r="M26" i="10"/>
  <c r="M34" i="10"/>
  <c r="M45" i="10"/>
  <c r="M74" i="10"/>
  <c r="M85" i="10"/>
  <c r="M32" i="10"/>
  <c r="M48" i="10"/>
  <c r="M58" i="10"/>
  <c r="M67" i="10"/>
  <c r="M49" i="10"/>
  <c r="M94" i="10"/>
  <c r="M43" i="10"/>
  <c r="M81" i="10"/>
  <c r="M75" i="10"/>
  <c r="M31" i="10"/>
  <c r="M30" i="10"/>
  <c r="M42" i="10"/>
  <c r="M99" i="10"/>
  <c r="M82" i="10"/>
  <c r="M44" i="10"/>
  <c r="M25" i="10"/>
  <c r="M84" i="10"/>
  <c r="M76" i="10"/>
  <c r="M28" i="10"/>
  <c r="M59" i="10"/>
  <c r="M64" i="10"/>
  <c r="M27" i="10"/>
  <c r="M96" i="10"/>
  <c r="M5" i="10"/>
  <c r="M17" i="10"/>
  <c r="M21" i="10"/>
  <c r="M4" i="10"/>
  <c r="M22" i="10"/>
  <c r="M13" i="10"/>
  <c r="M12" i="10"/>
  <c r="M16" i="10"/>
  <c r="M10" i="10"/>
  <c r="M20" i="10"/>
  <c r="M54" i="10"/>
  <c r="M100" i="10"/>
  <c r="M68" i="10"/>
  <c r="M29" i="10"/>
  <c r="M66" i="10"/>
  <c r="M91" i="10"/>
  <c r="M65" i="10"/>
  <c r="M35" i="10"/>
  <c r="M33" i="10"/>
  <c r="M52" i="10"/>
  <c r="M18" i="10"/>
  <c r="M15" i="10"/>
  <c r="BA4" i="8"/>
  <c r="BB4" i="8" s="1"/>
  <c r="AZ4" i="8"/>
  <c r="BD4" i="8" s="1"/>
  <c r="BA20" i="8"/>
  <c r="BB20" i="8" s="1"/>
  <c r="AZ20" i="8"/>
  <c r="BD20" i="8" s="1"/>
  <c r="AC6" i="8"/>
  <c r="Z6" i="8"/>
  <c r="BA10" i="8"/>
  <c r="BB10" i="8" s="1"/>
  <c r="AZ10" i="8"/>
  <c r="BD10" i="8" s="1"/>
  <c r="Y9" i="8"/>
  <c r="Y10" i="8" s="1"/>
  <c r="U9" i="8"/>
  <c r="AB9" i="8"/>
  <c r="AB10" i="8" s="1"/>
  <c r="AB11" i="8" s="1"/>
  <c r="BA7" i="8"/>
  <c r="BB7" i="8" s="1"/>
  <c r="AZ7" i="8"/>
  <c r="BD7" i="8" s="1"/>
  <c r="Y23" i="8"/>
  <c r="AA23" i="8" s="1"/>
  <c r="U23" i="8"/>
  <c r="AB23" i="8"/>
  <c r="AD23" i="8" s="1"/>
  <c r="I106" i="11"/>
  <c r="F106" i="11"/>
  <c r="B107" i="11"/>
  <c r="E106" i="11"/>
  <c r="D106" i="11"/>
  <c r="L106" i="11"/>
  <c r="C106" i="11"/>
  <c r="K106" i="11"/>
  <c r="H106" i="11"/>
  <c r="G106" i="11"/>
  <c r="J106" i="11"/>
  <c r="Z13" i="8"/>
  <c r="AC13" i="8"/>
  <c r="B212" i="11"/>
  <c r="AC10" i="8"/>
  <c r="Z10" i="8"/>
  <c r="U14" i="8"/>
  <c r="AB14" i="8"/>
  <c r="U11" i="8"/>
  <c r="AZ5" i="8"/>
  <c r="BD5" i="8" s="1"/>
  <c r="BA5" i="8"/>
  <c r="BB5" i="8" s="1"/>
  <c r="Z5" i="8"/>
  <c r="AE4" i="8"/>
  <c r="T5" i="8"/>
  <c r="T6" i="8" s="1"/>
  <c r="T7" i="8" s="1"/>
  <c r="T8" i="8" s="1"/>
  <c r="T9" i="8" s="1"/>
  <c r="T10" i="8" s="1"/>
  <c r="T11" i="8" s="1"/>
  <c r="T12" i="8" s="1"/>
  <c r="T13" i="8" s="1"/>
  <c r="T14" i="8" s="1"/>
  <c r="T15" i="8" s="1"/>
  <c r="T16" i="8" s="1"/>
  <c r="T17" i="8" s="1"/>
  <c r="T18" i="8" s="1"/>
  <c r="T19" i="8" s="1"/>
  <c r="T20" i="8" s="1"/>
  <c r="T21" i="8" s="1"/>
  <c r="T22" i="8" s="1"/>
  <c r="T23" i="8" s="1"/>
  <c r="T24" i="8" s="1"/>
  <c r="T25" i="8" s="1"/>
  <c r="T26" i="8" s="1"/>
  <c r="T27" i="8" s="1"/>
  <c r="T28" i="8" s="1"/>
  <c r="T29" i="8" s="1"/>
  <c r="T30" i="8" s="1"/>
  <c r="T31" i="8" s="1"/>
  <c r="T32" i="8" s="1"/>
  <c r="T33" i="8" s="1"/>
  <c r="T34" i="8" s="1"/>
  <c r="T35" i="8" s="1"/>
  <c r="T36" i="8" s="1"/>
  <c r="T37" i="8" s="1"/>
  <c r="T38" i="8" s="1"/>
  <c r="T39" i="8" s="1"/>
  <c r="T40" i="8" s="1"/>
  <c r="T41" i="8" s="1"/>
  <c r="T42" i="8" s="1"/>
  <c r="T43" i="8" s="1"/>
  <c r="T44" i="8" s="1"/>
  <c r="T45" i="8" s="1"/>
  <c r="T46" i="8" s="1"/>
  <c r="T47" i="8" s="1"/>
  <c r="T48" i="8" s="1"/>
  <c r="T49" i="8" s="1"/>
  <c r="T50" i="8" s="1"/>
  <c r="T51" i="8" s="1"/>
  <c r="T52" i="8" s="1"/>
  <c r="T53" i="8" s="1"/>
  <c r="T54" i="8" s="1"/>
  <c r="T55" i="8" s="1"/>
  <c r="T56" i="8" s="1"/>
  <c r="T57" i="8" s="1"/>
  <c r="T58" i="8" s="1"/>
  <c r="T59" i="8" s="1"/>
  <c r="T60" i="8" s="1"/>
  <c r="T61" i="8" s="1"/>
  <c r="T62" i="8" s="1"/>
  <c r="T63" i="8" s="1"/>
  <c r="T64" i="8" s="1"/>
  <c r="T65" i="8" s="1"/>
  <c r="T66" i="8" s="1"/>
  <c r="T67" i="8" s="1"/>
  <c r="T68" i="8" s="1"/>
  <c r="T69" i="8" s="1"/>
  <c r="T70" i="8" s="1"/>
  <c r="T71" i="8" s="1"/>
  <c r="T72" i="8" s="1"/>
  <c r="T73" i="8" s="1"/>
  <c r="T74" i="8" s="1"/>
  <c r="T75" i="8" s="1"/>
  <c r="T76" i="8" s="1"/>
  <c r="T77" i="8" s="1"/>
  <c r="T78" i="8" s="1"/>
  <c r="T79" i="8" s="1"/>
  <c r="T80" i="8" s="1"/>
  <c r="T81" i="8" s="1"/>
  <c r="T82" i="8" s="1"/>
  <c r="T83" i="8" s="1"/>
  <c r="T84" i="8" s="1"/>
  <c r="T85" i="8" s="1"/>
  <c r="T86" i="8" s="1"/>
  <c r="T87" i="8" s="1"/>
  <c r="T88" i="8" s="1"/>
  <c r="T89" i="8" s="1"/>
  <c r="T90" i="8" s="1"/>
  <c r="T91" i="8" s="1"/>
  <c r="T92" i="8" s="1"/>
  <c r="T93" i="8" s="1"/>
  <c r="T94" i="8" s="1"/>
  <c r="T95" i="8" s="1"/>
  <c r="T96" i="8" s="1"/>
  <c r="T97" i="8" s="1"/>
  <c r="T98" i="8" s="1"/>
  <c r="T99" i="8" s="1"/>
  <c r="T100" i="8" s="1"/>
  <c r="T101" i="8" s="1"/>
  <c r="T102" i="8" s="1"/>
  <c r="T103" i="8" s="1"/>
  <c r="T104" i="8" s="1"/>
  <c r="AI4" i="8"/>
  <c r="AC5" i="8"/>
  <c r="Z7" i="8"/>
  <c r="AC7" i="8"/>
  <c r="BA11" i="8"/>
  <c r="BB11" i="8" s="1"/>
  <c r="AZ11" i="8"/>
  <c r="BD11" i="8" s="1"/>
  <c r="Y21" i="8"/>
  <c r="Y22" i="8" s="1"/>
  <c r="AB21" i="8"/>
  <c r="U22" i="8" s="1"/>
  <c r="U21" i="8"/>
  <c r="J59" i="11"/>
  <c r="I59" i="11"/>
  <c r="H59" i="11"/>
  <c r="G59" i="11"/>
  <c r="B60" i="11"/>
  <c r="F59" i="11"/>
  <c r="K59" i="11"/>
  <c r="D59" i="11"/>
  <c r="L59" i="11"/>
  <c r="E59" i="11"/>
  <c r="C59" i="11"/>
  <c r="BA16" i="8"/>
  <c r="BB16" i="8" s="1"/>
  <c r="AZ16" i="8"/>
  <c r="BD16" i="8" s="1"/>
  <c r="AC16" i="8"/>
  <c r="Z16" i="8"/>
  <c r="M148" i="11"/>
  <c r="M174" i="11"/>
  <c r="M200" i="11"/>
  <c r="M96" i="11"/>
  <c r="M122" i="11"/>
  <c r="M18" i="11"/>
  <c r="M45" i="11" s="1"/>
  <c r="M59" i="11" s="1"/>
  <c r="M47" i="11"/>
  <c r="AB7" i="8"/>
  <c r="AB8" i="8" s="1"/>
  <c r="Y7" i="8"/>
  <c r="U7" i="8"/>
  <c r="AZ15" i="8"/>
  <c r="BD15" i="8" s="1"/>
  <c r="BA15" i="8"/>
  <c r="BB15" i="8" s="1"/>
  <c r="B185" i="11"/>
  <c r="BA19" i="8"/>
  <c r="BB19" i="8" s="1"/>
  <c r="AZ19" i="8"/>
  <c r="BD19" i="8" s="1"/>
  <c r="BA12" i="8"/>
  <c r="BB12" i="8" s="1"/>
  <c r="AZ12" i="8"/>
  <c r="BD12" i="8" s="1"/>
  <c r="BA9" i="8"/>
  <c r="BB9" i="8" s="1"/>
  <c r="AZ9" i="8"/>
  <c r="BD9" i="8" s="1"/>
  <c r="L49" i="11"/>
  <c r="L48" i="11"/>
  <c r="L50" i="11"/>
  <c r="L51" i="11"/>
  <c r="L52" i="11"/>
  <c r="L53" i="11"/>
  <c r="L54" i="11"/>
  <c r="L55" i="11"/>
  <c r="L56" i="11"/>
  <c r="L57" i="11"/>
  <c r="Z19" i="8"/>
  <c r="AC19" i="8"/>
  <c r="AC11" i="8"/>
  <c r="Z11" i="8"/>
  <c r="AC20" i="8"/>
  <c r="Z20" i="8"/>
  <c r="BA8" i="8"/>
  <c r="BB8" i="8" s="1"/>
  <c r="AZ8" i="8"/>
  <c r="BD8" i="8" s="1"/>
  <c r="Z23" i="8"/>
  <c r="AC23" i="8"/>
  <c r="AC17" i="8"/>
  <c r="Z17" i="8"/>
  <c r="AC14" i="8"/>
  <c r="Z14" i="8"/>
  <c r="L123" i="11"/>
  <c r="L149" i="11"/>
  <c r="L150" i="11"/>
  <c r="L151" i="11"/>
  <c r="L124" i="11"/>
  <c r="L152" i="11"/>
  <c r="L125" i="11"/>
  <c r="L126" i="11"/>
  <c r="L153" i="11"/>
  <c r="L127" i="11"/>
  <c r="L154" i="11"/>
  <c r="L155" i="11"/>
  <c r="L128" i="11"/>
  <c r="L129" i="11"/>
  <c r="L156" i="11"/>
  <c r="L130" i="11"/>
  <c r="L157" i="11"/>
  <c r="Z12" i="8"/>
  <c r="AC12" i="8"/>
  <c r="BA17" i="8"/>
  <c r="AZ17" i="8"/>
  <c r="BD17" i="8" s="1"/>
  <c r="BB17" i="8"/>
  <c r="Z9" i="8"/>
  <c r="AC9" i="8"/>
  <c r="J159" i="11"/>
  <c r="L159" i="11"/>
  <c r="C159" i="11"/>
  <c r="H159" i="11"/>
  <c r="G159" i="11"/>
  <c r="F159" i="11"/>
  <c r="E159" i="11"/>
  <c r="D159" i="11"/>
  <c r="B160" i="11"/>
  <c r="K159" i="11"/>
  <c r="M159" i="11"/>
  <c r="I159" i="11"/>
  <c r="AC22" i="8"/>
  <c r="Z22" i="8"/>
  <c r="AZ21" i="8"/>
  <c r="BD21" i="8" s="1"/>
  <c r="BA21" i="8"/>
  <c r="BB21" i="8" s="1"/>
  <c r="A32" i="7"/>
  <c r="A25" i="7"/>
  <c r="Z8" i="8"/>
  <c r="AC8" i="8"/>
  <c r="Z21" i="8"/>
  <c r="AC21" i="8"/>
  <c r="Y5" i="8"/>
  <c r="Y6" i="8" s="1"/>
  <c r="U5" i="8"/>
  <c r="AB5" i="8"/>
  <c r="AB6" i="8" s="1"/>
  <c r="BB13" i="8"/>
  <c r="BA13" i="8"/>
  <c r="AZ13" i="8"/>
  <c r="BD13" i="8" s="1"/>
  <c r="L97" i="11"/>
  <c r="L98" i="11"/>
  <c r="L99" i="11"/>
  <c r="L100" i="11"/>
  <c r="L101" i="11"/>
  <c r="L102" i="11"/>
  <c r="L103" i="11"/>
  <c r="L104" i="11"/>
  <c r="AC15" i="8"/>
  <c r="Z15" i="8"/>
  <c r="BA18" i="8"/>
  <c r="BB18" i="8" s="1"/>
  <c r="AZ18" i="8"/>
  <c r="BD18" i="8" s="1"/>
  <c r="BA14" i="8"/>
  <c r="BB14" i="8" s="1"/>
  <c r="AZ14" i="8"/>
  <c r="BD14" i="8" s="1"/>
  <c r="Y19" i="8"/>
  <c r="Y20" i="8" s="1"/>
  <c r="U19" i="8"/>
  <c r="AB19" i="8"/>
  <c r="AY103" i="8"/>
  <c r="AY102" i="8"/>
  <c r="AY101" i="8"/>
  <c r="AY77" i="8"/>
  <c r="AY89" i="8"/>
  <c r="AY87" i="8"/>
  <c r="AY82" i="8"/>
  <c r="AY43" i="8"/>
  <c r="AY71" i="8"/>
  <c r="AY72" i="8"/>
  <c r="AY70" i="8"/>
  <c r="AY97" i="8"/>
  <c r="AY88" i="8"/>
  <c r="AY78" i="8"/>
  <c r="AY36" i="8"/>
  <c r="AY100" i="8"/>
  <c r="AY83" i="8"/>
  <c r="AY56" i="8"/>
  <c r="AY52" i="8"/>
  <c r="AY66" i="8"/>
  <c r="AY60" i="8"/>
  <c r="AY46" i="8"/>
  <c r="AY32" i="8"/>
  <c r="AY28" i="8"/>
  <c r="AY99" i="8"/>
  <c r="AY86" i="8"/>
  <c r="AY64" i="8"/>
  <c r="AY41" i="8"/>
  <c r="N19" i="8"/>
  <c r="AY58" i="8"/>
  <c r="AY73" i="8"/>
  <c r="AY44" i="8"/>
  <c r="AY33" i="8"/>
  <c r="AY37" i="8"/>
  <c r="AY79" i="8"/>
  <c r="AY48" i="8"/>
  <c r="AY29" i="8"/>
  <c r="AY26" i="8"/>
  <c r="AY51" i="8"/>
  <c r="AY30" i="8"/>
  <c r="AY42" i="8"/>
  <c r="AY81" i="8"/>
  <c r="AY68" i="8"/>
  <c r="AY63" i="8"/>
  <c r="AY38" i="8"/>
  <c r="AY50" i="8"/>
  <c r="AY27" i="8"/>
  <c r="AY85" i="8"/>
  <c r="AY91" i="8"/>
  <c r="AY92" i="8"/>
  <c r="AY49" i="8"/>
  <c r="AY76" i="8"/>
  <c r="AY35" i="8"/>
  <c r="AY69" i="8"/>
  <c r="AY94" i="8"/>
  <c r="AY57" i="8"/>
  <c r="AY24" i="8"/>
  <c r="AY31" i="8"/>
  <c r="AY45" i="8"/>
  <c r="AY55" i="8"/>
  <c r="AY74" i="8"/>
  <c r="AY80" i="8"/>
  <c r="AY75" i="8"/>
  <c r="AY53" i="8"/>
  <c r="AY67" i="8"/>
  <c r="AY23" i="8"/>
  <c r="AY34" i="8"/>
  <c r="AY47" i="8"/>
  <c r="AY62" i="8"/>
  <c r="AY96" i="8"/>
  <c r="AY84" i="8"/>
  <c r="AY95" i="8"/>
  <c r="AY39" i="8"/>
  <c r="AY98" i="8"/>
  <c r="AY54" i="8"/>
  <c r="AY40" i="8"/>
  <c r="AY90" i="8"/>
  <c r="AY25" i="8"/>
  <c r="AY93" i="8"/>
  <c r="AY61" i="8"/>
  <c r="AY59" i="8"/>
  <c r="AY65" i="8"/>
  <c r="BA6" i="8"/>
  <c r="BB6" i="8" s="1"/>
  <c r="AZ6" i="8"/>
  <c r="BD6" i="8" s="1"/>
  <c r="BA22" i="8"/>
  <c r="BB22" i="8" s="1"/>
  <c r="AZ22" i="8"/>
  <c r="BD22" i="8" s="1"/>
  <c r="L58" i="11"/>
  <c r="J132" i="11"/>
  <c r="G132" i="11"/>
  <c r="F132" i="11"/>
  <c r="B133" i="11"/>
  <c r="E132" i="11"/>
  <c r="M132" i="11"/>
  <c r="D132" i="11"/>
  <c r="L132" i="11"/>
  <c r="C132" i="11"/>
  <c r="I132" i="11"/>
  <c r="H132" i="11"/>
  <c r="K132" i="11"/>
  <c r="Z18" i="8"/>
  <c r="AC18" i="8"/>
  <c r="L184" i="11"/>
  <c r="L179" i="11"/>
  <c r="J211" i="11"/>
  <c r="L209" i="11"/>
  <c r="L183" i="11"/>
  <c r="E184" i="11"/>
  <c r="L180" i="11"/>
  <c r="M184" i="11"/>
  <c r="L203" i="11"/>
  <c r="H211" i="11"/>
  <c r="G211" i="11"/>
  <c r="L176" i="11"/>
  <c r="L181" i="11"/>
  <c r="L207" i="11"/>
  <c r="L204" i="11"/>
  <c r="C184" i="11"/>
  <c r="L175" i="11"/>
  <c r="L177" i="11"/>
  <c r="C211" i="11"/>
  <c r="L201" i="11"/>
  <c r="G184" i="11"/>
  <c r="J184" i="11"/>
  <c r="D211" i="11"/>
  <c r="F211" i="11"/>
  <c r="M211" i="11"/>
  <c r="H184" i="11"/>
  <c r="L178" i="11"/>
  <c r="L211" i="11"/>
  <c r="E211" i="11"/>
  <c r="K211" i="11"/>
  <c r="D184" i="11"/>
  <c r="L206" i="11"/>
  <c r="L208" i="11"/>
  <c r="I211" i="11"/>
  <c r="L205" i="11"/>
  <c r="L202" i="11"/>
  <c r="K184" i="11"/>
  <c r="I184" i="11"/>
  <c r="F184" i="11"/>
  <c r="L182" i="11"/>
  <c r="AB22" i="8" l="1"/>
  <c r="AD21" i="8" s="1"/>
  <c r="U10" i="8"/>
  <c r="I18" i="10"/>
  <c r="I15" i="10" a="1"/>
  <c r="I15" i="10" s="1"/>
  <c r="J15" i="10" a="1"/>
  <c r="J15" i="10" s="1"/>
  <c r="J54" i="10" s="1"/>
  <c r="J56" i="10" s="1"/>
  <c r="U8" i="8"/>
  <c r="AA20" i="8"/>
  <c r="U6" i="8"/>
  <c r="AD8" i="8"/>
  <c r="AB15" i="8"/>
  <c r="U16" i="8" s="1"/>
  <c r="U15" i="8"/>
  <c r="AD6" i="8"/>
  <c r="AD22" i="8"/>
  <c r="BE20" i="8"/>
  <c r="BJ20" i="8" s="1"/>
  <c r="Y11" i="8"/>
  <c r="BE16" i="8"/>
  <c r="BJ16" i="8" s="1"/>
  <c r="BE10" i="8"/>
  <c r="BJ10" i="8" s="1"/>
  <c r="BE4" i="8"/>
  <c r="BE6" i="8"/>
  <c r="BJ6" i="8" s="1"/>
  <c r="BE12" i="8"/>
  <c r="BJ12" i="8" s="1"/>
  <c r="BE19" i="8"/>
  <c r="BJ19" i="8" s="1"/>
  <c r="BE21" i="8"/>
  <c r="BJ21" i="8" s="1"/>
  <c r="BE9" i="8"/>
  <c r="BJ9" i="8" s="1"/>
  <c r="BE14" i="8"/>
  <c r="BJ14" i="8" s="1"/>
  <c r="BE13" i="8"/>
  <c r="BJ13" i="8" s="1"/>
  <c r="B213" i="11"/>
  <c r="BA29" i="8"/>
  <c r="BB29" i="8" s="1"/>
  <c r="AZ29" i="8"/>
  <c r="BD29" i="8" s="1"/>
  <c r="AZ40" i="8"/>
  <c r="BD40" i="8" s="1"/>
  <c r="BA40" i="8"/>
  <c r="BB40" i="8" s="1"/>
  <c r="BA47" i="8"/>
  <c r="BB47" i="8" s="1"/>
  <c r="AZ47" i="8"/>
  <c r="BD47" i="8" s="1"/>
  <c r="BA55" i="8"/>
  <c r="BB55" i="8" s="1"/>
  <c r="AZ55" i="8"/>
  <c r="BD55" i="8" s="1"/>
  <c r="AZ76" i="8"/>
  <c r="BD76" i="8" s="1"/>
  <c r="BA76" i="8"/>
  <c r="BB76" i="8" s="1"/>
  <c r="BA63" i="8"/>
  <c r="BB63" i="8" s="1"/>
  <c r="AZ63" i="8"/>
  <c r="BD63" i="8" s="1"/>
  <c r="BA48" i="8"/>
  <c r="BB48" i="8" s="1"/>
  <c r="AZ48" i="8"/>
  <c r="BD48" i="8" s="1"/>
  <c r="BA41" i="8"/>
  <c r="BB41" i="8" s="1"/>
  <c r="AZ41" i="8"/>
  <c r="BD41" i="8" s="1"/>
  <c r="AZ66" i="8"/>
  <c r="BD66" i="8" s="1"/>
  <c r="BA66" i="8"/>
  <c r="BB66" i="8" s="1"/>
  <c r="AZ97" i="8"/>
  <c r="BD97" i="8" s="1"/>
  <c r="BA97" i="8"/>
  <c r="BB97" i="8" s="1"/>
  <c r="BA77" i="8"/>
  <c r="AZ77" i="8"/>
  <c r="BD77" i="8" s="1"/>
  <c r="BB77" i="8"/>
  <c r="B186" i="11"/>
  <c r="AD7" i="8"/>
  <c r="AA21" i="8"/>
  <c r="M4" i="13"/>
  <c r="AZ93" i="8"/>
  <c r="BD93" i="8" s="1"/>
  <c r="BA93" i="8"/>
  <c r="BB93" i="8" s="1"/>
  <c r="BA75" i="8"/>
  <c r="AZ75" i="8"/>
  <c r="BD75" i="8" s="1"/>
  <c r="BB75" i="8"/>
  <c r="BA27" i="8"/>
  <c r="BB27" i="8" s="1"/>
  <c r="AZ27" i="8"/>
  <c r="BD27" i="8" s="1"/>
  <c r="BA73" i="8"/>
  <c r="BB73" i="8" s="1"/>
  <c r="AZ73" i="8"/>
  <c r="BD73" i="8" s="1"/>
  <c r="BA32" i="8"/>
  <c r="BB32" i="8" s="1"/>
  <c r="AZ32" i="8"/>
  <c r="BD32" i="8" s="1"/>
  <c r="BA36" i="8"/>
  <c r="BB36" i="8" s="1"/>
  <c r="AZ36" i="8"/>
  <c r="BD36" i="8" s="1"/>
  <c r="BA82" i="8"/>
  <c r="BB82" i="8" s="1"/>
  <c r="AZ82" i="8"/>
  <c r="BD82" i="8" s="1"/>
  <c r="BE7" i="8"/>
  <c r="BJ7" i="8" s="1"/>
  <c r="AZ34" i="8"/>
  <c r="BD34" i="8" s="1"/>
  <c r="BA34" i="8"/>
  <c r="BB34" i="8" s="1"/>
  <c r="BA64" i="8"/>
  <c r="BB64" i="8" s="1"/>
  <c r="AZ64" i="8"/>
  <c r="BD64" i="8" s="1"/>
  <c r="AD5" i="8"/>
  <c r="AI5" i="8" s="1"/>
  <c r="AJ4" i="8" s="1"/>
  <c r="B161" i="11"/>
  <c r="F160" i="11"/>
  <c r="I160" i="11"/>
  <c r="E160" i="11"/>
  <c r="H160" i="11"/>
  <c r="G160" i="11"/>
  <c r="D160" i="11"/>
  <c r="C160" i="11"/>
  <c r="M160" i="11"/>
  <c r="K160" i="11"/>
  <c r="L160" i="11"/>
  <c r="J160" i="11"/>
  <c r="BE8" i="8"/>
  <c r="BJ8" i="8" s="1"/>
  <c r="B61" i="11"/>
  <c r="F60" i="11"/>
  <c r="M60" i="11"/>
  <c r="E60" i="11"/>
  <c r="L60" i="11"/>
  <c r="D60" i="11"/>
  <c r="K60" i="11"/>
  <c r="C60" i="11"/>
  <c r="J60" i="11"/>
  <c r="G60" i="11"/>
  <c r="I60" i="11"/>
  <c r="H60" i="11"/>
  <c r="AZ95" i="8"/>
  <c r="BA95" i="8"/>
  <c r="BB95" i="8" s="1"/>
  <c r="BD95" i="8"/>
  <c r="BA57" i="8"/>
  <c r="BB57" i="8" s="1"/>
  <c r="AZ57" i="8"/>
  <c r="BD57" i="8" s="1"/>
  <c r="BA30" i="8"/>
  <c r="BB30" i="8" s="1"/>
  <c r="AZ30" i="8"/>
  <c r="BD30" i="8" s="1"/>
  <c r="BA28" i="8"/>
  <c r="BB28" i="8" s="1"/>
  <c r="AZ28" i="8"/>
  <c r="BD28" i="8" s="1"/>
  <c r="AZ43" i="8"/>
  <c r="BD43" i="8" s="1"/>
  <c r="BA43" i="8"/>
  <c r="BB43" i="8" s="1"/>
  <c r="AB20" i="8"/>
  <c r="AD20" i="8" s="1"/>
  <c r="M97" i="11"/>
  <c r="M98" i="11"/>
  <c r="M99" i="11"/>
  <c r="M100" i="11"/>
  <c r="M101" i="11"/>
  <c r="M102" i="11"/>
  <c r="M103" i="11"/>
  <c r="M104" i="11"/>
  <c r="M105" i="11"/>
  <c r="BA84" i="8"/>
  <c r="BB84" i="8" s="1"/>
  <c r="AZ84" i="8"/>
  <c r="BD84" i="8" s="1"/>
  <c r="BA94" i="8"/>
  <c r="BB94" i="8" s="1"/>
  <c r="AZ94" i="8"/>
  <c r="BD94" i="8" s="1"/>
  <c r="BA51" i="8"/>
  <c r="BB51" i="8" s="1"/>
  <c r="AZ51" i="8"/>
  <c r="BD51" i="8" s="1"/>
  <c r="BE15" i="8"/>
  <c r="BJ15" i="8" s="1"/>
  <c r="BA25" i="8"/>
  <c r="BB25" i="8" s="1"/>
  <c r="AZ25" i="8"/>
  <c r="BD25" i="8" s="1"/>
  <c r="AZ96" i="8"/>
  <c r="BA96" i="8"/>
  <c r="BD96" i="8"/>
  <c r="BB96" i="8"/>
  <c r="BA80" i="8"/>
  <c r="AZ80" i="8"/>
  <c r="BD80" i="8" s="1"/>
  <c r="BB80" i="8"/>
  <c r="BA69" i="8"/>
  <c r="BB69" i="8" s="1"/>
  <c r="AZ69" i="8"/>
  <c r="BD69" i="8" s="1"/>
  <c r="AZ50" i="8"/>
  <c r="BD50" i="8" s="1"/>
  <c r="BA50" i="8"/>
  <c r="BB50" i="8" s="1"/>
  <c r="BA26" i="8"/>
  <c r="BB26" i="8" s="1"/>
  <c r="AZ26" i="8"/>
  <c r="BD26" i="8" s="1"/>
  <c r="AZ58" i="8"/>
  <c r="BD58" i="8" s="1"/>
  <c r="BA58" i="8"/>
  <c r="BB58" i="8" s="1"/>
  <c r="BA46" i="8"/>
  <c r="AZ46" i="8"/>
  <c r="BD46" i="8" s="1"/>
  <c r="BB46" i="8"/>
  <c r="BA78" i="8"/>
  <c r="BB78" i="8" s="1"/>
  <c r="AZ78" i="8"/>
  <c r="BD78" i="8" s="1"/>
  <c r="AZ87" i="8"/>
  <c r="BD87" i="8" s="1"/>
  <c r="BA87" i="8"/>
  <c r="BB87" i="8" s="1"/>
  <c r="BE17" i="8"/>
  <c r="BJ17" i="8" s="1"/>
  <c r="H4" i="13"/>
  <c r="AZ62" i="8"/>
  <c r="BD62" i="8" s="1"/>
  <c r="BA62" i="8"/>
  <c r="BB62" i="8" s="1"/>
  <c r="AZ89" i="8"/>
  <c r="BD89" i="8" s="1"/>
  <c r="BA89" i="8"/>
  <c r="BB89" i="8" s="1"/>
  <c r="BE18" i="8"/>
  <c r="BJ18" i="8" s="1"/>
  <c r="BA45" i="8"/>
  <c r="BB45" i="8" s="1"/>
  <c r="AZ45" i="8"/>
  <c r="BD45" i="8" s="1"/>
  <c r="BA79" i="8"/>
  <c r="BB79" i="8" s="1"/>
  <c r="AZ79" i="8"/>
  <c r="BD79" i="8" s="1"/>
  <c r="BA70" i="8"/>
  <c r="BB70" i="8" s="1"/>
  <c r="AZ70" i="8"/>
  <c r="BD70" i="8" s="1"/>
  <c r="AZ101" i="8"/>
  <c r="BD101" i="8" s="1"/>
  <c r="BA101" i="8"/>
  <c r="BB101" i="8" s="1"/>
  <c r="B134" i="11"/>
  <c r="F133" i="11"/>
  <c r="M133" i="11"/>
  <c r="D133" i="11"/>
  <c r="L133" i="11"/>
  <c r="C133" i="11"/>
  <c r="K133" i="11"/>
  <c r="J133" i="11"/>
  <c r="I133" i="11"/>
  <c r="G133" i="11"/>
  <c r="E133" i="11"/>
  <c r="H133" i="11"/>
  <c r="BA65" i="8"/>
  <c r="BB65" i="8" s="1"/>
  <c r="AZ65" i="8"/>
  <c r="BD65" i="8" s="1"/>
  <c r="AZ98" i="8"/>
  <c r="BD98" i="8" s="1"/>
  <c r="BA98" i="8"/>
  <c r="BB98" i="8" s="1"/>
  <c r="BA23" i="8"/>
  <c r="BB23" i="8" s="1"/>
  <c r="AZ23" i="8"/>
  <c r="BD23" i="8" s="1"/>
  <c r="BA31" i="8"/>
  <c r="BB31" i="8" s="1"/>
  <c r="AZ31" i="8"/>
  <c r="BD31" i="8" s="1"/>
  <c r="BA92" i="8"/>
  <c r="BB92" i="8" s="1"/>
  <c r="AZ92" i="8"/>
  <c r="BD92" i="8" s="1"/>
  <c r="BA81" i="8"/>
  <c r="BB81" i="8" s="1"/>
  <c r="AZ81" i="8"/>
  <c r="BD81" i="8" s="1"/>
  <c r="AZ37" i="8"/>
  <c r="BD37" i="8" s="1"/>
  <c r="BA37" i="8"/>
  <c r="BB37" i="8" s="1"/>
  <c r="BA86" i="8"/>
  <c r="BB86" i="8" s="1"/>
  <c r="AZ86" i="8"/>
  <c r="BD86" i="8" s="1"/>
  <c r="BA56" i="8"/>
  <c r="BB56" i="8" s="1"/>
  <c r="AZ56" i="8"/>
  <c r="BD56" i="8" s="1"/>
  <c r="BA72" i="8"/>
  <c r="BB72" i="8" s="1"/>
  <c r="AZ72" i="8"/>
  <c r="BD72" i="8" s="1"/>
  <c r="AZ102" i="8"/>
  <c r="BD102" i="8" s="1"/>
  <c r="BA102" i="8"/>
  <c r="BB102" i="8" s="1"/>
  <c r="U12" i="8"/>
  <c r="M48" i="11"/>
  <c r="M50" i="11"/>
  <c r="M49" i="11"/>
  <c r="M51" i="11"/>
  <c r="M52" i="11"/>
  <c r="M53" i="11"/>
  <c r="M54" i="11"/>
  <c r="M55" i="11"/>
  <c r="M56" i="11"/>
  <c r="M57" i="11"/>
  <c r="M58" i="11"/>
  <c r="BE11" i="8"/>
  <c r="BJ11" i="8" s="1"/>
  <c r="BE5" i="8"/>
  <c r="BJ5" i="8" s="1"/>
  <c r="BA61" i="8"/>
  <c r="BB61" i="8" s="1"/>
  <c r="AZ61" i="8"/>
  <c r="BD61" i="8" s="1"/>
  <c r="AZ53" i="8"/>
  <c r="BD53" i="8" s="1"/>
  <c r="BA53" i="8"/>
  <c r="BB53" i="8" s="1"/>
  <c r="AZ85" i="8"/>
  <c r="BD85" i="8" s="1"/>
  <c r="BA85" i="8"/>
  <c r="BB85" i="8" s="1"/>
  <c r="BA44" i="8"/>
  <c r="BB44" i="8" s="1"/>
  <c r="AZ44" i="8"/>
  <c r="BD44" i="8" s="1"/>
  <c r="AZ100" i="8"/>
  <c r="BD100" i="8" s="1"/>
  <c r="BA100" i="8"/>
  <c r="BB100" i="8" s="1"/>
  <c r="M107" i="11"/>
  <c r="E107" i="11"/>
  <c r="L107" i="11"/>
  <c r="C107" i="11"/>
  <c r="K107" i="11"/>
  <c r="J107" i="11"/>
  <c r="I107" i="11"/>
  <c r="H107" i="11"/>
  <c r="B108" i="11"/>
  <c r="F107" i="11"/>
  <c r="D107" i="11"/>
  <c r="G107" i="11"/>
  <c r="AA19" i="8"/>
  <c r="BA90" i="8"/>
  <c r="BB90" i="8" s="1"/>
  <c r="AZ90" i="8"/>
  <c r="BD90" i="8" s="1"/>
  <c r="BA74" i="8"/>
  <c r="BB74" i="8" s="1"/>
  <c r="AZ74" i="8"/>
  <c r="BD74" i="8" s="1"/>
  <c r="AZ35" i="8"/>
  <c r="BD35" i="8" s="1"/>
  <c r="BA35" i="8"/>
  <c r="BB35" i="8" s="1"/>
  <c r="BA38" i="8"/>
  <c r="BB38" i="8" s="1"/>
  <c r="AZ38" i="8"/>
  <c r="BD38" i="8" s="1"/>
  <c r="AZ60" i="8"/>
  <c r="BD60" i="8" s="1"/>
  <c r="BA60" i="8"/>
  <c r="BB60" i="8" s="1"/>
  <c r="BA88" i="8"/>
  <c r="BB88" i="8" s="1"/>
  <c r="AZ88" i="8"/>
  <c r="BD88" i="8" s="1"/>
  <c r="Y8" i="8"/>
  <c r="AA8" i="8" s="1"/>
  <c r="AZ54" i="8"/>
  <c r="BD54" i="8" s="1"/>
  <c r="BA54" i="8"/>
  <c r="BB54" i="8" s="1"/>
  <c r="BA49" i="8"/>
  <c r="BB49" i="8" s="1"/>
  <c r="AZ49" i="8"/>
  <c r="BD49" i="8" s="1"/>
  <c r="BA68" i="8"/>
  <c r="BB68" i="8" s="1"/>
  <c r="AZ68" i="8"/>
  <c r="BD68" i="8" s="1"/>
  <c r="BA52" i="8"/>
  <c r="BB52" i="8" s="1"/>
  <c r="AZ52" i="8"/>
  <c r="BD52" i="8" s="1"/>
  <c r="BA59" i="8"/>
  <c r="BB59" i="8" s="1"/>
  <c r="AZ59" i="8"/>
  <c r="BD59" i="8" s="1"/>
  <c r="AZ39" i="8"/>
  <c r="BD39" i="8" s="1"/>
  <c r="BA39" i="8"/>
  <c r="BB39" i="8" s="1"/>
  <c r="BA67" i="8"/>
  <c r="BB67" i="8" s="1"/>
  <c r="AZ67" i="8"/>
  <c r="BD67" i="8" s="1"/>
  <c r="AZ24" i="8"/>
  <c r="BD24" i="8" s="1"/>
  <c r="BA24" i="8"/>
  <c r="BB24" i="8" s="1"/>
  <c r="BA91" i="8"/>
  <c r="BB91" i="8" s="1"/>
  <c r="AZ91" i="8"/>
  <c r="BD91" i="8" s="1"/>
  <c r="AZ42" i="8"/>
  <c r="BD42" i="8" s="1"/>
  <c r="BA42" i="8"/>
  <c r="BB42" i="8" s="1"/>
  <c r="AZ33" i="8"/>
  <c r="BD33" i="8" s="1"/>
  <c r="BA33" i="8"/>
  <c r="BB33" i="8" s="1"/>
  <c r="AZ99" i="8"/>
  <c r="BD99" i="8" s="1"/>
  <c r="BA99" i="8"/>
  <c r="BB99" i="8" s="1"/>
  <c r="AZ83" i="8"/>
  <c r="BD83" i="8" s="1"/>
  <c r="BA83" i="8"/>
  <c r="BB83" i="8" s="1"/>
  <c r="AZ71" i="8"/>
  <c r="BD71" i="8" s="1"/>
  <c r="BA71" i="8"/>
  <c r="BB71" i="8" s="1"/>
  <c r="AZ103" i="8"/>
  <c r="BD103" i="8" s="1"/>
  <c r="AY104" i="8"/>
  <c r="BA103" i="8"/>
  <c r="BB103" i="8" s="1"/>
  <c r="U20" i="8"/>
  <c r="AB12" i="8"/>
  <c r="M123" i="11"/>
  <c r="M149" i="11"/>
  <c r="M150" i="11"/>
  <c r="M151" i="11"/>
  <c r="M124" i="11"/>
  <c r="M152" i="11"/>
  <c r="M125" i="11"/>
  <c r="M153" i="11"/>
  <c r="M126" i="11"/>
  <c r="M127" i="11"/>
  <c r="M154" i="11"/>
  <c r="M155" i="11"/>
  <c r="M128" i="11"/>
  <c r="M129" i="11"/>
  <c r="M156" i="11"/>
  <c r="M130" i="11"/>
  <c r="M157" i="11"/>
  <c r="M131" i="11"/>
  <c r="M158" i="11"/>
  <c r="AA22" i="8"/>
  <c r="M106" i="11"/>
  <c r="M178" i="11"/>
  <c r="D212" i="11"/>
  <c r="H185" i="11"/>
  <c r="M207" i="11"/>
  <c r="K185" i="11"/>
  <c r="M203" i="11"/>
  <c r="M201" i="11"/>
  <c r="M181" i="11"/>
  <c r="F212" i="11"/>
  <c r="M210" i="11"/>
  <c r="BG9" i="8"/>
  <c r="BG11" i="8"/>
  <c r="I185" i="11"/>
  <c r="M209" i="11"/>
  <c r="M205" i="11"/>
  <c r="J212" i="11"/>
  <c r="L212" i="11"/>
  <c r="G185" i="11"/>
  <c r="G212" i="11"/>
  <c r="E212" i="11"/>
  <c r="M175" i="11"/>
  <c r="M180" i="11"/>
  <c r="BG21" i="8"/>
  <c r="BG4" i="8"/>
  <c r="F185" i="11"/>
  <c r="M204" i="11"/>
  <c r="M202" i="11"/>
  <c r="M212" i="11"/>
  <c r="H212" i="11"/>
  <c r="M185" i="11"/>
  <c r="K212" i="11"/>
  <c r="M176" i="11"/>
  <c r="M208" i="11"/>
  <c r="BG20" i="8"/>
  <c r="M182" i="11"/>
  <c r="L185" i="11"/>
  <c r="M177" i="11"/>
  <c r="M206" i="11"/>
  <c r="C212" i="11"/>
  <c r="C185" i="11"/>
  <c r="M179" i="11"/>
  <c r="E185" i="11"/>
  <c r="J185" i="11"/>
  <c r="M183" i="11"/>
  <c r="D185" i="11"/>
  <c r="I212" i="11"/>
  <c r="BG15" i="8"/>
  <c r="R49" i="10" l="1"/>
  <c r="R91" i="10"/>
  <c r="R88" i="10"/>
  <c r="R61" i="10"/>
  <c r="Q58" i="10"/>
  <c r="Q95" i="10"/>
  <c r="Q10" i="10"/>
  <c r="J50" i="10"/>
  <c r="Q86" i="10"/>
  <c r="R85" i="10"/>
  <c r="R4" i="10"/>
  <c r="R81" i="10"/>
  <c r="Q68" i="10"/>
  <c r="Q48" i="10"/>
  <c r="R92" i="10"/>
  <c r="Q96" i="10"/>
  <c r="R78" i="10"/>
  <c r="R44" i="10"/>
  <c r="Q75" i="10"/>
  <c r="Q33" i="10"/>
  <c r="Q50" i="10"/>
  <c r="AB16" i="8"/>
  <c r="AB17" i="8" s="1"/>
  <c r="Q56" i="10"/>
  <c r="Q13" i="10"/>
  <c r="R58" i="10"/>
  <c r="R48" i="10"/>
  <c r="R10" i="10"/>
  <c r="Q70" i="10"/>
  <c r="R57" i="10"/>
  <c r="R47" i="10"/>
  <c r="R80" i="10"/>
  <c r="Q89" i="10"/>
  <c r="Q91" i="10"/>
  <c r="Q66" i="10"/>
  <c r="R6" i="10"/>
  <c r="Q22" i="10"/>
  <c r="R99" i="10"/>
  <c r="R39" i="10"/>
  <c r="R98" i="10"/>
  <c r="R79" i="10"/>
  <c r="R8" i="10"/>
  <c r="Q63" i="10"/>
  <c r="Q60" i="10"/>
  <c r="R5" i="10"/>
  <c r="Q28" i="10"/>
  <c r="R24" i="10"/>
  <c r="R68" i="10"/>
  <c r="Q72" i="10"/>
  <c r="Q94" i="10"/>
  <c r="Q88" i="10"/>
  <c r="R63" i="10"/>
  <c r="Q77" i="10"/>
  <c r="R72" i="10"/>
  <c r="Q97" i="10"/>
  <c r="R11" i="10"/>
  <c r="Q26" i="10"/>
  <c r="R103" i="10"/>
  <c r="Q20" i="10"/>
  <c r="R32" i="10"/>
  <c r="Q100" i="10"/>
  <c r="Q51" i="10"/>
  <c r="R76" i="10"/>
  <c r="R41" i="10"/>
  <c r="R26" i="10"/>
  <c r="Q14" i="10"/>
  <c r="Q15" i="10"/>
  <c r="Q16" i="10"/>
  <c r="R84" i="10"/>
  <c r="Q41" i="10"/>
  <c r="R33" i="10"/>
  <c r="Q98" i="10"/>
  <c r="Q25" i="10"/>
  <c r="R66" i="10"/>
  <c r="R65" i="10"/>
  <c r="Q61" i="10"/>
  <c r="Q64" i="10"/>
  <c r="Q8" i="10"/>
  <c r="R55" i="10"/>
  <c r="Q29" i="10"/>
  <c r="Q103" i="10"/>
  <c r="Q84" i="10"/>
  <c r="R30" i="10"/>
  <c r="Q78" i="10"/>
  <c r="R93" i="10"/>
  <c r="Q5" i="10"/>
  <c r="R71" i="10"/>
  <c r="Q54" i="10"/>
  <c r="R82" i="10"/>
  <c r="Q27" i="10"/>
  <c r="Q92" i="10"/>
  <c r="R38" i="10"/>
  <c r="R60" i="10"/>
  <c r="R51" i="10"/>
  <c r="R89" i="10"/>
  <c r="R56" i="10"/>
  <c r="R94" i="10"/>
  <c r="Q40" i="10"/>
  <c r="R53" i="10"/>
  <c r="Q17" i="10"/>
  <c r="R7" i="10"/>
  <c r="Q57" i="10"/>
  <c r="Q7" i="10"/>
  <c r="R9" i="10"/>
  <c r="R67" i="10"/>
  <c r="Q76" i="10"/>
  <c r="Q59" i="10"/>
  <c r="R97" i="10"/>
  <c r="Q31" i="10"/>
  <c r="R22" i="10"/>
  <c r="R23" i="10"/>
  <c r="R19" i="10"/>
  <c r="R34" i="10"/>
  <c r="Q62" i="10"/>
  <c r="R95" i="10"/>
  <c r="R28" i="10"/>
  <c r="R54" i="10"/>
  <c r="Q69" i="10"/>
  <c r="Q87" i="10"/>
  <c r="R75" i="10"/>
  <c r="R86" i="10"/>
  <c r="R42" i="10"/>
  <c r="Q35" i="10"/>
  <c r="Q52" i="10"/>
  <c r="Q6" i="10"/>
  <c r="R64" i="10"/>
  <c r="R45" i="10"/>
  <c r="R70" i="10"/>
  <c r="Q30" i="10"/>
  <c r="Q90" i="10"/>
  <c r="R43" i="10"/>
  <c r="R27" i="10"/>
  <c r="R12" i="10"/>
  <c r="Q38" i="10"/>
  <c r="Q102" i="10"/>
  <c r="R90" i="10"/>
  <c r="R77" i="10"/>
  <c r="Q11" i="10"/>
  <c r="Q21" i="10"/>
  <c r="R21" i="10"/>
  <c r="Q32" i="10"/>
  <c r="Q36" i="10"/>
  <c r="R74" i="10"/>
  <c r="Q42" i="10"/>
  <c r="R102" i="10"/>
  <c r="R15" i="10"/>
  <c r="R35" i="10"/>
  <c r="Q47" i="10"/>
  <c r="Q85" i="10"/>
  <c r="Q39" i="10"/>
  <c r="Q37" i="10"/>
  <c r="Q67" i="10"/>
  <c r="R16" i="10"/>
  <c r="R96" i="10"/>
  <c r="Q93" i="10"/>
  <c r="Q53" i="10"/>
  <c r="Q81" i="10"/>
  <c r="I50" i="10"/>
  <c r="R31" i="10"/>
  <c r="Q99" i="10"/>
  <c r="R37" i="10"/>
  <c r="R25" i="10"/>
  <c r="Q45" i="10"/>
  <c r="R100" i="10"/>
  <c r="R52" i="10"/>
  <c r="Q18" i="10"/>
  <c r="Q34" i="10"/>
  <c r="Q43" i="10"/>
  <c r="Q4" i="10"/>
  <c r="Q49" i="10"/>
  <c r="Q71" i="10"/>
  <c r="Q19" i="10"/>
  <c r="R17" i="10"/>
  <c r="Q83" i="10"/>
  <c r="R29" i="10"/>
  <c r="R50" i="10"/>
  <c r="Q73" i="10"/>
  <c r="Q46" i="10"/>
  <c r="R40" i="10"/>
  <c r="Q80" i="10"/>
  <c r="R69" i="10"/>
  <c r="R59" i="10"/>
  <c r="Q55" i="10"/>
  <c r="Q79" i="10"/>
  <c r="R20" i="10"/>
  <c r="Q23" i="10"/>
  <c r="R18" i="10"/>
  <c r="R14" i="10"/>
  <c r="Q65" i="10"/>
  <c r="Q101" i="10"/>
  <c r="R83" i="10"/>
  <c r="R87" i="10"/>
  <c r="R13" i="10"/>
  <c r="Q74" i="10"/>
  <c r="R62" i="10"/>
  <c r="Q44" i="10"/>
  <c r="R101" i="10"/>
  <c r="R73" i="10"/>
  <c r="Q9" i="10"/>
  <c r="R36" i="10"/>
  <c r="Q82" i="10"/>
  <c r="Q12" i="10"/>
  <c r="R46" i="10"/>
  <c r="Q24" i="10"/>
  <c r="AA5" i="8"/>
  <c r="AE5" i="8" s="1"/>
  <c r="E5" i="8" s="1"/>
  <c r="AA7" i="8"/>
  <c r="BE83" i="8"/>
  <c r="BE37" i="8"/>
  <c r="BJ37" i="8" s="1"/>
  <c r="BE35" i="8"/>
  <c r="BJ35" i="8" s="1"/>
  <c r="BE98" i="8"/>
  <c r="BE36" i="8"/>
  <c r="BJ36" i="8" s="1"/>
  <c r="BE97" i="8"/>
  <c r="BE40" i="8"/>
  <c r="BJ40" i="8" s="1"/>
  <c r="BE60" i="8"/>
  <c r="BJ60" i="8" s="1"/>
  <c r="BE50" i="8"/>
  <c r="BJ50" i="8" s="1"/>
  <c r="BE84" i="8"/>
  <c r="BE34" i="8"/>
  <c r="BJ34" i="8" s="1"/>
  <c r="BE93" i="8"/>
  <c r="BE75" i="8"/>
  <c r="BE48" i="8"/>
  <c r="BJ48" i="8" s="1"/>
  <c r="K4" i="13"/>
  <c r="AK4" i="8"/>
  <c r="AL4" i="8" s="1"/>
  <c r="J4" i="13" s="1"/>
  <c r="BE71" i="8"/>
  <c r="BE33" i="8"/>
  <c r="BJ33" i="8" s="1"/>
  <c r="BE59" i="8"/>
  <c r="BJ59" i="8" s="1"/>
  <c r="BE69" i="8"/>
  <c r="BE51" i="8"/>
  <c r="BJ51" i="8" s="1"/>
  <c r="BE30" i="8"/>
  <c r="BJ30" i="8" s="1"/>
  <c r="BE43" i="8"/>
  <c r="BE64" i="8"/>
  <c r="BJ64" i="8" s="1"/>
  <c r="BE85" i="8"/>
  <c r="BE79" i="8"/>
  <c r="BE73" i="8"/>
  <c r="BE91" i="8"/>
  <c r="BE100" i="8"/>
  <c r="BE54" i="8"/>
  <c r="BJ54" i="8" s="1"/>
  <c r="BE27" i="8"/>
  <c r="BJ27" i="8" s="1"/>
  <c r="BE67" i="8"/>
  <c r="BE88" i="8"/>
  <c r="BE57" i="8"/>
  <c r="BJ57" i="8" s="1"/>
  <c r="BE47" i="8"/>
  <c r="BJ47" i="8" s="1"/>
  <c r="BE61" i="8"/>
  <c r="BJ61" i="8" s="1"/>
  <c r="BE89" i="8"/>
  <c r="BE78" i="8"/>
  <c r="BE80" i="8"/>
  <c r="BE25" i="8"/>
  <c r="BJ25" i="8" s="1"/>
  <c r="J61" i="11"/>
  <c r="I61" i="11"/>
  <c r="H61" i="11"/>
  <c r="B62" i="11"/>
  <c r="G61" i="11"/>
  <c r="F61" i="11"/>
  <c r="M61" i="11"/>
  <c r="L61" i="11"/>
  <c r="E61" i="11"/>
  <c r="C61" i="11"/>
  <c r="K61" i="11"/>
  <c r="D61" i="11"/>
  <c r="BE42" i="8"/>
  <c r="BE81" i="8"/>
  <c r="BE31" i="8"/>
  <c r="BJ31" i="8" s="1"/>
  <c r="BE46" i="8"/>
  <c r="BJ46" i="8" s="1"/>
  <c r="BE26" i="8"/>
  <c r="BJ26" i="8" s="1"/>
  <c r="BN15" i="8"/>
  <c r="X16" i="13" s="1"/>
  <c r="BF15" i="8"/>
  <c r="BE95" i="8"/>
  <c r="M5" i="13"/>
  <c r="AI6" i="8"/>
  <c r="AJ5" i="8" s="1"/>
  <c r="B187" i="11"/>
  <c r="BE24" i="8"/>
  <c r="BJ24" i="8" s="1"/>
  <c r="BE68" i="8"/>
  <c r="U13" i="8"/>
  <c r="AB13" i="8"/>
  <c r="AD13" i="8" s="1"/>
  <c r="B109" i="11"/>
  <c r="G108" i="11"/>
  <c r="H108" i="11"/>
  <c r="F108" i="11"/>
  <c r="E108" i="11"/>
  <c r="M108" i="11"/>
  <c r="D108" i="11"/>
  <c r="L108" i="11"/>
  <c r="C108" i="11"/>
  <c r="I108" i="11"/>
  <c r="J108" i="11"/>
  <c r="K108" i="11"/>
  <c r="BE72" i="8"/>
  <c r="BE86" i="8"/>
  <c r="J134" i="11"/>
  <c r="K134" i="11"/>
  <c r="I134" i="11"/>
  <c r="H134" i="11"/>
  <c r="G134" i="11"/>
  <c r="F134" i="11"/>
  <c r="M134" i="11"/>
  <c r="D134" i="11"/>
  <c r="B135" i="11"/>
  <c r="L134" i="11"/>
  <c r="C134" i="11"/>
  <c r="E134" i="11"/>
  <c r="BE70" i="8"/>
  <c r="BE45" i="8"/>
  <c r="BJ45" i="8" s="1"/>
  <c r="BE62" i="8"/>
  <c r="BJ62" i="8" s="1"/>
  <c r="BE87" i="8"/>
  <c r="BE96" i="8"/>
  <c r="BE94" i="8"/>
  <c r="AA6" i="8"/>
  <c r="B214" i="11"/>
  <c r="BN9" i="8"/>
  <c r="X10" i="13" s="1"/>
  <c r="BF9" i="8"/>
  <c r="Y12" i="8"/>
  <c r="BE44" i="8"/>
  <c r="BE53" i="8"/>
  <c r="BJ53" i="8" s="1"/>
  <c r="BE92" i="8"/>
  <c r="BE23" i="8"/>
  <c r="BJ23" i="8" s="1"/>
  <c r="BE65" i="8"/>
  <c r="BE82" i="8"/>
  <c r="BE32" i="8"/>
  <c r="BJ32" i="8" s="1"/>
  <c r="BE66" i="8"/>
  <c r="BE76" i="8"/>
  <c r="BF21" i="8"/>
  <c r="BN21" i="8"/>
  <c r="X22" i="13" s="1"/>
  <c r="BF4" i="8"/>
  <c r="BN4" i="8"/>
  <c r="X5" i="13" s="1"/>
  <c r="BE74" i="8"/>
  <c r="BN11" i="8"/>
  <c r="X12" i="13" s="1"/>
  <c r="BF11" i="8"/>
  <c r="BE102" i="8"/>
  <c r="BE56" i="8"/>
  <c r="BJ56" i="8" s="1"/>
  <c r="BE101" i="8"/>
  <c r="BE28" i="8"/>
  <c r="BJ28" i="8" s="1"/>
  <c r="BE77" i="8"/>
  <c r="BE29" i="8"/>
  <c r="BJ29" i="8" s="1"/>
  <c r="AD19" i="8"/>
  <c r="BJ4" i="8"/>
  <c r="BE22" i="8"/>
  <c r="BE52" i="8"/>
  <c r="BJ52" i="8" s="1"/>
  <c r="BF20" i="8"/>
  <c r="BN20" i="8"/>
  <c r="X21" i="13" s="1"/>
  <c r="BE99" i="8"/>
  <c r="BE39" i="8"/>
  <c r="BJ39" i="8" s="1"/>
  <c r="BE90" i="8"/>
  <c r="BE49" i="8"/>
  <c r="BJ49" i="8" s="1"/>
  <c r="BE38" i="8"/>
  <c r="BJ38" i="8" s="1"/>
  <c r="AZ104" i="8"/>
  <c r="BD104" i="8" s="1"/>
  <c r="BE103" i="8" s="1"/>
  <c r="BA104" i="8"/>
  <c r="BB104" i="8" s="1"/>
  <c r="BE58" i="8"/>
  <c r="BJ58" i="8" s="1"/>
  <c r="J161" i="11"/>
  <c r="F161" i="11"/>
  <c r="L161" i="11"/>
  <c r="C161" i="11"/>
  <c r="H161" i="11"/>
  <c r="G161" i="11"/>
  <c r="E161" i="11"/>
  <c r="D161" i="11"/>
  <c r="B162" i="11"/>
  <c r="K161" i="11"/>
  <c r="I161" i="11"/>
  <c r="M161" i="11"/>
  <c r="BE41" i="8"/>
  <c r="BE63" i="8"/>
  <c r="BJ63" i="8" s="1"/>
  <c r="BE55" i="8"/>
  <c r="BJ55" i="8" s="1"/>
  <c r="J213" i="11"/>
  <c r="K186" i="11"/>
  <c r="K213" i="11"/>
  <c r="M213" i="11"/>
  <c r="H186" i="11"/>
  <c r="C213" i="11"/>
  <c r="BG43" i="8"/>
  <c r="BG12" i="8"/>
  <c r="BG6" i="8"/>
  <c r="BG68" i="8"/>
  <c r="BG94" i="8"/>
  <c r="BG66" i="8"/>
  <c r="BG19" i="8"/>
  <c r="BG100" i="8"/>
  <c r="BG13" i="8"/>
  <c r="BG75" i="8"/>
  <c r="BG71" i="8"/>
  <c r="BG77" i="8"/>
  <c r="BG76" i="8"/>
  <c r="E213" i="11"/>
  <c r="E186" i="11"/>
  <c r="I213" i="11"/>
  <c r="L213" i="11"/>
  <c r="F213" i="11"/>
  <c r="BG74" i="8"/>
  <c r="BG7" i="8"/>
  <c r="BG89" i="8"/>
  <c r="BG42" i="8"/>
  <c r="BG65" i="8"/>
  <c r="F186" i="11"/>
  <c r="J186" i="11"/>
  <c r="I186" i="11"/>
  <c r="D213" i="11"/>
  <c r="G213" i="11"/>
  <c r="BG18" i="8"/>
  <c r="BG10" i="8"/>
  <c r="BG82" i="8"/>
  <c r="BG54" i="8"/>
  <c r="BG50" i="8"/>
  <c r="BG90" i="8"/>
  <c r="BG80" i="8"/>
  <c r="BG8" i="8"/>
  <c r="BG79" i="8"/>
  <c r="BG86" i="8"/>
  <c r="BG99" i="8"/>
  <c r="BG93" i="8"/>
  <c r="BG44" i="8"/>
  <c r="C186" i="11"/>
  <c r="L186" i="11"/>
  <c r="M186" i="11"/>
  <c r="H213" i="11"/>
  <c r="D186" i="11"/>
  <c r="G186" i="11"/>
  <c r="BG103" i="8"/>
  <c r="BG5" i="8"/>
  <c r="BG87" i="8"/>
  <c r="BG14" i="8"/>
  <c r="BG56" i="8"/>
  <c r="BG78" i="8"/>
  <c r="BG39" i="8"/>
  <c r="BG84" i="8"/>
  <c r="BG85" i="8"/>
  <c r="BG67" i="8"/>
  <c r="BG98" i="8"/>
  <c r="BG97" i="8"/>
  <c r="BG102" i="8"/>
  <c r="BG83" i="8"/>
  <c r="BG16" i="8"/>
  <c r="BG92" i="8"/>
  <c r="BG73" i="8"/>
  <c r="BG17" i="8"/>
  <c r="BG40" i="8"/>
  <c r="BG95" i="8"/>
  <c r="BG91" i="8"/>
  <c r="U17" i="8" l="1"/>
  <c r="V10" i="10"/>
  <c r="AC10" i="10" s="1"/>
  <c r="V4" i="10"/>
  <c r="AC4" i="10" s="1"/>
  <c r="U43" i="10"/>
  <c r="AB43" i="10" s="1"/>
  <c r="V54" i="10"/>
  <c r="V18" i="10"/>
  <c r="AC18" i="10" s="1"/>
  <c r="AF4" i="8"/>
  <c r="U31" i="10"/>
  <c r="AB31" i="10" s="1"/>
  <c r="V77" i="10"/>
  <c r="AC77" i="10" s="1"/>
  <c r="V44" i="10"/>
  <c r="U8" i="10"/>
  <c r="AB8" i="10" s="1"/>
  <c r="U76" i="10"/>
  <c r="AB76" i="10" s="1"/>
  <c r="V53" i="10"/>
  <c r="AC53" i="10" s="1"/>
  <c r="U92" i="10"/>
  <c r="AB92" i="10" s="1"/>
  <c r="U49" i="10"/>
  <c r="AB49" i="10" s="1"/>
  <c r="U103" i="10"/>
  <c r="AB103" i="10" s="1"/>
  <c r="V16" i="10"/>
  <c r="U69" i="10"/>
  <c r="AB69" i="10" s="1"/>
  <c r="U28" i="10"/>
  <c r="AB28" i="10" s="1"/>
  <c r="U80" i="10"/>
  <c r="AB80" i="10" s="1"/>
  <c r="U85" i="10"/>
  <c r="AB85" i="10" s="1"/>
  <c r="U40" i="10"/>
  <c r="AB40" i="10" s="1"/>
  <c r="U51" i="10"/>
  <c r="AB51" i="10" s="1"/>
  <c r="V62" i="10"/>
  <c r="AC62" i="10" s="1"/>
  <c r="V64" i="10"/>
  <c r="U65" i="10"/>
  <c r="AB65" i="10" s="1"/>
  <c r="V61" i="10"/>
  <c r="V19" i="10"/>
  <c r="AC19" i="10" s="1"/>
  <c r="H5" i="13"/>
  <c r="U95" i="10"/>
  <c r="AB95" i="10" s="1"/>
  <c r="U75" i="10"/>
  <c r="AB75" i="10" s="1"/>
  <c r="U35" i="10"/>
  <c r="AB35" i="10" s="1"/>
  <c r="V15" i="10"/>
  <c r="AC15" i="10" s="1"/>
  <c r="U74" i="10"/>
  <c r="AB74" i="10" s="1"/>
  <c r="U57" i="10"/>
  <c r="AB57" i="10" s="1"/>
  <c r="U84" i="10"/>
  <c r="AB84" i="10" s="1"/>
  <c r="U67" i="10"/>
  <c r="AB67" i="10" s="1"/>
  <c r="U37" i="10"/>
  <c r="AB37" i="10" s="1"/>
  <c r="V69" i="10"/>
  <c r="U77" i="10"/>
  <c r="AB77" i="10" s="1"/>
  <c r="U34" i="10"/>
  <c r="AB34" i="10" s="1"/>
  <c r="V70" i="10"/>
  <c r="AC70" i="10" s="1"/>
  <c r="V60" i="10"/>
  <c r="AC60" i="10" s="1"/>
  <c r="U23" i="10"/>
  <c r="AB23" i="10" s="1"/>
  <c r="J18" i="10"/>
  <c r="I27" i="10" s="1"/>
  <c r="J24" i="10" s="1"/>
  <c r="U56" i="10"/>
  <c r="AB56" i="10" s="1"/>
  <c r="V26" i="10"/>
  <c r="AC26" i="10" s="1"/>
  <c r="U81" i="10"/>
  <c r="AB81" i="10" s="1"/>
  <c r="U100" i="10"/>
  <c r="AB100" i="10" s="1"/>
  <c r="U45" i="10"/>
  <c r="AB45" i="10" s="1"/>
  <c r="U12" i="10"/>
  <c r="AB12" i="10" s="1"/>
  <c r="U24" i="10"/>
  <c r="AB24" i="10" s="1"/>
  <c r="V6" i="10"/>
  <c r="AC6" i="10" s="1"/>
  <c r="U61" i="10"/>
  <c r="AB61" i="10" s="1"/>
  <c r="AE6" i="8"/>
  <c r="G5" i="8"/>
  <c r="U102" i="10"/>
  <c r="AB102" i="10" s="1"/>
  <c r="U41" i="10"/>
  <c r="AB41" i="10" s="1"/>
  <c r="U90" i="10"/>
  <c r="AB90" i="10" s="1"/>
  <c r="V89" i="10"/>
  <c r="AC89" i="10" s="1"/>
  <c r="V58" i="10"/>
  <c r="U44" i="10"/>
  <c r="AB44" i="10" s="1"/>
  <c r="V72" i="10"/>
  <c r="U32" i="10"/>
  <c r="AB32" i="10" s="1"/>
  <c r="U11" i="10"/>
  <c r="AB11" i="10" s="1"/>
  <c r="V86" i="10"/>
  <c r="AC86" i="10" s="1"/>
  <c r="V91" i="10"/>
  <c r="AC91" i="10" s="1"/>
  <c r="V28" i="10"/>
  <c r="AC28" i="10" s="1"/>
  <c r="V79" i="10"/>
  <c r="AC79" i="10" s="1"/>
  <c r="U91" i="10"/>
  <c r="AB91" i="10" s="1"/>
  <c r="U53" i="10"/>
  <c r="AB53" i="10" s="1"/>
  <c r="AD53" i="10" s="1"/>
  <c r="AE53" i="10" s="1"/>
  <c r="AF53" i="10" s="1"/>
  <c r="V32" i="10"/>
  <c r="V11" i="10"/>
  <c r="AC11" i="10" s="1"/>
  <c r="V31" i="10"/>
  <c r="V78" i="10"/>
  <c r="AC78" i="10" s="1"/>
  <c r="U70" i="10"/>
  <c r="AB70" i="10" s="1"/>
  <c r="V67" i="10"/>
  <c r="AC67" i="10" s="1"/>
  <c r="V71" i="10"/>
  <c r="U83" i="10"/>
  <c r="AB83" i="10" s="1"/>
  <c r="U46" i="10"/>
  <c r="AB46" i="10" s="1"/>
  <c r="V25" i="10"/>
  <c r="AC25" i="10" s="1"/>
  <c r="U96" i="10"/>
  <c r="AB96" i="10" s="1"/>
  <c r="V46" i="10"/>
  <c r="AC46" i="10" s="1"/>
  <c r="U94" i="10"/>
  <c r="AB94" i="10" s="1"/>
  <c r="U47" i="10"/>
  <c r="AB47" i="10" s="1"/>
  <c r="U7" i="10"/>
  <c r="AB7" i="10" s="1"/>
  <c r="V39" i="10"/>
  <c r="AC39" i="10" s="1"/>
  <c r="V52" i="10"/>
  <c r="AC52" i="10" s="1"/>
  <c r="V73" i="10"/>
  <c r="AC73" i="10" s="1"/>
  <c r="V87" i="10"/>
  <c r="AC87" i="10" s="1"/>
  <c r="V38" i="10"/>
  <c r="AC38" i="10" s="1"/>
  <c r="U48" i="10"/>
  <c r="AB48" i="10" s="1"/>
  <c r="V85" i="10"/>
  <c r="AC85" i="10" s="1"/>
  <c r="AD85" i="10" s="1"/>
  <c r="AE85" i="10" s="1"/>
  <c r="AF85" i="10" s="1"/>
  <c r="U42" i="10"/>
  <c r="AB42" i="10" s="1"/>
  <c r="U58" i="10"/>
  <c r="AB58" i="10" s="1"/>
  <c r="V30" i="10"/>
  <c r="AC30" i="10" s="1"/>
  <c r="V47" i="10"/>
  <c r="U99" i="10"/>
  <c r="AB99" i="10" s="1"/>
  <c r="U54" i="10"/>
  <c r="AB54" i="10" s="1"/>
  <c r="U86" i="10"/>
  <c r="AB86" i="10" s="1"/>
  <c r="U19" i="10"/>
  <c r="AB19" i="10" s="1"/>
  <c r="AD19" i="10" s="1"/>
  <c r="AE19" i="10" s="1"/>
  <c r="AF19" i="10" s="1"/>
  <c r="U60" i="10"/>
  <c r="AB60" i="10" s="1"/>
  <c r="AD60" i="10" s="1"/>
  <c r="AE60" i="10" s="1"/>
  <c r="AF60" i="10" s="1"/>
  <c r="U33" i="10"/>
  <c r="AB33" i="10" s="1"/>
  <c r="V68" i="10"/>
  <c r="AC68" i="10" s="1"/>
  <c r="V99" i="10"/>
  <c r="W85" i="10"/>
  <c r="X85" i="10" s="1"/>
  <c r="Y85" i="10" s="1"/>
  <c r="W53" i="10"/>
  <c r="X53" i="10" s="1"/>
  <c r="Y53" i="10" s="1"/>
  <c r="AC58" i="10"/>
  <c r="W61" i="10"/>
  <c r="X61" i="10" s="1"/>
  <c r="Y61" i="10" s="1"/>
  <c r="V34" i="10"/>
  <c r="AC34" i="10" s="1"/>
  <c r="V8" i="10"/>
  <c r="AC8" i="10" s="1"/>
  <c r="AD8" i="10" s="1"/>
  <c r="AE8" i="10" s="1"/>
  <c r="AF8" i="10" s="1"/>
  <c r="U98" i="10"/>
  <c r="AB98" i="10" s="1"/>
  <c r="V51" i="10"/>
  <c r="U30" i="10"/>
  <c r="AB30" i="10" s="1"/>
  <c r="U22" i="10"/>
  <c r="AB22" i="10" s="1"/>
  <c r="V27" i="10"/>
  <c r="U73" i="10"/>
  <c r="AB73" i="10" s="1"/>
  <c r="V41" i="10"/>
  <c r="AC41" i="10" s="1"/>
  <c r="AD41" i="10" s="1"/>
  <c r="AE41" i="10" s="1"/>
  <c r="AF41" i="10" s="1"/>
  <c r="U21" i="10"/>
  <c r="AB21" i="10" s="1"/>
  <c r="U20" i="10"/>
  <c r="AB20" i="10" s="1"/>
  <c r="V65" i="10"/>
  <c r="AC65" i="10" s="1"/>
  <c r="U25" i="10"/>
  <c r="AB25" i="10" s="1"/>
  <c r="V36" i="10"/>
  <c r="AC36" i="10" s="1"/>
  <c r="V55" i="10"/>
  <c r="AC55" i="10" s="1"/>
  <c r="V100" i="10"/>
  <c r="AC100" i="10" s="1"/>
  <c r="V24" i="10"/>
  <c r="W24" i="10" s="1"/>
  <c r="X24" i="10" s="1"/>
  <c r="Y24" i="10" s="1"/>
  <c r="V94" i="10"/>
  <c r="AC94" i="10" s="1"/>
  <c r="AD94" i="10" s="1"/>
  <c r="AE94" i="10" s="1"/>
  <c r="AF94" i="10" s="1"/>
  <c r="U59" i="10"/>
  <c r="AB59" i="10" s="1"/>
  <c r="U88" i="10"/>
  <c r="AB88" i="10" s="1"/>
  <c r="U17" i="10"/>
  <c r="AB17" i="10" s="1"/>
  <c r="U26" i="10"/>
  <c r="U10" i="10"/>
  <c r="AB10" i="10" s="1"/>
  <c r="AD10" i="10" s="1"/>
  <c r="AE10" i="10" s="1"/>
  <c r="AF10" i="10" s="1"/>
  <c r="U82" i="10"/>
  <c r="AB82" i="10" s="1"/>
  <c r="V88" i="10"/>
  <c r="U27" i="10"/>
  <c r="AB27" i="10" s="1"/>
  <c r="U15" i="10"/>
  <c r="AB15" i="10" s="1"/>
  <c r="AD15" i="10" s="1"/>
  <c r="AE15" i="10" s="1"/>
  <c r="AF15" i="10" s="1"/>
  <c r="V83" i="10"/>
  <c r="AC83" i="10" s="1"/>
  <c r="V9" i="10"/>
  <c r="AC9" i="10" s="1"/>
  <c r="V102" i="10"/>
  <c r="V7" i="10"/>
  <c r="AC7" i="10" s="1"/>
  <c r="V103" i="10"/>
  <c r="U18" i="10"/>
  <c r="V22" i="10"/>
  <c r="U38" i="10"/>
  <c r="V13" i="10"/>
  <c r="AC13" i="10" s="1"/>
  <c r="U78" i="10"/>
  <c r="AB78" i="10" s="1"/>
  <c r="AD78" i="10" s="1"/>
  <c r="AE78" i="10" s="1"/>
  <c r="AF78" i="10" s="1"/>
  <c r="V101" i="10"/>
  <c r="V17" i="10"/>
  <c r="U14" i="10"/>
  <c r="AB14" i="10" s="1"/>
  <c r="U62" i="10"/>
  <c r="V5" i="10"/>
  <c r="AC5" i="10" s="1"/>
  <c r="V14" i="10"/>
  <c r="U50" i="10"/>
  <c r="AB50" i="10" s="1"/>
  <c r="V95" i="10"/>
  <c r="AC95" i="10" s="1"/>
  <c r="V33" i="10"/>
  <c r="V43" i="10"/>
  <c r="V57" i="10"/>
  <c r="AC57" i="10" s="1"/>
  <c r="V82" i="10"/>
  <c r="V76" i="10"/>
  <c r="U64" i="10"/>
  <c r="AB64" i="10" s="1"/>
  <c r="U55" i="10"/>
  <c r="AB55" i="10" s="1"/>
  <c r="V74" i="10"/>
  <c r="U52" i="10"/>
  <c r="U63" i="10"/>
  <c r="AB63" i="10" s="1"/>
  <c r="V97" i="10"/>
  <c r="AC97" i="10" s="1"/>
  <c r="V80" i="10"/>
  <c r="AC80" i="10" s="1"/>
  <c r="V50" i="10"/>
  <c r="AC50" i="10" s="1"/>
  <c r="U71" i="10"/>
  <c r="AB71" i="10" s="1"/>
  <c r="U101" i="10"/>
  <c r="AB101" i="10" s="1"/>
  <c r="V40" i="10"/>
  <c r="W40" i="10" s="1"/>
  <c r="X40" i="10" s="1"/>
  <c r="Y40" i="10" s="1"/>
  <c r="V48" i="10"/>
  <c r="AC48" i="10" s="1"/>
  <c r="AD48" i="10" s="1"/>
  <c r="AE48" i="10" s="1"/>
  <c r="AF48" i="10" s="1"/>
  <c r="V66" i="10"/>
  <c r="AC66" i="10" s="1"/>
  <c r="V90" i="10"/>
  <c r="AC90" i="10" s="1"/>
  <c r="AD90" i="10" s="1"/>
  <c r="AE90" i="10" s="1"/>
  <c r="AF90" i="10" s="1"/>
  <c r="V84" i="10"/>
  <c r="AC84" i="10" s="1"/>
  <c r="U72" i="10"/>
  <c r="AB72" i="10" s="1"/>
  <c r="V21" i="10"/>
  <c r="AC21" i="10" s="1"/>
  <c r="V42" i="10"/>
  <c r="V35" i="10"/>
  <c r="AC35" i="10" s="1"/>
  <c r="AD35" i="10" s="1"/>
  <c r="AE35" i="10" s="1"/>
  <c r="AF35" i="10" s="1"/>
  <c r="U13" i="10"/>
  <c r="AB13" i="10" s="1"/>
  <c r="V96" i="10"/>
  <c r="AC96" i="10" s="1"/>
  <c r="AD96" i="10" s="1"/>
  <c r="AE96" i="10" s="1"/>
  <c r="AF96" i="10" s="1"/>
  <c r="V59" i="10"/>
  <c r="AC59" i="10" s="1"/>
  <c r="U97" i="10"/>
  <c r="AB97" i="10" s="1"/>
  <c r="V81" i="10"/>
  <c r="U89" i="10"/>
  <c r="AB89" i="10" s="1"/>
  <c r="AD89" i="10" s="1"/>
  <c r="AE89" i="10" s="1"/>
  <c r="AF89" i="10" s="1"/>
  <c r="V56" i="10"/>
  <c r="U79" i="10"/>
  <c r="AB79" i="10" s="1"/>
  <c r="AD79" i="10" s="1"/>
  <c r="AE79" i="10" s="1"/>
  <c r="AF79" i="10" s="1"/>
  <c r="V37" i="10"/>
  <c r="V45" i="10"/>
  <c r="W45" i="10" s="1"/>
  <c r="X45" i="10" s="1"/>
  <c r="Y45" i="10" s="1"/>
  <c r="V63" i="10"/>
  <c r="AC63" i="10" s="1"/>
  <c r="V75" i="10"/>
  <c r="AC75" i="10" s="1"/>
  <c r="V98" i="10"/>
  <c r="V92" i="10"/>
  <c r="AC92" i="10" s="1"/>
  <c r="AD92" i="10" s="1"/>
  <c r="AE92" i="10" s="1"/>
  <c r="AF92" i="10" s="1"/>
  <c r="U93" i="10"/>
  <c r="AB93" i="10" s="1"/>
  <c r="U66" i="10"/>
  <c r="AB66" i="10" s="1"/>
  <c r="Z22" i="13"/>
  <c r="Z10" i="13"/>
  <c r="Z21" i="13"/>
  <c r="Z5" i="13"/>
  <c r="Z12" i="13"/>
  <c r="Z16" i="13"/>
  <c r="AD12" i="8"/>
  <c r="W32" i="10"/>
  <c r="X32" i="10" s="1"/>
  <c r="Y32" i="10" s="1"/>
  <c r="W31" i="10"/>
  <c r="X31" i="10" s="1"/>
  <c r="Y31" i="10" s="1"/>
  <c r="W69" i="10"/>
  <c r="X69" i="10" s="1"/>
  <c r="Y69" i="10" s="1"/>
  <c r="W44" i="10"/>
  <c r="X44" i="10" s="1"/>
  <c r="Y44" i="10" s="1"/>
  <c r="W64" i="10"/>
  <c r="X64" i="10" s="1"/>
  <c r="Y64" i="10" s="1"/>
  <c r="W99" i="10"/>
  <c r="X99" i="10" s="1"/>
  <c r="Y99" i="10" s="1"/>
  <c r="AD10" i="8"/>
  <c r="W57" i="10"/>
  <c r="X57" i="10" s="1"/>
  <c r="Y57" i="10" s="1"/>
  <c r="AD100" i="10"/>
  <c r="AE100" i="10" s="1"/>
  <c r="AF100" i="10" s="1"/>
  <c r="AD65" i="10"/>
  <c r="AE65" i="10" s="1"/>
  <c r="AF65" i="10" s="1"/>
  <c r="W41" i="10"/>
  <c r="X41" i="10" s="1"/>
  <c r="Y41" i="10" s="1"/>
  <c r="W51" i="10"/>
  <c r="X51" i="10" s="1"/>
  <c r="Y51" i="10" s="1"/>
  <c r="V93" i="10"/>
  <c r="U16" i="10"/>
  <c r="AB16" i="10" s="1"/>
  <c r="V23" i="10"/>
  <c r="U4" i="10"/>
  <c r="U9" i="10"/>
  <c r="V29" i="10"/>
  <c r="U39" i="10"/>
  <c r="V12" i="10"/>
  <c r="U87" i="10"/>
  <c r="U29" i="10"/>
  <c r="AB29" i="10" s="1"/>
  <c r="V49" i="10"/>
  <c r="AC49" i="10" s="1"/>
  <c r="AD49" i="10" s="1"/>
  <c r="AE49" i="10" s="1"/>
  <c r="AF49" i="10" s="1"/>
  <c r="U36" i="10"/>
  <c r="V20" i="10"/>
  <c r="U68" i="10"/>
  <c r="U6" i="10"/>
  <c r="U5" i="10"/>
  <c r="BN13" i="8"/>
  <c r="X14" i="13" s="1"/>
  <c r="BF13" i="8"/>
  <c r="BN7" i="8"/>
  <c r="X8" i="13" s="1"/>
  <c r="BF7" i="8"/>
  <c r="BN10" i="8"/>
  <c r="X11" i="13" s="1"/>
  <c r="BF10" i="8"/>
  <c r="AD28" i="10"/>
  <c r="AE28" i="10" s="1"/>
  <c r="AF28" i="10" s="1"/>
  <c r="AD7" i="10"/>
  <c r="AE7" i="10" s="1"/>
  <c r="AF7" i="10" s="1"/>
  <c r="AC88" i="10"/>
  <c r="W65" i="10"/>
  <c r="X65" i="10" s="1"/>
  <c r="Y65" i="10" s="1"/>
  <c r="W100" i="10"/>
  <c r="X100" i="10" s="1"/>
  <c r="Y100" i="10" s="1"/>
  <c r="AC69" i="10"/>
  <c r="AD69" i="10" s="1"/>
  <c r="AE69" i="10" s="1"/>
  <c r="AF69" i="10" s="1"/>
  <c r="W77" i="10"/>
  <c r="X77" i="10" s="1"/>
  <c r="Y77" i="10" s="1"/>
  <c r="W10" i="10"/>
  <c r="X10" i="10" s="1"/>
  <c r="Y10" i="10" s="1"/>
  <c r="W50" i="10"/>
  <c r="X50" i="10" s="1"/>
  <c r="Y50" i="10" s="1"/>
  <c r="AC51" i="10"/>
  <c r="AD51" i="10" s="1"/>
  <c r="AE51" i="10" s="1"/>
  <c r="AF51" i="10" s="1"/>
  <c r="W67" i="10"/>
  <c r="X67" i="10" s="1"/>
  <c r="Y67" i="10" s="1"/>
  <c r="AC44" i="10"/>
  <c r="AD44" i="10" s="1"/>
  <c r="AE44" i="10" s="1"/>
  <c r="AF44" i="10" s="1"/>
  <c r="AD25" i="10"/>
  <c r="AE25" i="10" s="1"/>
  <c r="AF25" i="10" s="1"/>
  <c r="AC72" i="10"/>
  <c r="W73" i="10"/>
  <c r="X73" i="10" s="1"/>
  <c r="Y73" i="10" s="1"/>
  <c r="AC61" i="10"/>
  <c r="AD61" i="10" s="1"/>
  <c r="AE61" i="10" s="1"/>
  <c r="AF61" i="10" s="1"/>
  <c r="W90" i="10"/>
  <c r="X90" i="10" s="1"/>
  <c r="Y90" i="10" s="1"/>
  <c r="W70" i="10"/>
  <c r="X70" i="10" s="1"/>
  <c r="Y70" i="10" s="1"/>
  <c r="AC14" i="10"/>
  <c r="W34" i="10"/>
  <c r="X34" i="10" s="1"/>
  <c r="Y34" i="10" s="1"/>
  <c r="AC99" i="10"/>
  <c r="AD99" i="10" s="1"/>
  <c r="AE99" i="10" s="1"/>
  <c r="AF99" i="10" s="1"/>
  <c r="AC31" i="10"/>
  <c r="AD31" i="10" s="1"/>
  <c r="AE31" i="10" s="1"/>
  <c r="AF31" i="10" s="1"/>
  <c r="AD75" i="10"/>
  <c r="AE75" i="10" s="1"/>
  <c r="AF75" i="10" s="1"/>
  <c r="AC32" i="10"/>
  <c r="AD32" i="10" s="1"/>
  <c r="AE32" i="10" s="1"/>
  <c r="AF32" i="10" s="1"/>
  <c r="W15" i="10"/>
  <c r="X15" i="10" s="1"/>
  <c r="Y15" i="10" s="1"/>
  <c r="AC64" i="10"/>
  <c r="AD64" i="10" s="1"/>
  <c r="AE64" i="10" s="1"/>
  <c r="AF64" i="10" s="1"/>
  <c r="AC33" i="10"/>
  <c r="AD33" i="10" s="1"/>
  <c r="AE33" i="10" s="1"/>
  <c r="AF33" i="10" s="1"/>
  <c r="AC24" i="10"/>
  <c r="AD24" i="10" s="1"/>
  <c r="AE24" i="10" s="1"/>
  <c r="AF24" i="10" s="1"/>
  <c r="W30" i="10"/>
  <c r="X30" i="10" s="1"/>
  <c r="Y30" i="10" s="1"/>
  <c r="W7" i="10"/>
  <c r="X7" i="10" s="1"/>
  <c r="Y7" i="10" s="1"/>
  <c r="AD30" i="10"/>
  <c r="AE30" i="10" s="1"/>
  <c r="AF30" i="10" s="1"/>
  <c r="AD50" i="10"/>
  <c r="AE50" i="10" s="1"/>
  <c r="AF50" i="10" s="1"/>
  <c r="AC16" i="10"/>
  <c r="AD34" i="10"/>
  <c r="AE34" i="10" s="1"/>
  <c r="AF34" i="10" s="1"/>
  <c r="AD67" i="10"/>
  <c r="AE67" i="10" s="1"/>
  <c r="AF67" i="10" s="1"/>
  <c r="AD9" i="8"/>
  <c r="W46" i="10"/>
  <c r="X46" i="10" s="1"/>
  <c r="Y46" i="10" s="1"/>
  <c r="W75" i="10"/>
  <c r="X75" i="10" s="1"/>
  <c r="Y75" i="10" s="1"/>
  <c r="AD84" i="10"/>
  <c r="AE84" i="10" s="1"/>
  <c r="AF84" i="10" s="1"/>
  <c r="AD80" i="10"/>
  <c r="AE80" i="10" s="1"/>
  <c r="AF80" i="10" s="1"/>
  <c r="W74" i="10"/>
  <c r="X74" i="10" s="1"/>
  <c r="Y74" i="10" s="1"/>
  <c r="W84" i="10"/>
  <c r="X84" i="10" s="1"/>
  <c r="Y84" i="10" s="1"/>
  <c r="AC40" i="10"/>
  <c r="AD40" i="10" s="1"/>
  <c r="AE40" i="10" s="1"/>
  <c r="AF40" i="10" s="1"/>
  <c r="W80" i="10"/>
  <c r="X80" i="10" s="1"/>
  <c r="Y80" i="10" s="1"/>
  <c r="AC74" i="10"/>
  <c r="AD74" i="10" s="1"/>
  <c r="AE74" i="10" s="1"/>
  <c r="AF74" i="10" s="1"/>
  <c r="W28" i="10"/>
  <c r="X28" i="10" s="1"/>
  <c r="Y28" i="10" s="1"/>
  <c r="W66" i="10"/>
  <c r="X66" i="10" s="1"/>
  <c r="Y66" i="10" s="1"/>
  <c r="AC82" i="10"/>
  <c r="W89" i="10"/>
  <c r="X89" i="10" s="1"/>
  <c r="Y89" i="10" s="1"/>
  <c r="W95" i="10"/>
  <c r="X95" i="10" s="1"/>
  <c r="Y95" i="10" s="1"/>
  <c r="AD46" i="10"/>
  <c r="AE46" i="10" s="1"/>
  <c r="AF46" i="10" s="1"/>
  <c r="AC54" i="10"/>
  <c r="AD54" i="10" s="1"/>
  <c r="AE54" i="10" s="1"/>
  <c r="AF54" i="10" s="1"/>
  <c r="AD91" i="10"/>
  <c r="AE91" i="10" s="1"/>
  <c r="AF91" i="10" s="1"/>
  <c r="AC71" i="10"/>
  <c r="AD71" i="10" s="1"/>
  <c r="AE71" i="10" s="1"/>
  <c r="AF71" i="10" s="1"/>
  <c r="AD95" i="10"/>
  <c r="AE95" i="10" s="1"/>
  <c r="AF95" i="10" s="1"/>
  <c r="AD11" i="10"/>
  <c r="AE11" i="10" s="1"/>
  <c r="AF11" i="10" s="1"/>
  <c r="W91" i="10"/>
  <c r="X91" i="10" s="1"/>
  <c r="Y91" i="10" s="1"/>
  <c r="AD70" i="10"/>
  <c r="AE70" i="10" s="1"/>
  <c r="AF70" i="10" s="1"/>
  <c r="AD57" i="10"/>
  <c r="AE57" i="10" s="1"/>
  <c r="AF57" i="10" s="1"/>
  <c r="BN19" i="8"/>
  <c r="X20" i="13" s="1"/>
  <c r="BF19" i="8"/>
  <c r="BF8" i="8"/>
  <c r="BN6" i="8"/>
  <c r="X7" i="13" s="1"/>
  <c r="BF6" i="8"/>
  <c r="BF102" i="8"/>
  <c r="BN102" i="8"/>
  <c r="X103" i="13" s="1"/>
  <c r="BF77" i="8"/>
  <c r="BN77" i="8"/>
  <c r="X78" i="13" s="1"/>
  <c r="BF95" i="8"/>
  <c r="BN95" i="8"/>
  <c r="X96" i="13" s="1"/>
  <c r="BF78" i="8"/>
  <c r="BN78" i="8"/>
  <c r="X79" i="13" s="1"/>
  <c r="BF94" i="8"/>
  <c r="BN94" i="8"/>
  <c r="X95" i="13" s="1"/>
  <c r="BF89" i="8"/>
  <c r="BN89" i="8"/>
  <c r="X90" i="13" s="1"/>
  <c r="BF79" i="8"/>
  <c r="BN79" i="8"/>
  <c r="X80" i="13" s="1"/>
  <c r="BF85" i="8"/>
  <c r="BN85" i="8"/>
  <c r="X86" i="13" s="1"/>
  <c r="H6" i="13"/>
  <c r="E6" i="8"/>
  <c r="AF5" i="8"/>
  <c r="AE7" i="8"/>
  <c r="G6" i="8"/>
  <c r="BF86" i="8"/>
  <c r="BN86" i="8"/>
  <c r="X87" i="13" s="1"/>
  <c r="BF71" i="8"/>
  <c r="BN71" i="8"/>
  <c r="X72" i="13" s="1"/>
  <c r="BF68" i="8"/>
  <c r="BN68" i="8"/>
  <c r="X69" i="13" s="1"/>
  <c r="BF66" i="8"/>
  <c r="BN66" i="8"/>
  <c r="X67" i="13" s="1"/>
  <c r="BJ96" i="8"/>
  <c r="BJ72" i="8"/>
  <c r="BN16" i="8"/>
  <c r="X17" i="13" s="1"/>
  <c r="BF16" i="8"/>
  <c r="BF98" i="8"/>
  <c r="BN98" i="8"/>
  <c r="X99" i="13" s="1"/>
  <c r="BF12" i="8"/>
  <c r="BN12" i="8"/>
  <c r="X13" i="13" s="1"/>
  <c r="BF80" i="8"/>
  <c r="BN80" i="8"/>
  <c r="X81" i="13" s="1"/>
  <c r="BF67" i="8"/>
  <c r="BN67" i="8"/>
  <c r="X68" i="13" s="1"/>
  <c r="BN73" i="8"/>
  <c r="X74" i="13" s="1"/>
  <c r="BF73" i="8"/>
  <c r="BF43" i="8"/>
  <c r="BN43" i="8"/>
  <c r="X44" i="13" s="1"/>
  <c r="BN74" i="8"/>
  <c r="X75" i="13" s="1"/>
  <c r="BF74" i="8"/>
  <c r="BF92" i="8"/>
  <c r="BN92" i="8"/>
  <c r="X93" i="13" s="1"/>
  <c r="BJ87" i="8"/>
  <c r="EO89" i="5"/>
  <c r="BN14" i="8"/>
  <c r="X15" i="13" s="1"/>
  <c r="BF14" i="8"/>
  <c r="BJ80" i="8"/>
  <c r="EN82" i="5"/>
  <c r="BJ67" i="8"/>
  <c r="EN69" i="5"/>
  <c r="BF54" i="8"/>
  <c r="BN54" i="8"/>
  <c r="X55" i="13" s="1"/>
  <c r="BJ73" i="8"/>
  <c r="EN75" i="5"/>
  <c r="BJ43" i="8"/>
  <c r="C45" i="7"/>
  <c r="BF84" i="8"/>
  <c r="BN84" i="8"/>
  <c r="X85" i="13" s="1"/>
  <c r="BN40" i="8"/>
  <c r="X41" i="13" s="1"/>
  <c r="BF40" i="8"/>
  <c r="BJ99" i="8"/>
  <c r="EN101" i="5"/>
  <c r="BJ74" i="8"/>
  <c r="EN76" i="5"/>
  <c r="BJ92" i="8"/>
  <c r="EO94" i="5"/>
  <c r="M6" i="13"/>
  <c r="AI7" i="8"/>
  <c r="AJ6" i="8" s="1"/>
  <c r="M62" i="11"/>
  <c r="E62" i="11"/>
  <c r="L62" i="11"/>
  <c r="D62" i="11"/>
  <c r="K62" i="11"/>
  <c r="C62" i="11"/>
  <c r="J62" i="11"/>
  <c r="I62" i="11"/>
  <c r="B63" i="11"/>
  <c r="H62" i="11"/>
  <c r="F62" i="11"/>
  <c r="G62" i="11"/>
  <c r="BJ84" i="8"/>
  <c r="EN86" i="5"/>
  <c r="BJ41" i="8"/>
  <c r="K5" i="13"/>
  <c r="AK5" i="8"/>
  <c r="AL5" i="8" s="1"/>
  <c r="W5" i="8"/>
  <c r="BJ103" i="8"/>
  <c r="EN105" i="5"/>
  <c r="BF99" i="8"/>
  <c r="BN99" i="8"/>
  <c r="X100" i="13" s="1"/>
  <c r="BE104" i="8"/>
  <c r="BJ104" i="8" s="1"/>
  <c r="BJ77" i="8"/>
  <c r="EN79" i="5"/>
  <c r="BF97" i="8"/>
  <c r="BN97" i="8"/>
  <c r="X98" i="13" s="1"/>
  <c r="AD11" i="8"/>
  <c r="BJ82" i="8"/>
  <c r="EN84" i="5"/>
  <c r="BF5" i="8"/>
  <c r="BN5" i="8"/>
  <c r="X6" i="13" s="1"/>
  <c r="B215" i="11"/>
  <c r="J109" i="11"/>
  <c r="M109" i="11"/>
  <c r="D109" i="11"/>
  <c r="L109" i="11"/>
  <c r="C109" i="11"/>
  <c r="K109" i="11"/>
  <c r="I109" i="11"/>
  <c r="H109" i="11"/>
  <c r="B110" i="11"/>
  <c r="F109" i="11"/>
  <c r="G109" i="11"/>
  <c r="E109" i="11"/>
  <c r="AB18" i="8"/>
  <c r="AD16" i="8" s="1"/>
  <c r="U18" i="8"/>
  <c r="F4" i="13"/>
  <c r="AG4" i="8"/>
  <c r="AH4" i="8" s="1"/>
  <c r="BJ100" i="8"/>
  <c r="EN102" i="5"/>
  <c r="BJ75" i="8"/>
  <c r="EN77" i="5"/>
  <c r="BJ97" i="8"/>
  <c r="EN99" i="5"/>
  <c r="BF39" i="8"/>
  <c r="BN39" i="8"/>
  <c r="X40" i="13" s="1"/>
  <c r="C68" i="7"/>
  <c r="BJ66" i="8"/>
  <c r="BF87" i="8"/>
  <c r="BN87" i="8"/>
  <c r="X88" i="13" s="1"/>
  <c r="B188" i="11"/>
  <c r="BJ98" i="8"/>
  <c r="EN100" i="5"/>
  <c r="BF90" i="8"/>
  <c r="BN90" i="8"/>
  <c r="X91" i="13" s="1"/>
  <c r="BF76" i="8"/>
  <c r="BN76" i="8"/>
  <c r="X77" i="13" s="1"/>
  <c r="BF65" i="8"/>
  <c r="BN65" i="8"/>
  <c r="X66" i="13" s="1"/>
  <c r="BF44" i="8"/>
  <c r="BN44" i="8"/>
  <c r="X45" i="13" s="1"/>
  <c r="Y13" i="8"/>
  <c r="BJ94" i="8"/>
  <c r="EO96" i="5"/>
  <c r="BJ86" i="8"/>
  <c r="EO88" i="5"/>
  <c r="BJ95" i="8"/>
  <c r="EO97" i="5"/>
  <c r="BN42" i="8"/>
  <c r="X43" i="13" s="1"/>
  <c r="BF42" i="8"/>
  <c r="BJ89" i="8"/>
  <c r="EO91" i="5"/>
  <c r="BF91" i="8"/>
  <c r="BN91" i="8"/>
  <c r="X92" i="13" s="1"/>
  <c r="BJ85" i="8"/>
  <c r="EO87" i="5"/>
  <c r="BJ71" i="8"/>
  <c r="EN73" i="5"/>
  <c r="BF93" i="8"/>
  <c r="BN93" i="8"/>
  <c r="X94" i="13" s="1"/>
  <c r="BF83" i="8"/>
  <c r="BN83" i="8"/>
  <c r="X84" i="13" s="1"/>
  <c r="BJ101" i="8"/>
  <c r="BJ70" i="8"/>
  <c r="BJ81" i="8"/>
  <c r="BJ88" i="8"/>
  <c r="BJ69" i="8"/>
  <c r="BF103" i="8"/>
  <c r="BN103" i="8"/>
  <c r="X104" i="13" s="1"/>
  <c r="BF56" i="8"/>
  <c r="BN56" i="8"/>
  <c r="X57" i="13" s="1"/>
  <c r="B163" i="11"/>
  <c r="F162" i="11"/>
  <c r="L162" i="11"/>
  <c r="C162" i="11"/>
  <c r="I162" i="11"/>
  <c r="H162" i="11"/>
  <c r="G162" i="11"/>
  <c r="E162" i="11"/>
  <c r="D162" i="11"/>
  <c r="K162" i="11"/>
  <c r="M162" i="11"/>
  <c r="J162" i="11"/>
  <c r="BJ22" i="8"/>
  <c r="BJ102" i="8"/>
  <c r="EN104" i="5"/>
  <c r="BF82" i="8"/>
  <c r="BN82" i="8"/>
  <c r="X83" i="13" s="1"/>
  <c r="BF18" i="8"/>
  <c r="B136" i="11"/>
  <c r="F135" i="11"/>
  <c r="H135" i="11"/>
  <c r="G135" i="11"/>
  <c r="E135" i="11"/>
  <c r="M135" i="11"/>
  <c r="D135" i="11"/>
  <c r="L135" i="11"/>
  <c r="C135" i="11"/>
  <c r="J135" i="11"/>
  <c r="K135" i="11"/>
  <c r="I135" i="11"/>
  <c r="BJ68" i="8"/>
  <c r="EN70" i="5"/>
  <c r="BJ78" i="8"/>
  <c r="EN80" i="5"/>
  <c r="BF100" i="8"/>
  <c r="BN100" i="8"/>
  <c r="X101" i="13" s="1"/>
  <c r="BJ79" i="8"/>
  <c r="EN81" i="5"/>
  <c r="BN75" i="8"/>
  <c r="X76" i="13" s="1"/>
  <c r="BF75" i="8"/>
  <c r="BF50" i="8"/>
  <c r="BN50" i="8"/>
  <c r="X51" i="13" s="1"/>
  <c r="BN17" i="8"/>
  <c r="X18" i="13" s="1"/>
  <c r="BF17" i="8"/>
  <c r="BJ90" i="8"/>
  <c r="EO92" i="5"/>
  <c r="BJ76" i="8"/>
  <c r="EN78" i="5"/>
  <c r="BJ65" i="8"/>
  <c r="C67" i="7"/>
  <c r="BJ44" i="8"/>
  <c r="C46" i="7"/>
  <c r="BJ42" i="8"/>
  <c r="C44" i="7"/>
  <c r="BJ91" i="8"/>
  <c r="EO93" i="5"/>
  <c r="BJ93" i="8"/>
  <c r="EO95" i="5"/>
  <c r="BJ83" i="8"/>
  <c r="EN85" i="5"/>
  <c r="D214" i="11"/>
  <c r="D187" i="11"/>
  <c r="G187" i="11"/>
  <c r="E187" i="11"/>
  <c r="J187" i="11"/>
  <c r="M214" i="11"/>
  <c r="BG101" i="8"/>
  <c r="BG58" i="8"/>
  <c r="BG45" i="8"/>
  <c r="BG88" i="8"/>
  <c r="BG32" i="8"/>
  <c r="BG37" i="8"/>
  <c r="BG46" i="8"/>
  <c r="BG27" i="8"/>
  <c r="BG51" i="8"/>
  <c r="BG64" i="8"/>
  <c r="E214" i="11"/>
  <c r="BG22" i="8"/>
  <c r="BG26" i="8"/>
  <c r="BG33" i="8"/>
  <c r="BG28" i="8"/>
  <c r="M187" i="11"/>
  <c r="J214" i="11"/>
  <c r="G214" i="11"/>
  <c r="H187" i="11"/>
  <c r="F187" i="11"/>
  <c r="BG53" i="8"/>
  <c r="BG34" i="8"/>
  <c r="BG81" i="8"/>
  <c r="BG59" i="8"/>
  <c r="BG35" i="8"/>
  <c r="BG24" i="8"/>
  <c r="BG49" i="8"/>
  <c r="K187" i="11"/>
  <c r="C187" i="11"/>
  <c r="I187" i="11"/>
  <c r="BG41" i="8"/>
  <c r="BG52" i="8"/>
  <c r="BG29" i="8"/>
  <c r="C214" i="11"/>
  <c r="I214" i="11"/>
  <c r="L214" i="11"/>
  <c r="L187" i="11"/>
  <c r="F214" i="11"/>
  <c r="BG30" i="8"/>
  <c r="BG31" i="8"/>
  <c r="BG70" i="8"/>
  <c r="BG25" i="8"/>
  <c r="BG104" i="8"/>
  <c r="BG96" i="8"/>
  <c r="BG38" i="8"/>
  <c r="BG57" i="8"/>
  <c r="BG36" i="8"/>
  <c r="BG72" i="8"/>
  <c r="BG69" i="8"/>
  <c r="BG48" i="8"/>
  <c r="BG55" i="8"/>
  <c r="BG62" i="8"/>
  <c r="BG47" i="8"/>
  <c r="BG61" i="8"/>
  <c r="H214" i="11"/>
  <c r="K214" i="11"/>
  <c r="BG23" i="8"/>
  <c r="BG60" i="8"/>
  <c r="BG63" i="8"/>
  <c r="W92" i="10" l="1"/>
  <c r="X92" i="10" s="1"/>
  <c r="Y92" i="10" s="1"/>
  <c r="W86" i="10"/>
  <c r="X86" i="10" s="1"/>
  <c r="Y86" i="10" s="1"/>
  <c r="W11" i="10"/>
  <c r="X11" i="10" s="1"/>
  <c r="Y11" i="10" s="1"/>
  <c r="AD77" i="10"/>
  <c r="AE77" i="10" s="1"/>
  <c r="AF77" i="10" s="1"/>
  <c r="AD97" i="10"/>
  <c r="AE97" i="10" s="1"/>
  <c r="AF97" i="10" s="1"/>
  <c r="W60" i="10"/>
  <c r="X60" i="10" s="1"/>
  <c r="Y60" i="10" s="1"/>
  <c r="AR3" i="8"/>
  <c r="AC45" i="10"/>
  <c r="AD45" i="10" s="1"/>
  <c r="AE45" i="10" s="1"/>
  <c r="AF45" i="10" s="1"/>
  <c r="W96" i="10"/>
  <c r="X96" i="10" s="1"/>
  <c r="Y96" i="10" s="1"/>
  <c r="W35" i="10"/>
  <c r="X35" i="10" s="1"/>
  <c r="Y35" i="10" s="1"/>
  <c r="W79" i="10"/>
  <c r="X79" i="10" s="1"/>
  <c r="Y79" i="10" s="1"/>
  <c r="AD63" i="10"/>
  <c r="AE63" i="10" s="1"/>
  <c r="AF63" i="10" s="1"/>
  <c r="AD59" i="10"/>
  <c r="AE59" i="10" s="1"/>
  <c r="AF59" i="10" s="1"/>
  <c r="AD55" i="10"/>
  <c r="AE55" i="10" s="1"/>
  <c r="AF55" i="10" s="1"/>
  <c r="W33" i="10"/>
  <c r="X33" i="10" s="1"/>
  <c r="Y33" i="10" s="1"/>
  <c r="AD83" i="10"/>
  <c r="AE83" i="10" s="1"/>
  <c r="AF83" i="10" s="1"/>
  <c r="AD73" i="10"/>
  <c r="AE73" i="10" s="1"/>
  <c r="AF73" i="10" s="1"/>
  <c r="AD58" i="10"/>
  <c r="AE58" i="10" s="1"/>
  <c r="AF58" i="10" s="1"/>
  <c r="W54" i="10"/>
  <c r="X54" i="10" s="1"/>
  <c r="Y54" i="10" s="1"/>
  <c r="AC47" i="10"/>
  <c r="AD47" i="10" s="1"/>
  <c r="AE47" i="10" s="1"/>
  <c r="AF47" i="10" s="1"/>
  <c r="W47" i="10"/>
  <c r="X47" i="10" s="1"/>
  <c r="Y47" i="10" s="1"/>
  <c r="W58" i="10"/>
  <c r="X58" i="10" s="1"/>
  <c r="Y58" i="10" s="1"/>
  <c r="AD86" i="10"/>
  <c r="AE86" i="10" s="1"/>
  <c r="AF86" i="10" s="1"/>
  <c r="W19" i="10"/>
  <c r="X19" i="10" s="1"/>
  <c r="Y19" i="10" s="1"/>
  <c r="W49" i="10"/>
  <c r="X49" i="10" s="1"/>
  <c r="Y49" i="10" s="1"/>
  <c r="I21" i="10"/>
  <c r="L90" i="10" s="1"/>
  <c r="W13" i="10"/>
  <c r="X13" i="10" s="1"/>
  <c r="Y13" i="10" s="1"/>
  <c r="L95" i="10"/>
  <c r="W56" i="10"/>
  <c r="X56" i="10" s="1"/>
  <c r="Y56" i="10" s="1"/>
  <c r="AC56" i="10"/>
  <c r="AD56" i="10" s="1"/>
  <c r="AE56" i="10" s="1"/>
  <c r="AF56" i="10" s="1"/>
  <c r="W81" i="10"/>
  <c r="X81" i="10" s="1"/>
  <c r="Y81" i="10" s="1"/>
  <c r="AC81" i="10"/>
  <c r="AD81" i="10" s="1"/>
  <c r="AE81" i="10" s="1"/>
  <c r="AF81" i="10" s="1"/>
  <c r="AB52" i="10"/>
  <c r="AD52" i="10" s="1"/>
  <c r="AE52" i="10" s="1"/>
  <c r="AF52" i="10" s="1"/>
  <c r="W52" i="10"/>
  <c r="X52" i="10" s="1"/>
  <c r="Y52" i="10" s="1"/>
  <c r="AC76" i="10"/>
  <c r="AD76" i="10" s="1"/>
  <c r="AE76" i="10" s="1"/>
  <c r="AF76" i="10" s="1"/>
  <c r="W76" i="10"/>
  <c r="X76" i="10" s="1"/>
  <c r="Y76" i="10" s="1"/>
  <c r="W101" i="10"/>
  <c r="X101" i="10" s="1"/>
  <c r="Y101" i="10" s="1"/>
  <c r="AC101" i="10"/>
  <c r="AD101" i="10" s="1"/>
  <c r="AE101" i="10" s="1"/>
  <c r="AF101" i="10" s="1"/>
  <c r="W103" i="10"/>
  <c r="X103" i="10" s="1"/>
  <c r="Y103" i="10" s="1"/>
  <c r="AC103" i="10"/>
  <c r="AD103" i="10" s="1"/>
  <c r="AE103" i="10" s="1"/>
  <c r="AF103" i="10" s="1"/>
  <c r="AC102" i="10"/>
  <c r="AD102" i="10" s="1"/>
  <c r="AE102" i="10" s="1"/>
  <c r="AF102" i="10" s="1"/>
  <c r="W102" i="10"/>
  <c r="X102" i="10" s="1"/>
  <c r="Y102" i="10" s="1"/>
  <c r="W97" i="10"/>
  <c r="X97" i="10" s="1"/>
  <c r="Y97" i="10" s="1"/>
  <c r="W21" i="10"/>
  <c r="X21" i="10" s="1"/>
  <c r="Y21" i="10" s="1"/>
  <c r="AD82" i="10"/>
  <c r="AE82" i="10" s="1"/>
  <c r="AF82" i="10" s="1"/>
  <c r="W63" i="10"/>
  <c r="X63" i="10" s="1"/>
  <c r="Y63" i="10" s="1"/>
  <c r="W82" i="10"/>
  <c r="X82" i="10" s="1"/>
  <c r="Y82" i="10" s="1"/>
  <c r="AD16" i="10"/>
  <c r="AE16" i="10" s="1"/>
  <c r="AF16" i="10" s="1"/>
  <c r="W8" i="10"/>
  <c r="X8" i="10" s="1"/>
  <c r="Y8" i="10" s="1"/>
  <c r="AD14" i="10"/>
  <c r="AE14" i="10" s="1"/>
  <c r="AF14" i="10" s="1"/>
  <c r="W94" i="10"/>
  <c r="X94" i="10" s="1"/>
  <c r="Y94" i="10" s="1"/>
  <c r="AD72" i="10"/>
  <c r="AE72" i="10" s="1"/>
  <c r="AF72" i="10" s="1"/>
  <c r="W48" i="10"/>
  <c r="X48" i="10" s="1"/>
  <c r="Y48" i="10" s="1"/>
  <c r="W55" i="10"/>
  <c r="X55" i="10" s="1"/>
  <c r="Y55" i="10" s="1"/>
  <c r="W59" i="10"/>
  <c r="X59" i="10" s="1"/>
  <c r="Y59" i="10" s="1"/>
  <c r="AD88" i="10"/>
  <c r="AE88" i="10" s="1"/>
  <c r="AF88" i="10" s="1"/>
  <c r="W83" i="10"/>
  <c r="X83" i="10" s="1"/>
  <c r="Y83" i="10" s="1"/>
  <c r="AD21" i="10"/>
  <c r="AE21" i="10" s="1"/>
  <c r="AF21" i="10" s="1"/>
  <c r="AD66" i="10"/>
  <c r="AE66" i="10" s="1"/>
  <c r="AF66" i="10" s="1"/>
  <c r="AC43" i="10"/>
  <c r="AD43" i="10" s="1"/>
  <c r="AE43" i="10" s="1"/>
  <c r="AF43" i="10" s="1"/>
  <c r="W43" i="10"/>
  <c r="X43" i="10" s="1"/>
  <c r="Y43" i="10" s="1"/>
  <c r="W14" i="10"/>
  <c r="X14" i="10" s="1"/>
  <c r="Y14" i="10" s="1"/>
  <c r="AB62" i="10"/>
  <c r="AD62" i="10" s="1"/>
  <c r="AE62" i="10" s="1"/>
  <c r="AF62" i="10" s="1"/>
  <c r="W62" i="10"/>
  <c r="X62" i="10" s="1"/>
  <c r="Y62" i="10" s="1"/>
  <c r="W17" i="10"/>
  <c r="X17" i="10" s="1"/>
  <c r="Y17" i="10" s="1"/>
  <c r="AC17" i="10"/>
  <c r="AD17" i="10" s="1"/>
  <c r="AE17" i="10" s="1"/>
  <c r="AF17" i="10" s="1"/>
  <c r="AB38" i="10"/>
  <c r="AD38" i="10" s="1"/>
  <c r="AE38" i="10" s="1"/>
  <c r="AF38" i="10" s="1"/>
  <c r="W38" i="10"/>
  <c r="X38" i="10" s="1"/>
  <c r="Y38" i="10" s="1"/>
  <c r="AB18" i="10"/>
  <c r="AD18" i="10" s="1"/>
  <c r="AE18" i="10" s="1"/>
  <c r="AF18" i="10" s="1"/>
  <c r="W18" i="10"/>
  <c r="X18" i="10" s="1"/>
  <c r="Y18" i="10" s="1"/>
  <c r="W88" i="10"/>
  <c r="X88" i="10" s="1"/>
  <c r="Y88" i="10" s="1"/>
  <c r="AC27" i="10"/>
  <c r="AD27" i="10" s="1"/>
  <c r="AE27" i="10" s="1"/>
  <c r="AF27" i="10" s="1"/>
  <c r="W27" i="10"/>
  <c r="X27" i="10" s="1"/>
  <c r="Y27" i="10" s="1"/>
  <c r="W71" i="10"/>
  <c r="X71" i="10" s="1"/>
  <c r="Y71" i="10" s="1"/>
  <c r="W78" i="10"/>
  <c r="X78" i="10" s="1"/>
  <c r="Y78" i="10" s="1"/>
  <c r="W98" i="10"/>
  <c r="X98" i="10" s="1"/>
  <c r="Y98" i="10" s="1"/>
  <c r="AC98" i="10"/>
  <c r="AD98" i="10" s="1"/>
  <c r="AE98" i="10" s="1"/>
  <c r="AF98" i="10" s="1"/>
  <c r="W37" i="10"/>
  <c r="X37" i="10" s="1"/>
  <c r="Y37" i="10" s="1"/>
  <c r="AC37" i="10"/>
  <c r="AD37" i="10" s="1"/>
  <c r="AE37" i="10" s="1"/>
  <c r="AF37" i="10" s="1"/>
  <c r="W42" i="10"/>
  <c r="X42" i="10" s="1"/>
  <c r="Y42" i="10" s="1"/>
  <c r="AC42" i="10"/>
  <c r="AD42" i="10" s="1"/>
  <c r="AE42" i="10" s="1"/>
  <c r="AF42" i="10" s="1"/>
  <c r="AD13" i="10"/>
  <c r="AE13" i="10" s="1"/>
  <c r="AF13" i="10" s="1"/>
  <c r="W22" i="10"/>
  <c r="X22" i="10" s="1"/>
  <c r="Y22" i="10" s="1"/>
  <c r="AC22" i="10"/>
  <c r="AD22" i="10" s="1"/>
  <c r="AE22" i="10" s="1"/>
  <c r="AF22" i="10" s="1"/>
  <c r="AB26" i="10"/>
  <c r="AD26" i="10" s="1"/>
  <c r="AE26" i="10" s="1"/>
  <c r="AF26" i="10" s="1"/>
  <c r="W26" i="10"/>
  <c r="X26" i="10" s="1"/>
  <c r="Y26" i="10" s="1"/>
  <c r="W72" i="10"/>
  <c r="X72" i="10" s="1"/>
  <c r="Y72" i="10" s="1"/>
  <c r="W25" i="10"/>
  <c r="X25" i="10" s="1"/>
  <c r="Y25" i="10" s="1"/>
  <c r="AQ3" i="8"/>
  <c r="Z27" i="7" s="1"/>
  <c r="Z18" i="13"/>
  <c r="Z76" i="13"/>
  <c r="Y76" i="13"/>
  <c r="Y83" i="13"/>
  <c r="Z83" i="13"/>
  <c r="Y84" i="13"/>
  <c r="Z84" i="13"/>
  <c r="Z94" i="13"/>
  <c r="Y94" i="13"/>
  <c r="Y92" i="13"/>
  <c r="Z92" i="13"/>
  <c r="Y88" i="13"/>
  <c r="Z88" i="13"/>
  <c r="Z40" i="13"/>
  <c r="Y40" i="13"/>
  <c r="Y98" i="13"/>
  <c r="Z98" i="13"/>
  <c r="Z41" i="13"/>
  <c r="Y41" i="13"/>
  <c r="Z15" i="13"/>
  <c r="Y75" i="13"/>
  <c r="Z75" i="13"/>
  <c r="Y74" i="13"/>
  <c r="Z74" i="13"/>
  <c r="Z17" i="13"/>
  <c r="Z86" i="13"/>
  <c r="Y86" i="13"/>
  <c r="Z80" i="13"/>
  <c r="Y80" i="13"/>
  <c r="Z90" i="13"/>
  <c r="Y90" i="13"/>
  <c r="Y95" i="13"/>
  <c r="Z95" i="13"/>
  <c r="Y79" i="13"/>
  <c r="Z79" i="13"/>
  <c r="Y96" i="13"/>
  <c r="Z96" i="13"/>
  <c r="Y78" i="13"/>
  <c r="Z78" i="13"/>
  <c r="Z103" i="13"/>
  <c r="Y103" i="13"/>
  <c r="Z20" i="13"/>
  <c r="Z11" i="13"/>
  <c r="Z8" i="13"/>
  <c r="Z14" i="13"/>
  <c r="Y51" i="13"/>
  <c r="Z51" i="13"/>
  <c r="Z101" i="13"/>
  <c r="Y101" i="13"/>
  <c r="Z57" i="13"/>
  <c r="Y57" i="13"/>
  <c r="Z104" i="13"/>
  <c r="Y104" i="13"/>
  <c r="Z43" i="13"/>
  <c r="Y43" i="13"/>
  <c r="Z45" i="13"/>
  <c r="Y45" i="13"/>
  <c r="Z66" i="13"/>
  <c r="Y66" i="13"/>
  <c r="Y77" i="13"/>
  <c r="Z77" i="13"/>
  <c r="Y91" i="13"/>
  <c r="Z91" i="13"/>
  <c r="Z6" i="13"/>
  <c r="Y100" i="13"/>
  <c r="Z100" i="13"/>
  <c r="Z85" i="13"/>
  <c r="Y85" i="13"/>
  <c r="Y55" i="13"/>
  <c r="Z55" i="13"/>
  <c r="Y93" i="13"/>
  <c r="Z93" i="13"/>
  <c r="Z44" i="13"/>
  <c r="Y44" i="13"/>
  <c r="Y68" i="13"/>
  <c r="Z68" i="13"/>
  <c r="Y81" i="13"/>
  <c r="Z81" i="13"/>
  <c r="Z13" i="13"/>
  <c r="Y99" i="13"/>
  <c r="Z99" i="13"/>
  <c r="Y67" i="13"/>
  <c r="Z67" i="13"/>
  <c r="Y69" i="13"/>
  <c r="Z69" i="13"/>
  <c r="Y72" i="13"/>
  <c r="Z72" i="13"/>
  <c r="Y87" i="13"/>
  <c r="Z87" i="13"/>
  <c r="Z7" i="13"/>
  <c r="AB6" i="10"/>
  <c r="AD6" i="10" s="1"/>
  <c r="AE6" i="10" s="1"/>
  <c r="AF6" i="10" s="1"/>
  <c r="W6" i="10"/>
  <c r="X6" i="10" s="1"/>
  <c r="Y6" i="10" s="1"/>
  <c r="W20" i="10"/>
  <c r="X20" i="10" s="1"/>
  <c r="Y20" i="10" s="1"/>
  <c r="AC20" i="10"/>
  <c r="AD20" i="10" s="1"/>
  <c r="AE20" i="10" s="1"/>
  <c r="AF20" i="10" s="1"/>
  <c r="AB87" i="10"/>
  <c r="AD87" i="10" s="1"/>
  <c r="AE87" i="10" s="1"/>
  <c r="AF87" i="10" s="1"/>
  <c r="W87" i="10"/>
  <c r="X87" i="10" s="1"/>
  <c r="Y87" i="10" s="1"/>
  <c r="AB39" i="10"/>
  <c r="AD39" i="10" s="1"/>
  <c r="AE39" i="10" s="1"/>
  <c r="AF39" i="10" s="1"/>
  <c r="W39" i="10"/>
  <c r="X39" i="10" s="1"/>
  <c r="Y39" i="10" s="1"/>
  <c r="AB9" i="10"/>
  <c r="AD9" i="10" s="1"/>
  <c r="AE9" i="10" s="1"/>
  <c r="AF9" i="10" s="1"/>
  <c r="W9" i="10"/>
  <c r="X9" i="10" s="1"/>
  <c r="Y9" i="10" s="1"/>
  <c r="W23" i="10"/>
  <c r="X23" i="10" s="1"/>
  <c r="Y23" i="10" s="1"/>
  <c r="AC23" i="10"/>
  <c r="AD23" i="10" s="1"/>
  <c r="AE23" i="10" s="1"/>
  <c r="AF23" i="10" s="1"/>
  <c r="W93" i="10"/>
  <c r="X93" i="10" s="1"/>
  <c r="Y93" i="10" s="1"/>
  <c r="AC93" i="10"/>
  <c r="AD93" i="10" s="1"/>
  <c r="AE93" i="10" s="1"/>
  <c r="AF93" i="10" s="1"/>
  <c r="W16" i="10"/>
  <c r="X16" i="10" s="1"/>
  <c r="Y16" i="10" s="1"/>
  <c r="AB5" i="10"/>
  <c r="AD5" i="10" s="1"/>
  <c r="AE5" i="10" s="1"/>
  <c r="AF5" i="10" s="1"/>
  <c r="W5" i="10"/>
  <c r="X5" i="10" s="1"/>
  <c r="Y5" i="10" s="1"/>
  <c r="AB68" i="10"/>
  <c r="AD68" i="10" s="1"/>
  <c r="AE68" i="10" s="1"/>
  <c r="AF68" i="10" s="1"/>
  <c r="W68" i="10"/>
  <c r="X68" i="10" s="1"/>
  <c r="Y68" i="10" s="1"/>
  <c r="AB36" i="10"/>
  <c r="AD36" i="10" s="1"/>
  <c r="AE36" i="10" s="1"/>
  <c r="AF36" i="10" s="1"/>
  <c r="W36" i="10"/>
  <c r="X36" i="10" s="1"/>
  <c r="Y36" i="10" s="1"/>
  <c r="W12" i="10"/>
  <c r="X12" i="10" s="1"/>
  <c r="Y12" i="10" s="1"/>
  <c r="AC12" i="10"/>
  <c r="AD12" i="10" s="1"/>
  <c r="AE12" i="10" s="1"/>
  <c r="AF12" i="10" s="1"/>
  <c r="AC29" i="10"/>
  <c r="AD29" i="10" s="1"/>
  <c r="AE29" i="10" s="1"/>
  <c r="AF29" i="10" s="1"/>
  <c r="W29" i="10"/>
  <c r="X29" i="10" s="1"/>
  <c r="Y29" i="10" s="1"/>
  <c r="W4" i="10"/>
  <c r="X4" i="10" s="1"/>
  <c r="Y4" i="10" s="1"/>
  <c r="AB4" i="10"/>
  <c r="AD4" i="10" s="1"/>
  <c r="AE4" i="10" s="1"/>
  <c r="AF4" i="10" s="1"/>
  <c r="BN38" i="8"/>
  <c r="X39" i="13" s="1"/>
  <c r="BF38" i="8"/>
  <c r="BF52" i="8"/>
  <c r="BN52" i="8"/>
  <c r="X53" i="13" s="1"/>
  <c r="BN34" i="8"/>
  <c r="X35" i="13" s="1"/>
  <c r="BF34" i="8"/>
  <c r="BF58" i="8"/>
  <c r="BN58" i="8"/>
  <c r="X59" i="13" s="1"/>
  <c r="BN48" i="8"/>
  <c r="X49" i="13" s="1"/>
  <c r="BF48" i="8"/>
  <c r="L91" i="10"/>
  <c r="L60" i="10"/>
  <c r="L80" i="10"/>
  <c r="L32" i="10"/>
  <c r="L65" i="10"/>
  <c r="L43" i="10"/>
  <c r="L37" i="10"/>
  <c r="L45" i="10"/>
  <c r="L39" i="10"/>
  <c r="L102" i="10"/>
  <c r="L5" i="10"/>
  <c r="L7" i="10"/>
  <c r="L83" i="10"/>
  <c r="L64" i="10"/>
  <c r="L24" i="10"/>
  <c r="L97" i="10"/>
  <c r="L50" i="10"/>
  <c r="L13" i="10"/>
  <c r="L72" i="10"/>
  <c r="BF59" i="8"/>
  <c r="BN59" i="8"/>
  <c r="X60" i="13" s="1"/>
  <c r="BN26" i="8"/>
  <c r="X27" i="13" s="1"/>
  <c r="BF26" i="8"/>
  <c r="BF60" i="8"/>
  <c r="BN60" i="8"/>
  <c r="X61" i="13" s="1"/>
  <c r="L84" i="10"/>
  <c r="J21" i="10"/>
  <c r="I24" i="10" s="1"/>
  <c r="P4" i="10"/>
  <c r="P5" i="10" s="1"/>
  <c r="L16" i="10"/>
  <c r="L34" i="10"/>
  <c r="L46" i="10"/>
  <c r="L68" i="10"/>
  <c r="L29" i="10"/>
  <c r="L94" i="10"/>
  <c r="L17" i="10"/>
  <c r="L35" i="10"/>
  <c r="L57" i="10"/>
  <c r="L4" i="10"/>
  <c r="L66" i="10"/>
  <c r="L74" i="10"/>
  <c r="L103" i="10"/>
  <c r="L15" i="10"/>
  <c r="L21" i="10"/>
  <c r="L73" i="10"/>
  <c r="L56" i="10"/>
  <c r="L51" i="10"/>
  <c r="L99" i="10"/>
  <c r="L33" i="10"/>
  <c r="L41" i="10"/>
  <c r="L20" i="10"/>
  <c r="L55" i="10"/>
  <c r="L31" i="10"/>
  <c r="L10" i="10"/>
  <c r="L11" i="10"/>
  <c r="L40" i="10"/>
  <c r="L85" i="10"/>
  <c r="L71" i="10"/>
  <c r="L12" i="10"/>
  <c r="L48" i="10"/>
  <c r="L76" i="10"/>
  <c r="L75" i="10"/>
  <c r="L61" i="10"/>
  <c r="L6" i="10"/>
  <c r="L69" i="10"/>
  <c r="L28" i="10"/>
  <c r="L26" i="10"/>
  <c r="L89" i="10"/>
  <c r="L9" i="10"/>
  <c r="L14" i="10"/>
  <c r="L42" i="10"/>
  <c r="L93" i="10"/>
  <c r="L79" i="10"/>
  <c r="L86" i="10"/>
  <c r="L8" i="10"/>
  <c r="L53" i="10"/>
  <c r="L98" i="10"/>
  <c r="L44" i="10"/>
  <c r="L58" i="10"/>
  <c r="L88" i="10"/>
  <c r="L78" i="10"/>
  <c r="L100" i="10"/>
  <c r="L92" i="10"/>
  <c r="L22" i="10"/>
  <c r="L18" i="10"/>
  <c r="L30" i="10"/>
  <c r="L23" i="10"/>
  <c r="L52" i="10"/>
  <c r="L77" i="10"/>
  <c r="L87" i="10"/>
  <c r="L49" i="10"/>
  <c r="L67" i="10"/>
  <c r="L27" i="10"/>
  <c r="L101" i="10"/>
  <c r="L70" i="10"/>
  <c r="L25" i="10"/>
  <c r="L36" i="10"/>
  <c r="L19" i="10"/>
  <c r="L96" i="10"/>
  <c r="L59" i="10"/>
  <c r="L62" i="10"/>
  <c r="L81" i="10"/>
  <c r="BN23" i="8"/>
  <c r="X24" i="13" s="1"/>
  <c r="BF23" i="8"/>
  <c r="BN32" i="8"/>
  <c r="X33" i="13" s="1"/>
  <c r="BF32" i="8"/>
  <c r="BN29" i="8"/>
  <c r="X30" i="13" s="1"/>
  <c r="BF29" i="8"/>
  <c r="BN36" i="8"/>
  <c r="X37" i="13" s="1"/>
  <c r="BF36" i="8"/>
  <c r="BN35" i="8"/>
  <c r="X36" i="13" s="1"/>
  <c r="BF35" i="8"/>
  <c r="BN63" i="8"/>
  <c r="X64" i="13" s="1"/>
  <c r="BF63" i="8"/>
  <c r="BN53" i="8"/>
  <c r="X54" i="13" s="1"/>
  <c r="BF53" i="8"/>
  <c r="BN49" i="8"/>
  <c r="X50" i="13" s="1"/>
  <c r="BF49" i="8"/>
  <c r="BF28" i="8"/>
  <c r="BN28" i="8"/>
  <c r="X29" i="13" s="1"/>
  <c r="BF27" i="8"/>
  <c r="BN27" i="8"/>
  <c r="X28" i="13" s="1"/>
  <c r="BF37" i="8"/>
  <c r="BN37" i="8"/>
  <c r="X38" i="13" s="1"/>
  <c r="BN8" i="8"/>
  <c r="X9" i="13" s="1"/>
  <c r="EN83" i="5"/>
  <c r="C43" i="7"/>
  <c r="EO90" i="5"/>
  <c r="EN72" i="5"/>
  <c r="EN103" i="5"/>
  <c r="EO98" i="5"/>
  <c r="EN74" i="5"/>
  <c r="BN18" i="8"/>
  <c r="X19" i="13" s="1"/>
  <c r="K6" i="13"/>
  <c r="AK6" i="8"/>
  <c r="AL6" i="8" s="1"/>
  <c r="W6" i="8"/>
  <c r="J136" i="11"/>
  <c r="B137" i="11"/>
  <c r="E136" i="11"/>
  <c r="M136" i="11"/>
  <c r="D136" i="11"/>
  <c r="L136" i="11"/>
  <c r="C136" i="11"/>
  <c r="K136" i="11"/>
  <c r="I136" i="11"/>
  <c r="G136" i="11"/>
  <c r="F136" i="11"/>
  <c r="H136" i="11"/>
  <c r="J163" i="11"/>
  <c r="I163" i="11"/>
  <c r="F163" i="11"/>
  <c r="H163" i="11"/>
  <c r="G163" i="11"/>
  <c r="E163" i="11"/>
  <c r="D163" i="11"/>
  <c r="B164" i="11"/>
  <c r="C163" i="11"/>
  <c r="L163" i="11"/>
  <c r="M163" i="11"/>
  <c r="K163" i="11"/>
  <c r="BN31" i="8"/>
  <c r="X32" i="13" s="1"/>
  <c r="BF31" i="8"/>
  <c r="BF45" i="8"/>
  <c r="BN45" i="8"/>
  <c r="X46" i="13" s="1"/>
  <c r="BN46" i="8"/>
  <c r="X47" i="13" s="1"/>
  <c r="BF46" i="8"/>
  <c r="BN72" i="8"/>
  <c r="X73" i="13" s="1"/>
  <c r="BF72" i="8"/>
  <c r="L5" i="13"/>
  <c r="J5" i="13"/>
  <c r="BF30" i="8"/>
  <c r="BN30" i="8"/>
  <c r="X31" i="13" s="1"/>
  <c r="BF88" i="8"/>
  <c r="BN88" i="8"/>
  <c r="X89" i="13" s="1"/>
  <c r="BF70" i="8"/>
  <c r="BN70" i="8"/>
  <c r="X71" i="13" s="1"/>
  <c r="BN22" i="8"/>
  <c r="X23" i="13" s="1"/>
  <c r="BF22" i="8"/>
  <c r="E4" i="13"/>
  <c r="B216" i="11"/>
  <c r="BF47" i="8"/>
  <c r="BN47" i="8"/>
  <c r="X48" i="13" s="1"/>
  <c r="BF62" i="8"/>
  <c r="BN62" i="8"/>
  <c r="X63" i="13" s="1"/>
  <c r="BF81" i="8"/>
  <c r="BN81" i="8"/>
  <c r="X82" i="13" s="1"/>
  <c r="M7" i="13"/>
  <c r="AI8" i="8"/>
  <c r="AJ7" i="8" s="1"/>
  <c r="BF96" i="8"/>
  <c r="BN96" i="8"/>
  <c r="X97" i="13" s="1"/>
  <c r="Y14" i="8"/>
  <c r="F5" i="13"/>
  <c r="AG5" i="8"/>
  <c r="AH5" i="8" s="1"/>
  <c r="BF61" i="8"/>
  <c r="BN61" i="8"/>
  <c r="X62" i="13" s="1"/>
  <c r="AS4" i="8"/>
  <c r="AT4" i="8" s="1"/>
  <c r="AB29" i="7"/>
  <c r="AD18" i="8"/>
  <c r="AD15" i="8"/>
  <c r="AD14" i="8"/>
  <c r="BF104" i="8"/>
  <c r="BN104" i="8"/>
  <c r="AA4" i="10"/>
  <c r="AL4" i="10" s="1"/>
  <c r="BF64" i="8"/>
  <c r="BN64" i="8"/>
  <c r="X65" i="13" s="1"/>
  <c r="BF24" i="8"/>
  <c r="BN24" i="8"/>
  <c r="X25" i="13" s="1"/>
  <c r="BF33" i="8"/>
  <c r="BN33" i="8"/>
  <c r="X34" i="13" s="1"/>
  <c r="BF101" i="8"/>
  <c r="BN101" i="8"/>
  <c r="X102" i="13" s="1"/>
  <c r="BF57" i="8"/>
  <c r="BN57" i="8"/>
  <c r="X58" i="13" s="1"/>
  <c r="BF55" i="8"/>
  <c r="BN55" i="8"/>
  <c r="X56" i="13" s="1"/>
  <c r="H7" i="13"/>
  <c r="G7" i="8"/>
  <c r="E7" i="8"/>
  <c r="AF6" i="8"/>
  <c r="AE8" i="8"/>
  <c r="BF25" i="8"/>
  <c r="BN25" i="8"/>
  <c r="X26" i="13" s="1"/>
  <c r="BN41" i="8"/>
  <c r="X42" i="13" s="1"/>
  <c r="BF41" i="8"/>
  <c r="BF69" i="8"/>
  <c r="BN69" i="8"/>
  <c r="X70" i="13" s="1"/>
  <c r="EN71" i="5"/>
  <c r="B189" i="11"/>
  <c r="BF51" i="8"/>
  <c r="BN51" i="8"/>
  <c r="X52" i="13" s="1"/>
  <c r="AD17" i="8"/>
  <c r="M110" i="11"/>
  <c r="E110" i="11"/>
  <c r="I110" i="11"/>
  <c r="H110" i="11"/>
  <c r="B111" i="11"/>
  <c r="G110" i="11"/>
  <c r="F110" i="11"/>
  <c r="D110" i="11"/>
  <c r="K110" i="11"/>
  <c r="L110" i="11"/>
  <c r="J110" i="11"/>
  <c r="C110" i="11"/>
  <c r="I5" i="13"/>
  <c r="X5" i="8"/>
  <c r="N5" i="13" s="1"/>
  <c r="W4" i="8"/>
  <c r="G4" i="13" s="1"/>
  <c r="H63" i="11"/>
  <c r="G63" i="11"/>
  <c r="B64" i="11"/>
  <c r="F63" i="11"/>
  <c r="M63" i="11"/>
  <c r="E63" i="11"/>
  <c r="L63" i="11"/>
  <c r="D63" i="11"/>
  <c r="J63" i="11"/>
  <c r="I63" i="11"/>
  <c r="C63" i="11"/>
  <c r="K63" i="11"/>
  <c r="E188" i="11"/>
  <c r="C188" i="11"/>
  <c r="H215" i="11"/>
  <c r="C215" i="11"/>
  <c r="G188" i="11"/>
  <c r="I188" i="11"/>
  <c r="F188" i="11"/>
  <c r="E215" i="11"/>
  <c r="L188" i="11"/>
  <c r="J188" i="11"/>
  <c r="F215" i="11"/>
  <c r="I215" i="11"/>
  <c r="G215" i="11"/>
  <c r="D215" i="11"/>
  <c r="D188" i="11"/>
  <c r="H188" i="11"/>
  <c r="M215" i="11"/>
  <c r="K215" i="11"/>
  <c r="M188" i="11"/>
  <c r="K188" i="11"/>
  <c r="L215" i="11"/>
  <c r="J215" i="11"/>
  <c r="Z24" i="13" l="1"/>
  <c r="Y24" i="13"/>
  <c r="L82" i="10"/>
  <c r="L47" i="10"/>
  <c r="L63" i="10"/>
  <c r="L38" i="10"/>
  <c r="L54" i="10"/>
  <c r="Y56" i="13"/>
  <c r="Z56" i="13"/>
  <c r="Y58" i="13"/>
  <c r="Z58" i="13"/>
  <c r="Y34" i="13"/>
  <c r="Z34" i="13"/>
  <c r="Y52" i="13"/>
  <c r="Z52" i="13"/>
  <c r="Y70" i="13"/>
  <c r="Z70" i="13"/>
  <c r="Z26" i="13"/>
  <c r="Y26" i="13"/>
  <c r="Y97" i="13"/>
  <c r="Z97" i="13"/>
  <c r="Y82" i="13"/>
  <c r="Z82" i="13"/>
  <c r="Y63" i="13"/>
  <c r="Z63" i="13"/>
  <c r="Z48" i="13"/>
  <c r="Y48" i="13"/>
  <c r="Z71" i="13"/>
  <c r="Y71" i="13"/>
  <c r="Z89" i="13"/>
  <c r="Y89" i="13"/>
  <c r="Z31" i="13"/>
  <c r="Y31" i="13"/>
  <c r="Z46" i="13"/>
  <c r="Y46" i="13"/>
  <c r="Y38" i="13"/>
  <c r="Z38" i="13"/>
  <c r="Y28" i="13"/>
  <c r="Z28" i="13"/>
  <c r="Y29" i="13"/>
  <c r="Z29" i="13"/>
  <c r="Y61" i="13"/>
  <c r="Z61" i="13"/>
  <c r="Z60" i="13"/>
  <c r="Y60" i="13"/>
  <c r="Y49" i="13"/>
  <c r="Z49" i="13"/>
  <c r="Y35" i="13"/>
  <c r="Z35" i="13"/>
  <c r="Y39" i="13"/>
  <c r="Z39" i="13"/>
  <c r="Y42" i="13"/>
  <c r="Z42" i="13"/>
  <c r="Y102" i="13"/>
  <c r="Z102" i="13"/>
  <c r="Y25" i="13"/>
  <c r="Z25" i="13"/>
  <c r="Y65" i="13"/>
  <c r="Z65" i="13"/>
  <c r="Y62" i="13"/>
  <c r="Z62" i="13"/>
  <c r="Z23" i="13"/>
  <c r="Z73" i="13"/>
  <c r="Y73" i="13"/>
  <c r="Y47" i="13"/>
  <c r="Z47" i="13"/>
  <c r="Z32" i="13"/>
  <c r="Y32" i="13"/>
  <c r="Y50" i="13"/>
  <c r="Z50" i="13"/>
  <c r="Z54" i="13"/>
  <c r="Y54" i="13"/>
  <c r="Y64" i="13"/>
  <c r="Z64" i="13"/>
  <c r="Y36" i="13"/>
  <c r="Z36" i="13"/>
  <c r="Y37" i="13"/>
  <c r="Z37" i="13"/>
  <c r="Z30" i="13"/>
  <c r="Y30" i="13"/>
  <c r="Y33" i="13"/>
  <c r="Z33" i="13"/>
  <c r="Y27" i="13"/>
  <c r="Z27" i="13"/>
  <c r="Y59" i="13"/>
  <c r="Z59" i="13"/>
  <c r="Z53" i="13"/>
  <c r="Y53" i="13"/>
  <c r="Z19" i="13"/>
  <c r="Z9" i="13"/>
  <c r="T4" i="10"/>
  <c r="K7" i="13"/>
  <c r="AK7" i="8"/>
  <c r="AL7" i="8" s="1"/>
  <c r="W7" i="8"/>
  <c r="E5" i="13"/>
  <c r="G5" i="13"/>
  <c r="H8" i="13"/>
  <c r="G8" i="8"/>
  <c r="AF7" i="8"/>
  <c r="E8" i="8"/>
  <c r="B165" i="11"/>
  <c r="F164" i="11"/>
  <c r="G164" i="11"/>
  <c r="L164" i="11"/>
  <c r="C164" i="11"/>
  <c r="I164" i="11"/>
  <c r="H164" i="11"/>
  <c r="E164" i="11"/>
  <c r="D164" i="11"/>
  <c r="K164" i="11"/>
  <c r="M164" i="11"/>
  <c r="J164" i="11"/>
  <c r="F6" i="13"/>
  <c r="AG6" i="8"/>
  <c r="AH6" i="8" s="1"/>
  <c r="AN4" i="10"/>
  <c r="AM4" i="10"/>
  <c r="AU4" i="8"/>
  <c r="AS5" i="8"/>
  <c r="I6" i="13"/>
  <c r="X6" i="8"/>
  <c r="N6" i="13" s="1"/>
  <c r="B217" i="11"/>
  <c r="B138" i="11"/>
  <c r="F137" i="11"/>
  <c r="K137" i="11"/>
  <c r="J137" i="11"/>
  <c r="I137" i="11"/>
  <c r="H137" i="11"/>
  <c r="G137" i="11"/>
  <c r="M137" i="11"/>
  <c r="D137" i="11"/>
  <c r="L137" i="11"/>
  <c r="C137" i="11"/>
  <c r="E137" i="11"/>
  <c r="G111" i="11"/>
  <c r="M111" i="11"/>
  <c r="D111" i="11"/>
  <c r="L111" i="11"/>
  <c r="C111" i="11"/>
  <c r="K111" i="11"/>
  <c r="J111" i="11"/>
  <c r="I111" i="11"/>
  <c r="B112" i="11"/>
  <c r="H111" i="11"/>
  <c r="E111" i="11"/>
  <c r="F111" i="11"/>
  <c r="AA5" i="10"/>
  <c r="P6" i="10"/>
  <c r="T5" i="10"/>
  <c r="L64" i="11"/>
  <c r="D64" i="11"/>
  <c r="K64" i="11"/>
  <c r="C64" i="11"/>
  <c r="J64" i="11"/>
  <c r="I64" i="11"/>
  <c r="H64" i="11"/>
  <c r="B65" i="11"/>
  <c r="M64" i="11"/>
  <c r="F64" i="11"/>
  <c r="G64" i="11"/>
  <c r="E64" i="11"/>
  <c r="I4" i="13"/>
  <c r="X4" i="8"/>
  <c r="B190" i="11"/>
  <c r="Y15" i="8"/>
  <c r="M8" i="13"/>
  <c r="AI9" i="8"/>
  <c r="AJ8" i="8" s="1"/>
  <c r="L6" i="13"/>
  <c r="J6" i="13"/>
  <c r="AV4" i="8"/>
  <c r="D216" i="11"/>
  <c r="L189" i="11"/>
  <c r="F189" i="11"/>
  <c r="G216" i="11"/>
  <c r="K216" i="11"/>
  <c r="M216" i="11"/>
  <c r="D189" i="11"/>
  <c r="C189" i="11"/>
  <c r="G189" i="11"/>
  <c r="M189" i="11"/>
  <c r="F216" i="11"/>
  <c r="I216" i="11"/>
  <c r="E216" i="11"/>
  <c r="I189" i="11"/>
  <c r="J216" i="11"/>
  <c r="C216" i="11"/>
  <c r="E189" i="11"/>
  <c r="H189" i="11"/>
  <c r="H216" i="11"/>
  <c r="J189" i="11"/>
  <c r="K189" i="11"/>
  <c r="L216" i="11"/>
  <c r="BH4" i="8" l="1"/>
  <c r="Y5" i="13"/>
  <c r="K8" i="13"/>
  <c r="W8" i="8"/>
  <c r="AK8" i="8"/>
  <c r="AL8" i="8" s="1"/>
  <c r="Y16" i="8"/>
  <c r="K112" i="11"/>
  <c r="C112" i="11"/>
  <c r="J112" i="11"/>
  <c r="I112" i="11"/>
  <c r="B113" i="11"/>
  <c r="H112" i="11"/>
  <c r="G112" i="11"/>
  <c r="F112" i="11"/>
  <c r="L112" i="11"/>
  <c r="M112" i="11"/>
  <c r="E112" i="11"/>
  <c r="D112" i="11"/>
  <c r="B218" i="11"/>
  <c r="B191" i="11"/>
  <c r="AA6" i="10"/>
  <c r="AL6" i="10" s="1"/>
  <c r="T6" i="10"/>
  <c r="P7" i="10"/>
  <c r="BP4" i="8"/>
  <c r="AU3" i="8"/>
  <c r="BN3" i="8" s="1"/>
  <c r="F7" i="13"/>
  <c r="AG7" i="8"/>
  <c r="AH7" i="8" s="1"/>
  <c r="AS6" i="8"/>
  <c r="AU5" i="8"/>
  <c r="BP5" i="8" s="1"/>
  <c r="AR5" i="8"/>
  <c r="I7" i="13"/>
  <c r="X7" i="8"/>
  <c r="N7" i="13" s="1"/>
  <c r="G65" i="11"/>
  <c r="B66" i="11"/>
  <c r="F65" i="11"/>
  <c r="M65" i="11"/>
  <c r="E65" i="11"/>
  <c r="L65" i="11"/>
  <c r="D65" i="11"/>
  <c r="K65" i="11"/>
  <c r="C65" i="11"/>
  <c r="H65" i="11"/>
  <c r="J65" i="11"/>
  <c r="I65" i="11"/>
  <c r="AL5" i="10"/>
  <c r="J138" i="11"/>
  <c r="H138" i="11"/>
  <c r="G138" i="11"/>
  <c r="F138" i="11"/>
  <c r="B139" i="11"/>
  <c r="E138" i="11"/>
  <c r="M138" i="11"/>
  <c r="D138" i="11"/>
  <c r="K138" i="11"/>
  <c r="C138" i="11"/>
  <c r="I138" i="11"/>
  <c r="L138" i="11"/>
  <c r="L7" i="13"/>
  <c r="J7" i="13"/>
  <c r="M9" i="13"/>
  <c r="AI10" i="8"/>
  <c r="AJ9" i="8" s="1"/>
  <c r="G6" i="13"/>
  <c r="E6" i="13"/>
  <c r="J165" i="11"/>
  <c r="M165" i="11"/>
  <c r="D165" i="11"/>
  <c r="I165" i="11"/>
  <c r="H165" i="11"/>
  <c r="G165" i="11"/>
  <c r="F165" i="11"/>
  <c r="E165" i="11"/>
  <c r="C165" i="11"/>
  <c r="L165" i="11"/>
  <c r="K165" i="11"/>
  <c r="B166" i="11"/>
  <c r="N4" i="13"/>
  <c r="L4" i="13"/>
  <c r="I217" i="11"/>
  <c r="K217" i="11"/>
  <c r="E190" i="11"/>
  <c r="C217" i="11"/>
  <c r="C190" i="11"/>
  <c r="H217" i="11"/>
  <c r="L190" i="11"/>
  <c r="F217" i="11"/>
  <c r="F190" i="11"/>
  <c r="M190" i="11"/>
  <c r="I190" i="11"/>
  <c r="H190" i="11"/>
  <c r="K190" i="11"/>
  <c r="M217" i="11"/>
  <c r="J217" i="11"/>
  <c r="D190" i="11"/>
  <c r="G190" i="11"/>
  <c r="AT5" i="8"/>
  <c r="G217" i="11"/>
  <c r="AV5" i="8"/>
  <c r="D217" i="11"/>
  <c r="J190" i="11"/>
  <c r="E217" i="11"/>
  <c r="L217" i="11"/>
  <c r="BH5" i="8" l="1"/>
  <c r="Y6" i="13"/>
  <c r="K9" i="13"/>
  <c r="W9" i="8"/>
  <c r="AK9" i="8"/>
  <c r="AL9" i="8" s="1"/>
  <c r="BO4" i="8"/>
  <c r="BT4" i="8"/>
  <c r="AN6" i="10"/>
  <c r="AM6" i="10"/>
  <c r="B219" i="11"/>
  <c r="L113" i="11"/>
  <c r="D113" i="11"/>
  <c r="B114" i="11"/>
  <c r="E113" i="11"/>
  <c r="M113" i="11"/>
  <c r="C113" i="11"/>
  <c r="K113" i="11"/>
  <c r="J113" i="11"/>
  <c r="I113" i="11"/>
  <c r="H113" i="11"/>
  <c r="G113" i="11"/>
  <c r="F113" i="11"/>
  <c r="Y17" i="8"/>
  <c r="B167" i="11"/>
  <c r="F166" i="11"/>
  <c r="J166" i="11"/>
  <c r="G166" i="11"/>
  <c r="E166" i="11"/>
  <c r="K166" i="11"/>
  <c r="I166" i="11"/>
  <c r="H166" i="11"/>
  <c r="D166" i="11"/>
  <c r="C166" i="11"/>
  <c r="M166" i="11"/>
  <c r="L166" i="11"/>
  <c r="AM5" i="10"/>
  <c r="AN5" i="10"/>
  <c r="B140" i="11"/>
  <c r="F139" i="11"/>
  <c r="E139" i="11"/>
  <c r="M139" i="11"/>
  <c r="D139" i="11"/>
  <c r="L139" i="11"/>
  <c r="C139" i="11"/>
  <c r="K139" i="11"/>
  <c r="J139" i="11"/>
  <c r="H139" i="11"/>
  <c r="G139" i="11"/>
  <c r="I139" i="11"/>
  <c r="BT5" i="8"/>
  <c r="BO5" i="8"/>
  <c r="K66" i="11"/>
  <c r="C66" i="11"/>
  <c r="J66" i="11"/>
  <c r="I66" i="11"/>
  <c r="H66" i="11"/>
  <c r="B67" i="11"/>
  <c r="G66" i="11"/>
  <c r="M66" i="11"/>
  <c r="F66" i="11"/>
  <c r="D66" i="11"/>
  <c r="L66" i="11"/>
  <c r="E66" i="11"/>
  <c r="AU6" i="8"/>
  <c r="BP6" i="8" s="1"/>
  <c r="AS7" i="8"/>
  <c r="I8" i="13"/>
  <c r="X8" i="8"/>
  <c r="N8" i="13" s="1"/>
  <c r="J8" i="13"/>
  <c r="L8" i="13"/>
  <c r="B192" i="11"/>
  <c r="M10" i="13"/>
  <c r="AI11" i="8"/>
  <c r="G7" i="13"/>
  <c r="E7" i="13"/>
  <c r="P8" i="10"/>
  <c r="T7" i="10"/>
  <c r="AA7" i="10"/>
  <c r="D218" i="11"/>
  <c r="G218" i="11"/>
  <c r="G191" i="11"/>
  <c r="J191" i="11"/>
  <c r="H218" i="11"/>
  <c r="J218" i="11"/>
  <c r="K191" i="11"/>
  <c r="H191" i="11"/>
  <c r="AT6" i="8"/>
  <c r="F218" i="11"/>
  <c r="D191" i="11"/>
  <c r="C191" i="11"/>
  <c r="K218" i="11"/>
  <c r="E218" i="11"/>
  <c r="M191" i="11"/>
  <c r="M218" i="11"/>
  <c r="F191" i="11"/>
  <c r="C218" i="11"/>
  <c r="L191" i="11"/>
  <c r="I218" i="11"/>
  <c r="L218" i="11"/>
  <c r="I191" i="11"/>
  <c r="E191" i="11"/>
  <c r="BO6" i="8" l="1"/>
  <c r="BT6" i="8"/>
  <c r="BR4" i="8"/>
  <c r="BQ4" i="8"/>
  <c r="BU4" i="8"/>
  <c r="J140" i="11"/>
  <c r="L140" i="11"/>
  <c r="C140" i="11"/>
  <c r="K140" i="11"/>
  <c r="I140" i="11"/>
  <c r="H140" i="11"/>
  <c r="G140" i="11"/>
  <c r="B141" i="11"/>
  <c r="E140" i="11"/>
  <c r="M140" i="11"/>
  <c r="D140" i="11"/>
  <c r="F140" i="11"/>
  <c r="B220" i="11"/>
  <c r="H114" i="11"/>
  <c r="K114" i="11"/>
  <c r="J114" i="11"/>
  <c r="I114" i="11"/>
  <c r="G114" i="11"/>
  <c r="F114" i="11"/>
  <c r="M114" i="11"/>
  <c r="E114" i="11"/>
  <c r="L114" i="11"/>
  <c r="D114" i="11"/>
  <c r="C114" i="11"/>
  <c r="B115" i="11"/>
  <c r="Y18" i="8"/>
  <c r="AA16" i="8" s="1"/>
  <c r="M11" i="13"/>
  <c r="AI12" i="8"/>
  <c r="AL7" i="10"/>
  <c r="B193" i="11"/>
  <c r="BU5" i="8"/>
  <c r="BR5" i="8"/>
  <c r="BZ5" i="8"/>
  <c r="CA5" i="8"/>
  <c r="BX5" i="8"/>
  <c r="BY5" i="8"/>
  <c r="AJ10" i="8"/>
  <c r="AA12" i="8"/>
  <c r="AU7" i="8"/>
  <c r="BP7" i="8" s="1"/>
  <c r="AS8" i="8"/>
  <c r="J167" i="11"/>
  <c r="G167" i="11"/>
  <c r="M167" i="11"/>
  <c r="D167" i="11"/>
  <c r="L167" i="11"/>
  <c r="C167" i="11"/>
  <c r="B168" i="11"/>
  <c r="K167" i="11"/>
  <c r="I167" i="11"/>
  <c r="H167" i="11"/>
  <c r="F167" i="11"/>
  <c r="E167" i="11"/>
  <c r="I9" i="13"/>
  <c r="X9" i="8"/>
  <c r="N9" i="13" s="1"/>
  <c r="P9" i="10"/>
  <c r="T8" i="10"/>
  <c r="AA8" i="10"/>
  <c r="AL8" i="10" s="1"/>
  <c r="F67" i="11"/>
  <c r="M67" i="11"/>
  <c r="E67" i="11"/>
  <c r="L67" i="11"/>
  <c r="D67" i="11"/>
  <c r="K67" i="11"/>
  <c r="C67" i="11"/>
  <c r="J67" i="11"/>
  <c r="I67" i="11"/>
  <c r="H67" i="11"/>
  <c r="G67" i="11"/>
  <c r="J9" i="13"/>
  <c r="L9" i="13"/>
  <c r="AV6" i="8"/>
  <c r="C192" i="11"/>
  <c r="J219" i="11"/>
  <c r="G219" i="11"/>
  <c r="C219" i="11"/>
  <c r="I219" i="11"/>
  <c r="AT7" i="8"/>
  <c r="L219" i="11"/>
  <c r="I192" i="11"/>
  <c r="E219" i="11"/>
  <c r="J192" i="11"/>
  <c r="F192" i="11"/>
  <c r="H192" i="11"/>
  <c r="K219" i="11"/>
  <c r="D192" i="11"/>
  <c r="G192" i="11"/>
  <c r="H219" i="11"/>
  <c r="E192" i="11"/>
  <c r="M192" i="11"/>
  <c r="F219" i="11"/>
  <c r="M219" i="11"/>
  <c r="K192" i="11"/>
  <c r="D219" i="11"/>
  <c r="L192" i="11"/>
  <c r="BH6" i="8" l="1"/>
  <c r="Y7" i="13" s="1"/>
  <c r="AA11" i="8"/>
  <c r="BQ5" i="8"/>
  <c r="BS5" i="8" s="1"/>
  <c r="BS4" i="8"/>
  <c r="L115" i="11"/>
  <c r="D115" i="11"/>
  <c r="H115" i="11"/>
  <c r="G115" i="11"/>
  <c r="F115" i="11"/>
  <c r="B116" i="11"/>
  <c r="E115" i="11"/>
  <c r="M115" i="11"/>
  <c r="C115" i="11"/>
  <c r="J115" i="11"/>
  <c r="I115" i="11"/>
  <c r="K115" i="11"/>
  <c r="AN7" i="10"/>
  <c r="AM7" i="10"/>
  <c r="BV4" i="8"/>
  <c r="AN8" i="10"/>
  <c r="AM8" i="10"/>
  <c r="AA15" i="8"/>
  <c r="BR6" i="8"/>
  <c r="BU6" i="8"/>
  <c r="CA6" i="8"/>
  <c r="BY6" i="8"/>
  <c r="BX6" i="8"/>
  <c r="BZ6" i="8"/>
  <c r="AA9" i="10"/>
  <c r="P10" i="10"/>
  <c r="T9" i="10"/>
  <c r="F168" i="11"/>
  <c r="M168" i="11"/>
  <c r="D168" i="11"/>
  <c r="J168" i="11"/>
  <c r="I168" i="11"/>
  <c r="L168" i="11"/>
  <c r="K168" i="11"/>
  <c r="H168" i="11"/>
  <c r="E168" i="11"/>
  <c r="G168" i="11"/>
  <c r="C168" i="11"/>
  <c r="AS9" i="8"/>
  <c r="AU8" i="8"/>
  <c r="BP8" i="8" s="1"/>
  <c r="AA13" i="8"/>
  <c r="BO7" i="8"/>
  <c r="BT7" i="8"/>
  <c r="B194" i="11"/>
  <c r="B142" i="11"/>
  <c r="F141" i="11"/>
  <c r="I141" i="11"/>
  <c r="H141" i="11"/>
  <c r="G141" i="11"/>
  <c r="E141" i="11"/>
  <c r="M141" i="11"/>
  <c r="D141" i="11"/>
  <c r="K141" i="11"/>
  <c r="C141" i="11"/>
  <c r="L141" i="11"/>
  <c r="J141" i="11"/>
  <c r="K10" i="13"/>
  <c r="W10" i="8"/>
  <c r="AJ11" i="8"/>
  <c r="AK10" i="8"/>
  <c r="AL10" i="8" s="1"/>
  <c r="M12" i="13"/>
  <c r="AI13" i="8"/>
  <c r="AA18" i="8"/>
  <c r="AA10" i="8"/>
  <c r="AA9" i="8"/>
  <c r="AE9" i="8" s="1"/>
  <c r="AA14" i="8"/>
  <c r="AA17" i="8"/>
  <c r="AV7" i="8"/>
  <c r="M193" i="11"/>
  <c r="K193" i="11"/>
  <c r="H193" i="11"/>
  <c r="C220" i="11"/>
  <c r="E220" i="11"/>
  <c r="M220" i="11"/>
  <c r="H220" i="11"/>
  <c r="J193" i="11"/>
  <c r="J220" i="11"/>
  <c r="D193" i="11"/>
  <c r="D220" i="11"/>
  <c r="I193" i="11"/>
  <c r="G220" i="11"/>
  <c r="G193" i="11"/>
  <c r="L220" i="11"/>
  <c r="C193" i="11"/>
  <c r="AT8" i="8"/>
  <c r="E193" i="11"/>
  <c r="F220" i="11"/>
  <c r="F193" i="11"/>
  <c r="L193" i="11"/>
  <c r="I220" i="11"/>
  <c r="K220" i="11"/>
  <c r="BH7" i="8" l="1"/>
  <c r="Y8" i="13" s="1"/>
  <c r="BQ6" i="8"/>
  <c r="BS6" i="8" s="1"/>
  <c r="H116" i="11"/>
  <c r="E116" i="11"/>
  <c r="M116" i="11"/>
  <c r="D116" i="11"/>
  <c r="L116" i="11"/>
  <c r="C116" i="11"/>
  <c r="K116" i="11"/>
  <c r="J116" i="11"/>
  <c r="G116" i="11"/>
  <c r="I116" i="11"/>
  <c r="F116" i="11"/>
  <c r="T10" i="10"/>
  <c r="AA10" i="10"/>
  <c r="AL10" i="10" s="1"/>
  <c r="P11" i="10"/>
  <c r="M13" i="13"/>
  <c r="AI14" i="8"/>
  <c r="AS10" i="8"/>
  <c r="AU9" i="8"/>
  <c r="BP9" i="8" s="1"/>
  <c r="AL9" i="10"/>
  <c r="BU7" i="8"/>
  <c r="BV6" i="8" s="1"/>
  <c r="BR7" i="8"/>
  <c r="BX7" i="8"/>
  <c r="BY7" i="8"/>
  <c r="BZ7" i="8"/>
  <c r="CA7" i="8"/>
  <c r="K11" i="13"/>
  <c r="AK11" i="8"/>
  <c r="AL11" i="8" s="1"/>
  <c r="W11" i="8"/>
  <c r="AJ12" i="8"/>
  <c r="J142" i="11"/>
  <c r="F142" i="11"/>
  <c r="E142" i="11"/>
  <c r="M142" i="11"/>
  <c r="D142" i="11"/>
  <c r="L142" i="11"/>
  <c r="C142" i="11"/>
  <c r="K142" i="11"/>
  <c r="H142" i="11"/>
  <c r="G142" i="11"/>
  <c r="I142" i="11"/>
  <c r="BV5" i="8"/>
  <c r="BT8" i="8"/>
  <c r="BO8" i="8"/>
  <c r="I10" i="13"/>
  <c r="X10" i="8"/>
  <c r="N10" i="13" s="1"/>
  <c r="H9" i="13"/>
  <c r="AE10" i="8"/>
  <c r="G9" i="8"/>
  <c r="AF8" i="8"/>
  <c r="E9" i="8"/>
  <c r="L10" i="13"/>
  <c r="J10" i="13"/>
  <c r="E194" i="11"/>
  <c r="D194" i="11"/>
  <c r="I194" i="11"/>
  <c r="J194" i="11"/>
  <c r="K194" i="11"/>
  <c r="C194" i="11"/>
  <c r="L194" i="11"/>
  <c r="M194" i="11"/>
  <c r="F194" i="11"/>
  <c r="H194" i="11"/>
  <c r="AT9" i="8"/>
  <c r="G194" i="11"/>
  <c r="AV8" i="8"/>
  <c r="BH8" i="8" l="1"/>
  <c r="Y9" i="13" s="1"/>
  <c r="H10" i="13"/>
  <c r="E10" i="8"/>
  <c r="AF9" i="8"/>
  <c r="G10" i="8"/>
  <c r="AE11" i="8"/>
  <c r="AN9" i="10"/>
  <c r="AM9" i="10"/>
  <c r="K12" i="13"/>
  <c r="AK12" i="8"/>
  <c r="AL12" i="8" s="1"/>
  <c r="W12" i="8"/>
  <c r="AJ13" i="8"/>
  <c r="BU8" i="8"/>
  <c r="BR8" i="8"/>
  <c r="BY8" i="8"/>
  <c r="BZ8" i="8"/>
  <c r="BX8" i="8"/>
  <c r="CA8" i="8"/>
  <c r="I11" i="13"/>
  <c r="X11" i="8"/>
  <c r="N11" i="13" s="1"/>
  <c r="BO9" i="8"/>
  <c r="BT9" i="8"/>
  <c r="BQ7" i="8"/>
  <c r="BS7" i="8" s="1"/>
  <c r="AU10" i="8"/>
  <c r="BP10" i="8" s="1"/>
  <c r="AS11" i="8"/>
  <c r="F8" i="13"/>
  <c r="AG8" i="8"/>
  <c r="AH8" i="8" s="1"/>
  <c r="L11" i="13"/>
  <c r="J11" i="13"/>
  <c r="M14" i="13"/>
  <c r="AI15" i="8"/>
  <c r="P12" i="10"/>
  <c r="T11" i="10"/>
  <c r="AA11" i="10"/>
  <c r="AN10" i="10"/>
  <c r="AM10" i="10"/>
  <c r="AV9" i="8"/>
  <c r="AT10" i="8"/>
  <c r="BH9" i="8" l="1"/>
  <c r="Y10" i="13" s="1"/>
  <c r="BQ8" i="8"/>
  <c r="BS8" i="8" s="1"/>
  <c r="K13" i="13"/>
  <c r="W13" i="8"/>
  <c r="AJ14" i="8"/>
  <c r="AK13" i="8"/>
  <c r="AL13" i="8" s="1"/>
  <c r="I12" i="13"/>
  <c r="X12" i="8"/>
  <c r="N12" i="13" s="1"/>
  <c r="F9" i="13"/>
  <c r="AG9" i="8"/>
  <c r="AH9" i="8" s="1"/>
  <c r="G8" i="13"/>
  <c r="E8" i="13"/>
  <c r="L12" i="13"/>
  <c r="J12" i="13"/>
  <c r="AL11" i="10"/>
  <c r="AS12" i="8"/>
  <c r="AU11" i="8"/>
  <c r="BP11" i="8" s="1"/>
  <c r="AA12" i="10"/>
  <c r="AL12" i="10" s="1"/>
  <c r="P13" i="10"/>
  <c r="T12" i="10"/>
  <c r="M15" i="13"/>
  <c r="AI16" i="8"/>
  <c r="BO10" i="8"/>
  <c r="BT10" i="8"/>
  <c r="BU9" i="8"/>
  <c r="BR9" i="8"/>
  <c r="BX9" i="8"/>
  <c r="BZ9" i="8"/>
  <c r="BY9" i="8"/>
  <c r="CA9" i="8"/>
  <c r="BV7" i="8"/>
  <c r="H11" i="13"/>
  <c r="E11" i="8"/>
  <c r="G11" i="8"/>
  <c r="AF10" i="8"/>
  <c r="AE12" i="8"/>
  <c r="AT11" i="8"/>
  <c r="AV10" i="8"/>
  <c r="BH10" i="8" l="1"/>
  <c r="Y11" i="13" s="1"/>
  <c r="BQ9" i="8"/>
  <c r="BS9" i="8" s="1"/>
  <c r="AM12" i="10"/>
  <c r="AN12" i="10"/>
  <c r="E9" i="13"/>
  <c r="G9" i="13"/>
  <c r="K14" i="13"/>
  <c r="W14" i="8"/>
  <c r="AJ15" i="8"/>
  <c r="AK14" i="8"/>
  <c r="AL14" i="8" s="1"/>
  <c r="F10" i="13"/>
  <c r="AG10" i="8"/>
  <c r="AH10" i="8" s="1"/>
  <c r="M16" i="13"/>
  <c r="AI17" i="8"/>
  <c r="BT11" i="8"/>
  <c r="BO11" i="8"/>
  <c r="T13" i="10"/>
  <c r="AA13" i="10"/>
  <c r="AL13" i="10" s="1"/>
  <c r="P14" i="10"/>
  <c r="AM11" i="10"/>
  <c r="AN11" i="10"/>
  <c r="H12" i="13"/>
  <c r="AE13" i="8"/>
  <c r="AF11" i="8"/>
  <c r="E12" i="8"/>
  <c r="G12" i="8"/>
  <c r="I13" i="13"/>
  <c r="X13" i="8"/>
  <c r="N13" i="13" s="1"/>
  <c r="BU10" i="8"/>
  <c r="BR10" i="8"/>
  <c r="CA10" i="8"/>
  <c r="BZ10" i="8"/>
  <c r="BY10" i="8"/>
  <c r="BX10" i="8"/>
  <c r="J13" i="13"/>
  <c r="L13" i="13"/>
  <c r="BV8" i="8"/>
  <c r="AS13" i="8"/>
  <c r="AU12" i="8"/>
  <c r="BP12" i="8" s="1"/>
  <c r="AT12" i="8"/>
  <c r="AV11" i="8"/>
  <c r="BH11" i="8" l="1"/>
  <c r="Y12" i="13" s="1"/>
  <c r="BQ10" i="8"/>
  <c r="BS10" i="8" s="1"/>
  <c r="BT12" i="8"/>
  <c r="BO12" i="8"/>
  <c r="J14" i="13"/>
  <c r="L14" i="13"/>
  <c r="AS14" i="8"/>
  <c r="AU13" i="8"/>
  <c r="BP13" i="8" s="1"/>
  <c r="T14" i="10"/>
  <c r="AA14" i="10"/>
  <c r="AL14" i="10" s="1"/>
  <c r="P15" i="10"/>
  <c r="BU11" i="8"/>
  <c r="BV10" i="8" s="1"/>
  <c r="BR11" i="8"/>
  <c r="BZ11" i="8"/>
  <c r="BY11" i="8"/>
  <c r="BX11" i="8"/>
  <c r="CA11" i="8"/>
  <c r="H13" i="13"/>
  <c r="AE14" i="8"/>
  <c r="G13" i="8"/>
  <c r="E13" i="8"/>
  <c r="AF12" i="8"/>
  <c r="G10" i="13"/>
  <c r="E10" i="13"/>
  <c r="K15" i="13"/>
  <c r="W15" i="8"/>
  <c r="AJ16" i="8"/>
  <c r="AK15" i="8"/>
  <c r="AL15" i="8" s="1"/>
  <c r="F11" i="13"/>
  <c r="AG11" i="8"/>
  <c r="AH11" i="8" s="1"/>
  <c r="AN13" i="10"/>
  <c r="AM13" i="10"/>
  <c r="M17" i="13"/>
  <c r="AI18" i="8"/>
  <c r="I14" i="13"/>
  <c r="X14" i="8"/>
  <c r="N14" i="13" s="1"/>
  <c r="BV9" i="8"/>
  <c r="AT13" i="8"/>
  <c r="AV12" i="8"/>
  <c r="BH12" i="8" l="1"/>
  <c r="Y13" i="13" s="1"/>
  <c r="M18" i="13"/>
  <c r="AI19" i="8"/>
  <c r="T15" i="10"/>
  <c r="AA15" i="10"/>
  <c r="AL15" i="10" s="1"/>
  <c r="P16" i="10"/>
  <c r="H14" i="13"/>
  <c r="AE15" i="8"/>
  <c r="E14" i="8"/>
  <c r="AF13" i="8"/>
  <c r="G14" i="8"/>
  <c r="AM14" i="10"/>
  <c r="AN14" i="10"/>
  <c r="K16" i="13"/>
  <c r="AJ17" i="8"/>
  <c r="AK16" i="8"/>
  <c r="AL16" i="8" s="1"/>
  <c r="W16" i="8"/>
  <c r="I15" i="13"/>
  <c r="X15" i="8"/>
  <c r="N15" i="13" s="1"/>
  <c r="F12" i="13"/>
  <c r="AG12" i="8"/>
  <c r="AH12" i="8" s="1"/>
  <c r="BO13" i="8"/>
  <c r="BT13" i="8"/>
  <c r="E11" i="13"/>
  <c r="G11" i="13"/>
  <c r="BR12" i="8"/>
  <c r="BU12" i="8"/>
  <c r="BV11" i="8" s="1"/>
  <c r="BX12" i="8"/>
  <c r="BZ12" i="8"/>
  <c r="BY12" i="8"/>
  <c r="CA12" i="8"/>
  <c r="L15" i="13"/>
  <c r="J15" i="13"/>
  <c r="BQ11" i="8"/>
  <c r="BS11" i="8" s="1"/>
  <c r="AS15" i="8"/>
  <c r="AU14" i="8"/>
  <c r="BP14" i="8" s="1"/>
  <c r="AT14" i="8"/>
  <c r="AV13" i="8"/>
  <c r="BH13" i="8" l="1"/>
  <c r="Y14" i="13" s="1"/>
  <c r="BQ12" i="8"/>
  <c r="BS12" i="8" s="1"/>
  <c r="AU15" i="8"/>
  <c r="BP15" i="8" s="1"/>
  <c r="AS16" i="8"/>
  <c r="F13" i="13"/>
  <c r="AG13" i="8"/>
  <c r="AH13" i="8" s="1"/>
  <c r="G12" i="13"/>
  <c r="E12" i="13"/>
  <c r="P17" i="10"/>
  <c r="AA16" i="10"/>
  <c r="AL16" i="10" s="1"/>
  <c r="T16" i="10"/>
  <c r="BV13" i="8"/>
  <c r="BQ13" i="8"/>
  <c r="BU13" i="8"/>
  <c r="BV12" i="8" s="1"/>
  <c r="BR13" i="8"/>
  <c r="BZ13" i="8"/>
  <c r="BX13" i="8"/>
  <c r="CA13" i="8"/>
  <c r="BY13" i="8"/>
  <c r="I16" i="13"/>
  <c r="X16" i="8"/>
  <c r="N16" i="13" s="1"/>
  <c r="AN15" i="10"/>
  <c r="AM15" i="10"/>
  <c r="M19" i="13"/>
  <c r="AI20" i="8"/>
  <c r="H15" i="13"/>
  <c r="E15" i="8"/>
  <c r="AF14" i="8"/>
  <c r="G15" i="8"/>
  <c r="AE16" i="8"/>
  <c r="BO14" i="8"/>
  <c r="BT14" i="8"/>
  <c r="K17" i="13"/>
  <c r="AK17" i="8"/>
  <c r="AL17" i="8" s="1"/>
  <c r="W17" i="8"/>
  <c r="AJ18" i="8"/>
  <c r="L16" i="13"/>
  <c r="J16" i="13"/>
  <c r="AV14" i="8"/>
  <c r="AT15" i="8"/>
  <c r="BH14" i="8" l="1"/>
  <c r="Y15" i="13" s="1"/>
  <c r="BS13" i="8"/>
  <c r="G13" i="13"/>
  <c r="E13" i="13"/>
  <c r="AN16" i="10"/>
  <c r="AM16" i="10"/>
  <c r="L17" i="13"/>
  <c r="J17" i="13"/>
  <c r="BU14" i="8"/>
  <c r="BV14" i="8" s="1"/>
  <c r="BR14" i="8"/>
  <c r="BQ14" i="8"/>
  <c r="BZ14" i="8"/>
  <c r="BX14" i="8"/>
  <c r="BY14" i="8"/>
  <c r="CA14" i="8"/>
  <c r="M20" i="13"/>
  <c r="AI21" i="8"/>
  <c r="AS17" i="8"/>
  <c r="AU16" i="8"/>
  <c r="BP16" i="8" s="1"/>
  <c r="K18" i="13"/>
  <c r="AJ19" i="8"/>
  <c r="W18" i="8"/>
  <c r="AK18" i="8"/>
  <c r="AL18" i="8" s="1"/>
  <c r="P18" i="10"/>
  <c r="T17" i="10"/>
  <c r="AA17" i="10"/>
  <c r="AL17" i="10" s="1"/>
  <c r="BO15" i="8"/>
  <c r="BT15" i="8"/>
  <c r="F14" i="13"/>
  <c r="AG14" i="8"/>
  <c r="AH14" i="8" s="1"/>
  <c r="I17" i="13"/>
  <c r="X17" i="8"/>
  <c r="N17" i="13" s="1"/>
  <c r="H16" i="13"/>
  <c r="E16" i="8"/>
  <c r="G16" i="8"/>
  <c r="AE17" i="8"/>
  <c r="AF15" i="8"/>
  <c r="AV15" i="8"/>
  <c r="AT16" i="8"/>
  <c r="BH15" i="8" l="1"/>
  <c r="Y16" i="13" s="1"/>
  <c r="BS14" i="8"/>
  <c r="G14" i="13"/>
  <c r="E14" i="13"/>
  <c r="H17" i="13"/>
  <c r="E17" i="8"/>
  <c r="AE18" i="8"/>
  <c r="G17" i="8"/>
  <c r="AF16" i="8"/>
  <c r="I18" i="13"/>
  <c r="X18" i="8"/>
  <c r="N18" i="13" s="1"/>
  <c r="F15" i="13"/>
  <c r="AG15" i="8"/>
  <c r="AH15" i="8" s="1"/>
  <c r="AN17" i="10"/>
  <c r="AM17" i="10"/>
  <c r="AU17" i="8"/>
  <c r="BP17" i="8" s="1"/>
  <c r="AS18" i="8"/>
  <c r="BU15" i="8"/>
  <c r="BR15" i="8"/>
  <c r="BQ15" i="8"/>
  <c r="CA15" i="8"/>
  <c r="BY15" i="8"/>
  <c r="BZ15" i="8"/>
  <c r="BX15" i="8"/>
  <c r="T18" i="10"/>
  <c r="AA18" i="10"/>
  <c r="AL18" i="10" s="1"/>
  <c r="P19" i="10"/>
  <c r="M21" i="13"/>
  <c r="AI22" i="8"/>
  <c r="K19" i="13"/>
  <c r="W19" i="8"/>
  <c r="AK19" i="8"/>
  <c r="AL19" i="8" s="1"/>
  <c r="AJ20" i="8"/>
  <c r="J18" i="13"/>
  <c r="L18" i="13"/>
  <c r="BO16" i="8"/>
  <c r="BT16" i="8"/>
  <c r="AT17" i="8"/>
  <c r="AV16" i="8"/>
  <c r="BH16" i="8" l="1"/>
  <c r="Y17" i="13" s="1"/>
  <c r="BS15" i="8"/>
  <c r="L19" i="13"/>
  <c r="J19" i="13"/>
  <c r="M22" i="13"/>
  <c r="AI23" i="8"/>
  <c r="AN18" i="10"/>
  <c r="AM18" i="10"/>
  <c r="F16" i="13"/>
  <c r="AG16" i="8"/>
  <c r="AH16" i="8" s="1"/>
  <c r="BT17" i="8"/>
  <c r="BO17" i="8"/>
  <c r="BU16" i="8"/>
  <c r="BV16" i="8" s="1"/>
  <c r="BR16" i="8"/>
  <c r="BQ16" i="8"/>
  <c r="CA16" i="8"/>
  <c r="BZ16" i="8"/>
  <c r="BY16" i="8"/>
  <c r="BX16" i="8"/>
  <c r="K20" i="13"/>
  <c r="W20" i="8"/>
  <c r="AJ21" i="8"/>
  <c r="AK20" i="8"/>
  <c r="AL20" i="8" s="1"/>
  <c r="BV15" i="8"/>
  <c r="E15" i="13"/>
  <c r="G15" i="13"/>
  <c r="H18" i="13"/>
  <c r="AE19" i="8"/>
  <c r="AF17" i="8"/>
  <c r="G18" i="8"/>
  <c r="E18" i="8"/>
  <c r="AS19" i="8"/>
  <c r="AU18" i="8"/>
  <c r="BP18" i="8" s="1"/>
  <c r="P20" i="10"/>
  <c r="T19" i="10"/>
  <c r="AA19" i="10"/>
  <c r="AL19" i="10" s="1"/>
  <c r="I19" i="13"/>
  <c r="X19" i="8"/>
  <c r="N19" i="13" s="1"/>
  <c r="AV17" i="8"/>
  <c r="AT18" i="8"/>
  <c r="BH17" i="8" l="1"/>
  <c r="Y18" i="13" s="1"/>
  <c r="BS16" i="8"/>
  <c r="G16" i="13"/>
  <c r="E16" i="13"/>
  <c r="AA20" i="10"/>
  <c r="AL20" i="10" s="1"/>
  <c r="P21" i="10"/>
  <c r="T20" i="10"/>
  <c r="H19" i="13"/>
  <c r="AE20" i="8"/>
  <c r="E19" i="8"/>
  <c r="G19" i="8"/>
  <c r="AF18" i="8"/>
  <c r="K21" i="13"/>
  <c r="W21" i="8"/>
  <c r="AK21" i="8"/>
  <c r="AL21" i="8" s="1"/>
  <c r="AJ22" i="8"/>
  <c r="M23" i="13"/>
  <c r="AI24" i="8"/>
  <c r="I20" i="13"/>
  <c r="X20" i="8"/>
  <c r="N20" i="13" s="1"/>
  <c r="BO18" i="8"/>
  <c r="BT18" i="8"/>
  <c r="J20" i="13"/>
  <c r="F17" i="13"/>
  <c r="AG17" i="8"/>
  <c r="AH17" i="8" s="1"/>
  <c r="AU19" i="8"/>
  <c r="BP19" i="8" s="1"/>
  <c r="AS20" i="8"/>
  <c r="AM19" i="10"/>
  <c r="AN19" i="10"/>
  <c r="BU17" i="8"/>
  <c r="BV17" i="8" s="1"/>
  <c r="BR17" i="8"/>
  <c r="BQ17" i="8"/>
  <c r="BY17" i="8"/>
  <c r="BX17" i="8"/>
  <c r="CA17" i="8"/>
  <c r="BZ17" i="8"/>
  <c r="AV18" i="8"/>
  <c r="AT19" i="8"/>
  <c r="BH18" i="8" l="1"/>
  <c r="Y19" i="13" s="1"/>
  <c r="L20" i="13"/>
  <c r="BS17" i="8"/>
  <c r="F18" i="13"/>
  <c r="AG18" i="8"/>
  <c r="AH18" i="8" s="1"/>
  <c r="AU20" i="8"/>
  <c r="BP20" i="8" s="1"/>
  <c r="AS21" i="8"/>
  <c r="BO19" i="8"/>
  <c r="BT19" i="8"/>
  <c r="T21" i="10"/>
  <c r="AA21" i="10"/>
  <c r="AL21" i="10" s="1"/>
  <c r="P22" i="10"/>
  <c r="K22" i="13"/>
  <c r="AJ23" i="8"/>
  <c r="W22" i="8"/>
  <c r="AK22" i="8"/>
  <c r="AL22" i="8" s="1"/>
  <c r="AM20" i="10"/>
  <c r="AN20" i="10"/>
  <c r="M24" i="13"/>
  <c r="AI25" i="8"/>
  <c r="H20" i="13"/>
  <c r="G20" i="8"/>
  <c r="AF19" i="8"/>
  <c r="AE21" i="8"/>
  <c r="E20" i="8"/>
  <c r="E17" i="13"/>
  <c r="G17" i="13"/>
  <c r="I21" i="13"/>
  <c r="X21" i="8"/>
  <c r="N21" i="13" s="1"/>
  <c r="BR18" i="8"/>
  <c r="BQ18" i="8"/>
  <c r="BU18" i="8"/>
  <c r="BV18" i="8" s="1"/>
  <c r="BZ18" i="8"/>
  <c r="BY18" i="8"/>
  <c r="BX18" i="8"/>
  <c r="CA18" i="8"/>
  <c r="J21" i="13"/>
  <c r="L21" i="13"/>
  <c r="AT20" i="8"/>
  <c r="AV19" i="8"/>
  <c r="BH19" i="8" l="1"/>
  <c r="Y20" i="13" s="1"/>
  <c r="BS18" i="8"/>
  <c r="H21" i="13"/>
  <c r="AE22" i="8"/>
  <c r="G21" i="8"/>
  <c r="AF20" i="8"/>
  <c r="E21" i="8"/>
  <c r="T22" i="10"/>
  <c r="AA22" i="10"/>
  <c r="AL22" i="10" s="1"/>
  <c r="P23" i="10"/>
  <c r="BO20" i="8"/>
  <c r="BT20" i="8"/>
  <c r="AS22" i="8"/>
  <c r="AU21" i="8"/>
  <c r="BP21" i="8" s="1"/>
  <c r="I22" i="13"/>
  <c r="X22" i="8"/>
  <c r="N22" i="13" s="1"/>
  <c r="AN21" i="10"/>
  <c r="AM21" i="10"/>
  <c r="M25" i="13"/>
  <c r="AI26" i="8"/>
  <c r="K23" i="13"/>
  <c r="AJ24" i="8"/>
  <c r="W23" i="8"/>
  <c r="AK23" i="8"/>
  <c r="AL23" i="8" s="1"/>
  <c r="G18" i="13"/>
  <c r="E18" i="13"/>
  <c r="BQ19" i="8"/>
  <c r="BU19" i="8"/>
  <c r="BR19" i="8"/>
  <c r="BY19" i="8"/>
  <c r="BX19" i="8"/>
  <c r="CA19" i="8"/>
  <c r="BZ19" i="8"/>
  <c r="F19" i="13"/>
  <c r="AG19" i="8"/>
  <c r="AH19" i="8" s="1"/>
  <c r="J22" i="13"/>
  <c r="L22" i="13"/>
  <c r="AV20" i="8"/>
  <c r="AT21" i="8"/>
  <c r="BH20" i="8" l="1"/>
  <c r="Y21" i="13" s="1"/>
  <c r="BS19" i="8"/>
  <c r="BV19" i="8"/>
  <c r="M26" i="13"/>
  <c r="AI27" i="8"/>
  <c r="F20" i="13"/>
  <c r="AG20" i="8"/>
  <c r="AH20" i="8" s="1"/>
  <c r="AA23" i="10"/>
  <c r="AL23" i="10" s="1"/>
  <c r="T23" i="10"/>
  <c r="P24" i="10"/>
  <c r="H22" i="13"/>
  <c r="G22" i="8"/>
  <c r="AF21" i="8"/>
  <c r="AE23" i="8"/>
  <c r="E22" i="8"/>
  <c r="BO21" i="8"/>
  <c r="BT21" i="8"/>
  <c r="AM22" i="10"/>
  <c r="AN22" i="10"/>
  <c r="AU22" i="8"/>
  <c r="BP22" i="8" s="1"/>
  <c r="AS23" i="8"/>
  <c r="L23" i="13"/>
  <c r="J23" i="13"/>
  <c r="I23" i="13"/>
  <c r="X23" i="8"/>
  <c r="N23" i="13" s="1"/>
  <c r="G19" i="13"/>
  <c r="E19" i="13"/>
  <c r="K24" i="13"/>
  <c r="W24" i="8"/>
  <c r="AJ25" i="8"/>
  <c r="AK24" i="8"/>
  <c r="AL24" i="8" s="1"/>
  <c r="BQ20" i="8"/>
  <c r="BR20" i="8"/>
  <c r="BU20" i="8"/>
  <c r="BV20" i="8" s="1"/>
  <c r="BZ20" i="8"/>
  <c r="CA20" i="8"/>
  <c r="BY20" i="8"/>
  <c r="BX20" i="8"/>
  <c r="AT22" i="8"/>
  <c r="AV21" i="8"/>
  <c r="BH21" i="8" l="1"/>
  <c r="Y22" i="13" s="1"/>
  <c r="BS20" i="8"/>
  <c r="BQ21" i="8"/>
  <c r="BU21" i="8"/>
  <c r="BV21" i="8" s="1"/>
  <c r="BR21" i="8"/>
  <c r="BZ21" i="8"/>
  <c r="BY21" i="8"/>
  <c r="BX21" i="8"/>
  <c r="CA21" i="8"/>
  <c r="E20" i="13"/>
  <c r="G20" i="13"/>
  <c r="AS24" i="8"/>
  <c r="AU23" i="8"/>
  <c r="BP23" i="8" s="1"/>
  <c r="BO22" i="8"/>
  <c r="BT22" i="8"/>
  <c r="I24" i="13"/>
  <c r="X24" i="8"/>
  <c r="N24" i="13" s="1"/>
  <c r="M27" i="13"/>
  <c r="AI28" i="8"/>
  <c r="AN23" i="10"/>
  <c r="AM23" i="10"/>
  <c r="K25" i="13"/>
  <c r="W25" i="8"/>
  <c r="AJ26" i="8"/>
  <c r="AK25" i="8"/>
  <c r="AL25" i="8" s="1"/>
  <c r="L24" i="13"/>
  <c r="J24" i="13"/>
  <c r="H23" i="13"/>
  <c r="G23" i="8"/>
  <c r="AE24" i="8"/>
  <c r="E23" i="8"/>
  <c r="AF22" i="8"/>
  <c r="F21" i="13"/>
  <c r="AG21" i="8"/>
  <c r="AH21" i="8" s="1"/>
  <c r="P25" i="10"/>
  <c r="AA24" i="10"/>
  <c r="AL24" i="10" s="1"/>
  <c r="T24" i="10"/>
  <c r="AT23" i="8"/>
  <c r="AV22" i="8"/>
  <c r="BH22" i="8" l="1"/>
  <c r="Y23" i="13" s="1"/>
  <c r="BS21" i="8"/>
  <c r="AN24" i="10"/>
  <c r="AM24" i="10"/>
  <c r="K26" i="13"/>
  <c r="W26" i="8"/>
  <c r="AJ27" i="8"/>
  <c r="AK26" i="8"/>
  <c r="AL26" i="8" s="1"/>
  <c r="L25" i="13"/>
  <c r="J25" i="13"/>
  <c r="G21" i="13"/>
  <c r="E21" i="13"/>
  <c r="I25" i="13"/>
  <c r="X25" i="8"/>
  <c r="N25" i="13" s="1"/>
  <c r="AV23" i="8"/>
  <c r="BH23" i="8" s="1"/>
  <c r="H24" i="13"/>
  <c r="G24" i="8"/>
  <c r="AF23" i="8"/>
  <c r="AE25" i="8"/>
  <c r="E24" i="8"/>
  <c r="AS25" i="8"/>
  <c r="AU24" i="8"/>
  <c r="BP24" i="8" s="1"/>
  <c r="BR22" i="8"/>
  <c r="BQ22" i="8"/>
  <c r="BU22" i="8"/>
  <c r="CA22" i="8"/>
  <c r="BY22" i="8"/>
  <c r="BX22" i="8"/>
  <c r="BZ22" i="8"/>
  <c r="F22" i="13"/>
  <c r="AG22" i="8"/>
  <c r="AH22" i="8" s="1"/>
  <c r="P26" i="10"/>
  <c r="T25" i="10"/>
  <c r="AA25" i="10"/>
  <c r="AL25" i="10" s="1"/>
  <c r="M28" i="13"/>
  <c r="AI29" i="8"/>
  <c r="BT23" i="8"/>
  <c r="BO23" i="8"/>
  <c r="AT24" i="8"/>
  <c r="AV24" i="8" l="1"/>
  <c r="BH24" i="8" s="1"/>
  <c r="BS22" i="8"/>
  <c r="AM25" i="10"/>
  <c r="AN25" i="10"/>
  <c r="AA26" i="10"/>
  <c r="AL26" i="10" s="1"/>
  <c r="T26" i="10"/>
  <c r="P27" i="10"/>
  <c r="G22" i="13"/>
  <c r="E22" i="13"/>
  <c r="F23" i="13"/>
  <c r="AG23" i="8"/>
  <c r="AH23" i="8" s="1"/>
  <c r="I26" i="13"/>
  <c r="X26" i="8"/>
  <c r="N26" i="13" s="1"/>
  <c r="BV22" i="8"/>
  <c r="J26" i="13"/>
  <c r="L26" i="13"/>
  <c r="BU23" i="8"/>
  <c r="BV23" i="8" s="1"/>
  <c r="BR23" i="8"/>
  <c r="BQ23" i="8"/>
  <c r="BZ23" i="8"/>
  <c r="BY23" i="8"/>
  <c r="BX23" i="8"/>
  <c r="CA23" i="8"/>
  <c r="BT24" i="8"/>
  <c r="BO24" i="8"/>
  <c r="M29" i="13"/>
  <c r="AI30" i="8"/>
  <c r="AS26" i="8"/>
  <c r="AU25" i="8"/>
  <c r="BP25" i="8" s="1"/>
  <c r="H25" i="13"/>
  <c r="G25" i="8"/>
  <c r="AF24" i="8"/>
  <c r="AE26" i="8"/>
  <c r="E25" i="8"/>
  <c r="K27" i="13"/>
  <c r="AK27" i="8"/>
  <c r="AL27" i="8" s="1"/>
  <c r="AJ28" i="8"/>
  <c r="W27" i="8"/>
  <c r="AT25" i="8"/>
  <c r="BS23" i="8" l="1"/>
  <c r="H26" i="13"/>
  <c r="G26" i="8"/>
  <c r="AF25" i="8"/>
  <c r="E26" i="8"/>
  <c r="AE27" i="8"/>
  <c r="AN26" i="10"/>
  <c r="AM26" i="10"/>
  <c r="BU24" i="8"/>
  <c r="BR24" i="8"/>
  <c r="BQ24" i="8"/>
  <c r="BY24" i="8"/>
  <c r="BZ24" i="8"/>
  <c r="CA24" i="8"/>
  <c r="BX24" i="8"/>
  <c r="I27" i="13"/>
  <c r="X27" i="8"/>
  <c r="N27" i="13" s="1"/>
  <c r="K28" i="13"/>
  <c r="AK28" i="8"/>
  <c r="AL28" i="8" s="1"/>
  <c r="W28" i="8"/>
  <c r="AJ29" i="8"/>
  <c r="BT25" i="8"/>
  <c r="BO25" i="8"/>
  <c r="F24" i="13"/>
  <c r="AG24" i="8"/>
  <c r="AH24" i="8" s="1"/>
  <c r="L27" i="13"/>
  <c r="J27" i="13"/>
  <c r="AU26" i="8"/>
  <c r="BP26" i="8" s="1"/>
  <c r="AS27" i="8"/>
  <c r="AV25" i="8"/>
  <c r="BH25" i="8" s="1"/>
  <c r="G23" i="13"/>
  <c r="E23" i="13"/>
  <c r="P28" i="10"/>
  <c r="AA27" i="10"/>
  <c r="AL27" i="10" s="1"/>
  <c r="T27" i="10"/>
  <c r="M30" i="13"/>
  <c r="AI31" i="8"/>
  <c r="AT26" i="8"/>
  <c r="BS24" i="8" l="1"/>
  <c r="BT26" i="8"/>
  <c r="BO26" i="8"/>
  <c r="F25" i="13"/>
  <c r="AG25" i="8"/>
  <c r="AH25" i="8" s="1"/>
  <c r="BV24" i="8"/>
  <c r="L28" i="13"/>
  <c r="J28" i="13"/>
  <c r="BU25" i="8"/>
  <c r="BV25" i="8" s="1"/>
  <c r="BR25" i="8"/>
  <c r="BQ25" i="8"/>
  <c r="BX25" i="8"/>
  <c r="BY25" i="8"/>
  <c r="CA25" i="8"/>
  <c r="BZ25" i="8"/>
  <c r="I28" i="13"/>
  <c r="X28" i="8"/>
  <c r="N28" i="13" s="1"/>
  <c r="K29" i="13"/>
  <c r="AK29" i="8"/>
  <c r="AL29" i="8" s="1"/>
  <c r="W29" i="8"/>
  <c r="AJ30" i="8"/>
  <c r="M31" i="13"/>
  <c r="AI32" i="8"/>
  <c r="AM27" i="10"/>
  <c r="AN27" i="10"/>
  <c r="AV26" i="8"/>
  <c r="BH26" i="8" s="1"/>
  <c r="H27" i="13"/>
  <c r="G27" i="8"/>
  <c r="AF26" i="8"/>
  <c r="AE28" i="8"/>
  <c r="E27" i="8"/>
  <c r="P29" i="10"/>
  <c r="AA28" i="10"/>
  <c r="AL28" i="10" s="1"/>
  <c r="T28" i="10"/>
  <c r="AS28" i="8"/>
  <c r="AU27" i="8"/>
  <c r="BP27" i="8" s="1"/>
  <c r="G24" i="13"/>
  <c r="E24" i="13"/>
  <c r="AT27" i="8"/>
  <c r="BS25" i="8" l="1"/>
  <c r="AV27" i="8"/>
  <c r="BH27" i="8" s="1"/>
  <c r="I29" i="13"/>
  <c r="X29" i="8"/>
  <c r="N29" i="13" s="1"/>
  <c r="AM28" i="10"/>
  <c r="AN28" i="10"/>
  <c r="AU28" i="8"/>
  <c r="BP28" i="8" s="1"/>
  <c r="AS29" i="8"/>
  <c r="H28" i="13"/>
  <c r="G28" i="8"/>
  <c r="AE29" i="8"/>
  <c r="AF27" i="8"/>
  <c r="E28" i="8"/>
  <c r="J29" i="13"/>
  <c r="L29" i="13"/>
  <c r="BR26" i="8"/>
  <c r="BU26" i="8"/>
  <c r="BV26" i="8" s="1"/>
  <c r="BQ26" i="8"/>
  <c r="BY26" i="8"/>
  <c r="CA26" i="8"/>
  <c r="BZ26" i="8"/>
  <c r="BX26" i="8"/>
  <c r="T29" i="10"/>
  <c r="P30" i="10"/>
  <c r="AA29" i="10"/>
  <c r="AL29" i="10" s="1"/>
  <c r="BO27" i="8"/>
  <c r="BT27" i="8"/>
  <c r="F26" i="13"/>
  <c r="AG26" i="8"/>
  <c r="AH26" i="8" s="1"/>
  <c r="E25" i="13"/>
  <c r="G25" i="13"/>
  <c r="K30" i="13"/>
  <c r="AK30" i="8"/>
  <c r="AL30" i="8" s="1"/>
  <c r="AJ31" i="8"/>
  <c r="W30" i="8"/>
  <c r="M32" i="13"/>
  <c r="AI33" i="8"/>
  <c r="AT28" i="8"/>
  <c r="AV28" i="8" l="1"/>
  <c r="BH28" i="8" s="1"/>
  <c r="BS26" i="8"/>
  <c r="L30" i="13"/>
  <c r="J30" i="13"/>
  <c r="G26" i="13"/>
  <c r="E26" i="13"/>
  <c r="K31" i="13"/>
  <c r="AK31" i="8"/>
  <c r="AL31" i="8" s="1"/>
  <c r="AJ32" i="8"/>
  <c r="W31" i="8"/>
  <c r="M33" i="13"/>
  <c r="AI34" i="8"/>
  <c r="F27" i="13"/>
  <c r="AG27" i="8"/>
  <c r="AH27" i="8" s="1"/>
  <c r="BU27" i="8"/>
  <c r="BV27" i="8" s="1"/>
  <c r="BR27" i="8"/>
  <c r="BQ27" i="8"/>
  <c r="BZ27" i="8"/>
  <c r="BY27" i="8"/>
  <c r="BX27" i="8"/>
  <c r="CA27" i="8"/>
  <c r="AN29" i="10"/>
  <c r="AM29" i="10"/>
  <c r="H29" i="13"/>
  <c r="AE30" i="8"/>
  <c r="E29" i="8"/>
  <c r="G29" i="8"/>
  <c r="AF28" i="8"/>
  <c r="AS30" i="8"/>
  <c r="AU29" i="8"/>
  <c r="BP29" i="8" s="1"/>
  <c r="BT28" i="8"/>
  <c r="BO28" i="8"/>
  <c r="I30" i="13"/>
  <c r="X30" i="8"/>
  <c r="N30" i="13" s="1"/>
  <c r="T30" i="10"/>
  <c r="P31" i="10"/>
  <c r="AA30" i="10"/>
  <c r="AL30" i="10" s="1"/>
  <c r="AT29" i="8"/>
  <c r="AV29" i="8" l="1"/>
  <c r="BH29" i="8" s="1"/>
  <c r="BS27" i="8"/>
  <c r="H30" i="13"/>
  <c r="AF29" i="8"/>
  <c r="G30" i="8"/>
  <c r="AE31" i="8"/>
  <c r="E30" i="8"/>
  <c r="BT29" i="8"/>
  <c r="BO29" i="8"/>
  <c r="P32" i="10"/>
  <c r="AA31" i="10"/>
  <c r="AL31" i="10" s="1"/>
  <c r="T31" i="10"/>
  <c r="L31" i="13"/>
  <c r="J31" i="13"/>
  <c r="K32" i="13"/>
  <c r="AK32" i="8"/>
  <c r="AL32" i="8" s="1"/>
  <c r="AJ33" i="8"/>
  <c r="W32" i="8"/>
  <c r="G27" i="13"/>
  <c r="E27" i="13"/>
  <c r="I31" i="13"/>
  <c r="X31" i="8"/>
  <c r="N31" i="13" s="1"/>
  <c r="F28" i="13"/>
  <c r="AG28" i="8"/>
  <c r="AH28" i="8" s="1"/>
  <c r="AN30" i="10"/>
  <c r="AM30" i="10"/>
  <c r="AS31" i="8"/>
  <c r="AV30" i="8" s="1"/>
  <c r="BH30" i="8" s="1"/>
  <c r="AU30" i="8"/>
  <c r="BP30" i="8" s="1"/>
  <c r="BU28" i="8"/>
  <c r="BV28" i="8" s="1"/>
  <c r="BR28" i="8"/>
  <c r="BQ28" i="8"/>
  <c r="BX28" i="8"/>
  <c r="BZ28" i="8"/>
  <c r="BY28" i="8"/>
  <c r="CA28" i="8"/>
  <c r="M34" i="13"/>
  <c r="AI35" i="8"/>
  <c r="AT30" i="8"/>
  <c r="BS28" i="8" l="1"/>
  <c r="I32" i="13"/>
  <c r="X32" i="8"/>
  <c r="N32" i="13" s="1"/>
  <c r="F29" i="13"/>
  <c r="AG29" i="8"/>
  <c r="AH29" i="8" s="1"/>
  <c r="H31" i="13"/>
  <c r="AE32" i="8"/>
  <c r="E31" i="8"/>
  <c r="AF30" i="8"/>
  <c r="G31" i="8"/>
  <c r="AM31" i="10"/>
  <c r="AN31" i="10"/>
  <c r="K33" i="13"/>
  <c r="AJ34" i="8"/>
  <c r="AK33" i="8"/>
  <c r="AL33" i="8" s="1"/>
  <c r="W33" i="8"/>
  <c r="E28" i="13"/>
  <c r="G28" i="13"/>
  <c r="AA32" i="10"/>
  <c r="AL32" i="10" s="1"/>
  <c r="T32" i="10"/>
  <c r="P33" i="10"/>
  <c r="BO30" i="8"/>
  <c r="BT30" i="8"/>
  <c r="M35" i="13"/>
  <c r="AI36" i="8"/>
  <c r="L32" i="13"/>
  <c r="J32" i="13"/>
  <c r="BU29" i="8"/>
  <c r="BR29" i="8"/>
  <c r="BV29" i="8"/>
  <c r="BQ29" i="8"/>
  <c r="BX29" i="8"/>
  <c r="BY29" i="8"/>
  <c r="BZ29" i="8"/>
  <c r="CA29" i="8"/>
  <c r="AU31" i="8"/>
  <c r="BP31" i="8" s="1"/>
  <c r="AS32" i="8"/>
  <c r="AT31" i="8"/>
  <c r="BS29" i="8" l="1"/>
  <c r="K34" i="13"/>
  <c r="AJ35" i="8"/>
  <c r="AK34" i="8"/>
  <c r="AL34" i="8" s="1"/>
  <c r="W34" i="8"/>
  <c r="BU30" i="8"/>
  <c r="BV30" i="8" s="1"/>
  <c r="BR30" i="8"/>
  <c r="BQ30" i="8"/>
  <c r="BX30" i="8"/>
  <c r="BZ30" i="8"/>
  <c r="BY30" i="8"/>
  <c r="CA30" i="8"/>
  <c r="AS33" i="8"/>
  <c r="AU32" i="8"/>
  <c r="BP32" i="8" s="1"/>
  <c r="T33" i="10"/>
  <c r="AA33" i="10"/>
  <c r="AL33" i="10" s="1"/>
  <c r="P34" i="10"/>
  <c r="L33" i="13"/>
  <c r="J33" i="13"/>
  <c r="F30" i="13"/>
  <c r="AG30" i="8"/>
  <c r="AH30" i="8" s="1"/>
  <c r="E29" i="13"/>
  <c r="G29" i="13"/>
  <c r="M36" i="13"/>
  <c r="AI37" i="8"/>
  <c r="AV31" i="8"/>
  <c r="BH31" i="8" s="1"/>
  <c r="I33" i="13"/>
  <c r="X33" i="8"/>
  <c r="N33" i="13" s="1"/>
  <c r="BO31" i="8"/>
  <c r="BT31" i="8"/>
  <c r="AN32" i="10"/>
  <c r="AM32" i="10"/>
  <c r="H32" i="13"/>
  <c r="G32" i="8"/>
  <c r="AE33" i="8"/>
  <c r="E32" i="8"/>
  <c r="AF31" i="8"/>
  <c r="AT32" i="8"/>
  <c r="BS30" i="8" l="1"/>
  <c r="M37" i="13"/>
  <c r="AI38" i="8"/>
  <c r="K35" i="13"/>
  <c r="AJ36" i="8"/>
  <c r="AK35" i="8"/>
  <c r="AL35" i="8" s="1"/>
  <c r="W35" i="8"/>
  <c r="AS34" i="8"/>
  <c r="AU33" i="8"/>
  <c r="BP33" i="8" s="1"/>
  <c r="BT32" i="8"/>
  <c r="BO32" i="8"/>
  <c r="J34" i="13"/>
  <c r="L34" i="13"/>
  <c r="G30" i="13"/>
  <c r="E30" i="13"/>
  <c r="H33" i="13"/>
  <c r="E33" i="8"/>
  <c r="AF32" i="8"/>
  <c r="AE34" i="8"/>
  <c r="G33" i="8"/>
  <c r="P35" i="10"/>
  <c r="AA34" i="10"/>
  <c r="AL34" i="10" s="1"/>
  <c r="T34" i="10"/>
  <c r="I34" i="13"/>
  <c r="X34" i="8"/>
  <c r="N34" i="13" s="1"/>
  <c r="F31" i="13"/>
  <c r="AG31" i="8"/>
  <c r="AH31" i="8" s="1"/>
  <c r="BU31" i="8"/>
  <c r="BV31" i="8" s="1"/>
  <c r="BR31" i="8"/>
  <c r="BQ31" i="8"/>
  <c r="BY31" i="8"/>
  <c r="BX31" i="8"/>
  <c r="CA31" i="8"/>
  <c r="BZ31" i="8"/>
  <c r="AV32" i="8"/>
  <c r="BH32" i="8" s="1"/>
  <c r="AM33" i="10"/>
  <c r="AN33" i="10"/>
  <c r="AT33" i="8"/>
  <c r="AV33" i="8" l="1"/>
  <c r="BH33" i="8" s="1"/>
  <c r="BS31" i="8"/>
  <c r="F32" i="13"/>
  <c r="AG32" i="8"/>
  <c r="AH32" i="8" s="1"/>
  <c r="I35" i="13"/>
  <c r="X35" i="8"/>
  <c r="N35" i="13" s="1"/>
  <c r="E31" i="13"/>
  <c r="G31" i="13"/>
  <c r="L35" i="13"/>
  <c r="J35" i="13"/>
  <c r="M38" i="13"/>
  <c r="AI39" i="8"/>
  <c r="K36" i="13"/>
  <c r="W36" i="8"/>
  <c r="AJ37" i="8"/>
  <c r="AK36" i="8"/>
  <c r="AL36" i="8" s="1"/>
  <c r="AN34" i="10"/>
  <c r="AM34" i="10"/>
  <c r="T35" i="10"/>
  <c r="AA35" i="10"/>
  <c r="AL35" i="10" s="1"/>
  <c r="P36" i="10"/>
  <c r="BU32" i="8"/>
  <c r="BV32" i="8" s="1"/>
  <c r="BR32" i="8"/>
  <c r="BQ32" i="8"/>
  <c r="BX32" i="8"/>
  <c r="CA32" i="8"/>
  <c r="BZ32" i="8"/>
  <c r="BY32" i="8"/>
  <c r="BT33" i="8"/>
  <c r="BO33" i="8"/>
  <c r="H34" i="13"/>
  <c r="AF33" i="8"/>
  <c r="G34" i="8"/>
  <c r="AE35" i="8"/>
  <c r="E34" i="8"/>
  <c r="AS35" i="8"/>
  <c r="AV34" i="8" s="1"/>
  <c r="BH34" i="8" s="1"/>
  <c r="AU34" i="8"/>
  <c r="BP34" i="8" s="1"/>
  <c r="AT34" i="8"/>
  <c r="BS32" i="8" l="1"/>
  <c r="BR33" i="8"/>
  <c r="BQ33" i="8"/>
  <c r="BU33" i="8"/>
  <c r="BX33" i="8"/>
  <c r="BZ33" i="8"/>
  <c r="CA33" i="8"/>
  <c r="BY33" i="8"/>
  <c r="M39" i="13"/>
  <c r="AI40" i="8"/>
  <c r="AU35" i="8"/>
  <c r="BP35" i="8" s="1"/>
  <c r="AS36" i="8"/>
  <c r="H35" i="13"/>
  <c r="G35" i="8"/>
  <c r="E35" i="8"/>
  <c r="AF34" i="8"/>
  <c r="AE36" i="8"/>
  <c r="L36" i="13"/>
  <c r="J36" i="13"/>
  <c r="P37" i="10"/>
  <c r="AA36" i="10"/>
  <c r="AL36" i="10" s="1"/>
  <c r="T36" i="10"/>
  <c r="K37" i="13"/>
  <c r="AJ38" i="8"/>
  <c r="W37" i="8"/>
  <c r="AK37" i="8"/>
  <c r="AL37" i="8" s="1"/>
  <c r="G32" i="13"/>
  <c r="E32" i="13"/>
  <c r="BT34" i="8"/>
  <c r="BO34" i="8"/>
  <c r="F33" i="13"/>
  <c r="AG33" i="8"/>
  <c r="AH33" i="8" s="1"/>
  <c r="AN35" i="10"/>
  <c r="AM35" i="10"/>
  <c r="I36" i="13"/>
  <c r="X36" i="8"/>
  <c r="N36" i="13" s="1"/>
  <c r="AT35" i="8"/>
  <c r="BS33" i="8" l="1"/>
  <c r="AS37" i="8"/>
  <c r="AU36" i="8"/>
  <c r="BP36" i="8" s="1"/>
  <c r="P38" i="10"/>
  <c r="AA37" i="10"/>
  <c r="AL37" i="10" s="1"/>
  <c r="T37" i="10"/>
  <c r="BT35" i="8"/>
  <c r="BO35" i="8"/>
  <c r="I37" i="13"/>
  <c r="X37" i="8"/>
  <c r="N37" i="13" s="1"/>
  <c r="H36" i="13"/>
  <c r="AE37" i="8"/>
  <c r="G36" i="8"/>
  <c r="E36" i="8"/>
  <c r="AF35" i="8"/>
  <c r="M40" i="13"/>
  <c r="AI41" i="8"/>
  <c r="BQ34" i="8"/>
  <c r="BR34" i="8"/>
  <c r="BU34" i="8"/>
  <c r="BV34" i="8" s="1"/>
  <c r="CA34" i="8"/>
  <c r="BZ34" i="8"/>
  <c r="BY34" i="8"/>
  <c r="BX34" i="8"/>
  <c r="BV33" i="8"/>
  <c r="K38" i="13"/>
  <c r="AK38" i="8"/>
  <c r="AL38" i="8" s="1"/>
  <c r="AJ39" i="8"/>
  <c r="W38" i="8"/>
  <c r="F34" i="13"/>
  <c r="AG34" i="8"/>
  <c r="AH34" i="8" s="1"/>
  <c r="E33" i="13"/>
  <c r="G33" i="13"/>
  <c r="J37" i="13"/>
  <c r="L37" i="13"/>
  <c r="AM36" i="10"/>
  <c r="AN36" i="10"/>
  <c r="AV35" i="8"/>
  <c r="BH35" i="8" s="1"/>
  <c r="AT36" i="8"/>
  <c r="BS34" i="8" l="1"/>
  <c r="AV36" i="8"/>
  <c r="BH36" i="8" s="1"/>
  <c r="G34" i="13"/>
  <c r="E34" i="13"/>
  <c r="M41" i="13"/>
  <c r="AI42" i="8"/>
  <c r="BT36" i="8"/>
  <c r="BO36" i="8"/>
  <c r="BU35" i="8"/>
  <c r="BQ35" i="8"/>
  <c r="BR35" i="8"/>
  <c r="BY35" i="8"/>
  <c r="BX35" i="8"/>
  <c r="CA35" i="8"/>
  <c r="BZ35" i="8"/>
  <c r="J38" i="13"/>
  <c r="L38" i="13"/>
  <c r="AM37" i="10"/>
  <c r="AN37" i="10"/>
  <c r="I38" i="13"/>
  <c r="X38" i="8"/>
  <c r="N38" i="13" s="1"/>
  <c r="T38" i="10"/>
  <c r="P39" i="10"/>
  <c r="AA38" i="10"/>
  <c r="AL38" i="10" s="1"/>
  <c r="AS38" i="8"/>
  <c r="AU37" i="8"/>
  <c r="BP37" i="8" s="1"/>
  <c r="K39" i="13"/>
  <c r="AJ40" i="8"/>
  <c r="AK39" i="8"/>
  <c r="AL39" i="8" s="1"/>
  <c r="W39" i="8"/>
  <c r="F35" i="13"/>
  <c r="AG35" i="8"/>
  <c r="AH35" i="8" s="1"/>
  <c r="H37" i="13"/>
  <c r="AF36" i="8"/>
  <c r="G37" i="8"/>
  <c r="E37" i="8"/>
  <c r="AE38" i="8"/>
  <c r="AT37" i="8"/>
  <c r="BS35" i="8" l="1"/>
  <c r="F36" i="13"/>
  <c r="AG36" i="8"/>
  <c r="AH36" i="8" s="1"/>
  <c r="T39" i="10"/>
  <c r="AA39" i="10"/>
  <c r="AL39" i="10" s="1"/>
  <c r="P40" i="10"/>
  <c r="BO37" i="8"/>
  <c r="BT37" i="8"/>
  <c r="H38" i="13"/>
  <c r="AF37" i="8"/>
  <c r="AE39" i="8"/>
  <c r="G38" i="8"/>
  <c r="E38" i="8"/>
  <c r="K40" i="13"/>
  <c r="W40" i="8"/>
  <c r="AJ41" i="8"/>
  <c r="AK40" i="8"/>
  <c r="AL40" i="8" s="1"/>
  <c r="M42" i="13"/>
  <c r="AI43" i="8"/>
  <c r="L39" i="13"/>
  <c r="J39" i="13"/>
  <c r="AN38" i="10"/>
  <c r="AM38" i="10"/>
  <c r="BV35" i="8"/>
  <c r="AU38" i="8"/>
  <c r="BP38" i="8" s="1"/>
  <c r="AS39" i="8"/>
  <c r="G35" i="13"/>
  <c r="E35" i="13"/>
  <c r="BU36" i="8"/>
  <c r="BV36" i="8" s="1"/>
  <c r="BR36" i="8"/>
  <c r="BQ36" i="8"/>
  <c r="CA36" i="8"/>
  <c r="BZ36" i="8"/>
  <c r="BY36" i="8"/>
  <c r="BX36" i="8"/>
  <c r="AV37" i="8"/>
  <c r="BH37" i="8" s="1"/>
  <c r="I39" i="13"/>
  <c r="X39" i="8"/>
  <c r="N39" i="13" s="1"/>
  <c r="AT38" i="8"/>
  <c r="BS36" i="8" l="1"/>
  <c r="F37" i="13"/>
  <c r="AG37" i="8"/>
  <c r="AH37" i="8" s="1"/>
  <c r="K41" i="13"/>
  <c r="AK41" i="8"/>
  <c r="AL41" i="8" s="1"/>
  <c r="AJ42" i="8"/>
  <c r="W41" i="8"/>
  <c r="I40" i="13"/>
  <c r="X40" i="8"/>
  <c r="N40" i="13" s="1"/>
  <c r="AA40" i="10"/>
  <c r="AL40" i="10" s="1"/>
  <c r="P41" i="10"/>
  <c r="T40" i="10"/>
  <c r="AS40" i="8"/>
  <c r="AU39" i="8"/>
  <c r="BP39" i="8" s="1"/>
  <c r="J40" i="13"/>
  <c r="L40" i="13"/>
  <c r="BR37" i="8"/>
  <c r="BQ37" i="8"/>
  <c r="BU37" i="8"/>
  <c r="BX37" i="8"/>
  <c r="BZ37" i="8"/>
  <c r="BY37" i="8"/>
  <c r="CA37" i="8"/>
  <c r="AN39" i="10"/>
  <c r="AM39" i="10"/>
  <c r="AV38" i="8"/>
  <c r="BH38" i="8" s="1"/>
  <c r="BO38" i="8"/>
  <c r="BT38" i="8"/>
  <c r="M43" i="13"/>
  <c r="AI44" i="8"/>
  <c r="E36" i="13"/>
  <c r="G36" i="13"/>
  <c r="H39" i="13"/>
  <c r="G39" i="8"/>
  <c r="AE40" i="8"/>
  <c r="E39" i="8"/>
  <c r="AF38" i="8"/>
  <c r="AT39" i="8"/>
  <c r="BS37" i="8" l="1"/>
  <c r="P42" i="10"/>
  <c r="AA41" i="10"/>
  <c r="AL41" i="10" s="1"/>
  <c r="T41" i="10"/>
  <c r="M44" i="13"/>
  <c r="AI45" i="8"/>
  <c r="BQ38" i="8"/>
  <c r="BR38" i="8"/>
  <c r="BU38" i="8"/>
  <c r="CA38" i="8"/>
  <c r="BZ38" i="8"/>
  <c r="BY38" i="8"/>
  <c r="BX38" i="8"/>
  <c r="AV39" i="8"/>
  <c r="BH39" i="8" s="1"/>
  <c r="L41" i="13"/>
  <c r="J41" i="13"/>
  <c r="BT39" i="8"/>
  <c r="BO39" i="8"/>
  <c r="G37" i="13"/>
  <c r="E37" i="13"/>
  <c r="AM40" i="10"/>
  <c r="AN40" i="10"/>
  <c r="F38" i="13"/>
  <c r="AG38" i="8"/>
  <c r="AH38" i="8" s="1"/>
  <c r="AU40" i="8"/>
  <c r="BP40" i="8" s="1"/>
  <c r="AS41" i="8"/>
  <c r="I41" i="13"/>
  <c r="X41" i="8"/>
  <c r="N41" i="13" s="1"/>
  <c r="H40" i="13"/>
  <c r="G40" i="8"/>
  <c r="E40" i="8"/>
  <c r="AF39" i="8"/>
  <c r="AE41" i="8"/>
  <c r="BV37" i="8"/>
  <c r="K42" i="13"/>
  <c r="AJ43" i="8"/>
  <c r="AK42" i="8"/>
  <c r="AL42" i="8" s="1"/>
  <c r="W42" i="8"/>
  <c r="AT40" i="8"/>
  <c r="BS38" i="8" l="1"/>
  <c r="I42" i="13"/>
  <c r="X42" i="8"/>
  <c r="N42" i="13" s="1"/>
  <c r="G38" i="13"/>
  <c r="E38" i="13"/>
  <c r="K43" i="13"/>
  <c r="AK43" i="8"/>
  <c r="AL43" i="8" s="1"/>
  <c r="AJ44" i="8"/>
  <c r="W43" i="8"/>
  <c r="AU41" i="8"/>
  <c r="BP41" i="8" s="1"/>
  <c r="AS42" i="8"/>
  <c r="H41" i="13"/>
  <c r="E41" i="8"/>
  <c r="AF40" i="8"/>
  <c r="AE42" i="8"/>
  <c r="G41" i="8"/>
  <c r="BR39" i="8"/>
  <c r="BQ39" i="8"/>
  <c r="BU39" i="8"/>
  <c r="BY39" i="8"/>
  <c r="BZ39" i="8"/>
  <c r="CA39" i="8"/>
  <c r="BX39" i="8"/>
  <c r="F39" i="13"/>
  <c r="AG39" i="8"/>
  <c r="AH39" i="8" s="1"/>
  <c r="BO40" i="8"/>
  <c r="BT40" i="8"/>
  <c r="AV40" i="8"/>
  <c r="BH40" i="8" s="1"/>
  <c r="AM41" i="10"/>
  <c r="AN41" i="10"/>
  <c r="J42" i="13"/>
  <c r="L42" i="13"/>
  <c r="BV38" i="8"/>
  <c r="T42" i="10"/>
  <c r="AA42" i="10"/>
  <c r="AL42" i="10" s="1"/>
  <c r="P43" i="10"/>
  <c r="M45" i="13"/>
  <c r="AI46" i="8"/>
  <c r="AT41" i="8"/>
  <c r="AV41" i="8" l="1"/>
  <c r="BH41" i="8" s="1"/>
  <c r="BS39" i="8"/>
  <c r="F40" i="13"/>
  <c r="AG40" i="8"/>
  <c r="AH40" i="8" s="1"/>
  <c r="AS43" i="8"/>
  <c r="AU42" i="8"/>
  <c r="BP42" i="8" s="1"/>
  <c r="BV39" i="8"/>
  <c r="G39" i="13"/>
  <c r="E39" i="13"/>
  <c r="BO41" i="8"/>
  <c r="BT41" i="8"/>
  <c r="H42" i="13"/>
  <c r="AE43" i="8"/>
  <c r="G42" i="8"/>
  <c r="AF41" i="8"/>
  <c r="E42" i="8"/>
  <c r="K44" i="13"/>
  <c r="W44" i="8"/>
  <c r="AK44" i="8"/>
  <c r="AL44" i="8" s="1"/>
  <c r="AJ45" i="8"/>
  <c r="M46" i="13"/>
  <c r="AI47" i="8"/>
  <c r="T43" i="10"/>
  <c r="AA43" i="10"/>
  <c r="AL43" i="10" s="1"/>
  <c r="P44" i="10"/>
  <c r="J43" i="13"/>
  <c r="L43" i="13"/>
  <c r="AN42" i="10"/>
  <c r="AM42" i="10"/>
  <c r="BU40" i="8"/>
  <c r="BQ40" i="8"/>
  <c r="BR40" i="8"/>
  <c r="CA40" i="8"/>
  <c r="BZ40" i="8"/>
  <c r="BX40" i="8"/>
  <c r="BY40" i="8"/>
  <c r="I43" i="13"/>
  <c r="X43" i="8"/>
  <c r="N43" i="13" s="1"/>
  <c r="AT42" i="8"/>
  <c r="AV42" i="8" l="1"/>
  <c r="BH42" i="8" s="1"/>
  <c r="BS40" i="8"/>
  <c r="M47" i="13"/>
  <c r="AI48" i="8"/>
  <c r="BV40" i="8"/>
  <c r="H43" i="13"/>
  <c r="E43" i="8"/>
  <c r="G43" i="8"/>
  <c r="AF42" i="8"/>
  <c r="AE44" i="8"/>
  <c r="G40" i="13"/>
  <c r="E40" i="13"/>
  <c r="K45" i="13"/>
  <c r="W45" i="8"/>
  <c r="AJ46" i="8"/>
  <c r="AK45" i="8"/>
  <c r="AL45" i="8" s="1"/>
  <c r="BU41" i="8"/>
  <c r="BV41" i="8" s="1"/>
  <c r="BR41" i="8"/>
  <c r="BQ41" i="8"/>
  <c r="BX41" i="8"/>
  <c r="BY41" i="8"/>
  <c r="BZ41" i="8"/>
  <c r="CA41" i="8"/>
  <c r="I44" i="13"/>
  <c r="X44" i="8"/>
  <c r="N44" i="13" s="1"/>
  <c r="T44" i="10"/>
  <c r="AA44" i="10"/>
  <c r="AL44" i="10" s="1"/>
  <c r="P45" i="10"/>
  <c r="L44" i="13"/>
  <c r="J44" i="13"/>
  <c r="AM43" i="10"/>
  <c r="AN43" i="10"/>
  <c r="BT42" i="8"/>
  <c r="BO42" i="8"/>
  <c r="F41" i="13"/>
  <c r="AG41" i="8"/>
  <c r="AH41" i="8" s="1"/>
  <c r="AU43" i="8"/>
  <c r="BP43" i="8" s="1"/>
  <c r="AS44" i="8"/>
  <c r="AT43" i="8"/>
  <c r="BS41" i="8" l="1"/>
  <c r="BT43" i="8"/>
  <c r="BO43" i="8"/>
  <c r="AS45" i="8"/>
  <c r="AU44" i="8"/>
  <c r="BP44" i="8" s="1"/>
  <c r="I45" i="13"/>
  <c r="X45" i="8"/>
  <c r="N45" i="13" s="1"/>
  <c r="J45" i="13"/>
  <c r="L45" i="13"/>
  <c r="M48" i="13"/>
  <c r="AI49" i="8"/>
  <c r="AN44" i="10"/>
  <c r="AM44" i="10"/>
  <c r="AV43" i="8"/>
  <c r="BH43" i="8" s="1"/>
  <c r="H44" i="13"/>
  <c r="E44" i="8"/>
  <c r="G44" i="8"/>
  <c r="AF43" i="8"/>
  <c r="AE45" i="8"/>
  <c r="E41" i="13"/>
  <c r="G41" i="13"/>
  <c r="F42" i="13"/>
  <c r="AG42" i="8"/>
  <c r="AH42" i="8" s="1"/>
  <c r="AA45" i="10"/>
  <c r="AL45" i="10" s="1"/>
  <c r="P46" i="10"/>
  <c r="T45" i="10"/>
  <c r="BU42" i="8"/>
  <c r="BV42" i="8" s="1"/>
  <c r="BR42" i="8"/>
  <c r="BQ42" i="8"/>
  <c r="BX42" i="8"/>
  <c r="BY42" i="8"/>
  <c r="BZ42" i="8"/>
  <c r="CA42" i="8"/>
  <c r="K46" i="13"/>
  <c r="AK46" i="8"/>
  <c r="AL46" i="8" s="1"/>
  <c r="W46" i="8"/>
  <c r="AJ47" i="8"/>
  <c r="AT44" i="8"/>
  <c r="BS42" i="8" l="1"/>
  <c r="AV44" i="8"/>
  <c r="BH44" i="8" s="1"/>
  <c r="BT44" i="8"/>
  <c r="BO44" i="8"/>
  <c r="T46" i="10"/>
  <c r="AA46" i="10"/>
  <c r="AL46" i="10" s="1"/>
  <c r="P47" i="10"/>
  <c r="BQ43" i="8"/>
  <c r="BU43" i="8"/>
  <c r="BV43" i="8" s="1"/>
  <c r="BR43" i="8"/>
  <c r="CA43" i="8"/>
  <c r="BZ43" i="8"/>
  <c r="BY43" i="8"/>
  <c r="BX43" i="8"/>
  <c r="I46" i="13"/>
  <c r="X46" i="8"/>
  <c r="N46" i="13" s="1"/>
  <c r="H45" i="13"/>
  <c r="AF44" i="8"/>
  <c r="G45" i="8"/>
  <c r="AE46" i="8"/>
  <c r="E45" i="8"/>
  <c r="AM45" i="10"/>
  <c r="AN45" i="10"/>
  <c r="F43" i="13"/>
  <c r="AG43" i="8"/>
  <c r="AH43" i="8" s="1"/>
  <c r="AU45" i="8"/>
  <c r="BP45" i="8" s="1"/>
  <c r="AS46" i="8"/>
  <c r="L46" i="13"/>
  <c r="J46" i="13"/>
  <c r="K47" i="13"/>
  <c r="AJ48" i="8"/>
  <c r="W47" i="8"/>
  <c r="AK47" i="8"/>
  <c r="AL47" i="8" s="1"/>
  <c r="G42" i="13"/>
  <c r="E42" i="13"/>
  <c r="M49" i="13"/>
  <c r="AI50" i="8"/>
  <c r="AT45" i="8"/>
  <c r="BS43" i="8" l="1"/>
  <c r="AS47" i="8"/>
  <c r="AU46" i="8"/>
  <c r="BP46" i="8" s="1"/>
  <c r="T47" i="10"/>
  <c r="AA47" i="10"/>
  <c r="AL47" i="10" s="1"/>
  <c r="P48" i="10"/>
  <c r="I47" i="13"/>
  <c r="X47" i="8"/>
  <c r="N47" i="13" s="1"/>
  <c r="AN46" i="10"/>
  <c r="AM46" i="10"/>
  <c r="K48" i="13"/>
  <c r="W48" i="8"/>
  <c r="AK48" i="8"/>
  <c r="AL48" i="8" s="1"/>
  <c r="AJ49" i="8"/>
  <c r="L47" i="13"/>
  <c r="J47" i="13"/>
  <c r="G43" i="13"/>
  <c r="E43" i="13"/>
  <c r="BR44" i="8"/>
  <c r="BU44" i="8"/>
  <c r="BQ44" i="8"/>
  <c r="CA44" i="8"/>
  <c r="BZ44" i="8"/>
  <c r="BX44" i="8"/>
  <c r="BY44" i="8"/>
  <c r="M50" i="13"/>
  <c r="AI51" i="8"/>
  <c r="H46" i="13"/>
  <c r="E46" i="8"/>
  <c r="AE47" i="8"/>
  <c r="AF45" i="8"/>
  <c r="G46" i="8"/>
  <c r="BO45" i="8"/>
  <c r="BT45" i="8"/>
  <c r="AV45" i="8"/>
  <c r="BH45" i="8" s="1"/>
  <c r="F44" i="13"/>
  <c r="AG44" i="8"/>
  <c r="AH44" i="8" s="1"/>
  <c r="AT46" i="8"/>
  <c r="AV46" i="8" l="1"/>
  <c r="BH46" i="8" s="1"/>
  <c r="BS44" i="8"/>
  <c r="F45" i="13"/>
  <c r="AG45" i="8"/>
  <c r="AH45" i="8" s="1"/>
  <c r="P49" i="10"/>
  <c r="AA48" i="10"/>
  <c r="AL48" i="10" s="1"/>
  <c r="T48" i="10"/>
  <c r="I48" i="13"/>
  <c r="X48" i="8"/>
  <c r="N48" i="13" s="1"/>
  <c r="H47" i="13"/>
  <c r="AE48" i="8"/>
  <c r="G47" i="8"/>
  <c r="AF46" i="8"/>
  <c r="E47" i="8"/>
  <c r="E44" i="13"/>
  <c r="G44" i="13"/>
  <c r="AM47" i="10"/>
  <c r="AN47" i="10"/>
  <c r="BO46" i="8"/>
  <c r="BT46" i="8"/>
  <c r="J48" i="13"/>
  <c r="L48" i="13"/>
  <c r="K49" i="13"/>
  <c r="AJ50" i="8"/>
  <c r="W49" i="8"/>
  <c r="AK49" i="8"/>
  <c r="AL49" i="8" s="1"/>
  <c r="BQ45" i="8"/>
  <c r="BU45" i="8"/>
  <c r="BV45" i="8" s="1"/>
  <c r="BR45" i="8"/>
  <c r="BX45" i="8"/>
  <c r="BZ45" i="8"/>
  <c r="CA45" i="8"/>
  <c r="BY45" i="8"/>
  <c r="M51" i="13"/>
  <c r="AI52" i="8"/>
  <c r="BV44" i="8"/>
  <c r="AS48" i="8"/>
  <c r="AU47" i="8"/>
  <c r="BP47" i="8" s="1"/>
  <c r="AT47" i="8"/>
  <c r="BS45" i="8" l="1"/>
  <c r="BQ46" i="8"/>
  <c r="BU46" i="8"/>
  <c r="BR46" i="8"/>
  <c r="BX46" i="8"/>
  <c r="BY46" i="8"/>
  <c r="CA46" i="8"/>
  <c r="BZ46" i="8"/>
  <c r="BO47" i="8"/>
  <c r="BT47" i="8"/>
  <c r="I49" i="13"/>
  <c r="X49" i="8"/>
  <c r="N49" i="13" s="1"/>
  <c r="AU48" i="8"/>
  <c r="BP48" i="8" s="1"/>
  <c r="AS49" i="8"/>
  <c r="K50" i="13"/>
  <c r="AK50" i="8"/>
  <c r="AL50" i="8" s="1"/>
  <c r="W50" i="8"/>
  <c r="AJ51" i="8"/>
  <c r="AV47" i="8"/>
  <c r="BH47" i="8" s="1"/>
  <c r="AN48" i="10"/>
  <c r="AM48" i="10"/>
  <c r="F46" i="13"/>
  <c r="AG46" i="8"/>
  <c r="AH46" i="8" s="1"/>
  <c r="P50" i="10"/>
  <c r="T49" i="10"/>
  <c r="AA49" i="10"/>
  <c r="AL49" i="10" s="1"/>
  <c r="M52" i="13"/>
  <c r="AI53" i="8"/>
  <c r="L49" i="13"/>
  <c r="J49" i="13"/>
  <c r="H48" i="13"/>
  <c r="AF47" i="8"/>
  <c r="E48" i="8"/>
  <c r="G48" i="8"/>
  <c r="AE49" i="8"/>
  <c r="G45" i="13"/>
  <c r="E45" i="13"/>
  <c r="AT48" i="8"/>
  <c r="BS46" i="8" l="1"/>
  <c r="AU49" i="8"/>
  <c r="BP49" i="8" s="1"/>
  <c r="AS50" i="8"/>
  <c r="AV48" i="8"/>
  <c r="BH48" i="8" s="1"/>
  <c r="K51" i="13"/>
  <c r="AK51" i="8"/>
  <c r="AL51" i="8" s="1"/>
  <c r="AJ52" i="8"/>
  <c r="W51" i="8"/>
  <c r="F47" i="13"/>
  <c r="AG47" i="8"/>
  <c r="AH47" i="8" s="1"/>
  <c r="BT48" i="8"/>
  <c r="BO48" i="8"/>
  <c r="H49" i="13"/>
  <c r="G49" i="8"/>
  <c r="E49" i="8"/>
  <c r="AE50" i="8"/>
  <c r="AF48" i="8"/>
  <c r="P51" i="10"/>
  <c r="AA50" i="10"/>
  <c r="AL50" i="10" s="1"/>
  <c r="T50" i="10"/>
  <c r="I50" i="13"/>
  <c r="X50" i="8"/>
  <c r="N50" i="13" s="1"/>
  <c r="BV46" i="8"/>
  <c r="M53" i="13"/>
  <c r="AI54" i="8"/>
  <c r="AM49" i="10"/>
  <c r="AN49" i="10"/>
  <c r="BU47" i="8"/>
  <c r="BQ47" i="8"/>
  <c r="BR47" i="8"/>
  <c r="BX47" i="8"/>
  <c r="CA47" i="8"/>
  <c r="BZ47" i="8"/>
  <c r="BY47" i="8"/>
  <c r="G46" i="13"/>
  <c r="E46" i="13"/>
  <c r="J50" i="13"/>
  <c r="L50" i="13"/>
  <c r="AT49" i="8"/>
  <c r="AV49" i="8" l="1"/>
  <c r="BH49" i="8" s="1"/>
  <c r="BS47" i="8"/>
  <c r="F48" i="13"/>
  <c r="AG48" i="8"/>
  <c r="AH48" i="8" s="1"/>
  <c r="AN50" i="10"/>
  <c r="AM50" i="10"/>
  <c r="AA51" i="10"/>
  <c r="AL51" i="10" s="1"/>
  <c r="P52" i="10"/>
  <c r="T51" i="10"/>
  <c r="L51" i="13"/>
  <c r="J51" i="13"/>
  <c r="AU50" i="8"/>
  <c r="BP50" i="8" s="1"/>
  <c r="AS51" i="8"/>
  <c r="G47" i="13"/>
  <c r="E47" i="13"/>
  <c r="I51" i="13"/>
  <c r="X51" i="8"/>
  <c r="N51" i="13" s="1"/>
  <c r="BO49" i="8"/>
  <c r="BT49" i="8"/>
  <c r="M54" i="13"/>
  <c r="AI55" i="8"/>
  <c r="H50" i="13"/>
  <c r="G50" i="8"/>
  <c r="AF49" i="8"/>
  <c r="E50" i="8"/>
  <c r="AE51" i="8"/>
  <c r="BV47" i="8"/>
  <c r="BQ48" i="8"/>
  <c r="BU48" i="8"/>
  <c r="BV48" i="8" s="1"/>
  <c r="BR48" i="8"/>
  <c r="BX48" i="8"/>
  <c r="BY48" i="8"/>
  <c r="CA48" i="8"/>
  <c r="BZ48" i="8"/>
  <c r="K52" i="13"/>
  <c r="AJ53" i="8"/>
  <c r="AK52" i="8"/>
  <c r="AL52" i="8" s="1"/>
  <c r="W52" i="8"/>
  <c r="AT50" i="8"/>
  <c r="BS48" i="8" l="1"/>
  <c r="AU51" i="8"/>
  <c r="BP51" i="8" s="1"/>
  <c r="AS52" i="8"/>
  <c r="F49" i="13"/>
  <c r="AG49" i="8"/>
  <c r="AH49" i="8" s="1"/>
  <c r="I52" i="13"/>
  <c r="X52" i="8"/>
  <c r="N52" i="13" s="1"/>
  <c r="M55" i="13"/>
  <c r="AI56" i="8"/>
  <c r="AV50" i="8"/>
  <c r="BH50" i="8" s="1"/>
  <c r="T52" i="10"/>
  <c r="P53" i="10"/>
  <c r="AA52" i="10"/>
  <c r="AL52" i="10" s="1"/>
  <c r="K53" i="13"/>
  <c r="W53" i="8"/>
  <c r="AJ54" i="8"/>
  <c r="AK53" i="8"/>
  <c r="AL53" i="8" s="1"/>
  <c r="BO50" i="8"/>
  <c r="BT50" i="8"/>
  <c r="J52" i="13"/>
  <c r="L52" i="13"/>
  <c r="H51" i="13"/>
  <c r="G51" i="8"/>
  <c r="AF50" i="8"/>
  <c r="E51" i="8"/>
  <c r="AE52" i="8"/>
  <c r="BQ49" i="8"/>
  <c r="BU49" i="8"/>
  <c r="BR49" i="8"/>
  <c r="BZ49" i="8"/>
  <c r="BY49" i="8"/>
  <c r="CA49" i="8"/>
  <c r="BX49" i="8"/>
  <c r="AM51" i="10"/>
  <c r="AN51" i="10"/>
  <c r="G48" i="13"/>
  <c r="E48" i="13"/>
  <c r="AT51" i="8"/>
  <c r="AV51" i="8" l="1"/>
  <c r="BH51" i="8" s="1"/>
  <c r="BS49" i="8"/>
  <c r="BV49" i="8"/>
  <c r="P54" i="10"/>
  <c r="T53" i="10"/>
  <c r="AA53" i="10"/>
  <c r="AL53" i="10" s="1"/>
  <c r="BQ50" i="8"/>
  <c r="BU50" i="8"/>
  <c r="BV50" i="8" s="1"/>
  <c r="BR50" i="8"/>
  <c r="CA50" i="8"/>
  <c r="BY50" i="8"/>
  <c r="BX50" i="8"/>
  <c r="BZ50" i="8"/>
  <c r="E49" i="13"/>
  <c r="G49" i="13"/>
  <c r="M56" i="13"/>
  <c r="AI57" i="8"/>
  <c r="F50" i="13"/>
  <c r="AG50" i="8"/>
  <c r="AH50" i="8" s="1"/>
  <c r="K54" i="13"/>
  <c r="AJ55" i="8"/>
  <c r="AK54" i="8"/>
  <c r="AL54" i="8" s="1"/>
  <c r="W54" i="8"/>
  <c r="AU52" i="8"/>
  <c r="BP52" i="8" s="1"/>
  <c r="AS53" i="8"/>
  <c r="I53" i="13"/>
  <c r="X53" i="8"/>
  <c r="N53" i="13" s="1"/>
  <c r="H52" i="13"/>
  <c r="G52" i="8"/>
  <c r="AF51" i="8"/>
  <c r="E52" i="8"/>
  <c r="AE53" i="8"/>
  <c r="J53" i="13"/>
  <c r="L53" i="13"/>
  <c r="AN52" i="10"/>
  <c r="AM52" i="10"/>
  <c r="BT51" i="8"/>
  <c r="BO51" i="8"/>
  <c r="AT52" i="8"/>
  <c r="AV52" i="8" l="1"/>
  <c r="BH52" i="8" s="1"/>
  <c r="BS50" i="8"/>
  <c r="F51" i="13"/>
  <c r="AG51" i="8"/>
  <c r="AH51" i="8" s="1"/>
  <c r="K55" i="13"/>
  <c r="AK55" i="8"/>
  <c r="AL55" i="8" s="1"/>
  <c r="W55" i="8"/>
  <c r="AJ56" i="8"/>
  <c r="P55" i="10"/>
  <c r="AA54" i="10"/>
  <c r="AL54" i="10" s="1"/>
  <c r="T54" i="10"/>
  <c r="H53" i="13"/>
  <c r="G53" i="8"/>
  <c r="AF52" i="8"/>
  <c r="E53" i="8"/>
  <c r="AE54" i="8"/>
  <c r="L54" i="13"/>
  <c r="J54" i="13"/>
  <c r="AU53" i="8"/>
  <c r="BP53" i="8" s="1"/>
  <c r="AS54" i="8"/>
  <c r="BQ51" i="8"/>
  <c r="BR51" i="8"/>
  <c r="BU51" i="8"/>
  <c r="BV51" i="8" s="1"/>
  <c r="BZ51" i="8"/>
  <c r="BY51" i="8"/>
  <c r="CA51" i="8"/>
  <c r="BX51" i="8"/>
  <c r="BT52" i="8"/>
  <c r="BO52" i="8"/>
  <c r="M57" i="13"/>
  <c r="AI58" i="8"/>
  <c r="E50" i="13"/>
  <c r="G50" i="13"/>
  <c r="I54" i="13"/>
  <c r="X54" i="8"/>
  <c r="N54" i="13" s="1"/>
  <c r="AM53" i="10"/>
  <c r="AN53" i="10"/>
  <c r="AT53" i="8"/>
  <c r="BS51" i="8" l="1"/>
  <c r="I55" i="13"/>
  <c r="X55" i="8"/>
  <c r="N55" i="13" s="1"/>
  <c r="BQ52" i="8"/>
  <c r="BU52" i="8"/>
  <c r="BR52" i="8"/>
  <c r="BZ52" i="8"/>
  <c r="BY52" i="8"/>
  <c r="CA52" i="8"/>
  <c r="BX52" i="8"/>
  <c r="AU54" i="8"/>
  <c r="BP54" i="8" s="1"/>
  <c r="AS55" i="8"/>
  <c r="H54" i="13"/>
  <c r="G54" i="8"/>
  <c r="AF53" i="8"/>
  <c r="E54" i="8"/>
  <c r="AE55" i="8"/>
  <c r="E51" i="13"/>
  <c r="G51" i="13"/>
  <c r="AM54" i="10"/>
  <c r="AN54" i="10"/>
  <c r="AV53" i="8"/>
  <c r="BH53" i="8" s="1"/>
  <c r="J55" i="13"/>
  <c r="L55" i="13"/>
  <c r="BT53" i="8"/>
  <c r="BO53" i="8"/>
  <c r="F52" i="13"/>
  <c r="AG52" i="8"/>
  <c r="AH52" i="8" s="1"/>
  <c r="AA55" i="10"/>
  <c r="AL55" i="10" s="1"/>
  <c r="T55" i="10"/>
  <c r="P56" i="10"/>
  <c r="M58" i="13"/>
  <c r="AI59" i="8"/>
  <c r="K56" i="13"/>
  <c r="AJ57" i="8"/>
  <c r="AK56" i="8"/>
  <c r="AL56" i="8" s="1"/>
  <c r="W56" i="8"/>
  <c r="AT54" i="8"/>
  <c r="BS52" i="8" l="1"/>
  <c r="I56" i="13"/>
  <c r="X56" i="8"/>
  <c r="N56" i="13" s="1"/>
  <c r="M59" i="13"/>
  <c r="AI60" i="8"/>
  <c r="K57" i="13"/>
  <c r="AJ58" i="8"/>
  <c r="W57" i="8"/>
  <c r="AK57" i="8"/>
  <c r="AL57" i="8" s="1"/>
  <c r="E52" i="13"/>
  <c r="G52" i="13"/>
  <c r="BO54" i="8"/>
  <c r="BT54" i="8"/>
  <c r="F53" i="13"/>
  <c r="AG53" i="8"/>
  <c r="AH53" i="8" s="1"/>
  <c r="L56" i="13"/>
  <c r="J56" i="13"/>
  <c r="BQ53" i="8"/>
  <c r="BU53" i="8"/>
  <c r="BR53" i="8"/>
  <c r="BX53" i="8"/>
  <c r="CA53" i="8"/>
  <c r="BY53" i="8"/>
  <c r="BZ53" i="8"/>
  <c r="H55" i="13"/>
  <c r="G55" i="8"/>
  <c r="AF54" i="8"/>
  <c r="E55" i="8"/>
  <c r="AE56" i="8"/>
  <c r="BV52" i="8"/>
  <c r="T56" i="10"/>
  <c r="AA56" i="10"/>
  <c r="AL56" i="10" s="1"/>
  <c r="P57" i="10"/>
  <c r="AV54" i="8"/>
  <c r="BH54" i="8" s="1"/>
  <c r="AM55" i="10"/>
  <c r="AN55" i="10"/>
  <c r="AU55" i="8"/>
  <c r="BP55" i="8" s="1"/>
  <c r="AS56" i="8"/>
  <c r="AT55" i="8"/>
  <c r="BS53" i="8" l="1"/>
  <c r="AV55" i="8"/>
  <c r="BH55" i="8" s="1"/>
  <c r="BQ54" i="8"/>
  <c r="BR54" i="8"/>
  <c r="BU54" i="8"/>
  <c r="BV54" i="8" s="1"/>
  <c r="BZ54" i="8"/>
  <c r="BY54" i="8"/>
  <c r="BX54" i="8"/>
  <c r="CA54" i="8"/>
  <c r="M60" i="13"/>
  <c r="AI61" i="8"/>
  <c r="H56" i="13"/>
  <c r="G56" i="8"/>
  <c r="AF55" i="8"/>
  <c r="E56" i="8"/>
  <c r="AE57" i="8"/>
  <c r="G53" i="13"/>
  <c r="E53" i="13"/>
  <c r="I57" i="13"/>
  <c r="X57" i="8"/>
  <c r="N57" i="13" s="1"/>
  <c r="BO55" i="8"/>
  <c r="BT55" i="8"/>
  <c r="AA57" i="10"/>
  <c r="AL57" i="10" s="1"/>
  <c r="T57" i="10"/>
  <c r="P58" i="10"/>
  <c r="F54" i="13"/>
  <c r="AG54" i="8"/>
  <c r="AH54" i="8" s="1"/>
  <c r="K58" i="13"/>
  <c r="AK58" i="8"/>
  <c r="AL58" i="8" s="1"/>
  <c r="W58" i="8"/>
  <c r="AJ59" i="8"/>
  <c r="AU56" i="8"/>
  <c r="BP56" i="8" s="1"/>
  <c r="AS57" i="8"/>
  <c r="AM56" i="10"/>
  <c r="AN56" i="10"/>
  <c r="L57" i="13"/>
  <c r="J57" i="13"/>
  <c r="BV53" i="8"/>
  <c r="AT56" i="8"/>
  <c r="BS54" i="8" l="1"/>
  <c r="H57" i="13"/>
  <c r="G57" i="8"/>
  <c r="AF56" i="8"/>
  <c r="E57" i="8"/>
  <c r="AE58" i="8"/>
  <c r="M61" i="13"/>
  <c r="AI62" i="8"/>
  <c r="K59" i="13"/>
  <c r="AJ60" i="8"/>
  <c r="W59" i="8"/>
  <c r="AK59" i="8"/>
  <c r="AL59" i="8" s="1"/>
  <c r="I58" i="13"/>
  <c r="X58" i="8"/>
  <c r="N58" i="13" s="1"/>
  <c r="BQ55" i="8"/>
  <c r="BU55" i="8"/>
  <c r="BV55" i="8" s="1"/>
  <c r="BR55" i="8"/>
  <c r="BX55" i="8"/>
  <c r="BZ55" i="8"/>
  <c r="BY55" i="8"/>
  <c r="CA55" i="8"/>
  <c r="J58" i="13"/>
  <c r="L58" i="13"/>
  <c r="F55" i="13"/>
  <c r="AG55" i="8"/>
  <c r="AH55" i="8" s="1"/>
  <c r="P59" i="10"/>
  <c r="T58" i="10"/>
  <c r="AA58" i="10"/>
  <c r="AL58" i="10" s="1"/>
  <c r="BT56" i="8"/>
  <c r="BO56" i="8"/>
  <c r="AU57" i="8"/>
  <c r="BP57" i="8" s="1"/>
  <c r="AS58" i="8"/>
  <c r="E54" i="13"/>
  <c r="G54" i="13"/>
  <c r="AN57" i="10"/>
  <c r="AM57" i="10"/>
  <c r="AV56" i="8"/>
  <c r="BH56" i="8" s="1"/>
  <c r="AT57" i="8"/>
  <c r="BS55" i="8" l="1"/>
  <c r="AU58" i="8"/>
  <c r="BP58" i="8" s="1"/>
  <c r="AS59" i="8"/>
  <c r="I59" i="13"/>
  <c r="X59" i="8"/>
  <c r="N59" i="13" s="1"/>
  <c r="BO57" i="8"/>
  <c r="BT57" i="8"/>
  <c r="AN58" i="10"/>
  <c r="AM58" i="10"/>
  <c r="K60" i="13"/>
  <c r="AJ61" i="8"/>
  <c r="AK60" i="8"/>
  <c r="AL60" i="8" s="1"/>
  <c r="W60" i="8"/>
  <c r="F56" i="13"/>
  <c r="AG56" i="8"/>
  <c r="AH56" i="8" s="1"/>
  <c r="BQ56" i="8"/>
  <c r="BR56" i="8"/>
  <c r="BU56" i="8"/>
  <c r="BZ56" i="8"/>
  <c r="BY56" i="8"/>
  <c r="CA56" i="8"/>
  <c r="BX56" i="8"/>
  <c r="L59" i="13"/>
  <c r="J59" i="13"/>
  <c r="H58" i="13"/>
  <c r="G58" i="8"/>
  <c r="AF57" i="8"/>
  <c r="E58" i="8"/>
  <c r="AE59" i="8"/>
  <c r="AV57" i="8"/>
  <c r="BH57" i="8" s="1"/>
  <c r="P60" i="10"/>
  <c r="T59" i="10"/>
  <c r="AA59" i="10"/>
  <c r="AL59" i="10" s="1"/>
  <c r="M62" i="13"/>
  <c r="AI63" i="8"/>
  <c r="G55" i="13"/>
  <c r="E55" i="13"/>
  <c r="AT58" i="8"/>
  <c r="AV58" i="8" l="1"/>
  <c r="BH58" i="8" s="1"/>
  <c r="BS56" i="8"/>
  <c r="L60" i="13"/>
  <c r="J60" i="13"/>
  <c r="BQ57" i="8"/>
  <c r="BU57" i="8"/>
  <c r="BV57" i="8" s="1"/>
  <c r="BR57" i="8"/>
  <c r="BS57" i="8" s="1"/>
  <c r="BZ57" i="8"/>
  <c r="BY57" i="8"/>
  <c r="CA57" i="8"/>
  <c r="BX57" i="8"/>
  <c r="P61" i="10"/>
  <c r="AA60" i="10"/>
  <c r="AL60" i="10" s="1"/>
  <c r="T60" i="10"/>
  <c r="BV56" i="8"/>
  <c r="M63" i="13"/>
  <c r="AI64" i="8"/>
  <c r="H59" i="13"/>
  <c r="G59" i="8"/>
  <c r="AF58" i="8"/>
  <c r="E59" i="8"/>
  <c r="AE60" i="8"/>
  <c r="AU59" i="8"/>
  <c r="BP59" i="8" s="1"/>
  <c r="AS60" i="8"/>
  <c r="AN59" i="10"/>
  <c r="AM59" i="10"/>
  <c r="K61" i="13"/>
  <c r="W61" i="8"/>
  <c r="AK61" i="8"/>
  <c r="AL61" i="8" s="1"/>
  <c r="AJ62" i="8"/>
  <c r="G56" i="13"/>
  <c r="E56" i="13"/>
  <c r="F57" i="13"/>
  <c r="AG57" i="8"/>
  <c r="AH57" i="8" s="1"/>
  <c r="I60" i="13"/>
  <c r="X60" i="8"/>
  <c r="N60" i="13" s="1"/>
  <c r="BT58" i="8"/>
  <c r="BO58" i="8"/>
  <c r="AT59" i="8"/>
  <c r="BQ58" i="8" l="1"/>
  <c r="BU58" i="8"/>
  <c r="BV58" i="8" s="1"/>
  <c r="BR58" i="8"/>
  <c r="BX58" i="8"/>
  <c r="CA58" i="8"/>
  <c r="BZ58" i="8"/>
  <c r="BY58" i="8"/>
  <c r="K62" i="13"/>
  <c r="AJ63" i="8"/>
  <c r="AK62" i="8"/>
  <c r="AL62" i="8" s="1"/>
  <c r="W62" i="8"/>
  <c r="AA61" i="10"/>
  <c r="AL61" i="10" s="1"/>
  <c r="T61" i="10"/>
  <c r="P62" i="10"/>
  <c r="F58" i="13"/>
  <c r="AG58" i="8"/>
  <c r="AH58" i="8" s="1"/>
  <c r="I61" i="13"/>
  <c r="X61" i="8"/>
  <c r="N61" i="13" s="1"/>
  <c r="J61" i="13"/>
  <c r="L61" i="13"/>
  <c r="AU60" i="8"/>
  <c r="BP60" i="8" s="1"/>
  <c r="AS61" i="8"/>
  <c r="M64" i="13"/>
  <c r="AI65" i="8"/>
  <c r="G57" i="13"/>
  <c r="E57" i="13"/>
  <c r="BO59" i="8"/>
  <c r="BT59" i="8"/>
  <c r="AV59" i="8"/>
  <c r="BH59" i="8" s="1"/>
  <c r="H60" i="13"/>
  <c r="G60" i="8"/>
  <c r="AF59" i="8"/>
  <c r="E60" i="8"/>
  <c r="AE61" i="8"/>
  <c r="AN60" i="10"/>
  <c r="AM60" i="10"/>
  <c r="AT60" i="8"/>
  <c r="BS58" i="8" l="1"/>
  <c r="AV60" i="8"/>
  <c r="BH60" i="8" s="1"/>
  <c r="G58" i="13"/>
  <c r="E58" i="13"/>
  <c r="I62" i="13"/>
  <c r="X62" i="8"/>
  <c r="N62" i="13" s="1"/>
  <c r="BT60" i="8"/>
  <c r="BO60" i="8"/>
  <c r="M65" i="13"/>
  <c r="AI66" i="8"/>
  <c r="AN61" i="10"/>
  <c r="AM61" i="10"/>
  <c r="H61" i="13"/>
  <c r="G61" i="8"/>
  <c r="AF60" i="8"/>
  <c r="E61" i="8"/>
  <c r="AE62" i="8"/>
  <c r="K63" i="13"/>
  <c r="AK63" i="8"/>
  <c r="AL63" i="8" s="1"/>
  <c r="W63" i="8"/>
  <c r="AJ64" i="8"/>
  <c r="AU61" i="8"/>
  <c r="BP61" i="8" s="1"/>
  <c r="AS62" i="8"/>
  <c r="L62" i="13"/>
  <c r="J62" i="13"/>
  <c r="T62" i="10"/>
  <c r="P63" i="10"/>
  <c r="AA62" i="10"/>
  <c r="AL62" i="10" s="1"/>
  <c r="F59" i="13"/>
  <c r="AG59" i="8"/>
  <c r="AH59" i="8" s="1"/>
  <c r="BQ59" i="8"/>
  <c r="BR59" i="8"/>
  <c r="BU59" i="8"/>
  <c r="BV59" i="8" s="1"/>
  <c r="BZ59" i="8"/>
  <c r="BY59" i="8"/>
  <c r="CA59" i="8"/>
  <c r="BX59" i="8"/>
  <c r="AT61" i="8"/>
  <c r="BS59" i="8" l="1"/>
  <c r="AV61" i="8"/>
  <c r="BH61" i="8" s="1"/>
  <c r="P64" i="10"/>
  <c r="AA63" i="10"/>
  <c r="AL63" i="10" s="1"/>
  <c r="T63" i="10"/>
  <c r="I63" i="13"/>
  <c r="X63" i="8"/>
  <c r="N63" i="13" s="1"/>
  <c r="BQ60" i="8"/>
  <c r="BU60" i="8"/>
  <c r="BV60" i="8" s="1"/>
  <c r="BR60" i="8"/>
  <c r="BX60" i="8"/>
  <c r="CA60" i="8"/>
  <c r="BY60" i="8"/>
  <c r="BZ60" i="8"/>
  <c r="H62" i="13"/>
  <c r="G62" i="8"/>
  <c r="AF61" i="8"/>
  <c r="E62" i="8"/>
  <c r="AE63" i="8"/>
  <c r="AU62" i="8"/>
  <c r="BP62" i="8" s="1"/>
  <c r="AS63" i="8"/>
  <c r="L63" i="13"/>
  <c r="J63" i="13"/>
  <c r="F60" i="13"/>
  <c r="AG60" i="8"/>
  <c r="AH60" i="8" s="1"/>
  <c r="G59" i="13"/>
  <c r="E59" i="13"/>
  <c r="BT61" i="8"/>
  <c r="BO61" i="8"/>
  <c r="M66" i="13"/>
  <c r="AI67" i="8"/>
  <c r="AN62" i="10"/>
  <c r="AM62" i="10"/>
  <c r="K64" i="13"/>
  <c r="AJ65" i="8"/>
  <c r="W64" i="8"/>
  <c r="AK64" i="8"/>
  <c r="AL64" i="8" s="1"/>
  <c r="AT62" i="8"/>
  <c r="BS60" i="8" l="1"/>
  <c r="F61" i="13"/>
  <c r="AG61" i="8"/>
  <c r="AH61" i="8" s="1"/>
  <c r="AM63" i="10"/>
  <c r="AN63" i="10"/>
  <c r="H63" i="13"/>
  <c r="G63" i="8"/>
  <c r="AF62" i="8"/>
  <c r="E63" i="8"/>
  <c r="AE64" i="8"/>
  <c r="K65" i="13"/>
  <c r="AJ66" i="8"/>
  <c r="W65" i="8"/>
  <c r="AK65" i="8"/>
  <c r="AL65" i="8" s="1"/>
  <c r="J64" i="13"/>
  <c r="L64" i="13"/>
  <c r="M67" i="13"/>
  <c r="AI68" i="8"/>
  <c r="P65" i="10"/>
  <c r="AA64" i="10"/>
  <c r="AL64" i="10" s="1"/>
  <c r="T64" i="10"/>
  <c r="I64" i="13"/>
  <c r="X64" i="8"/>
  <c r="N64" i="13" s="1"/>
  <c r="AU63" i="8"/>
  <c r="BP63" i="8" s="1"/>
  <c r="AS64" i="8"/>
  <c r="E60" i="13"/>
  <c r="G60" i="13"/>
  <c r="BO62" i="8"/>
  <c r="BT62" i="8"/>
  <c r="BQ61" i="8"/>
  <c r="BU61" i="8"/>
  <c r="BR61" i="8"/>
  <c r="BZ61" i="8"/>
  <c r="BY61" i="8"/>
  <c r="BX61" i="8"/>
  <c r="CA61" i="8"/>
  <c r="AV62" i="8"/>
  <c r="AT63" i="8"/>
  <c r="AV63" i="8" l="1"/>
  <c r="BH63" i="8" s="1"/>
  <c r="BH62" i="8"/>
  <c r="BS61" i="8"/>
  <c r="L65" i="13"/>
  <c r="J65" i="13"/>
  <c r="BT63" i="8"/>
  <c r="BO63" i="8"/>
  <c r="BQ62" i="8"/>
  <c r="BR62" i="8"/>
  <c r="BU62" i="8"/>
  <c r="BV62" i="8" s="1"/>
  <c r="BY62" i="8"/>
  <c r="BZ62" i="8"/>
  <c r="BX62" i="8"/>
  <c r="CA62" i="8"/>
  <c r="T65" i="10"/>
  <c r="AA65" i="10"/>
  <c r="AL65" i="10" s="1"/>
  <c r="P66" i="10"/>
  <c r="BV61" i="8"/>
  <c r="M68" i="13"/>
  <c r="AI69" i="8"/>
  <c r="H64" i="13"/>
  <c r="G64" i="8"/>
  <c r="AF63" i="8"/>
  <c r="E64" i="8"/>
  <c r="AE65" i="8"/>
  <c r="F62" i="13"/>
  <c r="AG62" i="8"/>
  <c r="AH62" i="8" s="1"/>
  <c r="G61" i="13"/>
  <c r="E61" i="13"/>
  <c r="I65" i="13"/>
  <c r="X65" i="8"/>
  <c r="N65" i="13" s="1"/>
  <c r="AU64" i="8"/>
  <c r="BP64" i="8" s="1"/>
  <c r="AS65" i="8"/>
  <c r="AV64" i="8" s="1"/>
  <c r="BH64" i="8" s="1"/>
  <c r="AN64" i="10"/>
  <c r="AM64" i="10"/>
  <c r="K66" i="13"/>
  <c r="AK66" i="8"/>
  <c r="AL66" i="8" s="1"/>
  <c r="W66" i="8"/>
  <c r="AJ67" i="8"/>
  <c r="AT64" i="8"/>
  <c r="BS62" i="8" l="1"/>
  <c r="K67" i="13"/>
  <c r="AK67" i="8"/>
  <c r="AL67" i="8" s="1"/>
  <c r="AJ68" i="8"/>
  <c r="W67" i="8"/>
  <c r="M69" i="13"/>
  <c r="AI70" i="8"/>
  <c r="I66" i="13"/>
  <c r="X66" i="8"/>
  <c r="N66" i="13" s="1"/>
  <c r="BT64" i="8"/>
  <c r="BO64" i="8"/>
  <c r="P67" i="10"/>
  <c r="T66" i="10"/>
  <c r="AA66" i="10"/>
  <c r="AL66" i="10" s="1"/>
  <c r="J66" i="13"/>
  <c r="L66" i="13"/>
  <c r="G62" i="13"/>
  <c r="E62" i="13"/>
  <c r="AN65" i="10"/>
  <c r="AM65" i="10"/>
  <c r="BQ63" i="8"/>
  <c r="BU63" i="8"/>
  <c r="BR63" i="8"/>
  <c r="BX63" i="8"/>
  <c r="BY63" i="8"/>
  <c r="BZ63" i="8"/>
  <c r="CA63" i="8"/>
  <c r="F63" i="13"/>
  <c r="AG63" i="8"/>
  <c r="AH63" i="8" s="1"/>
  <c r="H65" i="13"/>
  <c r="G65" i="8"/>
  <c r="AF64" i="8"/>
  <c r="E65" i="8"/>
  <c r="AE66" i="8"/>
  <c r="AU65" i="8"/>
  <c r="BP65" i="8" s="1"/>
  <c r="AS66" i="8"/>
  <c r="AT65" i="8"/>
  <c r="BS63" i="8" l="1"/>
  <c r="L67" i="13"/>
  <c r="J67" i="13"/>
  <c r="AU66" i="8"/>
  <c r="BP66" i="8" s="1"/>
  <c r="AS67" i="8"/>
  <c r="F64" i="13"/>
  <c r="AG64" i="8"/>
  <c r="AH64" i="8" s="1"/>
  <c r="G63" i="13"/>
  <c r="E63" i="13"/>
  <c r="AM66" i="10"/>
  <c r="AN66" i="10"/>
  <c r="BV63" i="8"/>
  <c r="I67" i="13"/>
  <c r="X67" i="8"/>
  <c r="N67" i="13" s="1"/>
  <c r="M70" i="13"/>
  <c r="AI71" i="8"/>
  <c r="BO65" i="8"/>
  <c r="BT65" i="8"/>
  <c r="P68" i="10"/>
  <c r="AA67" i="10"/>
  <c r="AL67" i="10" s="1"/>
  <c r="T67" i="10"/>
  <c r="K68" i="13"/>
  <c r="AJ69" i="8"/>
  <c r="AK68" i="8"/>
  <c r="AL68" i="8" s="1"/>
  <c r="W68" i="8"/>
  <c r="H66" i="13"/>
  <c r="G66" i="8"/>
  <c r="AF65" i="8"/>
  <c r="E66" i="8"/>
  <c r="AE67" i="8"/>
  <c r="BQ64" i="8"/>
  <c r="BR64" i="8"/>
  <c r="BU64" i="8"/>
  <c r="BV64" i="8" s="1"/>
  <c r="BX64" i="8"/>
  <c r="BY64" i="8"/>
  <c r="BZ64" i="8"/>
  <c r="CA64" i="8"/>
  <c r="AV65" i="8"/>
  <c r="BH65" i="8" s="1"/>
  <c r="AT66" i="8"/>
  <c r="AV66" i="8" l="1"/>
  <c r="BH66" i="8" s="1"/>
  <c r="BS64" i="8"/>
  <c r="AU67" i="8"/>
  <c r="BP67" i="8" s="1"/>
  <c r="AS68" i="8"/>
  <c r="L68" i="13"/>
  <c r="J68" i="13"/>
  <c r="BT66" i="8"/>
  <c r="BO66" i="8"/>
  <c r="BQ65" i="8"/>
  <c r="BU65" i="8"/>
  <c r="BR65" i="8"/>
  <c r="CA65" i="8"/>
  <c r="BX65" i="8"/>
  <c r="BZ65" i="8"/>
  <c r="BY65" i="8"/>
  <c r="K69" i="13"/>
  <c r="W69" i="8"/>
  <c r="AK69" i="8"/>
  <c r="AL69" i="8" s="1"/>
  <c r="AJ70" i="8"/>
  <c r="M71" i="13"/>
  <c r="AI72" i="8"/>
  <c r="H67" i="13"/>
  <c r="G67" i="8"/>
  <c r="AF66" i="8"/>
  <c r="E67" i="8"/>
  <c r="AE68" i="8"/>
  <c r="F65" i="13"/>
  <c r="AG65" i="8"/>
  <c r="AH65" i="8" s="1"/>
  <c r="AM67" i="10"/>
  <c r="AN67" i="10"/>
  <c r="I68" i="13"/>
  <c r="X68" i="8"/>
  <c r="N68" i="13" s="1"/>
  <c r="P69" i="10"/>
  <c r="T68" i="10"/>
  <c r="AA68" i="10"/>
  <c r="AL68" i="10" s="1"/>
  <c r="G64" i="13"/>
  <c r="E64" i="13"/>
  <c r="AT67" i="8"/>
  <c r="BS65" i="8" l="1"/>
  <c r="AN68" i="10"/>
  <c r="AM68" i="10"/>
  <c r="I69" i="13"/>
  <c r="X69" i="8"/>
  <c r="N69" i="13" s="1"/>
  <c r="M72" i="13"/>
  <c r="AI73" i="8"/>
  <c r="BQ66" i="8"/>
  <c r="BU66" i="8"/>
  <c r="BR66" i="8"/>
  <c r="BZ66" i="8"/>
  <c r="BY66" i="8"/>
  <c r="BX66" i="8"/>
  <c r="CA66" i="8"/>
  <c r="BO67" i="8"/>
  <c r="BT67" i="8"/>
  <c r="BV65" i="8"/>
  <c r="H68" i="13"/>
  <c r="G68" i="8"/>
  <c r="AF67" i="8"/>
  <c r="E68" i="8"/>
  <c r="AE69" i="8"/>
  <c r="T69" i="10"/>
  <c r="AA69" i="10"/>
  <c r="AL69" i="10" s="1"/>
  <c r="P70" i="10"/>
  <c r="K70" i="13"/>
  <c r="AJ71" i="8"/>
  <c r="AK70" i="8"/>
  <c r="AL70" i="8" s="1"/>
  <c r="W70" i="8"/>
  <c r="E65" i="13"/>
  <c r="G65" i="13"/>
  <c r="J69" i="13"/>
  <c r="L69" i="13"/>
  <c r="AU68" i="8"/>
  <c r="BP68" i="8" s="1"/>
  <c r="AS69" i="8"/>
  <c r="F66" i="13"/>
  <c r="AG66" i="8"/>
  <c r="AH66" i="8" s="1"/>
  <c r="AV67" i="8"/>
  <c r="BH67" i="8" s="1"/>
  <c r="AT68" i="8"/>
  <c r="AV68" i="8" l="1"/>
  <c r="BH68" i="8" s="1"/>
  <c r="BS66" i="8"/>
  <c r="F67" i="13"/>
  <c r="AG67" i="8"/>
  <c r="AH67" i="8" s="1"/>
  <c r="BT68" i="8"/>
  <c r="BO68" i="8"/>
  <c r="I70" i="13"/>
  <c r="X70" i="8"/>
  <c r="N70" i="13" s="1"/>
  <c r="T70" i="10"/>
  <c r="P71" i="10"/>
  <c r="AA70" i="10"/>
  <c r="AL70" i="10" s="1"/>
  <c r="M73" i="13"/>
  <c r="AI74" i="8"/>
  <c r="K71" i="13"/>
  <c r="AJ72" i="8"/>
  <c r="AK71" i="8"/>
  <c r="AL71" i="8" s="1"/>
  <c r="W71" i="8"/>
  <c r="AN69" i="10"/>
  <c r="AM69" i="10"/>
  <c r="L70" i="13"/>
  <c r="J70" i="13"/>
  <c r="G66" i="13"/>
  <c r="E66" i="13"/>
  <c r="H69" i="13"/>
  <c r="G69" i="8"/>
  <c r="AF68" i="8"/>
  <c r="E69" i="8"/>
  <c r="AE70" i="8"/>
  <c r="AU69" i="8"/>
  <c r="BP69" i="8" s="1"/>
  <c r="AS70" i="8"/>
  <c r="AV69" i="8" s="1"/>
  <c r="BH69" i="8" s="1"/>
  <c r="BQ67" i="8"/>
  <c r="BR67" i="8"/>
  <c r="BU67" i="8"/>
  <c r="BX67" i="8"/>
  <c r="CA67" i="8"/>
  <c r="BY67" i="8"/>
  <c r="BZ67" i="8"/>
  <c r="BV66" i="8"/>
  <c r="AT69" i="8"/>
  <c r="BS67" i="8" l="1"/>
  <c r="K72" i="13"/>
  <c r="AJ73" i="8"/>
  <c r="AK72" i="8"/>
  <c r="AL72" i="8" s="1"/>
  <c r="W72" i="8"/>
  <c r="H70" i="13"/>
  <c r="AE71" i="8"/>
  <c r="G70" i="8"/>
  <c r="AF69" i="8"/>
  <c r="E70" i="8"/>
  <c r="L71" i="13"/>
  <c r="J71" i="13"/>
  <c r="AN70" i="10"/>
  <c r="AM70" i="10"/>
  <c r="I71" i="13"/>
  <c r="X71" i="8"/>
  <c r="N71" i="13" s="1"/>
  <c r="BQ68" i="8"/>
  <c r="BU68" i="8"/>
  <c r="BV68" i="8" s="1"/>
  <c r="BR68" i="8"/>
  <c r="BX68" i="8"/>
  <c r="BZ68" i="8"/>
  <c r="BY68" i="8"/>
  <c r="CA68" i="8"/>
  <c r="BV67" i="8"/>
  <c r="AU70" i="8"/>
  <c r="BP70" i="8" s="1"/>
  <c r="AS71" i="8"/>
  <c r="AV70" i="8" s="1"/>
  <c r="BH70" i="8" s="1"/>
  <c r="M74" i="13"/>
  <c r="AI75" i="8"/>
  <c r="P72" i="10"/>
  <c r="AA71" i="10"/>
  <c r="AL71" i="10" s="1"/>
  <c r="T71" i="10"/>
  <c r="G67" i="13"/>
  <c r="E67" i="13"/>
  <c r="F68" i="13"/>
  <c r="AG68" i="8"/>
  <c r="AH68" i="8" s="1"/>
  <c r="BT69" i="8"/>
  <c r="BO69" i="8"/>
  <c r="AT70" i="8"/>
  <c r="BS68" i="8" l="1"/>
  <c r="BQ69" i="8"/>
  <c r="BU69" i="8"/>
  <c r="BV69" i="8" s="1"/>
  <c r="BR69" i="8"/>
  <c r="CA69" i="8"/>
  <c r="BX69" i="8"/>
  <c r="BZ69" i="8"/>
  <c r="BY69" i="8"/>
  <c r="I72" i="13"/>
  <c r="X72" i="8"/>
  <c r="N72" i="13" s="1"/>
  <c r="AM71" i="10"/>
  <c r="AN71" i="10"/>
  <c r="T72" i="10"/>
  <c r="P73" i="10"/>
  <c r="AA72" i="10"/>
  <c r="AL72" i="10" s="1"/>
  <c r="K73" i="13"/>
  <c r="AJ74" i="8"/>
  <c r="AK73" i="8"/>
  <c r="AL73" i="8" s="1"/>
  <c r="W73" i="8"/>
  <c r="E68" i="13"/>
  <c r="G68" i="13"/>
  <c r="M75" i="13"/>
  <c r="AI76" i="8"/>
  <c r="J72" i="13"/>
  <c r="L72" i="13"/>
  <c r="F69" i="13"/>
  <c r="AG69" i="8"/>
  <c r="AH69" i="8" s="1"/>
  <c r="AS72" i="8"/>
  <c r="AU71" i="8"/>
  <c r="BP71" i="8" s="1"/>
  <c r="H71" i="13"/>
  <c r="AF70" i="8"/>
  <c r="AE72" i="8"/>
  <c r="E71" i="8"/>
  <c r="G71" i="8"/>
  <c r="BT70" i="8"/>
  <c r="BO70" i="8"/>
  <c r="AT71" i="8"/>
  <c r="BS69" i="8" l="1"/>
  <c r="BR70" i="8"/>
  <c r="BU70" i="8"/>
  <c r="BV70" i="8" s="1"/>
  <c r="BQ70" i="8"/>
  <c r="BS70" i="8" s="1"/>
  <c r="BY70" i="8"/>
  <c r="BX70" i="8"/>
  <c r="CA70" i="8"/>
  <c r="BZ70" i="8"/>
  <c r="G69" i="13"/>
  <c r="E69" i="13"/>
  <c r="I73" i="13"/>
  <c r="X73" i="8"/>
  <c r="N73" i="13" s="1"/>
  <c r="AN72" i="10"/>
  <c r="AM72" i="10"/>
  <c r="AS73" i="8"/>
  <c r="AU72" i="8"/>
  <c r="BP72" i="8" s="1"/>
  <c r="K74" i="13"/>
  <c r="AJ75" i="8"/>
  <c r="AK74" i="8"/>
  <c r="AL74" i="8" s="1"/>
  <c r="W74" i="8"/>
  <c r="T73" i="10"/>
  <c r="P74" i="10"/>
  <c r="AA73" i="10"/>
  <c r="AL73" i="10" s="1"/>
  <c r="M76" i="13"/>
  <c r="AI77" i="8"/>
  <c r="L73" i="13"/>
  <c r="J73" i="13"/>
  <c r="H72" i="13"/>
  <c r="E72" i="8"/>
  <c r="AE73" i="8"/>
  <c r="AF71" i="8"/>
  <c r="G72" i="8"/>
  <c r="F70" i="13"/>
  <c r="AG70" i="8"/>
  <c r="AH70" i="8" s="1"/>
  <c r="BO71" i="8"/>
  <c r="BT71" i="8"/>
  <c r="AV71" i="8"/>
  <c r="BH71" i="8" s="1"/>
  <c r="AT72" i="8"/>
  <c r="AV72" i="8" l="1"/>
  <c r="BH72" i="8" s="1"/>
  <c r="BR71" i="8"/>
  <c r="BQ71" i="8"/>
  <c r="BU71" i="8"/>
  <c r="BV71" i="8" s="1"/>
  <c r="BZ71" i="8"/>
  <c r="CA71" i="8"/>
  <c r="BY71" i="8"/>
  <c r="BX71" i="8"/>
  <c r="F71" i="13"/>
  <c r="AG71" i="8"/>
  <c r="AH71" i="8" s="1"/>
  <c r="J74" i="13"/>
  <c r="L74" i="13"/>
  <c r="H73" i="13"/>
  <c r="G73" i="8"/>
  <c r="AF72" i="8"/>
  <c r="AE74" i="8"/>
  <c r="E73" i="8"/>
  <c r="M77" i="13"/>
  <c r="AI78" i="8"/>
  <c r="BO72" i="8"/>
  <c r="BT72" i="8"/>
  <c r="P75" i="10"/>
  <c r="AA74" i="10"/>
  <c r="AL74" i="10" s="1"/>
  <c r="T74" i="10"/>
  <c r="AS74" i="8"/>
  <c r="AU73" i="8"/>
  <c r="BP73" i="8" s="1"/>
  <c r="K75" i="13"/>
  <c r="W75" i="8"/>
  <c r="AK75" i="8"/>
  <c r="AL75" i="8" s="1"/>
  <c r="AJ76" i="8"/>
  <c r="AN73" i="10"/>
  <c r="AM73" i="10"/>
  <c r="G70" i="13"/>
  <c r="E70" i="13"/>
  <c r="I74" i="13"/>
  <c r="X74" i="8"/>
  <c r="N74" i="13" s="1"/>
  <c r="AT73" i="8"/>
  <c r="AV73" i="8" l="1"/>
  <c r="BH73" i="8" s="1"/>
  <c r="BS71" i="8"/>
  <c r="M78" i="13"/>
  <c r="AI79" i="8"/>
  <c r="H74" i="13"/>
  <c r="G74" i="8"/>
  <c r="AE75" i="8"/>
  <c r="AF73" i="8"/>
  <c r="E74" i="8"/>
  <c r="P76" i="10"/>
  <c r="AA75" i="10"/>
  <c r="AL75" i="10" s="1"/>
  <c r="T75" i="10"/>
  <c r="F72" i="13"/>
  <c r="AG72" i="8"/>
  <c r="AH72" i="8" s="1"/>
  <c r="I75" i="13"/>
  <c r="X75" i="8"/>
  <c r="N75" i="13" s="1"/>
  <c r="AM74" i="10"/>
  <c r="AN74" i="10"/>
  <c r="BO73" i="8"/>
  <c r="BT73" i="8"/>
  <c r="K76" i="13"/>
  <c r="W76" i="8"/>
  <c r="AJ77" i="8"/>
  <c r="AK76" i="8"/>
  <c r="AL76" i="8" s="1"/>
  <c r="AU74" i="8"/>
  <c r="BP74" i="8" s="1"/>
  <c r="AS75" i="8"/>
  <c r="E71" i="13"/>
  <c r="G71" i="13"/>
  <c r="L75" i="13"/>
  <c r="J75" i="13"/>
  <c r="BR72" i="8"/>
  <c r="BQ72" i="8"/>
  <c r="BU72" i="8"/>
  <c r="BZ72" i="8"/>
  <c r="CA72" i="8"/>
  <c r="BY72" i="8"/>
  <c r="BX72" i="8"/>
  <c r="AT74" i="8"/>
  <c r="BS72" i="8" l="1"/>
  <c r="M79" i="13"/>
  <c r="AI80" i="8"/>
  <c r="AU75" i="8"/>
  <c r="BP75" i="8" s="1"/>
  <c r="AS76" i="8"/>
  <c r="AN75" i="10"/>
  <c r="AM75" i="10"/>
  <c r="BR73" i="8"/>
  <c r="BQ73" i="8"/>
  <c r="BU73" i="8"/>
  <c r="BY73" i="8"/>
  <c r="BX73" i="8"/>
  <c r="CA73" i="8"/>
  <c r="BZ73" i="8"/>
  <c r="BO74" i="8"/>
  <c r="BT74" i="8"/>
  <c r="T76" i="10"/>
  <c r="P77" i="10"/>
  <c r="AA76" i="10"/>
  <c r="AL76" i="10" s="1"/>
  <c r="K77" i="13"/>
  <c r="W77" i="8"/>
  <c r="AK77" i="8"/>
  <c r="AL77" i="8" s="1"/>
  <c r="AJ78" i="8"/>
  <c r="L76" i="13"/>
  <c r="J76" i="13"/>
  <c r="BV72" i="8"/>
  <c r="G72" i="13"/>
  <c r="E72" i="13"/>
  <c r="AV74" i="8"/>
  <c r="BH74" i="8" s="1"/>
  <c r="F73" i="13"/>
  <c r="AG73" i="8"/>
  <c r="AH73" i="8" s="1"/>
  <c r="I76" i="13"/>
  <c r="X76" i="8"/>
  <c r="N76" i="13" s="1"/>
  <c r="H75" i="13"/>
  <c r="G75" i="8"/>
  <c r="AE76" i="8"/>
  <c r="E75" i="8"/>
  <c r="AF74" i="8"/>
  <c r="AT75" i="8"/>
  <c r="BS73" i="8" l="1"/>
  <c r="AU76" i="8"/>
  <c r="BP76" i="8" s="1"/>
  <c r="AS77" i="8"/>
  <c r="K78" i="13"/>
  <c r="W78" i="8"/>
  <c r="AJ79" i="8"/>
  <c r="AK78" i="8"/>
  <c r="AL78" i="8" s="1"/>
  <c r="I77" i="13"/>
  <c r="X77" i="8"/>
  <c r="N77" i="13" s="1"/>
  <c r="BR74" i="8"/>
  <c r="BU74" i="8"/>
  <c r="BV74" i="8" s="1"/>
  <c r="BQ74" i="8"/>
  <c r="CA74" i="8"/>
  <c r="BY74" i="8"/>
  <c r="BX74" i="8"/>
  <c r="BZ74" i="8"/>
  <c r="BV73" i="8"/>
  <c r="L77" i="13"/>
  <c r="J77" i="13"/>
  <c r="M80" i="13"/>
  <c r="AI81" i="8"/>
  <c r="BT75" i="8"/>
  <c r="BO75" i="8"/>
  <c r="H76" i="13"/>
  <c r="G76" i="8"/>
  <c r="AE77" i="8"/>
  <c r="E76" i="8"/>
  <c r="AF75" i="8"/>
  <c r="E73" i="13"/>
  <c r="G73" i="13"/>
  <c r="AV75" i="8"/>
  <c r="AN76" i="10"/>
  <c r="AM76" i="10"/>
  <c r="P78" i="10"/>
  <c r="T77" i="10"/>
  <c r="AA77" i="10"/>
  <c r="AL77" i="10" s="1"/>
  <c r="F74" i="13"/>
  <c r="AG74" i="8"/>
  <c r="AH74" i="8" s="1"/>
  <c r="AT76" i="8"/>
  <c r="AV76" i="8" l="1"/>
  <c r="BH76" i="8" s="1"/>
  <c r="BH75" i="8"/>
  <c r="BS74" i="8"/>
  <c r="AU77" i="8"/>
  <c r="BP77" i="8" s="1"/>
  <c r="AS78" i="8"/>
  <c r="AV77" i="8" s="1"/>
  <c r="BH77" i="8" s="1"/>
  <c r="J78" i="13"/>
  <c r="L78" i="13"/>
  <c r="G74" i="13"/>
  <c r="E74" i="13"/>
  <c r="BR75" i="8"/>
  <c r="BU75" i="8"/>
  <c r="BQ75" i="8"/>
  <c r="BS75" i="8" s="1"/>
  <c r="BZ75" i="8"/>
  <c r="CA75" i="8"/>
  <c r="BX75" i="8"/>
  <c r="BY75" i="8"/>
  <c r="BT76" i="8"/>
  <c r="BO76" i="8"/>
  <c r="T78" i="10"/>
  <c r="P79" i="10"/>
  <c r="AA78" i="10"/>
  <c r="AL78" i="10" s="1"/>
  <c r="H77" i="13"/>
  <c r="AE78" i="8"/>
  <c r="E77" i="8"/>
  <c r="AF76" i="8"/>
  <c r="G77" i="8"/>
  <c r="F75" i="13"/>
  <c r="AG75" i="8"/>
  <c r="AH75" i="8" s="1"/>
  <c r="K79" i="13"/>
  <c r="AK79" i="8"/>
  <c r="AL79" i="8" s="1"/>
  <c r="W79" i="8"/>
  <c r="AJ80" i="8"/>
  <c r="I78" i="13"/>
  <c r="X78" i="8"/>
  <c r="N78" i="13" s="1"/>
  <c r="AM77" i="10"/>
  <c r="AN77" i="10"/>
  <c r="M81" i="13"/>
  <c r="AI82" i="8"/>
  <c r="AT77" i="8"/>
  <c r="H78" i="13" l="1"/>
  <c r="AE79" i="8"/>
  <c r="E78" i="8"/>
  <c r="AF77" i="8"/>
  <c r="G78" i="8"/>
  <c r="AU78" i="8"/>
  <c r="BP78" i="8" s="1"/>
  <c r="AS79" i="8"/>
  <c r="BT77" i="8"/>
  <c r="BO77" i="8"/>
  <c r="I79" i="13"/>
  <c r="X79" i="8"/>
  <c r="N79" i="13" s="1"/>
  <c r="BR76" i="8"/>
  <c r="BU76" i="8"/>
  <c r="BV76" i="8" s="1"/>
  <c r="BQ76" i="8"/>
  <c r="CA76" i="8"/>
  <c r="BZ76" i="8"/>
  <c r="BY76" i="8"/>
  <c r="BX76" i="8"/>
  <c r="L79" i="13"/>
  <c r="J79" i="13"/>
  <c r="BV75" i="8"/>
  <c r="AN78" i="10"/>
  <c r="AM78" i="10"/>
  <c r="M82" i="13"/>
  <c r="AI83" i="8"/>
  <c r="G75" i="13"/>
  <c r="E75" i="13"/>
  <c r="K80" i="13"/>
  <c r="AJ81" i="8"/>
  <c r="W80" i="8"/>
  <c r="AK80" i="8"/>
  <c r="AL80" i="8" s="1"/>
  <c r="F76" i="13"/>
  <c r="AG76" i="8"/>
  <c r="AH76" i="8" s="1"/>
  <c r="AA79" i="10"/>
  <c r="AL79" i="10" s="1"/>
  <c r="T79" i="10"/>
  <c r="P80" i="10"/>
  <c r="AT78" i="8"/>
  <c r="BS76" i="8" l="1"/>
  <c r="I80" i="13"/>
  <c r="X80" i="8"/>
  <c r="N80" i="13" s="1"/>
  <c r="BR77" i="8"/>
  <c r="BU77" i="8"/>
  <c r="BQ77" i="8"/>
  <c r="BY77" i="8"/>
  <c r="CA77" i="8"/>
  <c r="BZ77" i="8"/>
  <c r="BX77" i="8"/>
  <c r="K81" i="13"/>
  <c r="AJ82" i="8"/>
  <c r="AK81" i="8"/>
  <c r="AL81" i="8" s="1"/>
  <c r="W81" i="8"/>
  <c r="F77" i="13"/>
  <c r="AG77" i="8"/>
  <c r="AH77" i="8" s="1"/>
  <c r="BT78" i="8"/>
  <c r="BO78" i="8"/>
  <c r="AS80" i="8"/>
  <c r="AU79" i="8"/>
  <c r="BP79" i="8" s="1"/>
  <c r="H79" i="13"/>
  <c r="AF78" i="8"/>
  <c r="AE80" i="8"/>
  <c r="E79" i="8"/>
  <c r="G79" i="8"/>
  <c r="AM79" i="10"/>
  <c r="AN79" i="10"/>
  <c r="M83" i="13"/>
  <c r="AI84" i="8"/>
  <c r="AV78" i="8"/>
  <c r="BH78" i="8" s="1"/>
  <c r="T80" i="10"/>
  <c r="P81" i="10"/>
  <c r="AA80" i="10"/>
  <c r="AL80" i="10" s="1"/>
  <c r="G76" i="13"/>
  <c r="E76" i="13"/>
  <c r="L80" i="13"/>
  <c r="J80" i="13"/>
  <c r="AT79" i="8"/>
  <c r="AV79" i="8" l="1"/>
  <c r="BH79" i="8" s="1"/>
  <c r="BS77" i="8"/>
  <c r="J81" i="13"/>
  <c r="L81" i="13"/>
  <c r="H80" i="13"/>
  <c r="E80" i="8"/>
  <c r="AF79" i="8"/>
  <c r="AE81" i="8"/>
  <c r="G80" i="8"/>
  <c r="M84" i="13"/>
  <c r="AI85" i="8"/>
  <c r="BO79" i="8"/>
  <c r="BT79" i="8"/>
  <c r="E77" i="13"/>
  <c r="G77" i="13"/>
  <c r="BR78" i="8"/>
  <c r="BQ78" i="8"/>
  <c r="BU78" i="8"/>
  <c r="BV78" i="8" s="1"/>
  <c r="CA78" i="8"/>
  <c r="BZ78" i="8"/>
  <c r="BY78" i="8"/>
  <c r="BX78" i="8"/>
  <c r="AU80" i="8"/>
  <c r="BP80" i="8" s="1"/>
  <c r="AS81" i="8"/>
  <c r="I81" i="13"/>
  <c r="X81" i="8"/>
  <c r="N81" i="13" s="1"/>
  <c r="BV77" i="8"/>
  <c r="F78" i="13"/>
  <c r="AG78" i="8"/>
  <c r="AH78" i="8" s="1"/>
  <c r="AN80" i="10"/>
  <c r="AM80" i="10"/>
  <c r="T81" i="10"/>
  <c r="P82" i="10"/>
  <c r="AA81" i="10"/>
  <c r="AL81" i="10" s="1"/>
  <c r="K82" i="13"/>
  <c r="W82" i="8"/>
  <c r="AJ83" i="8"/>
  <c r="AK82" i="8"/>
  <c r="AL82" i="8" s="1"/>
  <c r="AT80" i="8"/>
  <c r="BS78" i="8" l="1"/>
  <c r="AN81" i="10"/>
  <c r="AM81" i="10"/>
  <c r="AU81" i="8"/>
  <c r="BP81" i="8" s="1"/>
  <c r="AS82" i="8"/>
  <c r="F79" i="13"/>
  <c r="AG79" i="8"/>
  <c r="AH79" i="8" s="1"/>
  <c r="P83" i="10"/>
  <c r="AA82" i="10"/>
  <c r="AL82" i="10" s="1"/>
  <c r="T82" i="10"/>
  <c r="BT80" i="8"/>
  <c r="BO80" i="8"/>
  <c r="BR79" i="8"/>
  <c r="BQ79" i="8"/>
  <c r="BU79" i="8"/>
  <c r="BZ79" i="8"/>
  <c r="CA79" i="8"/>
  <c r="BY79" i="8"/>
  <c r="BX79" i="8"/>
  <c r="K83" i="13"/>
  <c r="AJ84" i="8"/>
  <c r="AK83" i="8"/>
  <c r="AL83" i="8" s="1"/>
  <c r="W83" i="8"/>
  <c r="H81" i="13"/>
  <c r="AF80" i="8"/>
  <c r="G81" i="8"/>
  <c r="AE82" i="8"/>
  <c r="E81" i="8"/>
  <c r="I82" i="13"/>
  <c r="X82" i="8"/>
  <c r="N82" i="13" s="1"/>
  <c r="G78" i="13"/>
  <c r="E78" i="13"/>
  <c r="J82" i="13"/>
  <c r="L82" i="13"/>
  <c r="AV80" i="8"/>
  <c r="BH80" i="8" s="1"/>
  <c r="M85" i="13"/>
  <c r="AI86" i="8"/>
  <c r="AT81" i="8"/>
  <c r="AV81" i="8" l="1"/>
  <c r="BH81" i="8" s="1"/>
  <c r="BS79" i="8"/>
  <c r="BQ80" i="8"/>
  <c r="BU80" i="8"/>
  <c r="BV80" i="8" s="1"/>
  <c r="BR80" i="8"/>
  <c r="BS80" i="8" s="1"/>
  <c r="BY80" i="8"/>
  <c r="BZ80" i="8"/>
  <c r="CA80" i="8"/>
  <c r="BX80" i="8"/>
  <c r="G79" i="13"/>
  <c r="E79" i="13"/>
  <c r="H82" i="13"/>
  <c r="AE83" i="8"/>
  <c r="E82" i="8"/>
  <c r="G82" i="8"/>
  <c r="AF81" i="8"/>
  <c r="I83" i="13"/>
  <c r="X83" i="8"/>
  <c r="N83" i="13" s="1"/>
  <c r="AU82" i="8"/>
  <c r="BP82" i="8" s="1"/>
  <c r="AS83" i="8"/>
  <c r="AV82" i="8" s="1"/>
  <c r="BH82" i="8" s="1"/>
  <c r="AM82" i="10"/>
  <c r="AN82" i="10"/>
  <c r="M86" i="13"/>
  <c r="AI87" i="8"/>
  <c r="BV79" i="8"/>
  <c r="P84" i="10"/>
  <c r="AA83" i="10"/>
  <c r="AL83" i="10" s="1"/>
  <c r="T83" i="10"/>
  <c r="F80" i="13"/>
  <c r="AG80" i="8"/>
  <c r="AH80" i="8" s="1"/>
  <c r="K84" i="13"/>
  <c r="AK84" i="8"/>
  <c r="AL84" i="8" s="1"/>
  <c r="W84" i="8"/>
  <c r="AJ85" i="8"/>
  <c r="BO81" i="8"/>
  <c r="BT81" i="8"/>
  <c r="L83" i="13"/>
  <c r="J83" i="13"/>
  <c r="AT82" i="8"/>
  <c r="E80" i="13" l="1"/>
  <c r="G80" i="13"/>
  <c r="BQ81" i="8"/>
  <c r="BR81" i="8"/>
  <c r="BU81" i="8"/>
  <c r="BV81" i="8" s="1"/>
  <c r="BZ81" i="8"/>
  <c r="CA81" i="8"/>
  <c r="BX81" i="8"/>
  <c r="BY81" i="8"/>
  <c r="AM83" i="10"/>
  <c r="AN83" i="10"/>
  <c r="AU83" i="8"/>
  <c r="BP83" i="8" s="1"/>
  <c r="AS84" i="8"/>
  <c r="AV83" i="8" s="1"/>
  <c r="BH83" i="8" s="1"/>
  <c r="T84" i="10"/>
  <c r="P85" i="10"/>
  <c r="AA84" i="10"/>
  <c r="AL84" i="10" s="1"/>
  <c r="BO82" i="8"/>
  <c r="BT82" i="8"/>
  <c r="F81" i="13"/>
  <c r="AG81" i="8"/>
  <c r="AH81" i="8" s="1"/>
  <c r="K85" i="13"/>
  <c r="W85" i="8"/>
  <c r="AJ86" i="8"/>
  <c r="AK85" i="8"/>
  <c r="AL85" i="8" s="1"/>
  <c r="I84" i="13"/>
  <c r="X84" i="8"/>
  <c r="N84" i="13" s="1"/>
  <c r="H83" i="13"/>
  <c r="G83" i="8"/>
  <c r="AF82" i="8"/>
  <c r="E83" i="8"/>
  <c r="AE84" i="8"/>
  <c r="L84" i="13"/>
  <c r="J84" i="13"/>
  <c r="M87" i="13"/>
  <c r="AI88" i="8"/>
  <c r="AT83" i="8"/>
  <c r="BS81" i="8" l="1"/>
  <c r="H84" i="13"/>
  <c r="G84" i="8"/>
  <c r="AE85" i="8"/>
  <c r="E84" i="8"/>
  <c r="AF83" i="8"/>
  <c r="G81" i="13"/>
  <c r="E81" i="13"/>
  <c r="AU84" i="8"/>
  <c r="BP84" i="8" s="1"/>
  <c r="AS85" i="8"/>
  <c r="AV84" i="8" s="1"/>
  <c r="BH84" i="8" s="1"/>
  <c r="AN84" i="10"/>
  <c r="AM84" i="10"/>
  <c r="AA85" i="10"/>
  <c r="AL85" i="10" s="1"/>
  <c r="P86" i="10"/>
  <c r="T85" i="10"/>
  <c r="M88" i="13"/>
  <c r="AI89" i="8"/>
  <c r="L85" i="13"/>
  <c r="J85" i="13"/>
  <c r="F82" i="13"/>
  <c r="AG82" i="8"/>
  <c r="AH82" i="8" s="1"/>
  <c r="K86" i="13"/>
  <c r="AK86" i="8"/>
  <c r="AL86" i="8" s="1"/>
  <c r="AJ87" i="8"/>
  <c r="W86" i="8"/>
  <c r="I85" i="13"/>
  <c r="X85" i="8"/>
  <c r="N85" i="13" s="1"/>
  <c r="BQ82" i="8"/>
  <c r="BU82" i="8"/>
  <c r="BV82" i="8" s="1"/>
  <c r="BR82" i="8"/>
  <c r="BZ82" i="8"/>
  <c r="BX82" i="8"/>
  <c r="CA82" i="8"/>
  <c r="BY82" i="8"/>
  <c r="BT83" i="8"/>
  <c r="BO83" i="8"/>
  <c r="AT84" i="8"/>
  <c r="BS82" i="8" l="1"/>
  <c r="AM85" i="10"/>
  <c r="AN85" i="10"/>
  <c r="F83" i="13"/>
  <c r="AG83" i="8"/>
  <c r="AH83" i="8" s="1"/>
  <c r="AU85" i="8"/>
  <c r="BP85" i="8" s="1"/>
  <c r="AS86" i="8"/>
  <c r="I86" i="13"/>
  <c r="X86" i="8"/>
  <c r="N86" i="13" s="1"/>
  <c r="H85" i="13"/>
  <c r="AE86" i="8"/>
  <c r="E85" i="8"/>
  <c r="AF84" i="8"/>
  <c r="G85" i="8"/>
  <c r="BQ83" i="8"/>
  <c r="BU83" i="8"/>
  <c r="BR83" i="8"/>
  <c r="BZ83" i="8"/>
  <c r="BX83" i="8"/>
  <c r="BY83" i="8"/>
  <c r="CA83" i="8"/>
  <c r="J86" i="13"/>
  <c r="L86" i="13"/>
  <c r="M89" i="13"/>
  <c r="AI90" i="8"/>
  <c r="BO84" i="8"/>
  <c r="BT84" i="8"/>
  <c r="T86" i="10"/>
  <c r="P87" i="10"/>
  <c r="AA86" i="10"/>
  <c r="AL86" i="10" s="1"/>
  <c r="K87" i="13"/>
  <c r="W87" i="8"/>
  <c r="AJ88" i="8"/>
  <c r="AK87" i="8"/>
  <c r="AL87" i="8" s="1"/>
  <c r="G82" i="13"/>
  <c r="E82" i="13"/>
  <c r="AT85" i="8"/>
  <c r="BS83" i="8" l="1"/>
  <c r="I87" i="13"/>
  <c r="X87" i="8"/>
  <c r="N87" i="13" s="1"/>
  <c r="L87" i="13"/>
  <c r="J87" i="13"/>
  <c r="M90" i="13"/>
  <c r="AI91" i="8"/>
  <c r="G83" i="13"/>
  <c r="E83" i="13"/>
  <c r="AN86" i="10"/>
  <c r="AM86" i="10"/>
  <c r="T87" i="10"/>
  <c r="P88" i="10"/>
  <c r="AA87" i="10"/>
  <c r="AL87" i="10" s="1"/>
  <c r="AU86" i="8"/>
  <c r="BP86" i="8" s="1"/>
  <c r="AS87" i="8"/>
  <c r="K88" i="13"/>
  <c r="AK88" i="8"/>
  <c r="AL88" i="8" s="1"/>
  <c r="AJ89" i="8"/>
  <c r="W88" i="8"/>
  <c r="H86" i="13"/>
  <c r="AF85" i="8"/>
  <c r="G86" i="8"/>
  <c r="AE87" i="8"/>
  <c r="E86" i="8"/>
  <c r="AV85" i="8"/>
  <c r="F84" i="13"/>
  <c r="AG84" i="8"/>
  <c r="AH84" i="8" s="1"/>
  <c r="BT85" i="8"/>
  <c r="BO85" i="8"/>
  <c r="BQ84" i="8"/>
  <c r="BU84" i="8"/>
  <c r="BV84" i="8" s="1"/>
  <c r="BR84" i="8"/>
  <c r="CA84" i="8"/>
  <c r="BY84" i="8"/>
  <c r="BX84" i="8"/>
  <c r="BZ84" i="8"/>
  <c r="BV83" i="8"/>
  <c r="AT86" i="8"/>
  <c r="AV86" i="8" l="1"/>
  <c r="BH86" i="8" s="1"/>
  <c r="BH85" i="8"/>
  <c r="BS84" i="8"/>
  <c r="I88" i="13"/>
  <c r="X88" i="8"/>
  <c r="N88" i="13" s="1"/>
  <c r="K89" i="13"/>
  <c r="AJ90" i="8"/>
  <c r="AK89" i="8"/>
  <c r="AL89" i="8" s="1"/>
  <c r="W89" i="8"/>
  <c r="M91" i="13"/>
  <c r="AI92" i="8"/>
  <c r="H87" i="13"/>
  <c r="G87" i="8"/>
  <c r="AE88" i="8"/>
  <c r="E87" i="8"/>
  <c r="AF86" i="8"/>
  <c r="BQ85" i="8"/>
  <c r="BU85" i="8"/>
  <c r="BR85" i="8"/>
  <c r="BY85" i="8"/>
  <c r="BX85" i="8"/>
  <c r="BZ85" i="8"/>
  <c r="CA85" i="8"/>
  <c r="T88" i="10"/>
  <c r="P89" i="10"/>
  <c r="AA88" i="10"/>
  <c r="AL88" i="10" s="1"/>
  <c r="L88" i="13"/>
  <c r="J88" i="13"/>
  <c r="AM87" i="10"/>
  <c r="AN87" i="10"/>
  <c r="F85" i="13"/>
  <c r="AG85" i="8"/>
  <c r="AH85" i="8" s="1"/>
  <c r="AU87" i="8"/>
  <c r="BP87" i="8" s="1"/>
  <c r="AS88" i="8"/>
  <c r="G84" i="13"/>
  <c r="E84" i="13"/>
  <c r="BT86" i="8"/>
  <c r="BO86" i="8"/>
  <c r="AT87" i="8"/>
  <c r="BS85" i="8" l="1"/>
  <c r="H88" i="13"/>
  <c r="AE89" i="8"/>
  <c r="G88" i="8"/>
  <c r="AF87" i="8"/>
  <c r="E88" i="8"/>
  <c r="K90" i="13"/>
  <c r="AJ91" i="8"/>
  <c r="AK90" i="8"/>
  <c r="AL90" i="8" s="1"/>
  <c r="W90" i="8"/>
  <c r="AN88" i="10"/>
  <c r="AM88" i="10"/>
  <c r="J89" i="13"/>
  <c r="L89" i="13"/>
  <c r="AU88" i="8"/>
  <c r="BP88" i="8" s="1"/>
  <c r="AS89" i="8"/>
  <c r="M92" i="13"/>
  <c r="AI93" i="8"/>
  <c r="BO87" i="8"/>
  <c r="BT87" i="8"/>
  <c r="BV85" i="8"/>
  <c r="AV87" i="8"/>
  <c r="T89" i="10"/>
  <c r="AA89" i="10"/>
  <c r="AL89" i="10" s="1"/>
  <c r="P90" i="10"/>
  <c r="BQ86" i="8"/>
  <c r="BR86" i="8"/>
  <c r="BU86" i="8"/>
  <c r="BZ86" i="8"/>
  <c r="CA86" i="8"/>
  <c r="BY86" i="8"/>
  <c r="BX86" i="8"/>
  <c r="F86" i="13"/>
  <c r="AG86" i="8"/>
  <c r="AH86" i="8" s="1"/>
  <c r="I89" i="13"/>
  <c r="X89" i="8"/>
  <c r="N89" i="13" s="1"/>
  <c r="E85" i="13"/>
  <c r="G85" i="13"/>
  <c r="AT88" i="8"/>
  <c r="AV88" i="8" l="1"/>
  <c r="BH88" i="8" s="1"/>
  <c r="BH87" i="8"/>
  <c r="BS86" i="8"/>
  <c r="P91" i="10"/>
  <c r="AA90" i="10"/>
  <c r="AL90" i="10" s="1"/>
  <c r="T90" i="10"/>
  <c r="L90" i="13"/>
  <c r="J90" i="13"/>
  <c r="BV86" i="8"/>
  <c r="BQ87" i="8"/>
  <c r="BR87" i="8"/>
  <c r="BU87" i="8"/>
  <c r="BY87" i="8"/>
  <c r="BX87" i="8"/>
  <c r="CA87" i="8"/>
  <c r="BZ87" i="8"/>
  <c r="AU89" i="8"/>
  <c r="BP89" i="8" s="1"/>
  <c r="AS90" i="8"/>
  <c r="AV89" i="8" s="1"/>
  <c r="BH89" i="8" s="1"/>
  <c r="H89" i="13"/>
  <c r="AE90" i="8"/>
  <c r="E89" i="8"/>
  <c r="AF88" i="8"/>
  <c r="G89" i="8"/>
  <c r="M93" i="13"/>
  <c r="AI94" i="8"/>
  <c r="G86" i="13"/>
  <c r="E86" i="13"/>
  <c r="AN89" i="10"/>
  <c r="AM89" i="10"/>
  <c r="I90" i="13"/>
  <c r="X90" i="8"/>
  <c r="N90" i="13" s="1"/>
  <c r="F87" i="13"/>
  <c r="AG87" i="8"/>
  <c r="AH87" i="8" s="1"/>
  <c r="BT88" i="8"/>
  <c r="BO88" i="8"/>
  <c r="K91" i="13"/>
  <c r="AJ92" i="8"/>
  <c r="AK91" i="8"/>
  <c r="AL91" i="8" s="1"/>
  <c r="W91" i="8"/>
  <c r="AT89" i="8"/>
  <c r="BS87" i="8" l="1"/>
  <c r="AU90" i="8"/>
  <c r="BP90" i="8" s="1"/>
  <c r="AS91" i="8"/>
  <c r="H90" i="13"/>
  <c r="AE91" i="8"/>
  <c r="E90" i="8"/>
  <c r="G90" i="8"/>
  <c r="AF89" i="8"/>
  <c r="I91" i="13"/>
  <c r="X91" i="8"/>
  <c r="N91" i="13" s="1"/>
  <c r="M94" i="13"/>
  <c r="AI95" i="8"/>
  <c r="BV87" i="8"/>
  <c r="BQ88" i="8"/>
  <c r="BR88" i="8"/>
  <c r="BU88" i="8"/>
  <c r="BV88" i="8" s="1"/>
  <c r="CA88" i="8"/>
  <c r="BY88" i="8"/>
  <c r="BX88" i="8"/>
  <c r="BZ88" i="8"/>
  <c r="G87" i="13"/>
  <c r="E87" i="13"/>
  <c r="BO89" i="8"/>
  <c r="BT89" i="8"/>
  <c r="AM90" i="10"/>
  <c r="AN90" i="10"/>
  <c r="P92" i="10"/>
  <c r="AA91" i="10"/>
  <c r="AL91" i="10" s="1"/>
  <c r="T91" i="10"/>
  <c r="K92" i="13"/>
  <c r="AJ93" i="8"/>
  <c r="W92" i="8"/>
  <c r="AK92" i="8"/>
  <c r="AL92" i="8" s="1"/>
  <c r="L91" i="13"/>
  <c r="J91" i="13"/>
  <c r="F88" i="13"/>
  <c r="AG88" i="8"/>
  <c r="AH88" i="8" s="1"/>
  <c r="AT90" i="8"/>
  <c r="BS88" i="8" l="1"/>
  <c r="AN91" i="10"/>
  <c r="AM91" i="10"/>
  <c r="I92" i="13"/>
  <c r="X92" i="8"/>
  <c r="N92" i="13" s="1"/>
  <c r="T92" i="10"/>
  <c r="AA92" i="10"/>
  <c r="AL92" i="10" s="1"/>
  <c r="P93" i="10"/>
  <c r="BQ89" i="8"/>
  <c r="BR89" i="8"/>
  <c r="BU89" i="8"/>
  <c r="BX89" i="8"/>
  <c r="BZ89" i="8"/>
  <c r="CA89" i="8"/>
  <c r="BY89" i="8"/>
  <c r="AU91" i="8"/>
  <c r="BP91" i="8" s="1"/>
  <c r="AS92" i="8"/>
  <c r="J92" i="13"/>
  <c r="L92" i="13"/>
  <c r="F89" i="13"/>
  <c r="AG89" i="8"/>
  <c r="AH89" i="8" s="1"/>
  <c r="K93" i="13"/>
  <c r="W93" i="8"/>
  <c r="AK93" i="8"/>
  <c r="AL93" i="8" s="1"/>
  <c r="AJ94" i="8"/>
  <c r="E88" i="13"/>
  <c r="G88" i="13"/>
  <c r="H91" i="13"/>
  <c r="G91" i="8"/>
  <c r="AE92" i="8"/>
  <c r="E91" i="8"/>
  <c r="AF90" i="8"/>
  <c r="BO90" i="8"/>
  <c r="BT90" i="8"/>
  <c r="M95" i="13"/>
  <c r="AI96" i="8"/>
  <c r="AV90" i="8"/>
  <c r="BH90" i="8" s="1"/>
  <c r="AT91" i="8"/>
  <c r="BS89" i="8" l="1"/>
  <c r="I93" i="13"/>
  <c r="X93" i="8"/>
  <c r="N93" i="13" s="1"/>
  <c r="M96" i="13"/>
  <c r="AI97" i="8"/>
  <c r="K94" i="13"/>
  <c r="AJ95" i="8"/>
  <c r="W94" i="8"/>
  <c r="AK94" i="8"/>
  <c r="AL94" i="8" s="1"/>
  <c r="L93" i="13"/>
  <c r="J93" i="13"/>
  <c r="BO91" i="8"/>
  <c r="BT91" i="8"/>
  <c r="H92" i="13"/>
  <c r="G92" i="8"/>
  <c r="AF91" i="8"/>
  <c r="AE93" i="8"/>
  <c r="E92" i="8"/>
  <c r="P94" i="10"/>
  <c r="T93" i="10"/>
  <c r="AA93" i="10"/>
  <c r="AL93" i="10" s="1"/>
  <c r="BQ90" i="8"/>
  <c r="BR90" i="8"/>
  <c r="BU90" i="8"/>
  <c r="BV90" i="8" s="1"/>
  <c r="BY90" i="8"/>
  <c r="BZ90" i="8"/>
  <c r="BX90" i="8"/>
  <c r="CA90" i="8"/>
  <c r="BV89" i="8"/>
  <c r="F90" i="13"/>
  <c r="AG90" i="8"/>
  <c r="AH90" i="8" s="1"/>
  <c r="G89" i="13"/>
  <c r="E89" i="13"/>
  <c r="AN92" i="10"/>
  <c r="AM92" i="10"/>
  <c r="AU92" i="8"/>
  <c r="BP92" i="8" s="1"/>
  <c r="AS93" i="8"/>
  <c r="AV91" i="8"/>
  <c r="BH91" i="8" s="1"/>
  <c r="AT92" i="8"/>
  <c r="BS90" i="8" l="1"/>
  <c r="AU93" i="8"/>
  <c r="BP93" i="8" s="1"/>
  <c r="AS94" i="8"/>
  <c r="L94" i="13"/>
  <c r="J94" i="13"/>
  <c r="BT92" i="8"/>
  <c r="BO92" i="8"/>
  <c r="M97" i="13"/>
  <c r="AI98" i="8"/>
  <c r="T94" i="10"/>
  <c r="P95" i="10"/>
  <c r="AA94" i="10"/>
  <c r="AL94" i="10" s="1"/>
  <c r="H93" i="13"/>
  <c r="G93" i="8"/>
  <c r="AE94" i="8"/>
  <c r="E93" i="8"/>
  <c r="AF92" i="8"/>
  <c r="I94" i="13"/>
  <c r="X94" i="8"/>
  <c r="N94" i="13" s="1"/>
  <c r="AM93" i="10"/>
  <c r="AN93" i="10"/>
  <c r="G90" i="13"/>
  <c r="E90" i="13"/>
  <c r="AV92" i="8"/>
  <c r="BH92" i="8" s="1"/>
  <c r="F91" i="13"/>
  <c r="AG91" i="8"/>
  <c r="AH91" i="8" s="1"/>
  <c r="BQ91" i="8"/>
  <c r="BU91" i="8"/>
  <c r="BV91" i="8" s="1"/>
  <c r="BR91" i="8"/>
  <c r="BY91" i="8"/>
  <c r="BZ91" i="8"/>
  <c r="BX91" i="8"/>
  <c r="CA91" i="8"/>
  <c r="K95" i="13"/>
  <c r="AJ96" i="8"/>
  <c r="W95" i="8"/>
  <c r="AK95" i="8"/>
  <c r="AL95" i="8" s="1"/>
  <c r="AT93" i="8"/>
  <c r="BS91" i="8" l="1"/>
  <c r="AV93" i="8"/>
  <c r="BH93" i="8" s="1"/>
  <c r="H94" i="13"/>
  <c r="E94" i="8"/>
  <c r="AF93" i="8"/>
  <c r="AE95" i="8"/>
  <c r="G94" i="8"/>
  <c r="AU94" i="8"/>
  <c r="BP94" i="8" s="1"/>
  <c r="AS95" i="8"/>
  <c r="BT93" i="8"/>
  <c r="BO93" i="8"/>
  <c r="F92" i="13"/>
  <c r="AG92" i="8"/>
  <c r="P96" i="10"/>
  <c r="AA95" i="10"/>
  <c r="AL95" i="10" s="1"/>
  <c r="T95" i="10"/>
  <c r="BQ92" i="8"/>
  <c r="BU92" i="8"/>
  <c r="BV92" i="8" s="1"/>
  <c r="BR92" i="8"/>
  <c r="BZ92" i="8"/>
  <c r="BY92" i="8"/>
  <c r="BX92" i="8"/>
  <c r="CA92" i="8"/>
  <c r="AN94" i="10"/>
  <c r="AM94" i="10"/>
  <c r="G91" i="13"/>
  <c r="E91" i="13"/>
  <c r="M98" i="13"/>
  <c r="AI99" i="8"/>
  <c r="I95" i="13"/>
  <c r="X95" i="8"/>
  <c r="N95" i="13" s="1"/>
  <c r="K96" i="13"/>
  <c r="AJ97" i="8"/>
  <c r="W96" i="8"/>
  <c r="AK96" i="8"/>
  <c r="AL96" i="8" s="1"/>
  <c r="L95" i="13"/>
  <c r="J95" i="13"/>
  <c r="AT94" i="8"/>
  <c r="BS92" i="8" l="1"/>
  <c r="AM95" i="10"/>
  <c r="AN95" i="10"/>
  <c r="AU95" i="8"/>
  <c r="BP95" i="8" s="1"/>
  <c r="AS96" i="8"/>
  <c r="I96" i="13"/>
  <c r="X96" i="8"/>
  <c r="N96" i="13" s="1"/>
  <c r="F93" i="13"/>
  <c r="AG93" i="8"/>
  <c r="T96" i="10"/>
  <c r="P97" i="10"/>
  <c r="AA96" i="10"/>
  <c r="AL96" i="10" s="1"/>
  <c r="AV94" i="8"/>
  <c r="L96" i="13"/>
  <c r="J96" i="13"/>
  <c r="M99" i="13"/>
  <c r="AI100" i="8"/>
  <c r="AH92" i="8"/>
  <c r="AQ33" i="8"/>
  <c r="BT94" i="8"/>
  <c r="BO94" i="8"/>
  <c r="K97" i="13"/>
  <c r="AJ98" i="8"/>
  <c r="AK97" i="8"/>
  <c r="AL97" i="8" s="1"/>
  <c r="W97" i="8"/>
  <c r="G92" i="13"/>
  <c r="E92" i="13"/>
  <c r="BQ93" i="8"/>
  <c r="BU93" i="8"/>
  <c r="BV93" i="8" s="1"/>
  <c r="BR93" i="8"/>
  <c r="BS93" i="8" s="1"/>
  <c r="BX93" i="8"/>
  <c r="CA93" i="8"/>
  <c r="BZ93" i="8"/>
  <c r="BY93" i="8"/>
  <c r="H95" i="13"/>
  <c r="AE96" i="8"/>
  <c r="E95" i="8"/>
  <c r="AF94" i="8"/>
  <c r="G95" i="8"/>
  <c r="AT95" i="8"/>
  <c r="AV95" i="8" l="1"/>
  <c r="BH95" i="8" s="1"/>
  <c r="BH94" i="8"/>
  <c r="L97" i="13"/>
  <c r="J97" i="13"/>
  <c r="M100" i="13"/>
  <c r="AI101" i="8"/>
  <c r="AN96" i="10"/>
  <c r="AM96" i="10"/>
  <c r="F94" i="13"/>
  <c r="AG94" i="8"/>
  <c r="T97" i="10"/>
  <c r="AA97" i="10"/>
  <c r="AL97" i="10" s="1"/>
  <c r="P98" i="10"/>
  <c r="AU96" i="8"/>
  <c r="BP96" i="8" s="1"/>
  <c r="AS97" i="8"/>
  <c r="AV96" i="8" s="1"/>
  <c r="BH96" i="8" s="1"/>
  <c r="K98" i="13"/>
  <c r="AJ99" i="8"/>
  <c r="W98" i="8"/>
  <c r="AK98" i="8"/>
  <c r="AL98" i="8" s="1"/>
  <c r="BT95" i="8"/>
  <c r="BO95" i="8"/>
  <c r="AH93" i="8"/>
  <c r="AQ36" i="8"/>
  <c r="BQ94" i="8"/>
  <c r="BU94" i="8"/>
  <c r="BV94" i="8" s="1"/>
  <c r="BR94" i="8"/>
  <c r="BZ94" i="8"/>
  <c r="BX94" i="8"/>
  <c r="BY94" i="8"/>
  <c r="CA94" i="8"/>
  <c r="H96" i="13"/>
  <c r="AF95" i="8"/>
  <c r="AE97" i="8"/>
  <c r="G96" i="8"/>
  <c r="E96" i="8"/>
  <c r="G93" i="13"/>
  <c r="E93" i="13"/>
  <c r="I97" i="13"/>
  <c r="X97" i="8"/>
  <c r="N97" i="13" s="1"/>
  <c r="AT96" i="8"/>
  <c r="BS94" i="8" l="1"/>
  <c r="BQ95" i="8"/>
  <c r="BU95" i="8"/>
  <c r="BV95" i="8" s="1"/>
  <c r="BR95" i="8"/>
  <c r="BY95" i="8"/>
  <c r="BZ95" i="8"/>
  <c r="CA95" i="8"/>
  <c r="BX95" i="8"/>
  <c r="BT96" i="8"/>
  <c r="BO96" i="8"/>
  <c r="AN97" i="10"/>
  <c r="AM97" i="10"/>
  <c r="H97" i="13"/>
  <c r="G97" i="8"/>
  <c r="AE98" i="8"/>
  <c r="E97" i="8"/>
  <c r="AF96" i="8"/>
  <c r="K99" i="13"/>
  <c r="AJ100" i="8"/>
  <c r="W99" i="8"/>
  <c r="AK99" i="8"/>
  <c r="AL99" i="8" s="1"/>
  <c r="M101" i="13"/>
  <c r="AI102" i="8"/>
  <c r="AH94" i="8"/>
  <c r="AQ37" i="8"/>
  <c r="L98" i="13"/>
  <c r="J98" i="13"/>
  <c r="F95" i="13"/>
  <c r="AG95" i="8"/>
  <c r="AU97" i="8"/>
  <c r="BP97" i="8" s="1"/>
  <c r="AS98" i="8"/>
  <c r="I98" i="13"/>
  <c r="X98" i="8"/>
  <c r="N98" i="13" s="1"/>
  <c r="G94" i="13"/>
  <c r="E94" i="13"/>
  <c r="P99" i="10"/>
  <c r="AA98" i="10"/>
  <c r="AL98" i="10" s="1"/>
  <c r="T98" i="10"/>
  <c r="AT97" i="8"/>
  <c r="BS95" i="8" l="1"/>
  <c r="AH95" i="8"/>
  <c r="AQ38" i="8"/>
  <c r="F96" i="13"/>
  <c r="AG96" i="8"/>
  <c r="J99" i="13"/>
  <c r="L99" i="13"/>
  <c r="H98" i="13"/>
  <c r="AF97" i="8"/>
  <c r="AE99" i="8"/>
  <c r="G98" i="8"/>
  <c r="E98" i="8"/>
  <c r="BT97" i="8"/>
  <c r="BO97" i="8"/>
  <c r="BQ96" i="8"/>
  <c r="BU96" i="8"/>
  <c r="BR96" i="8"/>
  <c r="BX96" i="8"/>
  <c r="CA96" i="8"/>
  <c r="BY96" i="8"/>
  <c r="BZ96" i="8"/>
  <c r="AM98" i="10"/>
  <c r="AN98" i="10"/>
  <c r="I99" i="13"/>
  <c r="X99" i="8"/>
  <c r="N99" i="13" s="1"/>
  <c r="P100" i="10"/>
  <c r="AA99" i="10"/>
  <c r="AL99" i="10" s="1"/>
  <c r="T99" i="10"/>
  <c r="AU98" i="8"/>
  <c r="BP98" i="8" s="1"/>
  <c r="AS99" i="8"/>
  <c r="K100" i="13"/>
  <c r="AJ101" i="8"/>
  <c r="AK100" i="8"/>
  <c r="AL100" i="8" s="1"/>
  <c r="W100" i="8"/>
  <c r="E95" i="13"/>
  <c r="G95" i="13"/>
  <c r="M102" i="13"/>
  <c r="AI103" i="8"/>
  <c r="AV97" i="8"/>
  <c r="BH97" i="8" s="1"/>
  <c r="AT98" i="8"/>
  <c r="AV98" i="8" l="1"/>
  <c r="BH98" i="8" s="1"/>
  <c r="BS96" i="8"/>
  <c r="P101" i="10"/>
  <c r="T100" i="10"/>
  <c r="AA100" i="10"/>
  <c r="AL100" i="10" s="1"/>
  <c r="H99" i="13"/>
  <c r="AF98" i="8"/>
  <c r="G99" i="8"/>
  <c r="E99" i="8"/>
  <c r="AE100" i="8"/>
  <c r="K101" i="13"/>
  <c r="AJ102" i="8"/>
  <c r="W101" i="8"/>
  <c r="AK101" i="8"/>
  <c r="AL101" i="8" s="1"/>
  <c r="J100" i="13"/>
  <c r="L100" i="13"/>
  <c r="F97" i="13"/>
  <c r="AG97" i="8"/>
  <c r="BQ97" i="8"/>
  <c r="BR97" i="8"/>
  <c r="BU97" i="8"/>
  <c r="BV97" i="8" s="1"/>
  <c r="BY97" i="8"/>
  <c r="BX97" i="8"/>
  <c r="BZ97" i="8"/>
  <c r="CA97" i="8"/>
  <c r="AU99" i="8"/>
  <c r="BP99" i="8" s="1"/>
  <c r="AS100" i="8"/>
  <c r="E96" i="13"/>
  <c r="G96" i="13"/>
  <c r="M103" i="13"/>
  <c r="AI104" i="8"/>
  <c r="M104" i="13" s="1"/>
  <c r="BV96" i="8"/>
  <c r="BT98" i="8"/>
  <c r="BO98" i="8"/>
  <c r="I100" i="13"/>
  <c r="X100" i="8"/>
  <c r="N100" i="13" s="1"/>
  <c r="AN99" i="10"/>
  <c r="AM99" i="10"/>
  <c r="AH96" i="8"/>
  <c r="AQ39" i="8"/>
  <c r="AT99" i="8"/>
  <c r="BS97" i="8" l="1"/>
  <c r="AU100" i="8"/>
  <c r="BP100" i="8" s="1"/>
  <c r="AS101" i="8"/>
  <c r="F98" i="13"/>
  <c r="AG98" i="8"/>
  <c r="L101" i="13"/>
  <c r="J101" i="13"/>
  <c r="AN100" i="10"/>
  <c r="AM100" i="10"/>
  <c r="BT99" i="8"/>
  <c r="BO99" i="8"/>
  <c r="I101" i="13"/>
  <c r="X101" i="8"/>
  <c r="N101" i="13" s="1"/>
  <c r="K102" i="13"/>
  <c r="AJ103" i="8"/>
  <c r="AK102" i="8"/>
  <c r="AL102" i="8" s="1"/>
  <c r="W102" i="8"/>
  <c r="BQ98" i="8"/>
  <c r="BR98" i="8"/>
  <c r="BU98" i="8"/>
  <c r="BV98" i="8" s="1"/>
  <c r="CA98" i="8"/>
  <c r="BY98" i="8"/>
  <c r="BX98" i="8"/>
  <c r="BZ98" i="8"/>
  <c r="AH97" i="8"/>
  <c r="AQ40" i="8"/>
  <c r="H100" i="13"/>
  <c r="E100" i="8"/>
  <c r="AE101" i="8"/>
  <c r="AF99" i="8"/>
  <c r="G100" i="8"/>
  <c r="E97" i="13"/>
  <c r="G97" i="13"/>
  <c r="T101" i="10"/>
  <c r="AA101" i="10"/>
  <c r="AL101" i="10" s="1"/>
  <c r="P102" i="10"/>
  <c r="AV99" i="8"/>
  <c r="BH99" i="8" s="1"/>
  <c r="AT100" i="8"/>
  <c r="BS98" i="8" l="1"/>
  <c r="AV100" i="8"/>
  <c r="BH100" i="8" s="1"/>
  <c r="L102" i="13"/>
  <c r="J102" i="13"/>
  <c r="AH98" i="8"/>
  <c r="AQ41" i="8"/>
  <c r="AU101" i="8"/>
  <c r="BP101" i="8" s="1"/>
  <c r="AS102" i="8"/>
  <c r="AN101" i="10"/>
  <c r="AM101" i="10"/>
  <c r="I102" i="13"/>
  <c r="X102" i="8"/>
  <c r="N102" i="13" s="1"/>
  <c r="E98" i="13"/>
  <c r="G98" i="13"/>
  <c r="T102" i="10"/>
  <c r="AA102" i="10"/>
  <c r="AL102" i="10" s="1"/>
  <c r="P103" i="10"/>
  <c r="AI102" i="10" s="1"/>
  <c r="H101" i="13"/>
  <c r="E101" i="8"/>
  <c r="AE102" i="8"/>
  <c r="AF100" i="8"/>
  <c r="G101" i="8"/>
  <c r="BQ99" i="8"/>
  <c r="BU99" i="8"/>
  <c r="BV99" i="8" s="1"/>
  <c r="BR99" i="8"/>
  <c r="BZ99" i="8"/>
  <c r="CA99" i="8"/>
  <c r="BY99" i="8"/>
  <c r="BX99" i="8"/>
  <c r="BT100" i="8"/>
  <c r="BO100" i="8"/>
  <c r="F99" i="13"/>
  <c r="AG99" i="8"/>
  <c r="K103" i="13"/>
  <c r="AJ104" i="8"/>
  <c r="AK103" i="8"/>
  <c r="AL103" i="8" s="1"/>
  <c r="W103" i="8"/>
  <c r="AT101" i="8"/>
  <c r="AJ99" i="10" l="1"/>
  <c r="AI99" i="10"/>
  <c r="AJ100" i="10"/>
  <c r="AI98" i="10"/>
  <c r="AI100" i="10"/>
  <c r="AJ102" i="10"/>
  <c r="BS99" i="8"/>
  <c r="AJ97" i="10"/>
  <c r="AV101" i="8"/>
  <c r="BH101" i="8" s="1"/>
  <c r="K104" i="13"/>
  <c r="W104" i="8"/>
  <c r="AK104" i="8"/>
  <c r="AL104" i="8" s="1"/>
  <c r="J103" i="13"/>
  <c r="L103" i="13"/>
  <c r="BQ100" i="8"/>
  <c r="BR100" i="8"/>
  <c r="BU100" i="8"/>
  <c r="BV100" i="8" s="1"/>
  <c r="BZ100" i="8"/>
  <c r="CA100" i="8"/>
  <c r="BY100" i="8"/>
  <c r="BX100" i="8"/>
  <c r="I103" i="13"/>
  <c r="X103" i="8"/>
  <c r="N103" i="13" s="1"/>
  <c r="AN102" i="10"/>
  <c r="AM102" i="10"/>
  <c r="BT101" i="8"/>
  <c r="BO101" i="8"/>
  <c r="AH99" i="8"/>
  <c r="AQ42" i="8"/>
  <c r="H102" i="13"/>
  <c r="E102" i="8"/>
  <c r="AF101" i="8"/>
  <c r="G102" i="8"/>
  <c r="AE103" i="8"/>
  <c r="E99" i="13"/>
  <c r="G99" i="13"/>
  <c r="F100" i="13"/>
  <c r="AG100" i="8"/>
  <c r="AA103" i="10"/>
  <c r="T103" i="10"/>
  <c r="AJ103" i="10"/>
  <c r="AI103" i="10"/>
  <c r="AI7" i="10"/>
  <c r="AJ6" i="10"/>
  <c r="AJ4" i="10"/>
  <c r="AJ5" i="10"/>
  <c r="AI5" i="10"/>
  <c r="AI4" i="10"/>
  <c r="AJ7" i="10"/>
  <c r="AI6" i="10"/>
  <c r="AJ9" i="10"/>
  <c r="AI9" i="10"/>
  <c r="AI10" i="10"/>
  <c r="AJ11" i="10"/>
  <c r="AI8" i="10"/>
  <c r="AJ10" i="10"/>
  <c r="AJ8" i="10"/>
  <c r="AI12" i="10"/>
  <c r="AI11" i="10"/>
  <c r="AJ15" i="10"/>
  <c r="AJ14" i="10"/>
  <c r="AJ12" i="10"/>
  <c r="AI13" i="10"/>
  <c r="AI14" i="10"/>
  <c r="AJ13" i="10"/>
  <c r="AI15" i="10"/>
  <c r="AJ17" i="10"/>
  <c r="AJ16" i="10"/>
  <c r="AI16" i="10"/>
  <c r="AI17" i="10"/>
  <c r="AJ18" i="10"/>
  <c r="AI18" i="10"/>
  <c r="AI20" i="10"/>
  <c r="AJ23" i="10"/>
  <c r="AJ20" i="10"/>
  <c r="AJ21" i="10"/>
  <c r="AI21" i="10"/>
  <c r="AI23" i="10"/>
  <c r="AI19" i="10"/>
  <c r="AJ19" i="10"/>
  <c r="AI22" i="10"/>
  <c r="AJ24" i="10"/>
  <c r="AI24" i="10"/>
  <c r="AI26" i="10"/>
  <c r="AJ22" i="10"/>
  <c r="AJ26" i="10"/>
  <c r="AJ28" i="10"/>
  <c r="AI28" i="10"/>
  <c r="AJ25" i="10"/>
  <c r="AI25" i="10"/>
  <c r="AI27" i="10"/>
  <c r="AI29" i="10"/>
  <c r="AJ29" i="10"/>
  <c r="AI30" i="10"/>
  <c r="AJ27" i="10"/>
  <c r="AJ31" i="10"/>
  <c r="AI32" i="10"/>
  <c r="AJ32" i="10"/>
  <c r="AI33" i="10"/>
  <c r="AJ30" i="10"/>
  <c r="AI31" i="10"/>
  <c r="AI35" i="10"/>
  <c r="AJ35" i="10"/>
  <c r="AI36" i="10"/>
  <c r="AJ34" i="10"/>
  <c r="AJ36" i="10"/>
  <c r="AJ33" i="10"/>
  <c r="AI34" i="10"/>
  <c r="AJ39" i="10"/>
  <c r="AJ37" i="10"/>
  <c r="AI37" i="10"/>
  <c r="AJ38" i="10"/>
  <c r="AI39" i="10"/>
  <c r="AI38" i="10"/>
  <c r="AI40" i="10"/>
  <c r="AJ42" i="10"/>
  <c r="AJ40" i="10"/>
  <c r="AI42" i="10"/>
  <c r="AI41" i="10"/>
  <c r="AJ41" i="10"/>
  <c r="AJ43" i="10"/>
  <c r="AI44" i="10"/>
  <c r="AI43" i="10"/>
  <c r="AJ44" i="10"/>
  <c r="AI45" i="10"/>
  <c r="AJ45" i="10"/>
  <c r="AJ46" i="10"/>
  <c r="AI48" i="10"/>
  <c r="AI46" i="10"/>
  <c r="AI49" i="10"/>
  <c r="AJ50" i="10"/>
  <c r="AI47" i="10"/>
  <c r="AJ49" i="10"/>
  <c r="AJ47" i="10"/>
  <c r="AI50" i="10"/>
  <c r="AI51" i="10"/>
  <c r="AI52" i="10"/>
  <c r="AJ48" i="10"/>
  <c r="AJ51" i="10"/>
  <c r="AJ53" i="10"/>
  <c r="AI53" i="10"/>
  <c r="J44" i="10"/>
  <c r="AJ54" i="10"/>
  <c r="AJ52" i="10"/>
  <c r="AI55" i="10"/>
  <c r="AJ57" i="10"/>
  <c r="AJ55" i="10"/>
  <c r="AI54" i="10"/>
  <c r="AI56" i="10"/>
  <c r="AJ56" i="10"/>
  <c r="AJ58" i="10"/>
  <c r="AJ59" i="10"/>
  <c r="AI57" i="10"/>
  <c r="AJ61" i="10"/>
  <c r="AJ60" i="10"/>
  <c r="AI60" i="10"/>
  <c r="AI58" i="10"/>
  <c r="AI61" i="10"/>
  <c r="AI59" i="10"/>
  <c r="AI64" i="10"/>
  <c r="AI62" i="10"/>
  <c r="AJ63" i="10"/>
  <c r="AJ62" i="10"/>
  <c r="AJ64" i="10"/>
  <c r="AI65" i="10"/>
  <c r="AJ66" i="10"/>
  <c r="AI63" i="10"/>
  <c r="AJ67" i="10"/>
  <c r="AI67" i="10"/>
  <c r="AI66" i="10"/>
  <c r="AJ65" i="10"/>
  <c r="AJ68" i="10"/>
  <c r="AI68" i="10"/>
  <c r="AJ70" i="10"/>
  <c r="AI69" i="10"/>
  <c r="AJ69" i="10"/>
  <c r="AJ71" i="10"/>
  <c r="AI70" i="10"/>
  <c r="AJ72" i="10"/>
  <c r="AI72" i="10"/>
  <c r="AI73" i="10"/>
  <c r="AI74" i="10"/>
  <c r="AI71" i="10"/>
  <c r="AJ74" i="10"/>
  <c r="AJ73" i="10"/>
  <c r="AI75" i="10"/>
  <c r="AJ77" i="10"/>
  <c r="AJ76" i="10"/>
  <c r="AJ75" i="10"/>
  <c r="AI77" i="10"/>
  <c r="AI76" i="10"/>
  <c r="AJ79" i="10"/>
  <c r="AI79" i="10"/>
  <c r="AI78" i="10"/>
  <c r="AI82" i="10"/>
  <c r="AJ80" i="10"/>
  <c r="AJ78" i="10"/>
  <c r="AI80" i="10"/>
  <c r="AJ85" i="10"/>
  <c r="AJ81" i="10"/>
  <c r="AJ82" i="10"/>
  <c r="AI83" i="10"/>
  <c r="AJ83" i="10"/>
  <c r="AJ84" i="10"/>
  <c r="AI81" i="10"/>
  <c r="AI85" i="10"/>
  <c r="AJ87" i="10"/>
  <c r="AI84" i="10"/>
  <c r="AI86" i="10"/>
  <c r="AJ86" i="10"/>
  <c r="AI88" i="10"/>
  <c r="AJ89" i="10"/>
  <c r="AI89" i="10"/>
  <c r="AI87" i="10"/>
  <c r="AJ88" i="10"/>
  <c r="AJ90" i="10"/>
  <c r="AI90" i="10"/>
  <c r="AJ92" i="10"/>
  <c r="AJ91" i="10"/>
  <c r="AI91" i="10"/>
  <c r="AI92" i="10"/>
  <c r="AI93" i="10"/>
  <c r="AJ93" i="10"/>
  <c r="AJ94" i="10"/>
  <c r="AJ96" i="10"/>
  <c r="AI94" i="10"/>
  <c r="AI95" i="10"/>
  <c r="AI96" i="10"/>
  <c r="AJ95" i="10"/>
  <c r="AJ98" i="10"/>
  <c r="AI97" i="10"/>
  <c r="AI101" i="10"/>
  <c r="AJ101" i="10"/>
  <c r="AU102" i="8"/>
  <c r="BP102" i="8" s="1"/>
  <c r="AS103" i="8"/>
  <c r="AT102" i="8"/>
  <c r="BS100" i="8" l="1"/>
  <c r="BT102" i="8"/>
  <c r="BO102" i="8"/>
  <c r="H103" i="13"/>
  <c r="AE104" i="8"/>
  <c r="G103" i="8"/>
  <c r="E103" i="8"/>
  <c r="AF102" i="8"/>
  <c r="F101" i="13"/>
  <c r="AG101" i="8"/>
  <c r="BQ101" i="8"/>
  <c r="BU101" i="8"/>
  <c r="BR101" i="8"/>
  <c r="BV101" i="8"/>
  <c r="BZ101" i="8"/>
  <c r="CA101" i="8"/>
  <c r="BY101" i="8"/>
  <c r="BX101" i="8"/>
  <c r="I104" i="13"/>
  <c r="X104" i="8"/>
  <c r="N104" i="13" s="1"/>
  <c r="J59" i="10"/>
  <c r="I59" i="10"/>
  <c r="AH100" i="8"/>
  <c r="AQ43" i="8"/>
  <c r="J104" i="13"/>
  <c r="L104" i="13"/>
  <c r="AU103" i="8"/>
  <c r="BP103" i="8" s="1"/>
  <c r="AS104" i="8"/>
  <c r="AL103" i="10"/>
  <c r="J61" i="10"/>
  <c r="I61" i="10"/>
  <c r="G100" i="13"/>
  <c r="E100" i="13"/>
  <c r="AV102" i="8"/>
  <c r="AT103" i="8"/>
  <c r="AV103" i="8" l="1"/>
  <c r="BH103" i="8" s="1"/>
  <c r="BH102" i="8"/>
  <c r="BS101" i="8"/>
  <c r="G101" i="13"/>
  <c r="E101" i="13"/>
  <c r="AU104" i="8"/>
  <c r="BP104" i="8" s="1"/>
  <c r="AS105" i="8"/>
  <c r="AV104" i="8" s="1"/>
  <c r="BH104" i="8" s="1"/>
  <c r="F102" i="13"/>
  <c r="AG102" i="8"/>
  <c r="H104" i="13"/>
  <c r="G104" i="8"/>
  <c r="E104" i="8"/>
  <c r="AF103" i="8"/>
  <c r="BQ102" i="8"/>
  <c r="BU102" i="8"/>
  <c r="BV102" i="8" s="1"/>
  <c r="BR102" i="8"/>
  <c r="BX102" i="8"/>
  <c r="CA102" i="8"/>
  <c r="BY102" i="8"/>
  <c r="BZ102" i="8"/>
  <c r="AM103" i="10"/>
  <c r="AN103" i="10"/>
  <c r="AR103" i="10"/>
  <c r="AQ103" i="10"/>
  <c r="AQ101" i="10"/>
  <c r="AQ99" i="10"/>
  <c r="AR99" i="10"/>
  <c r="AQ98" i="10"/>
  <c r="AR102" i="10"/>
  <c r="AR101" i="10"/>
  <c r="AQ102" i="10"/>
  <c r="AQ100" i="10"/>
  <c r="AR98" i="10"/>
  <c r="BT103" i="8"/>
  <c r="BO103" i="8"/>
  <c r="AH101" i="8"/>
  <c r="AQ44" i="8"/>
  <c r="AT104" i="8"/>
  <c r="BS102" i="8" l="1"/>
  <c r="AH102" i="8"/>
  <c r="AQ45" i="8"/>
  <c r="BQ103" i="8"/>
  <c r="BU103" i="8"/>
  <c r="BR103" i="8"/>
  <c r="BX103" i="8"/>
  <c r="BZ103" i="8"/>
  <c r="AB27" i="7" s="1"/>
  <c r="BY103" i="8"/>
  <c r="CA103" i="8"/>
  <c r="AA31" i="7" s="1"/>
  <c r="F103" i="13"/>
  <c r="AG103" i="8"/>
  <c r="AR4" i="10"/>
  <c r="AV4" i="10" s="1"/>
  <c r="AQ4" i="10"/>
  <c r="AU4" i="10" s="1"/>
  <c r="AR6" i="10"/>
  <c r="AQ5" i="10"/>
  <c r="AQ6" i="10"/>
  <c r="AR5" i="10"/>
  <c r="AQ10" i="10"/>
  <c r="AR7" i="10"/>
  <c r="AQ8" i="10"/>
  <c r="AR8" i="10"/>
  <c r="AQ7" i="10"/>
  <c r="AR10" i="10"/>
  <c r="AR9" i="10"/>
  <c r="AQ9" i="10"/>
  <c r="AR11" i="10"/>
  <c r="AR12" i="10"/>
  <c r="AQ11" i="10"/>
  <c r="AQ12" i="10"/>
  <c r="AQ16" i="10"/>
  <c r="AR14" i="10"/>
  <c r="AQ13" i="10"/>
  <c r="AR13" i="10"/>
  <c r="AQ14" i="10"/>
  <c r="AQ15" i="10"/>
  <c r="AR15" i="10"/>
  <c r="AR18" i="10"/>
  <c r="AR16" i="10"/>
  <c r="AR20" i="10"/>
  <c r="AQ17" i="10"/>
  <c r="AR17" i="10"/>
  <c r="AQ18" i="10"/>
  <c r="AQ19" i="10"/>
  <c r="AR19" i="10"/>
  <c r="AQ20" i="10"/>
  <c r="AQ22" i="10"/>
  <c r="AR23" i="10"/>
  <c r="AR22" i="10"/>
  <c r="AR21" i="10"/>
  <c r="AQ23" i="10"/>
  <c r="AQ21" i="10"/>
  <c r="AR25" i="10"/>
  <c r="AR24" i="10"/>
  <c r="AQ25" i="10"/>
  <c r="AQ26" i="10"/>
  <c r="AQ27" i="10"/>
  <c r="AQ24" i="10"/>
  <c r="AR27" i="10"/>
  <c r="AR26" i="10"/>
  <c r="AR29" i="10"/>
  <c r="AQ28" i="10"/>
  <c r="AQ29" i="10"/>
  <c r="AR28" i="10"/>
  <c r="AQ31" i="10"/>
  <c r="AR30" i="10"/>
  <c r="AQ30" i="10"/>
  <c r="AR31" i="10"/>
  <c r="AR32" i="10"/>
  <c r="AR33" i="10"/>
  <c r="AQ32" i="10"/>
  <c r="AQ34" i="10"/>
  <c r="AR34" i="10"/>
  <c r="AQ33" i="10"/>
  <c r="AR35" i="10"/>
  <c r="AQ35" i="10"/>
  <c r="AQ37" i="10"/>
  <c r="AR36" i="10"/>
  <c r="AQ36" i="10"/>
  <c r="AQ41" i="10"/>
  <c r="AR37" i="10"/>
  <c r="AQ39" i="10"/>
  <c r="AR39" i="10"/>
  <c r="AR38" i="10"/>
  <c r="AQ38" i="10"/>
  <c r="AR43" i="10"/>
  <c r="AQ40" i="10"/>
  <c r="AR42" i="10"/>
  <c r="AR41" i="10"/>
  <c r="AR40" i="10"/>
  <c r="AQ43" i="10"/>
  <c r="AQ42" i="10"/>
  <c r="AR44" i="10"/>
  <c r="AQ44" i="10"/>
  <c r="AQ45" i="10"/>
  <c r="AR45" i="10"/>
  <c r="AQ46" i="10"/>
  <c r="AQ47" i="10"/>
  <c r="AR46" i="10"/>
  <c r="AR47" i="10"/>
  <c r="AR48" i="10"/>
  <c r="AR49" i="10"/>
  <c r="AQ48" i="10"/>
  <c r="AR50" i="10"/>
  <c r="AQ49" i="10"/>
  <c r="AQ50" i="10"/>
  <c r="AR52" i="10"/>
  <c r="AR54" i="10"/>
  <c r="AR51" i="10"/>
  <c r="AR53" i="10"/>
  <c r="AQ51" i="10"/>
  <c r="AQ54" i="10"/>
  <c r="AQ52" i="10"/>
  <c r="AQ53" i="10"/>
  <c r="AR55" i="10"/>
  <c r="AR56" i="10"/>
  <c r="AQ56" i="10"/>
  <c r="AQ58" i="10"/>
  <c r="AQ55" i="10"/>
  <c r="AQ57" i="10"/>
  <c r="AR57" i="10"/>
  <c r="AR58" i="10"/>
  <c r="AR59" i="10"/>
  <c r="AQ61" i="10"/>
  <c r="AR60" i="10"/>
  <c r="AQ60" i="10"/>
  <c r="AQ59" i="10"/>
  <c r="AR61" i="10"/>
  <c r="AQ62" i="10"/>
  <c r="AQ64" i="10"/>
  <c r="AR62" i="10"/>
  <c r="AQ63" i="10"/>
  <c r="AR64" i="10"/>
  <c r="AR63" i="10"/>
  <c r="AQ67" i="10"/>
  <c r="AR65" i="10"/>
  <c r="AQ66" i="10"/>
  <c r="AQ65" i="10"/>
  <c r="AR66" i="10"/>
  <c r="AR67" i="10"/>
  <c r="AR68" i="10"/>
  <c r="AR69" i="10"/>
  <c r="AQ68" i="10"/>
  <c r="AQ69" i="10"/>
  <c r="AR70" i="10"/>
  <c r="AQ70" i="10"/>
  <c r="AQ71" i="10"/>
  <c r="AQ72" i="10"/>
  <c r="AR71" i="10"/>
  <c r="AQ74" i="10"/>
  <c r="AR72" i="10"/>
  <c r="AR74" i="10"/>
  <c r="AQ73" i="10"/>
  <c r="AR75" i="10"/>
  <c r="AR73" i="10"/>
  <c r="AR78" i="10"/>
  <c r="AQ75" i="10"/>
  <c r="AQ76" i="10"/>
  <c r="AQ78" i="10"/>
  <c r="AR79" i="10"/>
  <c r="AR77" i="10"/>
  <c r="AR76" i="10"/>
  <c r="AQ77" i="10"/>
  <c r="AR81" i="10"/>
  <c r="AQ79" i="10"/>
  <c r="AR80" i="10"/>
  <c r="AR83" i="10"/>
  <c r="AQ80" i="10"/>
  <c r="AQ81" i="10"/>
  <c r="AQ83" i="10"/>
  <c r="AQ82" i="10"/>
  <c r="AR82" i="10"/>
  <c r="AR84" i="10"/>
  <c r="AQ86" i="10"/>
  <c r="AQ84" i="10"/>
  <c r="AQ85" i="10"/>
  <c r="AR85" i="10"/>
  <c r="AR86" i="10"/>
  <c r="AQ88" i="10"/>
  <c r="AR88" i="10"/>
  <c r="AR87" i="10"/>
  <c r="AQ91" i="10"/>
  <c r="AQ90" i="10"/>
  <c r="AR89" i="10"/>
  <c r="AQ87" i="10"/>
  <c r="AR90" i="10"/>
  <c r="AQ89" i="10"/>
  <c r="AR91" i="10"/>
  <c r="AR93" i="10"/>
  <c r="AR92" i="10"/>
  <c r="AQ92" i="10"/>
  <c r="AQ93" i="10"/>
  <c r="AR95" i="10"/>
  <c r="AR94" i="10"/>
  <c r="AQ94" i="10"/>
  <c r="AR97" i="10"/>
  <c r="AR96" i="10"/>
  <c r="AQ95" i="10"/>
  <c r="AQ96" i="10"/>
  <c r="AQ97" i="10"/>
  <c r="AR100" i="10"/>
  <c r="G102" i="13"/>
  <c r="E102" i="13"/>
  <c r="BT104" i="8"/>
  <c r="BO104" i="8"/>
  <c r="AF104" i="8"/>
  <c r="AV5" i="10" l="1"/>
  <c r="BS103" i="8"/>
  <c r="G103" i="13"/>
  <c r="E103" i="13"/>
  <c r="BV103" i="8"/>
  <c r="AH103" i="8"/>
  <c r="AQ46" i="8"/>
  <c r="AU5" i="10"/>
  <c r="AU6" i="10" s="1"/>
  <c r="AU7" i="10" s="1"/>
  <c r="AU8" i="10" s="1"/>
  <c r="AU9" i="10" s="1"/>
  <c r="AU10" i="10" s="1"/>
  <c r="AU11" i="10" s="1"/>
  <c r="AU12" i="10" s="1"/>
  <c r="AU13" i="10" s="1"/>
  <c r="AU14" i="10" s="1"/>
  <c r="AU15" i="10" s="1"/>
  <c r="AU16" i="10" s="1"/>
  <c r="AU17" i="10" s="1"/>
  <c r="AU18" i="10" s="1"/>
  <c r="AU19" i="10" s="1"/>
  <c r="AU20" i="10" s="1"/>
  <c r="AU21" i="10" s="1"/>
  <c r="AU22" i="10" s="1"/>
  <c r="AU23" i="10" s="1"/>
  <c r="AU24" i="10" s="1"/>
  <c r="AU25" i="10" s="1"/>
  <c r="AU26" i="10" s="1"/>
  <c r="AU27" i="10" s="1"/>
  <c r="AU28" i="10" s="1"/>
  <c r="AU29" i="10" s="1"/>
  <c r="AU30" i="10" s="1"/>
  <c r="AU31" i="10" s="1"/>
  <c r="AU32" i="10" s="1"/>
  <c r="AU33" i="10" s="1"/>
  <c r="AU34" i="10" s="1"/>
  <c r="AU35" i="10" s="1"/>
  <c r="AU36" i="10" s="1"/>
  <c r="AU37" i="10" s="1"/>
  <c r="AU38" i="10" s="1"/>
  <c r="AU39" i="10" s="1"/>
  <c r="AU40" i="10" s="1"/>
  <c r="AU41" i="10" s="1"/>
  <c r="AU42" i="10" s="1"/>
  <c r="AU43" i="10" s="1"/>
  <c r="AU44" i="10" s="1"/>
  <c r="AU45" i="10" s="1"/>
  <c r="AU46" i="10" s="1"/>
  <c r="AU47" i="10" s="1"/>
  <c r="AU48" i="10" s="1"/>
  <c r="AU49" i="10" s="1"/>
  <c r="AU50" i="10" s="1"/>
  <c r="AU51" i="10" s="1"/>
  <c r="AU52" i="10" s="1"/>
  <c r="AU53" i="10" s="1"/>
  <c r="AU54" i="10" s="1"/>
  <c r="AU55" i="10" s="1"/>
  <c r="AU56" i="10" s="1"/>
  <c r="AU57" i="10" s="1"/>
  <c r="AU58" i="10" s="1"/>
  <c r="AU59" i="10" s="1"/>
  <c r="AU60" i="10" s="1"/>
  <c r="AU61" i="10" s="1"/>
  <c r="AU62" i="10" s="1"/>
  <c r="AU63" i="10" s="1"/>
  <c r="AU64" i="10" s="1"/>
  <c r="AU65" i="10" s="1"/>
  <c r="AU66" i="10" s="1"/>
  <c r="AU67" i="10" s="1"/>
  <c r="AU68" i="10" s="1"/>
  <c r="AU69" i="10" s="1"/>
  <c r="AU70" i="10" s="1"/>
  <c r="AU71" i="10" s="1"/>
  <c r="AU72" i="10" s="1"/>
  <c r="AU73" i="10" s="1"/>
  <c r="AU74" i="10" s="1"/>
  <c r="AU75" i="10" s="1"/>
  <c r="AU76" i="10" s="1"/>
  <c r="AU77" i="10" s="1"/>
  <c r="AU78" i="10" s="1"/>
  <c r="AU79" i="10" s="1"/>
  <c r="AU80" i="10" s="1"/>
  <c r="AU81" i="10" s="1"/>
  <c r="AU82" i="10" s="1"/>
  <c r="AU83" i="10" s="1"/>
  <c r="AU84" i="10" s="1"/>
  <c r="AU85" i="10" s="1"/>
  <c r="AU86" i="10" s="1"/>
  <c r="AU87" i="10" s="1"/>
  <c r="AU88" i="10" s="1"/>
  <c r="AU89" i="10" s="1"/>
  <c r="AU90" i="10" s="1"/>
  <c r="AU91" i="10" s="1"/>
  <c r="AU92" i="10" s="1"/>
  <c r="AU93" i="10" s="1"/>
  <c r="AU94" i="10" s="1"/>
  <c r="AU95" i="10" s="1"/>
  <c r="AU96" i="10" s="1"/>
  <c r="AU97" i="10" s="1"/>
  <c r="AU98" i="10" s="1"/>
  <c r="AU99" i="10" s="1"/>
  <c r="AU100" i="10" s="1"/>
  <c r="AU101" i="10" s="1"/>
  <c r="AU102" i="10" s="1"/>
  <c r="AU103" i="10" s="1"/>
  <c r="BQ104" i="8"/>
  <c r="BR104" i="8"/>
  <c r="BU104" i="8"/>
  <c r="P5" i="7" s="1" a="1"/>
  <c r="P5" i="7" s="1"/>
  <c r="BY104" i="8"/>
  <c r="AA27" i="7" s="1"/>
  <c r="H5" i="7" a="1"/>
  <c r="H5" i="7" s="1"/>
  <c r="F7" i="7"/>
  <c r="E9" i="7"/>
  <c r="H4" i="7" a="1"/>
  <c r="H4" i="7" s="1"/>
  <c r="F10" i="7"/>
  <c r="O4" i="7"/>
  <c r="F3" i="7"/>
  <c r="F4" i="7"/>
  <c r="F6" i="7"/>
  <c r="O8" i="7"/>
  <c r="H3" i="7" a="1"/>
  <c r="H3" i="7" s="1"/>
  <c r="O10" i="7"/>
  <c r="O5" i="7"/>
  <c r="O9" i="7"/>
  <c r="F11" i="7"/>
  <c r="E8" i="7"/>
  <c r="H7" i="7" a="1"/>
  <c r="H7" i="7" s="1"/>
  <c r="F5" i="7"/>
  <c r="E5" i="7"/>
  <c r="H6" i="7" a="1"/>
  <c r="H6" i="7" s="1"/>
  <c r="E6" i="7"/>
  <c r="O6" i="7"/>
  <c r="O3" i="7"/>
  <c r="F9" i="7"/>
  <c r="E3" i="7"/>
  <c r="O11" i="7"/>
  <c r="E4" i="7"/>
  <c r="O7" i="7"/>
  <c r="E7" i="7"/>
  <c r="H8" i="7" a="1"/>
  <c r="H8" i="7" s="1"/>
  <c r="F8" i="7"/>
  <c r="H9" i="7" a="1"/>
  <c r="H9" i="7" s="1"/>
  <c r="F104" i="13"/>
  <c r="AG104" i="8"/>
  <c r="P6" i="7" a="1"/>
  <c r="P6" i="7" s="1"/>
  <c r="AV6" i="10"/>
  <c r="AV7" i="10" s="1"/>
  <c r="AV8" i="10" s="1"/>
  <c r="AV9" i="10" s="1"/>
  <c r="AV10" i="10" s="1"/>
  <c r="AV11" i="10" s="1"/>
  <c r="AV12" i="10" s="1"/>
  <c r="AV13" i="10" s="1"/>
  <c r="AV14" i="10" s="1"/>
  <c r="AV15" i="10" s="1"/>
  <c r="AV16" i="10" s="1"/>
  <c r="AV17" i="10" s="1"/>
  <c r="AV18" i="10" s="1"/>
  <c r="AV19" i="10" s="1"/>
  <c r="AV20" i="10" s="1"/>
  <c r="AV21" i="10" s="1"/>
  <c r="AV22" i="10" s="1"/>
  <c r="AV23" i="10" s="1"/>
  <c r="AV24" i="10" s="1"/>
  <c r="AV25" i="10" s="1"/>
  <c r="AV26" i="10" s="1"/>
  <c r="AV27" i="10" s="1"/>
  <c r="AV28" i="10" s="1"/>
  <c r="AV29" i="10" s="1"/>
  <c r="AV30" i="10" s="1"/>
  <c r="AV31" i="10" s="1"/>
  <c r="AV32" i="10" s="1"/>
  <c r="AV33" i="10" s="1"/>
  <c r="AV34" i="10" s="1"/>
  <c r="AV35" i="10" s="1"/>
  <c r="AV36" i="10" s="1"/>
  <c r="AV37" i="10" s="1"/>
  <c r="AV38" i="10" s="1"/>
  <c r="AV39" i="10" s="1"/>
  <c r="AV40" i="10" s="1"/>
  <c r="AV41" i="10" s="1"/>
  <c r="AV42" i="10" s="1"/>
  <c r="AV43" i="10" s="1"/>
  <c r="AV44" i="10" s="1"/>
  <c r="AV45" i="10" s="1"/>
  <c r="AV46" i="10" s="1"/>
  <c r="AV47" i="10" s="1"/>
  <c r="AV48" i="10" s="1"/>
  <c r="AV49" i="10" s="1"/>
  <c r="AV50" i="10" s="1"/>
  <c r="AV51" i="10" s="1"/>
  <c r="AV52" i="10" s="1"/>
  <c r="AV53" i="10" s="1"/>
  <c r="AV54" i="10" s="1"/>
  <c r="AV55" i="10" s="1"/>
  <c r="AV56" i="10" s="1"/>
  <c r="AV57" i="10" s="1"/>
  <c r="AV58" i="10" s="1"/>
  <c r="AV59" i="10" s="1"/>
  <c r="AV60" i="10" s="1"/>
  <c r="AV61" i="10" s="1"/>
  <c r="AV62" i="10" s="1"/>
  <c r="AV63" i="10" s="1"/>
  <c r="AV64" i="10" s="1"/>
  <c r="AV65" i="10" s="1"/>
  <c r="AV66" i="10" s="1"/>
  <c r="AV67" i="10" s="1"/>
  <c r="AV68" i="10" s="1"/>
  <c r="AV69" i="10" s="1"/>
  <c r="AV70" i="10" s="1"/>
  <c r="AV71" i="10" s="1"/>
  <c r="AV72" i="10" s="1"/>
  <c r="AV73" i="10" s="1"/>
  <c r="AV74" i="10" s="1"/>
  <c r="AV75" i="10" s="1"/>
  <c r="AV76" i="10" s="1"/>
  <c r="AV77" i="10" s="1"/>
  <c r="AV78" i="10" s="1"/>
  <c r="AV79" i="10" s="1"/>
  <c r="AV80" i="10" s="1"/>
  <c r="AV81" i="10" s="1"/>
  <c r="AV82" i="10" s="1"/>
  <c r="AV83" i="10" s="1"/>
  <c r="AV84" i="10" s="1"/>
  <c r="AV85" i="10" s="1"/>
  <c r="AV86" i="10" s="1"/>
  <c r="AV87" i="10" s="1"/>
  <c r="AV88" i="10" s="1"/>
  <c r="AV89" i="10" s="1"/>
  <c r="AV90" i="10" s="1"/>
  <c r="AV91" i="10" s="1"/>
  <c r="AV92" i="10" s="1"/>
  <c r="AV93" i="10" s="1"/>
  <c r="AV94" i="10" s="1"/>
  <c r="AV95" i="10" s="1"/>
  <c r="AV96" i="10" s="1"/>
  <c r="AV97" i="10" s="1"/>
  <c r="AV98" i="10" s="1"/>
  <c r="AV99" i="10" s="1"/>
  <c r="AV100" i="10" s="1"/>
  <c r="AV101" i="10" s="1"/>
  <c r="AV102" i="10" s="1"/>
  <c r="AV103" i="10" s="1"/>
  <c r="H16" i="7" l="1"/>
  <c r="P3" i="7" a="1"/>
  <c r="P3" i="7" s="1"/>
  <c r="O15" i="7"/>
  <c r="BV104" i="8"/>
  <c r="BS104" i="8"/>
  <c r="P8" i="7" a="1"/>
  <c r="P8" i="7" s="1"/>
  <c r="P4" i="7" a="1"/>
  <c r="P4" i="7" s="1"/>
  <c r="P7" i="7" a="1"/>
  <c r="P7" i="7" s="1"/>
  <c r="I7" i="7"/>
  <c r="K7" i="7" s="1"/>
  <c r="L7" i="7" s="1"/>
  <c r="N37" i="5"/>
  <c r="AQ47" i="8"/>
  <c r="AH104" i="8"/>
  <c r="F17" i="7"/>
  <c r="E104" i="13"/>
  <c r="G104" i="13"/>
  <c r="I8" i="7"/>
  <c r="K8" i="7" s="1"/>
  <c r="L8" i="7" s="1"/>
  <c r="G9" i="7"/>
  <c r="U9" i="7" s="1"/>
  <c r="S9" i="7"/>
  <c r="G5" i="7"/>
  <c r="U5" i="7" s="1"/>
  <c r="E15" i="7"/>
  <c r="S5" i="7"/>
  <c r="F15" i="7"/>
  <c r="I5" i="7"/>
  <c r="K5" i="7" s="1"/>
  <c r="L5" i="7" s="1"/>
  <c r="I9" i="7"/>
  <c r="K9" i="7" s="1"/>
  <c r="L9" i="7" s="1"/>
  <c r="S8" i="7"/>
  <c r="G8" i="7"/>
  <c r="U8" i="7" s="1"/>
  <c r="F13" i="7"/>
  <c r="I6" i="7"/>
  <c r="K6" i="7" s="1"/>
  <c r="L6" i="7" s="1"/>
  <c r="E16" i="7"/>
  <c r="S3" i="7"/>
  <c r="G3" i="7"/>
  <c r="U3" i="7" s="1"/>
  <c r="O16" i="7"/>
  <c r="O37" i="5" s="1"/>
  <c r="E11" i="2" s="1"/>
  <c r="G7" i="7"/>
  <c r="U7" i="7" s="1"/>
  <c r="S7" i="7"/>
  <c r="O13" i="7"/>
  <c r="M37" i="5" s="1"/>
  <c r="C11" i="2" s="1"/>
  <c r="I4" i="7"/>
  <c r="K4" i="7" s="1"/>
  <c r="L4" i="7" s="1"/>
  <c r="H15" i="7"/>
  <c r="O17" i="7"/>
  <c r="P37" i="5" s="1"/>
  <c r="F11" i="2" s="1"/>
  <c r="G6" i="7"/>
  <c r="U6" i="7" s="1"/>
  <c r="S6" i="7"/>
  <c r="E13" i="7"/>
  <c r="S4" i="7"/>
  <c r="G4" i="7"/>
  <c r="U4" i="7" s="1"/>
  <c r="H13" i="7"/>
  <c r="I3" i="7"/>
  <c r="K3" i="7" s="1"/>
  <c r="L3" i="7" s="1"/>
  <c r="F16" i="7"/>
  <c r="P10" i="7" a="1"/>
  <c r="P10" i="7" s="1"/>
  <c r="P11" i="7" a="1"/>
  <c r="P11" i="7" s="1"/>
  <c r="P9" i="7" a="1"/>
  <c r="P9" i="7" s="1"/>
  <c r="Q8" i="7"/>
  <c r="Q4" i="7"/>
  <c r="Q6" i="7"/>
  <c r="Q5" i="7"/>
  <c r="Q3" i="7"/>
  <c r="Q7" i="7"/>
  <c r="E10" i="7" l="1"/>
  <c r="E11" i="7"/>
  <c r="H10" i="7" a="1"/>
  <c r="H10" i="7" s="1"/>
  <c r="I10" i="7" s="1"/>
  <c r="H11" i="7" a="1"/>
  <c r="H11" i="7" s="1"/>
  <c r="I11" i="7" s="1"/>
  <c r="K11" i="7" s="1"/>
  <c r="L11" i="7" s="1"/>
  <c r="M11" i="7" s="1"/>
  <c r="K10" i="7"/>
  <c r="L10" i="7" s="1"/>
  <c r="S10" i="7"/>
  <c r="R5" i="7"/>
  <c r="R3" i="7"/>
  <c r="R4" i="7"/>
  <c r="R6" i="7"/>
  <c r="R7" i="7"/>
  <c r="R8" i="7"/>
  <c r="F19" i="7"/>
  <c r="I15" i="7"/>
  <c r="N34" i="5"/>
  <c r="D8" i="2" s="1"/>
  <c r="G16" i="7"/>
  <c r="S16" i="7"/>
  <c r="O38" i="5" s="1"/>
  <c r="O35" i="5"/>
  <c r="E9" i="2" s="1"/>
  <c r="M9" i="7"/>
  <c r="X9" i="7"/>
  <c r="P34" i="5"/>
  <c r="F8" i="2" s="1"/>
  <c r="V4" i="7"/>
  <c r="W4" i="7"/>
  <c r="M5" i="7"/>
  <c r="X5" i="7"/>
  <c r="M10" i="7"/>
  <c r="X10" i="7"/>
  <c r="M6" i="7"/>
  <c r="X6" i="7"/>
  <c r="G15" i="7"/>
  <c r="S15" i="7"/>
  <c r="N38" i="5" s="1"/>
  <c r="N35" i="5"/>
  <c r="L172" i="5"/>
  <c r="L174" i="5"/>
  <c r="L173" i="5"/>
  <c r="D11" i="2"/>
  <c r="V6" i="7"/>
  <c r="W6" i="7"/>
  <c r="I13" i="7"/>
  <c r="M34" i="5"/>
  <c r="C8" i="2" s="1"/>
  <c r="V5" i="7"/>
  <c r="W5" i="7"/>
  <c r="O19" i="7"/>
  <c r="V7" i="7"/>
  <c r="W7" i="7"/>
  <c r="M8" i="7"/>
  <c r="X8" i="7"/>
  <c r="I16" i="7"/>
  <c r="O34" i="5"/>
  <c r="E8" i="2" s="1"/>
  <c r="M4" i="7"/>
  <c r="X4" i="7"/>
  <c r="W3" i="7"/>
  <c r="V3" i="7"/>
  <c r="W8" i="7"/>
  <c r="V8" i="7"/>
  <c r="S13" i="7"/>
  <c r="M38" i="5" s="1"/>
  <c r="G13" i="7"/>
  <c r="M35" i="5"/>
  <c r="C9" i="2" s="1"/>
  <c r="N13" i="7"/>
  <c r="R13" i="7" s="1"/>
  <c r="M39" i="5" s="1"/>
  <c r="M7" i="7"/>
  <c r="X7" i="7"/>
  <c r="M3" i="7"/>
  <c r="X3" i="7"/>
  <c r="W9" i="7"/>
  <c r="V9" i="7"/>
  <c r="L179" i="5"/>
  <c r="Q10" i="7"/>
  <c r="Q9" i="7"/>
  <c r="Q11" i="7"/>
  <c r="X11" i="7" l="1"/>
  <c r="H17" i="7"/>
  <c r="H19" i="7" s="1"/>
  <c r="G11" i="7"/>
  <c r="U11" i="7" s="1"/>
  <c r="S11" i="7"/>
  <c r="Z11" i="7" s="1"/>
  <c r="E17" i="7"/>
  <c r="G10" i="7"/>
  <c r="U10" i="7" s="1"/>
  <c r="R16" i="7"/>
  <c r="O39" i="5" s="1"/>
  <c r="L180" i="5"/>
  <c r="R11" i="7"/>
  <c r="R10" i="7"/>
  <c r="R9" i="7"/>
  <c r="R15" i="7" s="1"/>
  <c r="N39" i="5" s="1"/>
  <c r="U13" i="7"/>
  <c r="M36" i="5"/>
  <c r="M88" i="5" s="1"/>
  <c r="AI195" i="7"/>
  <c r="AJ195" i="7" s="1"/>
  <c r="AI177" i="7"/>
  <c r="AJ177" i="7" s="1"/>
  <c r="AI161" i="7"/>
  <c r="AJ161" i="7" s="1"/>
  <c r="AI145" i="7"/>
  <c r="AJ145" i="7" s="1"/>
  <c r="AI123" i="7"/>
  <c r="AJ123" i="7" s="1"/>
  <c r="AI107" i="7"/>
  <c r="AJ107" i="7" s="1"/>
  <c r="AI197" i="7"/>
  <c r="AJ197" i="7" s="1"/>
  <c r="AI179" i="7"/>
  <c r="AJ179" i="7" s="1"/>
  <c r="AI163" i="7"/>
  <c r="AJ163" i="7" s="1"/>
  <c r="AI147" i="7"/>
  <c r="AJ147" i="7" s="1"/>
  <c r="AI199" i="7"/>
  <c r="AJ199" i="7" s="1"/>
  <c r="AI181" i="7"/>
  <c r="AJ181" i="7" s="1"/>
  <c r="AI165" i="7"/>
  <c r="AJ165" i="7" s="1"/>
  <c r="AI149" i="7"/>
  <c r="AJ149" i="7" s="1"/>
  <c r="AI133" i="7"/>
  <c r="AJ133" i="7" s="1"/>
  <c r="AI127" i="7"/>
  <c r="AJ127" i="7" s="1"/>
  <c r="AI201" i="7"/>
  <c r="AJ201" i="7" s="1"/>
  <c r="AI183" i="7"/>
  <c r="AJ183" i="7" s="1"/>
  <c r="AI167" i="7"/>
  <c r="AJ167" i="7" s="1"/>
  <c r="AI151" i="7"/>
  <c r="AJ151" i="7" s="1"/>
  <c r="AI135" i="7"/>
  <c r="AJ135" i="7" s="1"/>
  <c r="AI193" i="7"/>
  <c r="AJ193" i="7" s="1"/>
  <c r="AI191" i="7"/>
  <c r="AJ191" i="7" s="1"/>
  <c r="AI175" i="7"/>
  <c r="AJ175" i="7" s="1"/>
  <c r="AI121" i="7"/>
  <c r="AJ121" i="7" s="1"/>
  <c r="AI67" i="7"/>
  <c r="AJ67" i="7" s="1"/>
  <c r="AI30" i="7"/>
  <c r="AJ30" i="7" s="1"/>
  <c r="AI22" i="7"/>
  <c r="AJ22" i="7" s="1"/>
  <c r="AI19" i="7"/>
  <c r="AJ19" i="7" s="1"/>
  <c r="AI18" i="7"/>
  <c r="AJ18" i="7" s="1"/>
  <c r="AI13" i="7"/>
  <c r="AJ13" i="7" s="1"/>
  <c r="AI12" i="7"/>
  <c r="AJ12" i="7" s="1"/>
  <c r="AI9" i="7"/>
  <c r="AJ9" i="7" s="1"/>
  <c r="AI105" i="7"/>
  <c r="AJ105" i="7" s="1"/>
  <c r="AI45" i="7"/>
  <c r="AJ45" i="7" s="1"/>
  <c r="AI34" i="7"/>
  <c r="AJ34" i="7" s="1"/>
  <c r="AI100" i="7"/>
  <c r="AJ100" i="7" s="1"/>
  <c r="AI98" i="7"/>
  <c r="AJ98" i="7" s="1"/>
  <c r="AI185" i="7"/>
  <c r="AJ185" i="7" s="1"/>
  <c r="AI171" i="7"/>
  <c r="AJ171" i="7" s="1"/>
  <c r="AI153" i="7"/>
  <c r="AJ153" i="7" s="1"/>
  <c r="AI139" i="7"/>
  <c r="AJ139" i="7" s="1"/>
  <c r="AI44" i="7"/>
  <c r="AJ44" i="7" s="1"/>
  <c r="AI10" i="7"/>
  <c r="AJ10" i="7" s="1"/>
  <c r="AI203" i="7"/>
  <c r="AJ203" i="7" s="1"/>
  <c r="AI187" i="7"/>
  <c r="AJ187" i="7" s="1"/>
  <c r="AI137" i="7"/>
  <c r="AJ137" i="7" s="1"/>
  <c r="AI90" i="7"/>
  <c r="AJ90" i="7" s="1"/>
  <c r="AI82" i="7"/>
  <c r="AJ82" i="7" s="1"/>
  <c r="AI78" i="7"/>
  <c r="AJ78" i="7" s="1"/>
  <c r="AI74" i="7"/>
  <c r="AJ74" i="7" s="1"/>
  <c r="AI189" i="7"/>
  <c r="AJ189" i="7" s="1"/>
  <c r="AI26" i="7"/>
  <c r="AJ26" i="7" s="1"/>
  <c r="AI115" i="7"/>
  <c r="AJ115" i="7" s="1"/>
  <c r="AI23" i="7"/>
  <c r="AJ23" i="7" s="1"/>
  <c r="AI6" i="7"/>
  <c r="AJ6" i="7" s="1"/>
  <c r="AI88" i="7"/>
  <c r="AJ88" i="7" s="1"/>
  <c r="AI87" i="7"/>
  <c r="AJ87" i="7" s="1"/>
  <c r="AI86" i="7"/>
  <c r="AJ86" i="7" s="1"/>
  <c r="AI76" i="7"/>
  <c r="AJ76" i="7" s="1"/>
  <c r="AI92" i="7"/>
  <c r="AJ92" i="7" s="1"/>
  <c r="AI54" i="7"/>
  <c r="AJ54" i="7" s="1"/>
  <c r="AI29" i="7"/>
  <c r="AJ29" i="7" s="1"/>
  <c r="AI173" i="7"/>
  <c r="AJ173" i="7" s="1"/>
  <c r="AI169" i="7"/>
  <c r="AJ169" i="7" s="1"/>
  <c r="AI84" i="7"/>
  <c r="AJ84" i="7" s="1"/>
  <c r="AI159" i="7"/>
  <c r="AJ159" i="7" s="1"/>
  <c r="AI155" i="7"/>
  <c r="AJ155" i="7" s="1"/>
  <c r="AI16" i="7"/>
  <c r="AJ16" i="7" s="1"/>
  <c r="AI71" i="7"/>
  <c r="AJ71" i="7" s="1"/>
  <c r="AI8" i="7"/>
  <c r="AJ8" i="7" s="1"/>
  <c r="AI94" i="7"/>
  <c r="AJ94" i="7" s="1"/>
  <c r="AI33" i="7"/>
  <c r="AJ33" i="7" s="1"/>
  <c r="AI111" i="7"/>
  <c r="AJ111" i="7" s="1"/>
  <c r="AI95" i="7"/>
  <c r="AJ95" i="7" s="1"/>
  <c r="AI62" i="7"/>
  <c r="AJ62" i="7" s="1"/>
  <c r="AI24" i="7"/>
  <c r="AJ24" i="7" s="1"/>
  <c r="AI3" i="7"/>
  <c r="AI5" i="7"/>
  <c r="AJ5" i="7" s="1"/>
  <c r="AI157" i="7"/>
  <c r="AJ157" i="7" s="1"/>
  <c r="AI96" i="7"/>
  <c r="AJ96" i="7" s="1"/>
  <c r="AI79" i="7"/>
  <c r="AJ79" i="7" s="1"/>
  <c r="AI101" i="7"/>
  <c r="AJ101" i="7" s="1"/>
  <c r="AI46" i="7"/>
  <c r="AJ46" i="7" s="1"/>
  <c r="AI69" i="7"/>
  <c r="AJ69" i="7" s="1"/>
  <c r="AI80" i="7"/>
  <c r="AJ80" i="7" s="1"/>
  <c r="AI72" i="7"/>
  <c r="AJ72" i="7" s="1"/>
  <c r="AI143" i="7"/>
  <c r="AJ143" i="7" s="1"/>
  <c r="AI141" i="7"/>
  <c r="AJ141" i="7" s="1"/>
  <c r="L37" i="5"/>
  <c r="AI91" i="7"/>
  <c r="AJ91" i="7" s="1"/>
  <c r="AI117" i="7"/>
  <c r="AJ117" i="7" s="1"/>
  <c r="AI27" i="7"/>
  <c r="AJ27" i="7" s="1"/>
  <c r="AI131" i="7"/>
  <c r="AJ131" i="7" s="1"/>
  <c r="AI109" i="7"/>
  <c r="AJ109" i="7" s="1"/>
  <c r="AI53" i="7"/>
  <c r="AJ53" i="7" s="1"/>
  <c r="AI172" i="7"/>
  <c r="AJ172" i="7" s="1"/>
  <c r="AI122" i="7"/>
  <c r="AJ122" i="7" s="1"/>
  <c r="AI58" i="7"/>
  <c r="AJ58" i="7" s="1"/>
  <c r="AI4" i="7"/>
  <c r="AJ4" i="7" s="1"/>
  <c r="AI134" i="7"/>
  <c r="AJ134" i="7" s="1"/>
  <c r="AI21" i="7"/>
  <c r="AJ21" i="7" s="1"/>
  <c r="AI66" i="7"/>
  <c r="AJ66" i="7" s="1"/>
  <c r="AI89" i="7"/>
  <c r="AJ89" i="7" s="1"/>
  <c r="AI36" i="7"/>
  <c r="AJ36" i="7" s="1"/>
  <c r="AI55" i="7"/>
  <c r="AJ55" i="7" s="1"/>
  <c r="AI146" i="7"/>
  <c r="AJ146" i="7" s="1"/>
  <c r="AI204" i="7"/>
  <c r="AJ204" i="7" s="1"/>
  <c r="AI102" i="7"/>
  <c r="AJ102" i="7" s="1"/>
  <c r="AI142" i="7"/>
  <c r="AJ142" i="7" s="1"/>
  <c r="AI140" i="7"/>
  <c r="AJ140" i="7" s="1"/>
  <c r="AI124" i="7"/>
  <c r="AJ124" i="7" s="1"/>
  <c r="AI190" i="7"/>
  <c r="AJ190" i="7" s="1"/>
  <c r="AI104" i="7"/>
  <c r="AJ104" i="7" s="1"/>
  <c r="AI83" i="7"/>
  <c r="AJ83" i="7" s="1"/>
  <c r="AI73" i="7"/>
  <c r="AJ73" i="7" s="1"/>
  <c r="AI56" i="7"/>
  <c r="AJ56" i="7" s="1"/>
  <c r="AI14" i="7"/>
  <c r="AJ14" i="7" s="1"/>
  <c r="AI130" i="7"/>
  <c r="AJ130" i="7" s="1"/>
  <c r="AI202" i="7"/>
  <c r="AJ202" i="7" s="1"/>
  <c r="AI28" i="7"/>
  <c r="AJ28" i="7" s="1"/>
  <c r="AI97" i="7"/>
  <c r="AJ97" i="7" s="1"/>
  <c r="AI150" i="7"/>
  <c r="AJ150" i="7" s="1"/>
  <c r="AI37" i="7"/>
  <c r="AJ37" i="7" s="1"/>
  <c r="AI99" i="7"/>
  <c r="AJ99" i="7" s="1"/>
  <c r="AI113" i="7"/>
  <c r="AJ113" i="7" s="1"/>
  <c r="AI120" i="7"/>
  <c r="AJ120" i="7" s="1"/>
  <c r="AI38" i="7"/>
  <c r="AJ38" i="7" s="1"/>
  <c r="AI57" i="7"/>
  <c r="AJ57" i="7" s="1"/>
  <c r="AI194" i="7"/>
  <c r="AJ194" i="7" s="1"/>
  <c r="AI180" i="7"/>
  <c r="AJ180" i="7" s="1"/>
  <c r="AI168" i="7"/>
  <c r="AJ168" i="7" s="1"/>
  <c r="AI136" i="7"/>
  <c r="AJ136" i="7" s="1"/>
  <c r="AI25" i="7"/>
  <c r="AJ25" i="7" s="1"/>
  <c r="AI118" i="7"/>
  <c r="AJ118" i="7" s="1"/>
  <c r="AI126" i="7"/>
  <c r="AJ126" i="7" s="1"/>
  <c r="AI182" i="7"/>
  <c r="AJ182" i="7" s="1"/>
  <c r="AI106" i="7"/>
  <c r="AJ106" i="7" s="1"/>
  <c r="AI17" i="7"/>
  <c r="AJ17" i="7" s="1"/>
  <c r="AI114" i="7"/>
  <c r="AJ114" i="7" s="1"/>
  <c r="AI68" i="7"/>
  <c r="AJ68" i="7" s="1"/>
  <c r="AI152" i="7"/>
  <c r="AJ152" i="7" s="1"/>
  <c r="AI129" i="7"/>
  <c r="AJ129" i="7" s="1"/>
  <c r="AI77" i="7"/>
  <c r="AJ77" i="7" s="1"/>
  <c r="AI52" i="7"/>
  <c r="AJ52" i="7" s="1"/>
  <c r="AI35" i="7"/>
  <c r="AJ35" i="7" s="1"/>
  <c r="AI64" i="7"/>
  <c r="AJ64" i="7" s="1"/>
  <c r="AI116" i="7"/>
  <c r="AJ116" i="7" s="1"/>
  <c r="AI148" i="7"/>
  <c r="AJ148" i="7" s="1"/>
  <c r="AI40" i="7"/>
  <c r="AJ40" i="7" s="1"/>
  <c r="AI59" i="7"/>
  <c r="AJ59" i="7" s="1"/>
  <c r="AI170" i="7"/>
  <c r="AJ170" i="7" s="1"/>
  <c r="AI158" i="7"/>
  <c r="AJ158" i="7" s="1"/>
  <c r="AI196" i="7"/>
  <c r="AJ196" i="7" s="1"/>
  <c r="AI156" i="7"/>
  <c r="AJ156" i="7" s="1"/>
  <c r="AI125" i="7"/>
  <c r="AJ125" i="7" s="1"/>
  <c r="AI75" i="7"/>
  <c r="AJ75" i="7" s="1"/>
  <c r="AI119" i="7"/>
  <c r="AJ119" i="7" s="1"/>
  <c r="AI85" i="7"/>
  <c r="AJ85" i="7" s="1"/>
  <c r="AI50" i="7"/>
  <c r="AJ50" i="7" s="1"/>
  <c r="AI42" i="7"/>
  <c r="AJ42" i="7" s="1"/>
  <c r="AI61" i="7"/>
  <c r="AJ61" i="7" s="1"/>
  <c r="AI112" i="7"/>
  <c r="AJ112" i="7" s="1"/>
  <c r="AI81" i="7"/>
  <c r="AJ81" i="7" s="1"/>
  <c r="AI41" i="7"/>
  <c r="AJ41" i="7" s="1"/>
  <c r="AI200" i="7"/>
  <c r="AJ200" i="7" s="1"/>
  <c r="AI48" i="7"/>
  <c r="AJ48" i="7" s="1"/>
  <c r="AI49" i="7"/>
  <c r="AJ49" i="7" s="1"/>
  <c r="AI128" i="7"/>
  <c r="AJ128" i="7" s="1"/>
  <c r="AI192" i="7"/>
  <c r="AJ192" i="7" s="1"/>
  <c r="AI174" i="7"/>
  <c r="AJ174" i="7" s="1"/>
  <c r="AI39" i="7"/>
  <c r="AJ39" i="7" s="1"/>
  <c r="AI51" i="7"/>
  <c r="AJ51" i="7" s="1"/>
  <c r="AI184" i="7"/>
  <c r="AJ184" i="7" s="1"/>
  <c r="AI154" i="7"/>
  <c r="AJ154" i="7" s="1"/>
  <c r="AI132" i="7"/>
  <c r="AJ132" i="7" s="1"/>
  <c r="AI108" i="7"/>
  <c r="AJ108" i="7" s="1"/>
  <c r="AI7" i="7"/>
  <c r="AJ7" i="7" s="1"/>
  <c r="AI60" i="7"/>
  <c r="AJ60" i="7" s="1"/>
  <c r="AI31" i="7"/>
  <c r="AJ31" i="7" s="1"/>
  <c r="AI160" i="7"/>
  <c r="AJ160" i="7" s="1"/>
  <c r="AI103" i="7"/>
  <c r="AJ103" i="7" s="1"/>
  <c r="AI43" i="7"/>
  <c r="AJ43" i="7" s="1"/>
  <c r="AI32" i="7"/>
  <c r="AJ32" i="7" s="1"/>
  <c r="AI11" i="7"/>
  <c r="AJ11" i="7" s="1"/>
  <c r="AI70" i="7"/>
  <c r="AJ70" i="7" s="1"/>
  <c r="AI166" i="7"/>
  <c r="AJ166" i="7" s="1"/>
  <c r="AI110" i="7"/>
  <c r="AJ110" i="7" s="1"/>
  <c r="AI198" i="7"/>
  <c r="AJ198" i="7" s="1"/>
  <c r="AI47" i="7"/>
  <c r="AJ47" i="7" s="1"/>
  <c r="AI63" i="7"/>
  <c r="AJ63" i="7" s="1"/>
  <c r="AI188" i="7"/>
  <c r="AJ188" i="7" s="1"/>
  <c r="AI186" i="7"/>
  <c r="AJ186" i="7" s="1"/>
  <c r="AI138" i="7"/>
  <c r="AJ138" i="7" s="1"/>
  <c r="AI178" i="7"/>
  <c r="AJ178" i="7" s="1"/>
  <c r="AI15" i="7"/>
  <c r="AJ15" i="7" s="1"/>
  <c r="AI144" i="7"/>
  <c r="AJ144" i="7" s="1"/>
  <c r="AI93" i="7"/>
  <c r="AJ93" i="7" s="1"/>
  <c r="AI20" i="7"/>
  <c r="AJ20" i="7" s="1"/>
  <c r="AI65" i="7"/>
  <c r="AJ65" i="7" s="1"/>
  <c r="AI162" i="7"/>
  <c r="AJ162" i="7" s="1"/>
  <c r="AI164" i="7"/>
  <c r="AJ164" i="7" s="1"/>
  <c r="AI176" i="7"/>
  <c r="AJ176" i="7" s="1"/>
  <c r="AD36" i="5"/>
  <c r="D9" i="2"/>
  <c r="D12" i="2"/>
  <c r="N90" i="5"/>
  <c r="D9" i="3" s="1"/>
  <c r="N91" i="5"/>
  <c r="D10" i="3" s="1"/>
  <c r="K16" i="7"/>
  <c r="L16" i="7" s="1"/>
  <c r="O30" i="5"/>
  <c r="E4" i="2" s="1"/>
  <c r="U15" i="7"/>
  <c r="N36" i="5"/>
  <c r="N88" i="5" s="1"/>
  <c r="AA9" i="7"/>
  <c r="AB9" i="7" s="1"/>
  <c r="Z9" i="7"/>
  <c r="K15" i="7"/>
  <c r="N30" i="5"/>
  <c r="D4" i="2" s="1"/>
  <c r="C12" i="2"/>
  <c r="M90" i="5"/>
  <c r="C9" i="3" s="1"/>
  <c r="M91" i="5"/>
  <c r="C10" i="3" s="1"/>
  <c r="K13" i="7"/>
  <c r="L13" i="7" s="1"/>
  <c r="M30" i="5"/>
  <c r="C4" i="2" s="1"/>
  <c r="L51" i="5"/>
  <c r="AD37" i="5" s="1"/>
  <c r="I19" i="7"/>
  <c r="L30" i="5" s="1"/>
  <c r="B4" i="2" s="1"/>
  <c r="L34" i="5"/>
  <c r="AA11" i="7"/>
  <c r="AB11" i="7" s="1"/>
  <c r="AA8" i="7"/>
  <c r="AB8" i="7" s="1"/>
  <c r="Z8" i="7"/>
  <c r="L183" i="5"/>
  <c r="L189" i="5"/>
  <c r="L188" i="5"/>
  <c r="AA6" i="7"/>
  <c r="AB6" i="7" s="1"/>
  <c r="Z6" i="7"/>
  <c r="AA5" i="7"/>
  <c r="AB5" i="7" s="1"/>
  <c r="Z5" i="7"/>
  <c r="E12" i="2"/>
  <c r="O90" i="5"/>
  <c r="E9" i="3" s="1"/>
  <c r="O91" i="5"/>
  <c r="E10" i="3" s="1"/>
  <c r="E13" i="2"/>
  <c r="O113" i="5"/>
  <c r="E34" i="3" s="1"/>
  <c r="O112" i="5"/>
  <c r="E33" i="3" s="1"/>
  <c r="AA4" i="7"/>
  <c r="AB4" i="7" s="1"/>
  <c r="Z4" i="7"/>
  <c r="Z10" i="7"/>
  <c r="AA10" i="7"/>
  <c r="AB10" i="7" s="1"/>
  <c r="AA3" i="7"/>
  <c r="AB3" i="7" s="1"/>
  <c r="Z3" i="7"/>
  <c r="AA7" i="7"/>
  <c r="AB7" i="7" s="1"/>
  <c r="Z7" i="7"/>
  <c r="C13" i="2"/>
  <c r="M113" i="5"/>
  <c r="C34" i="3" s="1"/>
  <c r="M112" i="5"/>
  <c r="C33" i="3" s="1"/>
  <c r="U16" i="7"/>
  <c r="O36" i="5"/>
  <c r="O88" i="5" s="1"/>
  <c r="I17" i="7" l="1"/>
  <c r="W10" i="7"/>
  <c r="V10" i="7"/>
  <c r="G17" i="7"/>
  <c r="P35" i="5"/>
  <c r="F9" i="2" s="1"/>
  <c r="E19" i="7"/>
  <c r="S17" i="7"/>
  <c r="P38" i="5" s="1"/>
  <c r="V11" i="7"/>
  <c r="W11" i="7"/>
  <c r="R17" i="7"/>
  <c r="E10" i="2"/>
  <c r="E7" i="3"/>
  <c r="C10" i="2"/>
  <c r="C7" i="3"/>
  <c r="W13" i="7"/>
  <c r="V13" i="7"/>
  <c r="M41" i="5"/>
  <c r="M89" i="5" s="1"/>
  <c r="M16" i="7"/>
  <c r="O29" i="5"/>
  <c r="E3" i="2" s="1"/>
  <c r="X16" i="7"/>
  <c r="O43" i="5" s="1"/>
  <c r="E17" i="2" s="1"/>
  <c r="W16" i="7"/>
  <c r="V16" i="7"/>
  <c r="O41" i="5"/>
  <c r="O89" i="5" s="1"/>
  <c r="L15" i="7"/>
  <c r="M13" i="7"/>
  <c r="M29" i="5"/>
  <c r="C3" i="2" s="1"/>
  <c r="X13" i="7"/>
  <c r="M43" i="5" s="1"/>
  <c r="C17" i="2" s="1"/>
  <c r="AJ3" i="7"/>
  <c r="AK3" i="7" s="1"/>
  <c r="AY3" i="7"/>
  <c r="D13" i="2"/>
  <c r="N112" i="5"/>
  <c r="D33" i="3" s="1"/>
  <c r="N113" i="5"/>
  <c r="D34" i="3" s="1"/>
  <c r="D10" i="2"/>
  <c r="V15" i="7"/>
  <c r="W15" i="7"/>
  <c r="N41" i="5"/>
  <c r="AW7" i="5"/>
  <c r="B8" i="2"/>
  <c r="AW10" i="5"/>
  <c r="B11" i="2"/>
  <c r="M93" i="5"/>
  <c r="N93" i="5"/>
  <c r="O92" i="5"/>
  <c r="N92" i="5"/>
  <c r="O93" i="5"/>
  <c r="AL3" i="7"/>
  <c r="M92" i="5"/>
  <c r="P30" i="5" l="1"/>
  <c r="F4" i="2" s="1"/>
  <c r="K17" i="7"/>
  <c r="F12" i="2"/>
  <c r="P90" i="5"/>
  <c r="F9" i="3" s="1"/>
  <c r="P91" i="5"/>
  <c r="F10" i="3" s="1"/>
  <c r="G19" i="7"/>
  <c r="S19" i="7"/>
  <c r="L38" i="5" s="1"/>
  <c r="L35" i="5"/>
  <c r="P36" i="5"/>
  <c r="U17" i="7"/>
  <c r="L190" i="5"/>
  <c r="L192" i="5" s="1"/>
  <c r="N89" i="5"/>
  <c r="D8" i="3" s="1"/>
  <c r="C11" i="3"/>
  <c r="C12" i="3"/>
  <c r="E11" i="3"/>
  <c r="E12" i="3"/>
  <c r="D11" i="3"/>
  <c r="D12" i="3"/>
  <c r="AM3" i="7"/>
  <c r="P39" i="5"/>
  <c r="R19" i="7"/>
  <c r="L39" i="5" s="1"/>
  <c r="O126" i="5"/>
  <c r="E8" i="3"/>
  <c r="E5" i="3"/>
  <c r="E15" i="2"/>
  <c r="M126" i="5"/>
  <c r="C8" i="3"/>
  <c r="C5" i="3"/>
  <c r="C15" i="2"/>
  <c r="N126" i="5"/>
  <c r="L176" i="5"/>
  <c r="D5" i="3"/>
  <c r="D15" i="2"/>
  <c r="AA13" i="7"/>
  <c r="Z13" i="7"/>
  <c r="M45" i="5" s="1"/>
  <c r="C19" i="2" s="1"/>
  <c r="M31" i="5"/>
  <c r="L191" i="5"/>
  <c r="L193" i="5" s="1"/>
  <c r="AF5" i="13"/>
  <c r="AD5" i="13"/>
  <c r="AB5" i="13"/>
  <c r="AE3" i="7"/>
  <c r="AF3" i="7"/>
  <c r="AK4" i="7"/>
  <c r="AR3" i="7"/>
  <c r="AQ3" i="7" s="1"/>
  <c r="M15" i="7"/>
  <c r="N29" i="5"/>
  <c r="X15" i="7"/>
  <c r="N43" i="5" s="1"/>
  <c r="D17" i="2" s="1"/>
  <c r="AA16" i="7"/>
  <c r="Z16" i="7"/>
  <c r="O45" i="5" s="1"/>
  <c r="E19" i="2" s="1"/>
  <c r="O31" i="5"/>
  <c r="D7" i="3"/>
  <c r="M127" i="5"/>
  <c r="AL4" i="7"/>
  <c r="N127" i="5"/>
  <c r="O127" i="5"/>
  <c r="L177" i="5"/>
  <c r="AD35" i="5" l="1"/>
  <c r="L17" i="7"/>
  <c r="K19" i="7"/>
  <c r="L19" i="7" s="1"/>
  <c r="P41" i="5"/>
  <c r="V17" i="7"/>
  <c r="W17" i="7"/>
  <c r="AW8" i="5"/>
  <c r="B9" i="2"/>
  <c r="L36" i="5"/>
  <c r="U19" i="7"/>
  <c r="P88" i="5"/>
  <c r="F7" i="3" s="1"/>
  <c r="F10" i="2"/>
  <c r="B12" i="2"/>
  <c r="L91" i="5"/>
  <c r="B10" i="3" s="1"/>
  <c r="AW11" i="5"/>
  <c r="L90" i="5"/>
  <c r="B9" i="3" s="1"/>
  <c r="AM4" i="7"/>
  <c r="L113" i="5"/>
  <c r="B34" i="3" s="1"/>
  <c r="AW12" i="5"/>
  <c r="B13" i="2"/>
  <c r="L112" i="5"/>
  <c r="B33" i="3" s="1"/>
  <c r="P112" i="5"/>
  <c r="F33" i="3" s="1"/>
  <c r="F13" i="2"/>
  <c r="P113" i="5"/>
  <c r="F34" i="3" s="1"/>
  <c r="BB3" i="7"/>
  <c r="BF3" i="7" s="1"/>
  <c r="AG5" i="13" s="1"/>
  <c r="BC3" i="7"/>
  <c r="AA15" i="7"/>
  <c r="Z15" i="7"/>
  <c r="N45" i="5" s="1"/>
  <c r="D19" i="2" s="1"/>
  <c r="N31" i="5"/>
  <c r="M96" i="5"/>
  <c r="C17" i="3" s="1"/>
  <c r="M97" i="5"/>
  <c r="C18" i="3" s="1"/>
  <c r="M98" i="5"/>
  <c r="C19" i="3" s="1"/>
  <c r="C5" i="2"/>
  <c r="C15" i="3"/>
  <c r="O98" i="5"/>
  <c r="E19" i="3" s="1"/>
  <c r="E5" i="2"/>
  <c r="O97" i="5"/>
  <c r="E18" i="3" s="1"/>
  <c r="E15" i="3"/>
  <c r="O96" i="5"/>
  <c r="E17" i="3" s="1"/>
  <c r="AB13" i="7"/>
  <c r="M47" i="5" s="1"/>
  <c r="C21" i="2" s="1"/>
  <c r="M46" i="5"/>
  <c r="C20" i="2" s="1"/>
  <c r="AB6" i="13"/>
  <c r="AD6" i="13"/>
  <c r="AF6" i="13"/>
  <c r="AE4" i="7"/>
  <c r="AK5" i="7"/>
  <c r="AF4" i="7"/>
  <c r="AR4" i="7"/>
  <c r="BH3" i="7"/>
  <c r="BI3" i="7"/>
  <c r="BG3" i="7"/>
  <c r="BN3" i="7"/>
  <c r="BK3" i="7"/>
  <c r="AB16" i="7"/>
  <c r="O47" i="5" s="1"/>
  <c r="E21" i="2" s="1"/>
  <c r="O46" i="5"/>
  <c r="E20" i="2" s="1"/>
  <c r="AD38" i="5"/>
  <c r="D3" i="2"/>
  <c r="P92" i="5"/>
  <c r="P93" i="5"/>
  <c r="AL5" i="7"/>
  <c r="L29" i="5" l="1"/>
  <c r="M19" i="7"/>
  <c r="X19" i="7"/>
  <c r="L43" i="5" s="1"/>
  <c r="B17" i="2" s="1"/>
  <c r="P29" i="5"/>
  <c r="F3" i="2" s="1"/>
  <c r="M17" i="7"/>
  <c r="X17" i="7"/>
  <c r="P43" i="5" s="1"/>
  <c r="F17" i="2" s="1"/>
  <c r="F11" i="3"/>
  <c r="F12" i="3"/>
  <c r="AW108" i="5"/>
  <c r="AW109" i="5"/>
  <c r="L88" i="5"/>
  <c r="B7" i="3" s="1"/>
  <c r="B10" i="2"/>
  <c r="AW9" i="5"/>
  <c r="AW106" i="5" s="1"/>
  <c r="V19" i="7"/>
  <c r="W19" i="7"/>
  <c r="L41" i="5"/>
  <c r="P89" i="5"/>
  <c r="F8" i="3" s="1"/>
  <c r="P126" i="5"/>
  <c r="F15" i="2"/>
  <c r="F5" i="3"/>
  <c r="AM5" i="7"/>
  <c r="BB4" i="7"/>
  <c r="BF4" i="7" s="1"/>
  <c r="AG6" i="13" s="1"/>
  <c r="BC4" i="7"/>
  <c r="BH4" i="7"/>
  <c r="BN4" i="7"/>
  <c r="BK4" i="7"/>
  <c r="AF7" i="13"/>
  <c r="AD7" i="13"/>
  <c r="AB7" i="13"/>
  <c r="AE5" i="7"/>
  <c r="AR5" i="7"/>
  <c r="AF5" i="7"/>
  <c r="AK6" i="7"/>
  <c r="AN4" i="7"/>
  <c r="AO4" i="7"/>
  <c r="N96" i="5"/>
  <c r="D17" i="3" s="1"/>
  <c r="N98" i="5"/>
  <c r="D19" i="3" s="1"/>
  <c r="N97" i="5"/>
  <c r="D18" i="3" s="1"/>
  <c r="AD34" i="5"/>
  <c r="D5" i="2"/>
  <c r="D15" i="3"/>
  <c r="AB15" i="7"/>
  <c r="N47" i="5" s="1"/>
  <c r="D21" i="2" s="1"/>
  <c r="N46" i="5"/>
  <c r="D20" i="2" s="1"/>
  <c r="L92" i="5"/>
  <c r="AL6" i="7"/>
  <c r="L93" i="5"/>
  <c r="P127" i="5"/>
  <c r="Z19" i="7" l="1"/>
  <c r="L45" i="5" s="1"/>
  <c r="B19" i="2" s="1"/>
  <c r="AA19" i="7"/>
  <c r="L31" i="5"/>
  <c r="AA17" i="7"/>
  <c r="P31" i="5"/>
  <c r="Z17" i="7"/>
  <c r="P45" i="5" s="1"/>
  <c r="F19" i="2" s="1"/>
  <c r="AW4" i="5"/>
  <c r="B3" i="2"/>
  <c r="B11" i="3"/>
  <c r="B12" i="3"/>
  <c r="L89" i="5"/>
  <c r="B8" i="3" s="1"/>
  <c r="L126" i="5"/>
  <c r="B15" i="2"/>
  <c r="B5" i="3"/>
  <c r="AW17" i="5"/>
  <c r="AM6" i="7"/>
  <c r="BC5" i="7"/>
  <c r="BB5" i="7"/>
  <c r="BF5" i="7" s="1"/>
  <c r="AG7" i="13" s="1"/>
  <c r="AO5" i="7"/>
  <c r="AY4" i="7"/>
  <c r="AN5" i="7"/>
  <c r="AP3" i="7"/>
  <c r="BO3" i="7" s="1"/>
  <c r="BN5" i="7"/>
  <c r="BH5" i="7"/>
  <c r="BK5" i="7"/>
  <c r="AT4" i="7"/>
  <c r="AU4" i="7" s="1"/>
  <c r="AV4" i="7" s="1"/>
  <c r="BI4" i="7" s="1"/>
  <c r="AQ4" i="7"/>
  <c r="AF8" i="13"/>
  <c r="AD8" i="13"/>
  <c r="AB8" i="13"/>
  <c r="AE6" i="7"/>
  <c r="AF6" i="7"/>
  <c r="AR6" i="7"/>
  <c r="AK7" i="7"/>
  <c r="AW110" i="5"/>
  <c r="L127" i="5"/>
  <c r="AW111" i="5"/>
  <c r="AL7" i="7"/>
  <c r="AB17" i="7" l="1"/>
  <c r="P47" i="5" s="1"/>
  <c r="F21" i="2" s="1"/>
  <c r="P46" i="5"/>
  <c r="F20" i="2" s="1"/>
  <c r="L46" i="5"/>
  <c r="B20" i="2" s="1"/>
  <c r="AB19" i="7"/>
  <c r="L47" i="5" s="1"/>
  <c r="B21" i="2" s="1"/>
  <c r="P98" i="5"/>
  <c r="F19" i="3" s="1"/>
  <c r="P96" i="5"/>
  <c r="F17" i="3" s="1"/>
  <c r="F5" i="2"/>
  <c r="F15" i="3"/>
  <c r="P97" i="5"/>
  <c r="F18" i="3" s="1"/>
  <c r="B15" i="3"/>
  <c r="AW14" i="5"/>
  <c r="B5" i="2"/>
  <c r="L98" i="5"/>
  <c r="B19" i="3" s="1"/>
  <c r="L96" i="5"/>
  <c r="B17" i="3" s="1"/>
  <c r="L97" i="5"/>
  <c r="B18" i="3" s="1"/>
  <c r="AZ23" i="5"/>
  <c r="AW107" i="5"/>
  <c r="BF107" i="5"/>
  <c r="AM7" i="7"/>
  <c r="BC6" i="7"/>
  <c r="BB6" i="7"/>
  <c r="BF6" i="7" s="1"/>
  <c r="AG8" i="13" s="1"/>
  <c r="AN6" i="7"/>
  <c r="AY5" i="7"/>
  <c r="AO6" i="7"/>
  <c r="AP4" i="7"/>
  <c r="BO4" i="7" s="1"/>
  <c r="AW3" i="7"/>
  <c r="AZ3" i="7"/>
  <c r="BM3" i="7"/>
  <c r="AB9" i="13"/>
  <c r="AD9" i="13"/>
  <c r="AF9" i="13"/>
  <c r="AE7" i="7"/>
  <c r="AK8" i="7"/>
  <c r="AF7" i="7"/>
  <c r="AR7" i="7"/>
  <c r="AT5" i="7"/>
  <c r="AU5" i="7" s="1"/>
  <c r="AV5" i="7" s="1"/>
  <c r="BI5" i="7" s="1"/>
  <c r="AQ5" i="7"/>
  <c r="AC6" i="13"/>
  <c r="BG4" i="7"/>
  <c r="BH6" i="7"/>
  <c r="BN6" i="7"/>
  <c r="BK6" i="7"/>
  <c r="BE107" i="5"/>
  <c r="BE3" i="7"/>
  <c r="AL8" i="7"/>
  <c r="BD3" i="7"/>
  <c r="BA106" i="5" l="1"/>
  <c r="BB106" i="5" s="1"/>
  <c r="BA107" i="5"/>
  <c r="BA108" i="5"/>
  <c r="BB108" i="5" s="1"/>
  <c r="BB23" i="5"/>
  <c r="AZ33" i="5"/>
  <c r="AZ36" i="5"/>
  <c r="AZ28" i="5"/>
  <c r="AZ29" i="5"/>
  <c r="AZ31" i="5"/>
  <c r="AZ30" i="5"/>
  <c r="AZ34" i="5"/>
  <c r="AZ32" i="5"/>
  <c r="AZ35" i="5"/>
  <c r="AZ26" i="5"/>
  <c r="AZ27" i="5"/>
  <c r="AM8" i="7"/>
  <c r="BL3" i="7"/>
  <c r="BC7" i="7"/>
  <c r="BB7" i="7"/>
  <c r="BF7" i="7" s="1"/>
  <c r="AG9" i="13" s="1"/>
  <c r="AT6" i="7"/>
  <c r="AU6" i="7" s="1"/>
  <c r="AV6" i="7" s="1"/>
  <c r="BI6" i="7" s="1"/>
  <c r="AQ6" i="7"/>
  <c r="AW4" i="7"/>
  <c r="AZ4" i="7"/>
  <c r="BM4" i="7"/>
  <c r="AY6" i="7"/>
  <c r="AO7" i="7"/>
  <c r="AN7" i="7"/>
  <c r="AP5" i="7"/>
  <c r="BO5" i="7" s="1"/>
  <c r="AD10" i="13"/>
  <c r="AB10" i="13"/>
  <c r="AF10" i="13"/>
  <c r="AE8" i="7"/>
  <c r="AK9" i="7"/>
  <c r="AF8" i="7"/>
  <c r="AR8" i="7"/>
  <c r="AC7" i="13"/>
  <c r="BG5" i="7"/>
  <c r="BH7" i="7"/>
  <c r="BK7" i="7"/>
  <c r="BN7" i="7"/>
  <c r="AE5" i="13"/>
  <c r="BA3" i="7"/>
  <c r="BJ3" i="7"/>
  <c r="BE4" i="7"/>
  <c r="BD4" i="7"/>
  <c r="AL9" i="7"/>
  <c r="BB107" i="5" l="1"/>
  <c r="BA23" i="5"/>
  <c r="BB33" i="5"/>
  <c r="BB36" i="5"/>
  <c r="BB30" i="5"/>
  <c r="BB29" i="5"/>
  <c r="BB31" i="5"/>
  <c r="BB26" i="5"/>
  <c r="BB32" i="5"/>
  <c r="BB34" i="5"/>
  <c r="BB35" i="5"/>
  <c r="BB27" i="5"/>
  <c r="BB28" i="5"/>
  <c r="AM9" i="7"/>
  <c r="BL4" i="7"/>
  <c r="BB8" i="7"/>
  <c r="BF8" i="7" s="1"/>
  <c r="AG10" i="13" s="1"/>
  <c r="BC8" i="7"/>
  <c r="AW5" i="7"/>
  <c r="AZ5" i="7"/>
  <c r="BM5" i="7"/>
  <c r="AY7" i="7"/>
  <c r="AO8" i="7"/>
  <c r="AN8" i="7"/>
  <c r="AP6" i="7"/>
  <c r="BO6" i="7" s="1"/>
  <c r="AT7" i="7"/>
  <c r="AU7" i="7" s="1"/>
  <c r="AV7" i="7" s="1"/>
  <c r="BI7" i="7" s="1"/>
  <c r="AQ7" i="7"/>
  <c r="AE6" i="13"/>
  <c r="BA4" i="7"/>
  <c r="BJ4" i="7"/>
  <c r="BK8" i="7"/>
  <c r="BH8" i="7"/>
  <c r="BN8" i="7"/>
  <c r="AF11" i="13"/>
  <c r="AD11" i="13"/>
  <c r="AB11" i="13"/>
  <c r="AK10" i="7"/>
  <c r="AE9" i="7"/>
  <c r="AR9" i="7"/>
  <c r="AF9" i="7"/>
  <c r="AC8" i="13"/>
  <c r="BG6" i="7"/>
  <c r="AL10" i="7"/>
  <c r="BD5" i="7"/>
  <c r="BE5" i="7"/>
  <c r="BA36" i="5" l="1"/>
  <c r="BA33" i="5"/>
  <c r="BA32" i="5"/>
  <c r="BA31" i="5"/>
  <c r="BA29" i="5"/>
  <c r="BA28" i="5"/>
  <c r="BA30" i="5"/>
  <c r="BA35" i="5"/>
  <c r="BA26" i="5"/>
  <c r="BA34" i="5"/>
  <c r="BA27" i="5"/>
  <c r="AM10" i="7"/>
  <c r="BL5" i="7"/>
  <c r="BC9" i="7"/>
  <c r="BB9" i="7"/>
  <c r="BF9" i="7" s="1"/>
  <c r="AG11" i="13" s="1"/>
  <c r="AW6" i="7"/>
  <c r="AZ6" i="7"/>
  <c r="BM6" i="7"/>
  <c r="AN9" i="7"/>
  <c r="AO9" i="7"/>
  <c r="AY8" i="7"/>
  <c r="AP7" i="7"/>
  <c r="BO7" i="7" s="1"/>
  <c r="AC9" i="13"/>
  <c r="BG7" i="7"/>
  <c r="BN9" i="7"/>
  <c r="BH9" i="7"/>
  <c r="BK9" i="7"/>
  <c r="AF12" i="13"/>
  <c r="AB12" i="13"/>
  <c r="AD12" i="13"/>
  <c r="AF10" i="7"/>
  <c r="AE10" i="7"/>
  <c r="AK11" i="7"/>
  <c r="AR10" i="7"/>
  <c r="AT8" i="7"/>
  <c r="AU8" i="7" s="1"/>
  <c r="AV8" i="7" s="1"/>
  <c r="BI8" i="7" s="1"/>
  <c r="AQ8" i="7"/>
  <c r="AE7" i="13"/>
  <c r="BA5" i="7"/>
  <c r="BJ5" i="7"/>
  <c r="BD6" i="7"/>
  <c r="AL11" i="7"/>
  <c r="BE6" i="7"/>
  <c r="AM11" i="7" l="1"/>
  <c r="BL6" i="7"/>
  <c r="BB10" i="7"/>
  <c r="BF10" i="7" s="1"/>
  <c r="AG12" i="13" s="1"/>
  <c r="BC10" i="7"/>
  <c r="AQ9" i="7"/>
  <c r="AT9" i="7"/>
  <c r="AU9" i="7" s="1"/>
  <c r="AV9" i="7" s="1"/>
  <c r="BI9" i="7" s="1"/>
  <c r="AC10" i="13"/>
  <c r="BG8" i="7"/>
  <c r="AY9" i="7"/>
  <c r="AO10" i="7"/>
  <c r="AN10" i="7"/>
  <c r="AP8" i="7"/>
  <c r="BO8" i="7" s="1"/>
  <c r="BH10" i="7"/>
  <c r="BN10" i="7"/>
  <c r="BK10" i="7"/>
  <c r="AE8" i="13"/>
  <c r="BA6" i="7"/>
  <c r="BJ6" i="7"/>
  <c r="AD13" i="13"/>
  <c r="AF13" i="13"/>
  <c r="AB13" i="13"/>
  <c r="AK12" i="7"/>
  <c r="AE11" i="7"/>
  <c r="AF11" i="7"/>
  <c r="AR11" i="7"/>
  <c r="AW7" i="7"/>
  <c r="AZ7" i="7"/>
  <c r="BM7" i="7"/>
  <c r="BE7" i="7"/>
  <c r="BD7" i="7"/>
  <c r="AL12" i="7"/>
  <c r="AM12" i="7" l="1"/>
  <c r="BL7" i="7"/>
  <c r="BC11" i="7"/>
  <c r="BB11" i="7"/>
  <c r="BF11" i="7" s="1"/>
  <c r="AG13" i="13" s="1"/>
  <c r="AC11" i="13"/>
  <c r="BG9" i="7"/>
  <c r="AE9" i="13"/>
  <c r="BA7" i="7"/>
  <c r="BJ7" i="7"/>
  <c r="AB14" i="13"/>
  <c r="AF14" i="13"/>
  <c r="AD14" i="13"/>
  <c r="AE12" i="7"/>
  <c r="AK13" i="7"/>
  <c r="AF12" i="7"/>
  <c r="AR12" i="7"/>
  <c r="AW8" i="7"/>
  <c r="AZ8" i="7"/>
  <c r="BM8" i="7"/>
  <c r="AO11" i="7"/>
  <c r="AN11" i="7"/>
  <c r="AY10" i="7"/>
  <c r="AP9" i="7"/>
  <c r="BO9" i="7" s="1"/>
  <c r="BK11" i="7"/>
  <c r="BH11" i="7"/>
  <c r="BN11" i="7"/>
  <c r="AT10" i="7"/>
  <c r="AU10" i="7" s="1"/>
  <c r="AV10" i="7" s="1"/>
  <c r="BI10" i="7" s="1"/>
  <c r="AQ10" i="7"/>
  <c r="AL13" i="7"/>
  <c r="BD8" i="7"/>
  <c r="BE8" i="7"/>
  <c r="AM13" i="7" l="1"/>
  <c r="BL8" i="7"/>
  <c r="BC12" i="7"/>
  <c r="BB12" i="7"/>
  <c r="BF12" i="7" s="1"/>
  <c r="AG14" i="13" s="1"/>
  <c r="AW9" i="7"/>
  <c r="AZ9" i="7"/>
  <c r="BM9" i="7"/>
  <c r="BN12" i="7"/>
  <c r="BH12" i="7"/>
  <c r="BK12" i="7"/>
  <c r="AT11" i="7"/>
  <c r="AU11" i="7" s="1"/>
  <c r="AV11" i="7" s="1"/>
  <c r="BI11" i="7" s="1"/>
  <c r="AQ11" i="7"/>
  <c r="AC12" i="13"/>
  <c r="BG10" i="7"/>
  <c r="AF15" i="13"/>
  <c r="AD15" i="13"/>
  <c r="AB15" i="13"/>
  <c r="AE13" i="7"/>
  <c r="AR13" i="7"/>
  <c r="AF13" i="7"/>
  <c r="AK14" i="7"/>
  <c r="AE10" i="13"/>
  <c r="BA8" i="7"/>
  <c r="BJ8" i="7"/>
  <c r="AY11" i="7"/>
  <c r="AO12" i="7"/>
  <c r="AN12" i="7"/>
  <c r="AP10" i="7"/>
  <c r="BO10" i="7" s="1"/>
  <c r="BD9" i="7"/>
  <c r="AL14" i="7"/>
  <c r="BE9" i="7"/>
  <c r="AM14" i="7" l="1"/>
  <c r="BL9" i="7"/>
  <c r="BC13" i="7"/>
  <c r="BB13" i="7"/>
  <c r="BF13" i="7" s="1"/>
  <c r="AG15" i="13" s="1"/>
  <c r="AC13" i="13"/>
  <c r="BG11" i="7"/>
  <c r="AQ12" i="7"/>
  <c r="AT12" i="7"/>
  <c r="AU12" i="7" s="1"/>
  <c r="AV12" i="7" s="1"/>
  <c r="BI12" i="7" s="1"/>
  <c r="AW10" i="7"/>
  <c r="AZ10" i="7"/>
  <c r="BM10" i="7"/>
  <c r="AD16" i="13"/>
  <c r="AB16" i="13"/>
  <c r="AF16" i="13"/>
  <c r="AE14" i="7"/>
  <c r="AF14" i="7"/>
  <c r="AK15" i="7"/>
  <c r="AR14" i="7"/>
  <c r="AE11" i="13"/>
  <c r="BA9" i="7"/>
  <c r="BJ9" i="7"/>
  <c r="AY12" i="7"/>
  <c r="AO13" i="7"/>
  <c r="AN13" i="7"/>
  <c r="AP11" i="7"/>
  <c r="BO11" i="7" s="1"/>
  <c r="BN13" i="7"/>
  <c r="BK13" i="7"/>
  <c r="BH13" i="7"/>
  <c r="BE10" i="7"/>
  <c r="BD10" i="7"/>
  <c r="AL15" i="7"/>
  <c r="AM15" i="7" l="1"/>
  <c r="BL10" i="7"/>
  <c r="BC14" i="7"/>
  <c r="BB14" i="7"/>
  <c r="BF14" i="7" s="1"/>
  <c r="AG16" i="13" s="1"/>
  <c r="AQ13" i="7"/>
  <c r="AT13" i="7"/>
  <c r="AU13" i="7" s="1"/>
  <c r="AV13" i="7" s="1"/>
  <c r="BI13" i="7" s="1"/>
  <c r="AY13" i="7"/>
  <c r="AN14" i="7"/>
  <c r="AO14" i="7"/>
  <c r="AP12" i="7"/>
  <c r="BO12" i="7" s="1"/>
  <c r="AE12" i="13"/>
  <c r="BA10" i="7"/>
  <c r="BJ10" i="7"/>
  <c r="BK14" i="7"/>
  <c r="BH14" i="7"/>
  <c r="BN14" i="7"/>
  <c r="AW11" i="7"/>
  <c r="AZ11" i="7"/>
  <c r="BM11" i="7"/>
  <c r="AF17" i="13"/>
  <c r="AD17" i="13"/>
  <c r="AB17" i="13"/>
  <c r="AF15" i="7"/>
  <c r="AE15" i="7"/>
  <c r="AK16" i="7"/>
  <c r="AR15" i="7"/>
  <c r="AC14" i="13"/>
  <c r="BG12" i="7"/>
  <c r="BE11" i="7"/>
  <c r="AL16" i="7"/>
  <c r="BD11" i="7"/>
  <c r="AM16" i="7" l="1"/>
  <c r="BL11" i="7"/>
  <c r="BC15" i="7"/>
  <c r="BB15" i="7"/>
  <c r="BF15" i="7" s="1"/>
  <c r="AG17" i="13" s="1"/>
  <c r="AW12" i="7"/>
  <c r="AZ12" i="7"/>
  <c r="BM12" i="7"/>
  <c r="AF18" i="13"/>
  <c r="AD18" i="13"/>
  <c r="AB18" i="13"/>
  <c r="AF16" i="7"/>
  <c r="AE16" i="7"/>
  <c r="AK17" i="7"/>
  <c r="AR16" i="7"/>
  <c r="AY14" i="7"/>
  <c r="AO15" i="7"/>
  <c r="AN15" i="7"/>
  <c r="AP13" i="7"/>
  <c r="BO13" i="7" s="1"/>
  <c r="BK15" i="7"/>
  <c r="BH15" i="7"/>
  <c r="BN15" i="7"/>
  <c r="AT14" i="7"/>
  <c r="AU14" i="7" s="1"/>
  <c r="AV14" i="7" s="1"/>
  <c r="BI14" i="7" s="1"/>
  <c r="AQ14" i="7"/>
  <c r="AE13" i="13"/>
  <c r="BA11" i="7"/>
  <c r="BJ11" i="7"/>
  <c r="AC15" i="13"/>
  <c r="BG13" i="7"/>
  <c r="BE12" i="7"/>
  <c r="BD12" i="7"/>
  <c r="AL17" i="7"/>
  <c r="AM17" i="7" l="1"/>
  <c r="BL12" i="7"/>
  <c r="BC16" i="7"/>
  <c r="BB16" i="7"/>
  <c r="BF16" i="7" s="1"/>
  <c r="AG18" i="13" s="1"/>
  <c r="AW13" i="7"/>
  <c r="AZ13" i="7"/>
  <c r="BM13" i="7"/>
  <c r="BK16" i="7"/>
  <c r="BH16" i="7"/>
  <c r="BN16" i="7"/>
  <c r="AT15" i="7"/>
  <c r="AU15" i="7" s="1"/>
  <c r="AV15" i="7" s="1"/>
  <c r="BI15" i="7" s="1"/>
  <c r="AQ15" i="7"/>
  <c r="AC16" i="13"/>
  <c r="BG14" i="7"/>
  <c r="AY15" i="7"/>
  <c r="AN16" i="7"/>
  <c r="AO16" i="7"/>
  <c r="AP14" i="7"/>
  <c r="BO14" i="7" s="1"/>
  <c r="AB19" i="13"/>
  <c r="AD19" i="13"/>
  <c r="AF19" i="13"/>
  <c r="AK18" i="7"/>
  <c r="AF17" i="7"/>
  <c r="AE17" i="7"/>
  <c r="AR17" i="7"/>
  <c r="AE14" i="13"/>
  <c r="BA12" i="7"/>
  <c r="BJ12" i="7"/>
  <c r="AL18" i="7"/>
  <c r="BD13" i="7"/>
  <c r="BE13" i="7"/>
  <c r="AM18" i="7" l="1"/>
  <c r="BL13" i="7"/>
  <c r="BC17" i="7"/>
  <c r="BB17" i="7"/>
  <c r="BF17" i="7" s="1"/>
  <c r="AG19" i="13" s="1"/>
  <c r="AT16" i="7"/>
  <c r="AU16" i="7" s="1"/>
  <c r="AV16" i="7" s="1"/>
  <c r="BI16" i="7" s="1"/>
  <c r="AQ16" i="7"/>
  <c r="AC17" i="13"/>
  <c r="BG15" i="7"/>
  <c r="AY16" i="7"/>
  <c r="AO17" i="7"/>
  <c r="AN17" i="7"/>
  <c r="AP15" i="7"/>
  <c r="BO15" i="7" s="1"/>
  <c r="AF20" i="13"/>
  <c r="AD20" i="13"/>
  <c r="AB20" i="13"/>
  <c r="AE18" i="7"/>
  <c r="AR18" i="7"/>
  <c r="AK19" i="7"/>
  <c r="AF18" i="7"/>
  <c r="AW14" i="7"/>
  <c r="AZ14" i="7"/>
  <c r="BM14" i="7"/>
  <c r="BK17" i="7"/>
  <c r="BH17" i="7"/>
  <c r="BN17" i="7"/>
  <c r="AE15" i="13"/>
  <c r="BA13" i="7"/>
  <c r="BJ13" i="7"/>
  <c r="BD14" i="7"/>
  <c r="AL19" i="7"/>
  <c r="BE14" i="7"/>
  <c r="AM19" i="7" l="1"/>
  <c r="BL14" i="7"/>
  <c r="BB18" i="7"/>
  <c r="BF18" i="7" s="1"/>
  <c r="AG20" i="13" s="1"/>
  <c r="BC18" i="7"/>
  <c r="AT17" i="7"/>
  <c r="AU17" i="7" s="1"/>
  <c r="AV17" i="7" s="1"/>
  <c r="BI17" i="7" s="1"/>
  <c r="AQ17" i="7"/>
  <c r="AO18" i="7"/>
  <c r="AY17" i="7"/>
  <c r="AN18" i="7"/>
  <c r="AP16" i="7"/>
  <c r="BO16" i="7" s="1"/>
  <c r="BN18" i="7"/>
  <c r="BK18" i="7"/>
  <c r="BH18" i="7"/>
  <c r="AD21" i="13"/>
  <c r="AF21" i="13"/>
  <c r="AB21" i="13"/>
  <c r="AE19" i="7"/>
  <c r="AF19" i="7"/>
  <c r="AK20" i="7"/>
  <c r="AR19" i="7"/>
  <c r="AC18" i="13"/>
  <c r="BG16" i="7"/>
  <c r="AE16" i="13"/>
  <c r="BA14" i="7"/>
  <c r="BJ14" i="7"/>
  <c r="AW15" i="7"/>
  <c r="AZ15" i="7"/>
  <c r="BM15" i="7"/>
  <c r="BE15" i="7"/>
  <c r="AL20" i="7"/>
  <c r="BD15" i="7"/>
  <c r="AM20" i="7" l="1"/>
  <c r="BL15" i="7"/>
  <c r="BB19" i="7"/>
  <c r="BF19" i="7" s="1"/>
  <c r="AG21" i="13" s="1"/>
  <c r="BC19" i="7"/>
  <c r="AW16" i="7"/>
  <c r="AZ16" i="7"/>
  <c r="BM16" i="7"/>
  <c r="BN19" i="7"/>
  <c r="BH19" i="7"/>
  <c r="BK19" i="7"/>
  <c r="AY18" i="7"/>
  <c r="AO19" i="7"/>
  <c r="AN19" i="7"/>
  <c r="AP17" i="7"/>
  <c r="BO17" i="7" s="1"/>
  <c r="AC19" i="13"/>
  <c r="BG17" i="7"/>
  <c r="AQ18" i="7"/>
  <c r="AT18" i="7"/>
  <c r="AU18" i="7" s="1"/>
  <c r="AV18" i="7" s="1"/>
  <c r="BI18" i="7" s="1"/>
  <c r="AE17" i="13"/>
  <c r="BA15" i="7"/>
  <c r="BJ15" i="7"/>
  <c r="AB22" i="13"/>
  <c r="AF22" i="13"/>
  <c r="AD22" i="13"/>
  <c r="AF20" i="7"/>
  <c r="AK21" i="7"/>
  <c r="AE20" i="7"/>
  <c r="AR20" i="7"/>
  <c r="BE16" i="7"/>
  <c r="BD16" i="7"/>
  <c r="AL21" i="7"/>
  <c r="AM21" i="7" l="1"/>
  <c r="BL16" i="7"/>
  <c r="BC20" i="7"/>
  <c r="BB20" i="7"/>
  <c r="BF20" i="7" s="1"/>
  <c r="AG22" i="13" s="1"/>
  <c r="AQ19" i="7"/>
  <c r="AT19" i="7"/>
  <c r="AU19" i="7" s="1"/>
  <c r="AV19" i="7" s="1"/>
  <c r="BI19" i="7" s="1"/>
  <c r="AY19" i="7"/>
  <c r="AO20" i="7"/>
  <c r="AN20" i="7"/>
  <c r="AP18" i="7"/>
  <c r="BO18" i="7" s="1"/>
  <c r="AC20" i="13"/>
  <c r="BG18" i="7"/>
  <c r="AF23" i="13"/>
  <c r="AD23" i="13"/>
  <c r="AB23" i="13"/>
  <c r="AF21" i="7"/>
  <c r="AE21" i="7"/>
  <c r="AR21" i="7"/>
  <c r="AK22" i="7"/>
  <c r="BK20" i="7"/>
  <c r="BH20" i="7"/>
  <c r="BN20" i="7"/>
  <c r="AW17" i="7"/>
  <c r="AZ17" i="7"/>
  <c r="BM17" i="7"/>
  <c r="AE18" i="13"/>
  <c r="BA16" i="7"/>
  <c r="BJ16" i="7"/>
  <c r="AL22" i="7"/>
  <c r="BD17" i="7"/>
  <c r="BE17" i="7"/>
  <c r="AM22" i="7" l="1"/>
  <c r="BL17" i="7"/>
  <c r="BB21" i="7"/>
  <c r="BF21" i="7" s="1"/>
  <c r="AG23" i="13" s="1"/>
  <c r="BC21" i="7"/>
  <c r="AT20" i="7"/>
  <c r="AU20" i="7" s="1"/>
  <c r="AV20" i="7" s="1"/>
  <c r="BI20" i="7" s="1"/>
  <c r="AQ20" i="7"/>
  <c r="AW18" i="7"/>
  <c r="AZ18" i="7"/>
  <c r="BM18" i="7"/>
  <c r="BN21" i="7"/>
  <c r="BK21" i="7"/>
  <c r="BH21" i="7"/>
  <c r="AC21" i="13"/>
  <c r="BG19" i="7"/>
  <c r="AD24" i="13"/>
  <c r="AB24" i="13"/>
  <c r="AF24" i="13"/>
  <c r="AK23" i="7"/>
  <c r="AE22" i="7"/>
  <c r="AF22" i="7"/>
  <c r="AR22" i="7"/>
  <c r="AY20" i="7"/>
  <c r="AO21" i="7"/>
  <c r="AN21" i="7"/>
  <c r="AP19" i="7"/>
  <c r="BO19" i="7" s="1"/>
  <c r="AE19" i="13"/>
  <c r="BA17" i="7"/>
  <c r="BJ17" i="7"/>
  <c r="AL23" i="7"/>
  <c r="BE18" i="7"/>
  <c r="BD18" i="7"/>
  <c r="AM23" i="7" l="1"/>
  <c r="BL18" i="7"/>
  <c r="BC22" i="7"/>
  <c r="BB22" i="7"/>
  <c r="BF22" i="7" s="1"/>
  <c r="AG24" i="13" s="1"/>
  <c r="AF25" i="13"/>
  <c r="AB25" i="13"/>
  <c r="AD25" i="13"/>
  <c r="AK24" i="7"/>
  <c r="AF23" i="7"/>
  <c r="AE23" i="7"/>
  <c r="AR23" i="7"/>
  <c r="AW19" i="7"/>
  <c r="AZ19" i="7"/>
  <c r="BM19" i="7"/>
  <c r="AT21" i="7"/>
  <c r="AU21" i="7" s="1"/>
  <c r="AV21" i="7" s="1"/>
  <c r="BI21" i="7" s="1"/>
  <c r="AQ21" i="7"/>
  <c r="BN22" i="7"/>
  <c r="BK22" i="7"/>
  <c r="BH22" i="7"/>
  <c r="AO22" i="7"/>
  <c r="AY21" i="7"/>
  <c r="AN22" i="7"/>
  <c r="AP20" i="7"/>
  <c r="BO20" i="7" s="1"/>
  <c r="AE20" i="13"/>
  <c r="BA18" i="7"/>
  <c r="BJ18" i="7"/>
  <c r="AC22" i="13"/>
  <c r="BG20" i="7"/>
  <c r="AL24" i="7"/>
  <c r="BD19" i="7"/>
  <c r="BE19" i="7"/>
  <c r="AM24" i="7" l="1"/>
  <c r="BL19" i="7"/>
  <c r="BC23" i="7"/>
  <c r="BB23" i="7"/>
  <c r="BF23" i="7" s="1"/>
  <c r="AG25" i="13" s="1"/>
  <c r="AQ22" i="7"/>
  <c r="AT22" i="7"/>
  <c r="AU22" i="7" s="1"/>
  <c r="AV22" i="7" s="1"/>
  <c r="BI22" i="7" s="1"/>
  <c r="AC23" i="13"/>
  <c r="BG21" i="7"/>
  <c r="AF26" i="13"/>
  <c r="AD26" i="13"/>
  <c r="AB26" i="13"/>
  <c r="AF24" i="7"/>
  <c r="AE24" i="7"/>
  <c r="AR24" i="7"/>
  <c r="AK25" i="7"/>
  <c r="BH23" i="7"/>
  <c r="BN23" i="7"/>
  <c r="BK23" i="7"/>
  <c r="AW20" i="7"/>
  <c r="AZ20" i="7"/>
  <c r="BM20" i="7"/>
  <c r="AY22" i="7"/>
  <c r="AO23" i="7"/>
  <c r="AN23" i="7"/>
  <c r="AP21" i="7"/>
  <c r="BO21" i="7" s="1"/>
  <c r="AE21" i="13"/>
  <c r="BA19" i="7"/>
  <c r="BJ19" i="7"/>
  <c r="BD20" i="7"/>
  <c r="AL25" i="7"/>
  <c r="BE20" i="7"/>
  <c r="AM25" i="7" l="1"/>
  <c r="BL20" i="7"/>
  <c r="BC24" i="7"/>
  <c r="BB24" i="7"/>
  <c r="BF24" i="7" s="1"/>
  <c r="AG26" i="13" s="1"/>
  <c r="AW21" i="7"/>
  <c r="AZ21" i="7"/>
  <c r="BM21" i="7"/>
  <c r="AT23" i="7"/>
  <c r="AU23" i="7" s="1"/>
  <c r="AV23" i="7" s="1"/>
  <c r="BI23" i="7" s="1"/>
  <c r="AQ23" i="7"/>
  <c r="AB27" i="13"/>
  <c r="AD27" i="13"/>
  <c r="AF27" i="13"/>
  <c r="AK26" i="7"/>
  <c r="AF25" i="7"/>
  <c r="AE25" i="7"/>
  <c r="AR25" i="7"/>
  <c r="AO24" i="7"/>
  <c r="AN24" i="7"/>
  <c r="AY23" i="7"/>
  <c r="AP22" i="7"/>
  <c r="BO22" i="7" s="1"/>
  <c r="AC24" i="13"/>
  <c r="BG22" i="7"/>
  <c r="BK24" i="7"/>
  <c r="BH24" i="7"/>
  <c r="BN24" i="7"/>
  <c r="AE22" i="13"/>
  <c r="BA20" i="7"/>
  <c r="BJ20" i="7"/>
  <c r="BE21" i="7"/>
  <c r="AL26" i="7"/>
  <c r="BD21" i="7"/>
  <c r="AM26" i="7" l="1"/>
  <c r="BL21" i="7"/>
  <c r="BC25" i="7"/>
  <c r="BB25" i="7"/>
  <c r="BF25" i="7" s="1"/>
  <c r="AG27" i="13" s="1"/>
  <c r="AY24" i="7"/>
  <c r="AO25" i="7"/>
  <c r="AN25" i="7"/>
  <c r="AP23" i="7"/>
  <c r="BO23" i="7" s="1"/>
  <c r="AT24" i="7"/>
  <c r="AU24" i="7" s="1"/>
  <c r="AV24" i="7" s="1"/>
  <c r="BI24" i="7" s="1"/>
  <c r="AQ24" i="7"/>
  <c r="BK25" i="7"/>
  <c r="BH25" i="7"/>
  <c r="BN25" i="7"/>
  <c r="AC25" i="13"/>
  <c r="BG23" i="7"/>
  <c r="AW22" i="7"/>
  <c r="AZ22" i="7"/>
  <c r="BM22" i="7"/>
  <c r="AF28" i="13"/>
  <c r="AD28" i="13"/>
  <c r="AB28" i="13"/>
  <c r="AR26" i="7"/>
  <c r="AF26" i="7"/>
  <c r="AE26" i="7"/>
  <c r="AK27" i="7"/>
  <c r="AE23" i="13"/>
  <c r="BA21" i="7"/>
  <c r="BJ21" i="7"/>
  <c r="BD22" i="7"/>
  <c r="AL27" i="7"/>
  <c r="BE22" i="7"/>
  <c r="AM27" i="7" l="1"/>
  <c r="BL22" i="7"/>
  <c r="BB26" i="7"/>
  <c r="BF26" i="7" s="1"/>
  <c r="AG28" i="13" s="1"/>
  <c r="BC26" i="7"/>
  <c r="AD29" i="13"/>
  <c r="AB29" i="13"/>
  <c r="AF29" i="13"/>
  <c r="AE27" i="7"/>
  <c r="AF27" i="7"/>
  <c r="AR27" i="7"/>
  <c r="AK28" i="7"/>
  <c r="AW23" i="7"/>
  <c r="AZ23" i="7"/>
  <c r="BM23" i="7"/>
  <c r="AY25" i="7"/>
  <c r="AO26" i="7"/>
  <c r="AN26" i="7"/>
  <c r="AP24" i="7"/>
  <c r="BO24" i="7" s="1"/>
  <c r="AT25" i="7"/>
  <c r="AU25" i="7" s="1"/>
  <c r="AV25" i="7" s="1"/>
  <c r="BI25" i="7" s="1"/>
  <c r="AQ25" i="7"/>
  <c r="AC26" i="13"/>
  <c r="BG24" i="7"/>
  <c r="AE24" i="13"/>
  <c r="BA22" i="7"/>
  <c r="BJ22" i="7"/>
  <c r="BH26" i="7"/>
  <c r="BN26" i="7"/>
  <c r="BK26" i="7"/>
  <c r="BD23" i="7"/>
  <c r="AL28" i="7"/>
  <c r="BE23" i="7"/>
  <c r="AM28" i="7" l="1"/>
  <c r="BL23" i="7"/>
  <c r="BB27" i="7"/>
  <c r="BF27" i="7" s="1"/>
  <c r="AG29" i="13" s="1"/>
  <c r="BC27" i="7"/>
  <c r="AE25" i="13"/>
  <c r="BA23" i="7"/>
  <c r="BJ23" i="7"/>
  <c r="AT26" i="7"/>
  <c r="AU26" i="7" s="1"/>
  <c r="AV26" i="7" s="1"/>
  <c r="BI26" i="7" s="1"/>
  <c r="AQ26" i="7"/>
  <c r="BK27" i="7"/>
  <c r="BH27" i="7"/>
  <c r="BN27" i="7"/>
  <c r="AW24" i="7"/>
  <c r="AZ24" i="7"/>
  <c r="BM24" i="7"/>
  <c r="AB30" i="13"/>
  <c r="AF30" i="13"/>
  <c r="AD30" i="13"/>
  <c r="AE28" i="7"/>
  <c r="AF28" i="7"/>
  <c r="AK29" i="7"/>
  <c r="AR28" i="7"/>
  <c r="AY26" i="7"/>
  <c r="AO27" i="7"/>
  <c r="AN27" i="7"/>
  <c r="AP25" i="7"/>
  <c r="BO25" i="7" s="1"/>
  <c r="AC27" i="13"/>
  <c r="BG25" i="7"/>
  <c r="BE24" i="7"/>
  <c r="AL29" i="7"/>
  <c r="BD24" i="7"/>
  <c r="AM29" i="7" l="1"/>
  <c r="BL24" i="7"/>
  <c r="BC28" i="7"/>
  <c r="BB28" i="7"/>
  <c r="BF28" i="7" s="1"/>
  <c r="AG30" i="13" s="1"/>
  <c r="AF31" i="13"/>
  <c r="AD31" i="13"/>
  <c r="AB31" i="13"/>
  <c r="AF29" i="7"/>
  <c r="AE29" i="7"/>
  <c r="AR29" i="7"/>
  <c r="AK30" i="7"/>
  <c r="AE26" i="13"/>
  <c r="BA24" i="7"/>
  <c r="BJ24" i="7"/>
  <c r="AY27" i="7"/>
  <c r="AO28" i="7"/>
  <c r="AN28" i="7"/>
  <c r="AP26" i="7"/>
  <c r="BO26" i="7" s="1"/>
  <c r="AT27" i="7"/>
  <c r="AU27" i="7" s="1"/>
  <c r="AV27" i="7" s="1"/>
  <c r="BI27" i="7" s="1"/>
  <c r="AQ27" i="7"/>
  <c r="BK28" i="7"/>
  <c r="BH28" i="7"/>
  <c r="BN28" i="7"/>
  <c r="AW25" i="7"/>
  <c r="AZ25" i="7"/>
  <c r="BM25" i="7"/>
  <c r="AC28" i="13"/>
  <c r="BG26" i="7"/>
  <c r="BD25" i="7"/>
  <c r="BE25" i="7"/>
  <c r="AL30" i="7"/>
  <c r="AM30" i="7" l="1"/>
  <c r="BL25" i="7"/>
  <c r="BC29" i="7"/>
  <c r="BB29" i="7"/>
  <c r="BF29" i="7" s="1"/>
  <c r="AG31" i="13" s="1"/>
  <c r="AY28" i="7"/>
  <c r="AN29" i="7"/>
  <c r="AO29" i="7"/>
  <c r="AP27" i="7"/>
  <c r="BO27" i="7" s="1"/>
  <c r="AC29" i="13"/>
  <c r="BG27" i="7"/>
  <c r="AW26" i="7"/>
  <c r="AZ26" i="7"/>
  <c r="BM26" i="7"/>
  <c r="AD32" i="13"/>
  <c r="AB32" i="13"/>
  <c r="AF32" i="13"/>
  <c r="AE30" i="7"/>
  <c r="AF30" i="7"/>
  <c r="AR30" i="7"/>
  <c r="AK31" i="7"/>
  <c r="AE27" i="13"/>
  <c r="BA25" i="7"/>
  <c r="BJ25" i="7"/>
  <c r="AT28" i="7"/>
  <c r="AU28" i="7" s="1"/>
  <c r="AV28" i="7" s="1"/>
  <c r="BI28" i="7" s="1"/>
  <c r="AQ28" i="7"/>
  <c r="BN29" i="7"/>
  <c r="BK29" i="7"/>
  <c r="BH29" i="7"/>
  <c r="BE26" i="7"/>
  <c r="AL31" i="7"/>
  <c r="BD26" i="7"/>
  <c r="AM31" i="7" l="1"/>
  <c r="BL26" i="7"/>
  <c r="BC30" i="7"/>
  <c r="BB30" i="7"/>
  <c r="BF30" i="7" s="1"/>
  <c r="AG32" i="13" s="1"/>
  <c r="AW27" i="7"/>
  <c r="AZ27" i="7"/>
  <c r="BM27" i="7"/>
  <c r="BN30" i="7"/>
  <c r="BK30" i="7"/>
  <c r="BH30" i="7"/>
  <c r="AO30" i="7"/>
  <c r="AY29" i="7"/>
  <c r="AN30" i="7"/>
  <c r="AP28" i="7"/>
  <c r="BO28" i="7" s="1"/>
  <c r="AD33" i="13"/>
  <c r="AB33" i="13"/>
  <c r="AF33" i="13"/>
  <c r="AF31" i="7"/>
  <c r="AE31" i="7"/>
  <c r="AR31" i="7"/>
  <c r="AK32" i="7"/>
  <c r="AT29" i="7"/>
  <c r="AU29" i="7" s="1"/>
  <c r="AV29" i="7" s="1"/>
  <c r="BI29" i="7" s="1"/>
  <c r="AQ29" i="7"/>
  <c r="AE28" i="13"/>
  <c r="BA26" i="7"/>
  <c r="BJ26" i="7"/>
  <c r="AC30" i="13"/>
  <c r="BG28" i="7"/>
  <c r="BE27" i="7"/>
  <c r="AL32" i="7"/>
  <c r="BD27" i="7"/>
  <c r="AM32" i="7" l="1"/>
  <c r="BL27" i="7"/>
  <c r="BC31" i="7"/>
  <c r="BB31" i="7"/>
  <c r="BF31" i="7" s="1"/>
  <c r="AG33" i="13" s="1"/>
  <c r="AF34" i="13"/>
  <c r="AD34" i="13"/>
  <c r="AB34" i="13"/>
  <c r="AK33" i="7"/>
  <c r="AE32" i="7"/>
  <c r="AF32" i="7"/>
  <c r="AR32" i="7"/>
  <c r="BH31" i="7"/>
  <c r="BK31" i="7"/>
  <c r="BN31" i="7"/>
  <c r="AC31" i="13"/>
  <c r="BG29" i="7"/>
  <c r="AQ30" i="7"/>
  <c r="AT30" i="7"/>
  <c r="AU30" i="7" s="1"/>
  <c r="AV30" i="7" s="1"/>
  <c r="BI30" i="7" s="1"/>
  <c r="AY30" i="7"/>
  <c r="AN31" i="7"/>
  <c r="AO31" i="7"/>
  <c r="AP29" i="7"/>
  <c r="BO29" i="7" s="1"/>
  <c r="AW28" i="7"/>
  <c r="AZ28" i="7"/>
  <c r="BM28" i="7"/>
  <c r="AE29" i="13"/>
  <c r="BA27" i="7"/>
  <c r="BJ27" i="7"/>
  <c r="AL33" i="7"/>
  <c r="BE28" i="7"/>
  <c r="BD28" i="7"/>
  <c r="AM33" i="7" l="1"/>
  <c r="BL28" i="7"/>
  <c r="BB32" i="7"/>
  <c r="BF32" i="7" s="1"/>
  <c r="AG34" i="13" s="1"/>
  <c r="BC32" i="7"/>
  <c r="AY31" i="7"/>
  <c r="AN32" i="7"/>
  <c r="AO32" i="7"/>
  <c r="AP30" i="7"/>
  <c r="BO30" i="7" s="1"/>
  <c r="AC32" i="13"/>
  <c r="BG30" i="7"/>
  <c r="BK32" i="7"/>
  <c r="BH32" i="7"/>
  <c r="BN32" i="7"/>
  <c r="AW29" i="7"/>
  <c r="AZ29" i="7"/>
  <c r="BM29" i="7"/>
  <c r="AB35" i="13"/>
  <c r="AF35" i="13"/>
  <c r="AD35" i="13"/>
  <c r="AK34" i="7"/>
  <c r="AF33" i="7"/>
  <c r="AE33" i="7"/>
  <c r="AR33" i="7"/>
  <c r="AE30" i="13"/>
  <c r="BA28" i="7"/>
  <c r="BJ28" i="7"/>
  <c r="AQ31" i="7"/>
  <c r="AT31" i="7"/>
  <c r="AU31" i="7" s="1"/>
  <c r="AV31" i="7" s="1"/>
  <c r="BI31" i="7" s="1"/>
  <c r="BE29" i="7"/>
  <c r="BD29" i="7"/>
  <c r="AL34" i="7"/>
  <c r="AM34" i="7" l="1"/>
  <c r="BL29" i="7"/>
  <c r="BB33" i="7"/>
  <c r="BF33" i="7" s="1"/>
  <c r="AG35" i="13" s="1"/>
  <c r="BC33" i="7"/>
  <c r="AF36" i="13"/>
  <c r="AD36" i="13"/>
  <c r="AB36" i="13"/>
  <c r="AR34" i="7"/>
  <c r="AF34" i="7"/>
  <c r="AE34" i="7"/>
  <c r="AK35" i="7"/>
  <c r="AW30" i="7"/>
  <c r="AZ30" i="7"/>
  <c r="BM30" i="7"/>
  <c r="AC33" i="13"/>
  <c r="BG31" i="7"/>
  <c r="AT32" i="7"/>
  <c r="AU32" i="7" s="1"/>
  <c r="AV32" i="7" s="1"/>
  <c r="BI32" i="7" s="1"/>
  <c r="AQ32" i="7"/>
  <c r="AY32" i="7"/>
  <c r="AN33" i="7"/>
  <c r="AO33" i="7"/>
  <c r="AP31" i="7"/>
  <c r="BO31" i="7" s="1"/>
  <c r="AE31" i="13"/>
  <c r="BA29" i="7"/>
  <c r="BJ29" i="7"/>
  <c r="BN33" i="7"/>
  <c r="BK33" i="7"/>
  <c r="BH33" i="7"/>
  <c r="BE30" i="7"/>
  <c r="BD30" i="7"/>
  <c r="AL35" i="7"/>
  <c r="AM35" i="7" l="1"/>
  <c r="BL30" i="7"/>
  <c r="BC34" i="7"/>
  <c r="BB34" i="7"/>
  <c r="BF34" i="7" s="1"/>
  <c r="AG36" i="13" s="1"/>
  <c r="AD37" i="13"/>
  <c r="AB37" i="13"/>
  <c r="AF37" i="13"/>
  <c r="AF35" i="7"/>
  <c r="AE35" i="7"/>
  <c r="AK36" i="7"/>
  <c r="AR35" i="7"/>
  <c r="BH34" i="7"/>
  <c r="BN34" i="7"/>
  <c r="BK34" i="7"/>
  <c r="AT33" i="7"/>
  <c r="AU33" i="7" s="1"/>
  <c r="AV33" i="7" s="1"/>
  <c r="BI33" i="7" s="1"/>
  <c r="AQ33" i="7"/>
  <c r="AE32" i="13"/>
  <c r="BA30" i="7"/>
  <c r="BJ30" i="7"/>
  <c r="AW31" i="7"/>
  <c r="AZ31" i="7"/>
  <c r="BM31" i="7"/>
  <c r="AN34" i="7"/>
  <c r="AY33" i="7"/>
  <c r="AO34" i="7"/>
  <c r="AP32" i="7"/>
  <c r="BO32" i="7" s="1"/>
  <c r="AC34" i="13"/>
  <c r="BG32" i="7"/>
  <c r="BD31" i="7"/>
  <c r="AL36" i="7"/>
  <c r="BE31" i="7"/>
  <c r="AM36" i="7" l="1"/>
  <c r="BL31" i="7"/>
  <c r="BC35" i="7"/>
  <c r="BB35" i="7"/>
  <c r="BF35" i="7" s="1"/>
  <c r="AG37" i="13" s="1"/>
  <c r="AW32" i="7"/>
  <c r="AZ32" i="7"/>
  <c r="BM32" i="7"/>
  <c r="AQ34" i="7"/>
  <c r="AT34" i="7"/>
  <c r="AU34" i="7" s="1"/>
  <c r="AV34" i="7" s="1"/>
  <c r="BI34" i="7" s="1"/>
  <c r="AE33" i="13"/>
  <c r="BA31" i="7"/>
  <c r="BJ31" i="7"/>
  <c r="AC35" i="13"/>
  <c r="BG33" i="7"/>
  <c r="AY34" i="7"/>
  <c r="AO35" i="7"/>
  <c r="AN35" i="7"/>
  <c r="AP33" i="7"/>
  <c r="BO33" i="7" s="1"/>
  <c r="AB38" i="13"/>
  <c r="AD38" i="13"/>
  <c r="AF38" i="13"/>
  <c r="AF36" i="7"/>
  <c r="AE36" i="7"/>
  <c r="AR36" i="7"/>
  <c r="AK37" i="7"/>
  <c r="BK35" i="7"/>
  <c r="BN35" i="7"/>
  <c r="BH35" i="7"/>
  <c r="AL37" i="7"/>
  <c r="BE32" i="7"/>
  <c r="BD32" i="7"/>
  <c r="AM37" i="7" l="1"/>
  <c r="BL32" i="7"/>
  <c r="BB36" i="7"/>
  <c r="BF36" i="7" s="1"/>
  <c r="AG38" i="13" s="1"/>
  <c r="BC36" i="7"/>
  <c r="AT35" i="7"/>
  <c r="AU35" i="7" s="1"/>
  <c r="AV35" i="7" s="1"/>
  <c r="BI35" i="7" s="1"/>
  <c r="AQ35" i="7"/>
  <c r="AC36" i="13"/>
  <c r="BG34" i="7"/>
  <c r="AW33" i="7"/>
  <c r="AZ33" i="7"/>
  <c r="BM33" i="7"/>
  <c r="AF39" i="13"/>
  <c r="AB39" i="13"/>
  <c r="AD39" i="13"/>
  <c r="AE37" i="7"/>
  <c r="AF37" i="7"/>
  <c r="AK38" i="7"/>
  <c r="AR37" i="7"/>
  <c r="BH36" i="7"/>
  <c r="BN36" i="7"/>
  <c r="BK36" i="7"/>
  <c r="AN36" i="7"/>
  <c r="AY35" i="7"/>
  <c r="AO36" i="7"/>
  <c r="AP34" i="7"/>
  <c r="BO34" i="7" s="1"/>
  <c r="AE34" i="13"/>
  <c r="BA32" i="7"/>
  <c r="BJ32" i="7"/>
  <c r="BD33" i="7"/>
  <c r="AL38" i="7"/>
  <c r="BE33" i="7"/>
  <c r="AM38" i="7" l="1"/>
  <c r="BL33" i="7"/>
  <c r="BB37" i="7"/>
  <c r="BF37" i="7" s="1"/>
  <c r="AG39" i="13" s="1"/>
  <c r="BC37" i="7"/>
  <c r="AD40" i="13"/>
  <c r="AB40" i="13"/>
  <c r="AF40" i="13"/>
  <c r="AF38" i="7"/>
  <c r="AE38" i="7"/>
  <c r="AK39" i="7"/>
  <c r="AR38" i="7"/>
  <c r="AE35" i="13"/>
  <c r="BA33" i="7"/>
  <c r="BJ33" i="7"/>
  <c r="BK37" i="7"/>
  <c r="BN37" i="7"/>
  <c r="BH37" i="7"/>
  <c r="AC37" i="13"/>
  <c r="BG35" i="7"/>
  <c r="AW34" i="7"/>
  <c r="AZ34" i="7"/>
  <c r="BM34" i="7"/>
  <c r="AQ36" i="7"/>
  <c r="AT36" i="7"/>
  <c r="AU36" i="7" s="1"/>
  <c r="AV36" i="7" s="1"/>
  <c r="BI36" i="7" s="1"/>
  <c r="AY36" i="7"/>
  <c r="AO37" i="7"/>
  <c r="AN37" i="7"/>
  <c r="AP35" i="7"/>
  <c r="BO35" i="7" s="1"/>
  <c r="BD34" i="7"/>
  <c r="BE34" i="7"/>
  <c r="AL39" i="7"/>
  <c r="AM39" i="7" l="1"/>
  <c r="BL34" i="7"/>
  <c r="BC38" i="7"/>
  <c r="BB38" i="7"/>
  <c r="BF38" i="7" s="1"/>
  <c r="AG40" i="13" s="1"/>
  <c r="AT37" i="7"/>
  <c r="AU37" i="7" s="1"/>
  <c r="AV37" i="7" s="1"/>
  <c r="BI37" i="7" s="1"/>
  <c r="AQ37" i="7"/>
  <c r="AY37" i="7"/>
  <c r="AN38" i="7"/>
  <c r="AO38" i="7"/>
  <c r="AP36" i="7"/>
  <c r="BO36" i="7" s="1"/>
  <c r="AW35" i="7"/>
  <c r="AZ35" i="7"/>
  <c r="BM35" i="7"/>
  <c r="AE36" i="13"/>
  <c r="BA34" i="7"/>
  <c r="BJ34" i="7"/>
  <c r="AC38" i="13"/>
  <c r="BG36" i="7"/>
  <c r="AB41" i="13"/>
  <c r="AF41" i="13"/>
  <c r="AD41" i="13"/>
  <c r="AE39" i="7"/>
  <c r="AF39" i="7"/>
  <c r="AK40" i="7"/>
  <c r="AR39" i="7"/>
  <c r="BH38" i="7"/>
  <c r="BN38" i="7"/>
  <c r="BK38" i="7"/>
  <c r="BE35" i="7"/>
  <c r="AL40" i="7"/>
  <c r="BD35" i="7"/>
  <c r="AM40" i="7" l="1"/>
  <c r="BL35" i="7"/>
  <c r="BC39" i="7"/>
  <c r="BB39" i="7"/>
  <c r="BF39" i="7" s="1"/>
  <c r="AG41" i="13" s="1"/>
  <c r="AY38" i="7"/>
  <c r="AO39" i="7"/>
  <c r="AN39" i="7"/>
  <c r="AP37" i="7"/>
  <c r="BO37" i="7" s="1"/>
  <c r="AW36" i="7"/>
  <c r="AZ36" i="7"/>
  <c r="BM36" i="7"/>
  <c r="BK39" i="7"/>
  <c r="BN39" i="7"/>
  <c r="BH39" i="7"/>
  <c r="AF42" i="13"/>
  <c r="AD42" i="13"/>
  <c r="AB42" i="13"/>
  <c r="AF40" i="7"/>
  <c r="AE40" i="7"/>
  <c r="AR40" i="7"/>
  <c r="AK41" i="7"/>
  <c r="AQ38" i="7"/>
  <c r="AT38" i="7"/>
  <c r="AU38" i="7" s="1"/>
  <c r="AV38" i="7" s="1"/>
  <c r="BI38" i="7" s="1"/>
  <c r="AC39" i="13"/>
  <c r="BG37" i="7"/>
  <c r="AE37" i="13"/>
  <c r="BA35" i="7"/>
  <c r="BJ35" i="7"/>
  <c r="BD36" i="7"/>
  <c r="AL41" i="7"/>
  <c r="BE36" i="7"/>
  <c r="AM41" i="7" l="1"/>
  <c r="BL36" i="7"/>
  <c r="BC40" i="7"/>
  <c r="BB40" i="7"/>
  <c r="BF40" i="7" s="1"/>
  <c r="AG42" i="13" s="1"/>
  <c r="AB43" i="13"/>
  <c r="AF43" i="13"/>
  <c r="AD43" i="13"/>
  <c r="AE41" i="7"/>
  <c r="AF41" i="7"/>
  <c r="AR41" i="7"/>
  <c r="AK42" i="7"/>
  <c r="BH40" i="7"/>
  <c r="BN40" i="7"/>
  <c r="BK40" i="7"/>
  <c r="AW37" i="7"/>
  <c r="AZ37" i="7"/>
  <c r="BM37" i="7"/>
  <c r="AY39" i="7"/>
  <c r="AN40" i="7"/>
  <c r="AO40" i="7"/>
  <c r="AP38" i="7"/>
  <c r="BO38" i="7" s="1"/>
  <c r="AC40" i="13"/>
  <c r="BG38" i="7"/>
  <c r="AE38" i="13"/>
  <c r="BA36" i="7"/>
  <c r="BJ36" i="7"/>
  <c r="AT39" i="7"/>
  <c r="AU39" i="7" s="1"/>
  <c r="AV39" i="7" s="1"/>
  <c r="BI39" i="7" s="1"/>
  <c r="AQ39" i="7"/>
  <c r="BD37" i="7"/>
  <c r="AL42" i="7"/>
  <c r="BE37" i="7"/>
  <c r="AM42" i="7" l="1"/>
  <c r="BL37" i="7"/>
  <c r="BC41" i="7"/>
  <c r="BB41" i="7"/>
  <c r="BF41" i="7" s="1"/>
  <c r="AG43" i="13" s="1"/>
  <c r="AW38" i="7"/>
  <c r="AZ38" i="7"/>
  <c r="BM38" i="7"/>
  <c r="AQ40" i="7"/>
  <c r="AT40" i="7"/>
  <c r="AU40" i="7" s="1"/>
  <c r="BK41" i="7"/>
  <c r="BN41" i="7"/>
  <c r="BH41" i="7"/>
  <c r="AF44" i="13"/>
  <c r="AB44" i="13"/>
  <c r="AD44" i="13"/>
  <c r="AF42" i="7"/>
  <c r="AE42" i="7"/>
  <c r="AK43" i="7"/>
  <c r="AR42" i="7"/>
  <c r="AC41" i="13"/>
  <c r="BG39" i="7"/>
  <c r="AY40" i="7"/>
  <c r="AV40" i="7"/>
  <c r="BI40" i="7" s="1"/>
  <c r="AN41" i="7"/>
  <c r="AO41" i="7"/>
  <c r="AP39" i="7"/>
  <c r="BO39" i="7" s="1"/>
  <c r="AE39" i="13"/>
  <c r="BA37" i="7"/>
  <c r="BJ37" i="7"/>
  <c r="BD38" i="7"/>
  <c r="AL43" i="7"/>
  <c r="BE38" i="7"/>
  <c r="AM43" i="7" l="1"/>
  <c r="BL38" i="7"/>
  <c r="BC42" i="7"/>
  <c r="BB42" i="7"/>
  <c r="BF42" i="7" s="1"/>
  <c r="AG44" i="13" s="1"/>
  <c r="AW39" i="7"/>
  <c r="AZ39" i="7"/>
  <c r="BM39" i="7"/>
  <c r="AT41" i="7"/>
  <c r="AU41" i="7" s="1"/>
  <c r="AV41" i="7" s="1"/>
  <c r="BI41" i="7" s="1"/>
  <c r="AQ41" i="7"/>
  <c r="AY41" i="7"/>
  <c r="AN42" i="7"/>
  <c r="AO42" i="7"/>
  <c r="AP40" i="7"/>
  <c r="BO40" i="7" s="1"/>
  <c r="AD45" i="13"/>
  <c r="AF45" i="13"/>
  <c r="AB45" i="13"/>
  <c r="AF43" i="7"/>
  <c r="AK44" i="7"/>
  <c r="AE43" i="7"/>
  <c r="AR43" i="7"/>
  <c r="BH42" i="7"/>
  <c r="BN42" i="7"/>
  <c r="BK42" i="7"/>
  <c r="AC42" i="13"/>
  <c r="BG40" i="7"/>
  <c r="AE40" i="13"/>
  <c r="BA38" i="7"/>
  <c r="BJ38" i="7"/>
  <c r="BE39" i="7"/>
  <c r="AL44" i="7"/>
  <c r="BD39" i="7"/>
  <c r="AM44" i="7" l="1"/>
  <c r="BL39" i="7"/>
  <c r="BB43" i="7"/>
  <c r="BF43" i="7" s="1"/>
  <c r="AG45" i="13" s="1"/>
  <c r="BC43" i="7"/>
  <c r="AC43" i="13"/>
  <c r="BG41" i="7"/>
  <c r="AY42" i="7"/>
  <c r="AO43" i="7"/>
  <c r="AN43" i="7"/>
  <c r="AP41" i="7"/>
  <c r="BO41" i="7" s="1"/>
  <c r="BK43" i="7"/>
  <c r="BH43" i="7"/>
  <c r="BN43" i="7"/>
  <c r="AW40" i="7"/>
  <c r="AZ40" i="7"/>
  <c r="BM40" i="7"/>
  <c r="AB46" i="13"/>
  <c r="AF46" i="13"/>
  <c r="AD46" i="13"/>
  <c r="AK45" i="7"/>
  <c r="AF44" i="7"/>
  <c r="AE44" i="7"/>
  <c r="AR44" i="7"/>
  <c r="AQ42" i="7"/>
  <c r="AT42" i="7"/>
  <c r="AU42" i="7" s="1"/>
  <c r="AV42" i="7" s="1"/>
  <c r="BI42" i="7" s="1"/>
  <c r="AE41" i="13"/>
  <c r="BA39" i="7"/>
  <c r="BJ39" i="7"/>
  <c r="BD40" i="7"/>
  <c r="AL45" i="7"/>
  <c r="BE40" i="7"/>
  <c r="AM45" i="7" l="1"/>
  <c r="BL40" i="7"/>
  <c r="BC44" i="7"/>
  <c r="BB44" i="7"/>
  <c r="BF44" i="7" s="1"/>
  <c r="AG46" i="13" s="1"/>
  <c r="AT43" i="7"/>
  <c r="AU43" i="7" s="1"/>
  <c r="AV43" i="7" s="1"/>
  <c r="BI43" i="7" s="1"/>
  <c r="AQ43" i="7"/>
  <c r="AF47" i="13"/>
  <c r="AB47" i="13"/>
  <c r="AD47" i="13"/>
  <c r="AR45" i="7"/>
  <c r="AE45" i="7"/>
  <c r="AF45" i="7"/>
  <c r="AK46" i="7"/>
  <c r="AN44" i="7"/>
  <c r="AY43" i="7"/>
  <c r="AO44" i="7"/>
  <c r="AP42" i="7"/>
  <c r="BO42" i="7" s="1"/>
  <c r="AW41" i="7"/>
  <c r="AZ41" i="7"/>
  <c r="BM41" i="7"/>
  <c r="AC44" i="13"/>
  <c r="BG42" i="7"/>
  <c r="BN44" i="7"/>
  <c r="BK44" i="7"/>
  <c r="BH44" i="7"/>
  <c r="AE42" i="13"/>
  <c r="BA40" i="7"/>
  <c r="BJ40" i="7"/>
  <c r="BE41" i="7"/>
  <c r="AL46" i="7"/>
  <c r="BD41" i="7"/>
  <c r="AM46" i="7" l="1"/>
  <c r="BL41" i="7"/>
  <c r="BC45" i="7"/>
  <c r="BB45" i="7"/>
  <c r="BF45" i="7" s="1"/>
  <c r="AG47" i="13" s="1"/>
  <c r="AE43" i="13"/>
  <c r="BA41" i="7"/>
  <c r="BJ41" i="7"/>
  <c r="AT44" i="7"/>
  <c r="AU44" i="7" s="1"/>
  <c r="AV44" i="7" s="1"/>
  <c r="BI44" i="7" s="1"/>
  <c r="AQ44" i="7"/>
  <c r="AY44" i="7"/>
  <c r="AO45" i="7"/>
  <c r="AN45" i="7"/>
  <c r="AP43" i="7"/>
  <c r="BO43" i="7" s="1"/>
  <c r="BH45" i="7"/>
  <c r="BN45" i="7"/>
  <c r="BK45" i="7"/>
  <c r="AW42" i="7"/>
  <c r="AZ42" i="7"/>
  <c r="BM42" i="7"/>
  <c r="AC45" i="13"/>
  <c r="BG43" i="7"/>
  <c r="AD48" i="13"/>
  <c r="AB48" i="13"/>
  <c r="AF48" i="13"/>
  <c r="AE46" i="7"/>
  <c r="AF46" i="7"/>
  <c r="AR46" i="7"/>
  <c r="AK47" i="7"/>
  <c r="BD42" i="7"/>
  <c r="AL47" i="7"/>
  <c r="BE42" i="7"/>
  <c r="AM47" i="7" l="1"/>
  <c r="BL42" i="7"/>
  <c r="BC46" i="7"/>
  <c r="BB46" i="7"/>
  <c r="BF46" i="7" s="1"/>
  <c r="AG48" i="13" s="1"/>
  <c r="BK46" i="7"/>
  <c r="BH46" i="7"/>
  <c r="BN46" i="7"/>
  <c r="AE44" i="13"/>
  <c r="BA42" i="7"/>
  <c r="BJ42" i="7"/>
  <c r="AC46" i="13"/>
  <c r="BG44" i="7"/>
  <c r="AY45" i="7"/>
  <c r="AO46" i="7"/>
  <c r="AN46" i="7"/>
  <c r="AP44" i="7"/>
  <c r="BO44" i="7" s="1"/>
  <c r="AF49" i="13"/>
  <c r="AD49" i="13"/>
  <c r="AB49" i="13"/>
  <c r="AF47" i="7"/>
  <c r="AE47" i="7"/>
  <c r="AK48" i="7"/>
  <c r="AR47" i="7"/>
  <c r="AW43" i="7"/>
  <c r="AZ43" i="7"/>
  <c r="BM43" i="7"/>
  <c r="AQ45" i="7"/>
  <c r="AT45" i="7"/>
  <c r="AU45" i="7" s="1"/>
  <c r="AV45" i="7" s="1"/>
  <c r="BI45" i="7" s="1"/>
  <c r="BE43" i="7"/>
  <c r="BD43" i="7"/>
  <c r="AL48" i="7"/>
  <c r="AM48" i="7" l="1"/>
  <c r="BL43" i="7"/>
  <c r="BB47" i="7"/>
  <c r="BF47" i="7" s="1"/>
  <c r="AG49" i="13" s="1"/>
  <c r="BC47" i="7"/>
  <c r="AE45" i="13"/>
  <c r="BA43" i="7"/>
  <c r="BJ43" i="7"/>
  <c r="AN47" i="7"/>
  <c r="AY46" i="7"/>
  <c r="AO47" i="7"/>
  <c r="AP45" i="7"/>
  <c r="BO45" i="7" s="1"/>
  <c r="AW44" i="7"/>
  <c r="AZ44" i="7"/>
  <c r="BM44" i="7"/>
  <c r="AD50" i="13"/>
  <c r="AF50" i="13"/>
  <c r="AB50" i="13"/>
  <c r="AE48" i="7"/>
  <c r="AF48" i="7"/>
  <c r="AK49" i="7"/>
  <c r="AR48" i="7"/>
  <c r="AC47" i="13"/>
  <c r="BG45" i="7"/>
  <c r="BH47" i="7"/>
  <c r="BN47" i="7"/>
  <c r="BK47" i="7"/>
  <c r="AT46" i="7"/>
  <c r="AU46" i="7" s="1"/>
  <c r="AV46" i="7" s="1"/>
  <c r="BI46" i="7" s="1"/>
  <c r="AQ46" i="7"/>
  <c r="BE44" i="7"/>
  <c r="BD44" i="7"/>
  <c r="AL49" i="7"/>
  <c r="AM49" i="7" l="1"/>
  <c r="BL44" i="7"/>
  <c r="BB48" i="7"/>
  <c r="BF48" i="7" s="1"/>
  <c r="AG50" i="13" s="1"/>
  <c r="BC48" i="7"/>
  <c r="AQ47" i="7"/>
  <c r="AT47" i="7"/>
  <c r="AU47" i="7" s="1"/>
  <c r="AV47" i="7" s="1"/>
  <c r="BI47" i="7" s="1"/>
  <c r="AY47" i="7"/>
  <c r="AO48" i="7"/>
  <c r="AN48" i="7"/>
  <c r="AP46" i="7"/>
  <c r="BO46" i="7" s="1"/>
  <c r="BK48" i="7"/>
  <c r="BN48" i="7"/>
  <c r="BH48" i="7"/>
  <c r="AC48" i="13"/>
  <c r="BG46" i="7"/>
  <c r="AW45" i="7"/>
  <c r="AZ45" i="7"/>
  <c r="BM45" i="7"/>
  <c r="AD51" i="13"/>
  <c r="AB51" i="13"/>
  <c r="AF51" i="13"/>
  <c r="AF49" i="7"/>
  <c r="AE49" i="7"/>
  <c r="AK50" i="7"/>
  <c r="AR49" i="7"/>
  <c r="AE46" i="13"/>
  <c r="BA44" i="7"/>
  <c r="BJ44" i="7"/>
  <c r="BD45" i="7"/>
  <c r="AL50" i="7"/>
  <c r="BE45" i="7"/>
  <c r="AM50" i="7" l="1"/>
  <c r="BL45" i="7"/>
  <c r="BC49" i="7"/>
  <c r="BB49" i="7"/>
  <c r="BF49" i="7" s="1"/>
  <c r="AG51" i="13" s="1"/>
  <c r="AW46" i="7"/>
  <c r="AZ46" i="7"/>
  <c r="BM46" i="7"/>
  <c r="AT48" i="7"/>
  <c r="AU48" i="7" s="1"/>
  <c r="AV48" i="7" s="1"/>
  <c r="BI48" i="7" s="1"/>
  <c r="AQ48" i="7"/>
  <c r="AC49" i="13"/>
  <c r="BG47" i="7"/>
  <c r="AY48" i="7"/>
  <c r="AN49" i="7"/>
  <c r="AO49" i="7"/>
  <c r="AP47" i="7"/>
  <c r="BO47" i="7" s="1"/>
  <c r="AF52" i="13"/>
  <c r="AB52" i="13"/>
  <c r="AD52" i="13"/>
  <c r="AE50" i="7"/>
  <c r="AF50" i="7"/>
  <c r="AK51" i="7"/>
  <c r="AR50" i="7"/>
  <c r="AE47" i="13"/>
  <c r="BA45" i="7"/>
  <c r="BJ45" i="7"/>
  <c r="BH49" i="7"/>
  <c r="BN49" i="7"/>
  <c r="BK49" i="7"/>
  <c r="BE46" i="7"/>
  <c r="AL51" i="7"/>
  <c r="BD46" i="7"/>
  <c r="AM51" i="7" l="1"/>
  <c r="BL46" i="7"/>
  <c r="BC50" i="7"/>
  <c r="BB50" i="7"/>
  <c r="BF50" i="7" s="1"/>
  <c r="AG52" i="13" s="1"/>
  <c r="AW47" i="7"/>
  <c r="AZ47" i="7"/>
  <c r="BM47" i="7"/>
  <c r="AQ49" i="7"/>
  <c r="AT49" i="7"/>
  <c r="AU49" i="7" s="1"/>
  <c r="AY49" i="7"/>
  <c r="AO50" i="7"/>
  <c r="AV49" i="7"/>
  <c r="BI49" i="7" s="1"/>
  <c r="AN50" i="7"/>
  <c r="AP48" i="7"/>
  <c r="BO48" i="7" s="1"/>
  <c r="BK50" i="7"/>
  <c r="BN50" i="7"/>
  <c r="BH50" i="7"/>
  <c r="AB53" i="13"/>
  <c r="AD53" i="13"/>
  <c r="AF53" i="13"/>
  <c r="AF51" i="7"/>
  <c r="AE51" i="7"/>
  <c r="AK52" i="7"/>
  <c r="AR51" i="7"/>
  <c r="AC50" i="13"/>
  <c r="BG48" i="7"/>
  <c r="AE48" i="13"/>
  <c r="BA46" i="7"/>
  <c r="BJ46" i="7"/>
  <c r="BE47" i="7"/>
  <c r="BD47" i="7"/>
  <c r="AL52" i="7"/>
  <c r="AM52" i="7" l="1"/>
  <c r="BL47" i="7"/>
  <c r="BB51" i="7"/>
  <c r="BF51" i="7" s="1"/>
  <c r="AG53" i="13" s="1"/>
  <c r="BC51" i="7"/>
  <c r="AT50" i="7"/>
  <c r="AU50" i="7" s="1"/>
  <c r="AV50" i="7" s="1"/>
  <c r="BI50" i="7" s="1"/>
  <c r="AQ50" i="7"/>
  <c r="AC51" i="13"/>
  <c r="BG49" i="7"/>
  <c r="AW48" i="7"/>
  <c r="AZ48" i="7"/>
  <c r="BM48" i="7"/>
  <c r="BH51" i="7"/>
  <c r="BN51" i="7"/>
  <c r="BK51" i="7"/>
  <c r="AD54" i="13"/>
  <c r="AB54" i="13"/>
  <c r="AF54" i="13"/>
  <c r="AE52" i="7"/>
  <c r="AF52" i="7"/>
  <c r="AK53" i="7"/>
  <c r="AR52" i="7"/>
  <c r="AY50" i="7"/>
  <c r="AN51" i="7"/>
  <c r="AO51" i="7"/>
  <c r="AP49" i="7"/>
  <c r="BO49" i="7" s="1"/>
  <c r="AE49" i="13"/>
  <c r="BA47" i="7"/>
  <c r="BJ47" i="7"/>
  <c r="AL53" i="7"/>
  <c r="BD48" i="7"/>
  <c r="BE48" i="7"/>
  <c r="AM53" i="7" l="1"/>
  <c r="BL48" i="7"/>
  <c r="BC52" i="7"/>
  <c r="BB52" i="7"/>
  <c r="BF52" i="7" s="1"/>
  <c r="AG54" i="13" s="1"/>
  <c r="AD55" i="13"/>
  <c r="AF55" i="13"/>
  <c r="AB55" i="13"/>
  <c r="AF53" i="7"/>
  <c r="AE53" i="7"/>
  <c r="AK54" i="7"/>
  <c r="AR53" i="7"/>
  <c r="AW49" i="7"/>
  <c r="AZ49" i="7"/>
  <c r="BM49" i="7"/>
  <c r="BK52" i="7"/>
  <c r="BN52" i="7"/>
  <c r="BH52" i="7"/>
  <c r="AE50" i="13"/>
  <c r="BA48" i="7"/>
  <c r="BJ48" i="7"/>
  <c r="AY51" i="7"/>
  <c r="AO52" i="7"/>
  <c r="AN52" i="7"/>
  <c r="AP50" i="7"/>
  <c r="BO50" i="7" s="1"/>
  <c r="AQ51" i="7"/>
  <c r="AT51" i="7"/>
  <c r="AU51" i="7" s="1"/>
  <c r="AV51" i="7" s="1"/>
  <c r="BI51" i="7" s="1"/>
  <c r="AC52" i="13"/>
  <c r="BG50" i="7"/>
  <c r="AL54" i="7"/>
  <c r="BD49" i="7"/>
  <c r="BE49" i="7"/>
  <c r="AM54" i="7" l="1"/>
  <c r="BL49" i="7"/>
  <c r="BB53" i="7"/>
  <c r="BF53" i="7" s="1"/>
  <c r="AG55" i="13" s="1"/>
  <c r="BC53" i="7"/>
  <c r="BH53" i="7"/>
  <c r="BN53" i="7"/>
  <c r="BK53" i="7"/>
  <c r="AD56" i="13"/>
  <c r="AB56" i="13"/>
  <c r="AF56" i="13"/>
  <c r="AE54" i="7"/>
  <c r="AR54" i="7"/>
  <c r="AK55" i="7"/>
  <c r="AF54" i="7"/>
  <c r="AY52" i="7"/>
  <c r="AN53" i="7"/>
  <c r="AO53" i="7"/>
  <c r="AP51" i="7"/>
  <c r="BO51" i="7" s="1"/>
  <c r="AW50" i="7"/>
  <c r="AZ50" i="7"/>
  <c r="BM50" i="7"/>
  <c r="AT52" i="7"/>
  <c r="AU52" i="7" s="1"/>
  <c r="AV52" i="7" s="1"/>
  <c r="BI52" i="7" s="1"/>
  <c r="AQ52" i="7"/>
  <c r="AC53" i="13"/>
  <c r="BG51" i="7"/>
  <c r="AE51" i="13"/>
  <c r="BA49" i="7"/>
  <c r="BJ49" i="7"/>
  <c r="BD50" i="7"/>
  <c r="BE50" i="7"/>
  <c r="AL55" i="7"/>
  <c r="AM55" i="7" l="1"/>
  <c r="BL50" i="7"/>
  <c r="BB54" i="7"/>
  <c r="BF54" i="7" s="1"/>
  <c r="AG56" i="13" s="1"/>
  <c r="BC54" i="7"/>
  <c r="AQ53" i="7"/>
  <c r="AT53" i="7"/>
  <c r="AU53" i="7" s="1"/>
  <c r="AV53" i="7" s="1"/>
  <c r="BI53" i="7" s="1"/>
  <c r="AF57" i="13"/>
  <c r="AD57" i="13"/>
  <c r="AB57" i="13"/>
  <c r="AF55" i="7"/>
  <c r="AE55" i="7"/>
  <c r="AK56" i="7"/>
  <c r="AR55" i="7"/>
  <c r="AE52" i="13"/>
  <c r="BA50" i="7"/>
  <c r="BJ50" i="7"/>
  <c r="AW51" i="7"/>
  <c r="AZ51" i="7"/>
  <c r="BM51" i="7"/>
  <c r="AC54" i="13"/>
  <c r="BG52" i="7"/>
  <c r="AY53" i="7"/>
  <c r="AO54" i="7"/>
  <c r="AN54" i="7"/>
  <c r="AP52" i="7"/>
  <c r="BO52" i="7" s="1"/>
  <c r="BK54" i="7"/>
  <c r="BH54" i="7"/>
  <c r="BN54" i="7"/>
  <c r="BE51" i="7"/>
  <c r="AL56" i="7"/>
  <c r="BD51" i="7"/>
  <c r="AM56" i="7" l="1"/>
  <c r="BL51" i="7"/>
  <c r="BC55" i="7"/>
  <c r="BB55" i="7"/>
  <c r="BF55" i="7" s="1"/>
  <c r="AG57" i="13" s="1"/>
  <c r="AC55" i="13"/>
  <c r="BG53" i="7"/>
  <c r="AW52" i="7"/>
  <c r="AZ52" i="7"/>
  <c r="BM52" i="7"/>
  <c r="AT54" i="7"/>
  <c r="AU54" i="7" s="1"/>
  <c r="AV54" i="7" s="1"/>
  <c r="BI54" i="7" s="1"/>
  <c r="AQ54" i="7"/>
  <c r="AN55" i="7"/>
  <c r="AY54" i="7"/>
  <c r="AO55" i="7"/>
  <c r="AP53" i="7"/>
  <c r="BO53" i="7" s="1"/>
  <c r="AF58" i="13"/>
  <c r="AD58" i="13"/>
  <c r="AB58" i="13"/>
  <c r="AE56" i="7"/>
  <c r="AK57" i="7"/>
  <c r="AR56" i="7"/>
  <c r="AF56" i="7"/>
  <c r="BH55" i="7"/>
  <c r="BN55" i="7"/>
  <c r="BK55" i="7"/>
  <c r="AE53" i="13"/>
  <c r="BA51" i="7"/>
  <c r="BJ51" i="7"/>
  <c r="BD52" i="7"/>
  <c r="AL57" i="7"/>
  <c r="BE52" i="7"/>
  <c r="AM57" i="7" l="1"/>
  <c r="BL52" i="7"/>
  <c r="BB56" i="7"/>
  <c r="BF56" i="7" s="1"/>
  <c r="AG58" i="13" s="1"/>
  <c r="BC56" i="7"/>
  <c r="AW53" i="7"/>
  <c r="AZ53" i="7"/>
  <c r="BM53" i="7"/>
  <c r="AQ55" i="7"/>
  <c r="AT55" i="7"/>
  <c r="AU55" i="7" s="1"/>
  <c r="AV55" i="7" s="1"/>
  <c r="BI55" i="7" s="1"/>
  <c r="AE54" i="13"/>
  <c r="BA52" i="7"/>
  <c r="BJ52" i="7"/>
  <c r="AY55" i="7"/>
  <c r="AO56" i="7"/>
  <c r="AN56" i="7"/>
  <c r="AP54" i="7"/>
  <c r="BO54" i="7" s="1"/>
  <c r="BK56" i="7"/>
  <c r="BN56" i="7"/>
  <c r="BH56" i="7"/>
  <c r="AB59" i="13"/>
  <c r="AD59" i="13"/>
  <c r="AF59" i="13"/>
  <c r="AF57" i="7"/>
  <c r="AE57" i="7"/>
  <c r="AR57" i="7"/>
  <c r="AK58" i="7"/>
  <c r="AC56" i="13"/>
  <c r="BG54" i="7"/>
  <c r="BE53" i="7"/>
  <c r="BD53" i="7"/>
  <c r="AL58" i="7"/>
  <c r="AM58" i="7" l="1"/>
  <c r="BL53" i="7"/>
  <c r="BC57" i="7"/>
  <c r="BB57" i="7"/>
  <c r="BF57" i="7" s="1"/>
  <c r="AG59" i="13" s="1"/>
  <c r="AY56" i="7"/>
  <c r="AN57" i="7"/>
  <c r="AO57" i="7"/>
  <c r="AP55" i="7"/>
  <c r="BO55" i="7" s="1"/>
  <c r="AF60" i="13"/>
  <c r="AD60" i="13"/>
  <c r="AB60" i="13"/>
  <c r="AE58" i="7"/>
  <c r="AK59" i="7"/>
  <c r="AF58" i="7"/>
  <c r="AR58" i="7"/>
  <c r="AT56" i="7"/>
  <c r="AU56" i="7" s="1"/>
  <c r="AV56" i="7" s="1"/>
  <c r="BI56" i="7" s="1"/>
  <c r="AQ56" i="7"/>
  <c r="AW54" i="7"/>
  <c r="AZ54" i="7"/>
  <c r="BM54" i="7"/>
  <c r="BH57" i="7"/>
  <c r="BN57" i="7"/>
  <c r="BK57" i="7"/>
  <c r="AC57" i="13"/>
  <c r="BG55" i="7"/>
  <c r="AE55" i="13"/>
  <c r="BA53" i="7"/>
  <c r="BJ53" i="7"/>
  <c r="BD54" i="7"/>
  <c r="AL59" i="7"/>
  <c r="BE54" i="7"/>
  <c r="AM59" i="7" l="1"/>
  <c r="BL54" i="7"/>
  <c r="BC58" i="7"/>
  <c r="BB58" i="7"/>
  <c r="BF58" i="7" s="1"/>
  <c r="AG60" i="13" s="1"/>
  <c r="AW55" i="7"/>
  <c r="AZ55" i="7"/>
  <c r="BM55" i="7"/>
  <c r="AQ57" i="7"/>
  <c r="AT57" i="7"/>
  <c r="AU57" i="7" s="1"/>
  <c r="AV57" i="7" s="1"/>
  <c r="BI57" i="7" s="1"/>
  <c r="BK58" i="7"/>
  <c r="BN58" i="7"/>
  <c r="BH58" i="7"/>
  <c r="AY57" i="7"/>
  <c r="AO58" i="7"/>
  <c r="AN58" i="7"/>
  <c r="AP56" i="7"/>
  <c r="BO56" i="7" s="1"/>
  <c r="AD61" i="13"/>
  <c r="AB61" i="13"/>
  <c r="AF61" i="13"/>
  <c r="AF59" i="7"/>
  <c r="AE59" i="7"/>
  <c r="AK60" i="7"/>
  <c r="AR59" i="7"/>
  <c r="AE56" i="13"/>
  <c r="BA54" i="7"/>
  <c r="BJ54" i="7"/>
  <c r="AC58" i="13"/>
  <c r="BG56" i="7"/>
  <c r="BE55" i="7"/>
  <c r="AL60" i="7"/>
  <c r="BD55" i="7"/>
  <c r="AM60" i="7" l="1"/>
  <c r="BL55" i="7"/>
  <c r="BB59" i="7"/>
  <c r="BF59" i="7" s="1"/>
  <c r="AG61" i="13" s="1"/>
  <c r="BC59" i="7"/>
  <c r="BH59" i="7"/>
  <c r="BN59" i="7"/>
  <c r="BK59" i="7"/>
  <c r="AW56" i="7"/>
  <c r="AZ56" i="7"/>
  <c r="BM56" i="7"/>
  <c r="AC59" i="13"/>
  <c r="BG57" i="7"/>
  <c r="AN59" i="7"/>
  <c r="AY58" i="7"/>
  <c r="AO59" i="7"/>
  <c r="AP57" i="7"/>
  <c r="BO57" i="7" s="1"/>
  <c r="AB62" i="13"/>
  <c r="AD62" i="13"/>
  <c r="AF62" i="13"/>
  <c r="AE60" i="7"/>
  <c r="AF60" i="7"/>
  <c r="AK61" i="7"/>
  <c r="AR60" i="7"/>
  <c r="AT58" i="7"/>
  <c r="AU58" i="7" s="1"/>
  <c r="AV58" i="7" s="1"/>
  <c r="BI58" i="7" s="1"/>
  <c r="AQ58" i="7"/>
  <c r="AE57" i="13"/>
  <c r="BA55" i="7"/>
  <c r="BJ55" i="7"/>
  <c r="BE56" i="7"/>
  <c r="BD56" i="7"/>
  <c r="AL61" i="7"/>
  <c r="AM61" i="7" l="1"/>
  <c r="BL56" i="7"/>
  <c r="BC60" i="7"/>
  <c r="BB60" i="7"/>
  <c r="BF60" i="7" s="1"/>
  <c r="AG62" i="13" s="1"/>
  <c r="AC60" i="13"/>
  <c r="BG58" i="7"/>
  <c r="AQ59" i="7"/>
  <c r="AT59" i="7"/>
  <c r="AU59" i="7" s="1"/>
  <c r="AV59" i="7" s="1"/>
  <c r="BI59" i="7" s="1"/>
  <c r="AE58" i="13"/>
  <c r="BA56" i="7"/>
  <c r="BJ56" i="7"/>
  <c r="AF63" i="13"/>
  <c r="AD63" i="13"/>
  <c r="AB63" i="13"/>
  <c r="AF61" i="7"/>
  <c r="AE61" i="7"/>
  <c r="AR61" i="7"/>
  <c r="AK62" i="7"/>
  <c r="AW57" i="7"/>
  <c r="AZ57" i="7"/>
  <c r="BM57" i="7"/>
  <c r="BK60" i="7"/>
  <c r="BH60" i="7"/>
  <c r="BN60" i="7"/>
  <c r="AY59" i="7"/>
  <c r="AN60" i="7"/>
  <c r="AO60" i="7"/>
  <c r="AP58" i="7"/>
  <c r="BO58" i="7" s="1"/>
  <c r="BD57" i="7"/>
  <c r="AL62" i="7"/>
  <c r="BE57" i="7"/>
  <c r="AM62" i="7" l="1"/>
  <c r="BL57" i="7"/>
  <c r="BC61" i="7"/>
  <c r="BB61" i="7"/>
  <c r="BF61" i="7" s="1"/>
  <c r="AG63" i="13" s="1"/>
  <c r="AT60" i="7"/>
  <c r="AU60" i="7" s="1"/>
  <c r="AV60" i="7" s="1"/>
  <c r="BI60" i="7" s="1"/>
  <c r="AQ60" i="7"/>
  <c r="AW58" i="7"/>
  <c r="AZ58" i="7"/>
  <c r="BM58" i="7"/>
  <c r="BH61" i="7"/>
  <c r="BN61" i="7"/>
  <c r="BK61" i="7"/>
  <c r="AY60" i="7"/>
  <c r="AN61" i="7"/>
  <c r="AO61" i="7"/>
  <c r="AP59" i="7"/>
  <c r="BO59" i="7" s="1"/>
  <c r="AC61" i="13"/>
  <c r="BG59" i="7"/>
  <c r="AE59" i="13"/>
  <c r="BA57" i="7"/>
  <c r="BJ57" i="7"/>
  <c r="AD64" i="13"/>
  <c r="AB64" i="13"/>
  <c r="AF64" i="13"/>
  <c r="AE62" i="7"/>
  <c r="AF62" i="7"/>
  <c r="AR62" i="7"/>
  <c r="AK63" i="7"/>
  <c r="BE58" i="7"/>
  <c r="BD58" i="7"/>
  <c r="AL63" i="7"/>
  <c r="AM63" i="7" l="1"/>
  <c r="BL58" i="7"/>
  <c r="BC62" i="7"/>
  <c r="BB62" i="7"/>
  <c r="BF62" i="7" s="1"/>
  <c r="AG64" i="13" s="1"/>
  <c r="AF65" i="13"/>
  <c r="AD65" i="13"/>
  <c r="AB65" i="13"/>
  <c r="AF63" i="7"/>
  <c r="AE63" i="7"/>
  <c r="AK64" i="7"/>
  <c r="AR63" i="7"/>
  <c r="AC62" i="13"/>
  <c r="BG60" i="7"/>
  <c r="AW59" i="7"/>
  <c r="AZ59" i="7"/>
  <c r="BM59" i="7"/>
  <c r="AE60" i="13"/>
  <c r="BA58" i="7"/>
  <c r="BJ58" i="7"/>
  <c r="BK62" i="7"/>
  <c r="BH62" i="7"/>
  <c r="BN62" i="7"/>
  <c r="AQ61" i="7"/>
  <c r="AT61" i="7"/>
  <c r="AU61" i="7" s="1"/>
  <c r="AV61" i="7" s="1"/>
  <c r="BI61" i="7" s="1"/>
  <c r="AY61" i="7"/>
  <c r="AO62" i="7"/>
  <c r="AN62" i="7"/>
  <c r="AP60" i="7"/>
  <c r="BO60" i="7" s="1"/>
  <c r="BD59" i="7"/>
  <c r="BE59" i="7"/>
  <c r="AL64" i="7"/>
  <c r="AM64" i="7" l="1"/>
  <c r="BL59" i="7"/>
  <c r="BC63" i="7"/>
  <c r="BB63" i="7"/>
  <c r="BF63" i="7" s="1"/>
  <c r="AG65" i="13" s="1"/>
  <c r="AW60" i="7"/>
  <c r="AZ60" i="7"/>
  <c r="BM60" i="7"/>
  <c r="AN63" i="7"/>
  <c r="AY62" i="7"/>
  <c r="AO63" i="7"/>
  <c r="AP61" i="7"/>
  <c r="BO61" i="7" s="1"/>
  <c r="AC63" i="13"/>
  <c r="BG61" i="7"/>
  <c r="BH63" i="7"/>
  <c r="BN63" i="7"/>
  <c r="BK63" i="7"/>
  <c r="AE61" i="13"/>
  <c r="BA59" i="7"/>
  <c r="BJ59" i="7"/>
  <c r="AT62" i="7"/>
  <c r="AU62" i="7" s="1"/>
  <c r="AV62" i="7" s="1"/>
  <c r="BI62" i="7" s="1"/>
  <c r="AQ62" i="7"/>
  <c r="AF66" i="13"/>
  <c r="AD66" i="13"/>
  <c r="AB66" i="13"/>
  <c r="AE64" i="7"/>
  <c r="AF64" i="7"/>
  <c r="AK65" i="7"/>
  <c r="AR64" i="7"/>
  <c r="BD60" i="7"/>
  <c r="AL65" i="7"/>
  <c r="BE60" i="7"/>
  <c r="AM65" i="7" l="1"/>
  <c r="BL60" i="7"/>
  <c r="BC64" i="7"/>
  <c r="BB64" i="7"/>
  <c r="BF64" i="7" s="1"/>
  <c r="AG66" i="13" s="1"/>
  <c r="AB67" i="13"/>
  <c r="AD67" i="13"/>
  <c r="AF67" i="13"/>
  <c r="AF65" i="7"/>
  <c r="AE65" i="7"/>
  <c r="AK66" i="7"/>
  <c r="AR65" i="7"/>
  <c r="AY63" i="7"/>
  <c r="AO64" i="7"/>
  <c r="AN64" i="7"/>
  <c r="AP62" i="7"/>
  <c r="BO62" i="7" s="1"/>
  <c r="AC64" i="13"/>
  <c r="BG62" i="7"/>
  <c r="AQ63" i="7"/>
  <c r="AT63" i="7"/>
  <c r="AU63" i="7" s="1"/>
  <c r="AV63" i="7" s="1"/>
  <c r="BI63" i="7" s="1"/>
  <c r="BK64" i="7"/>
  <c r="BN64" i="7"/>
  <c r="BH64" i="7"/>
  <c r="AW61" i="7"/>
  <c r="AZ61" i="7"/>
  <c r="BM61" i="7"/>
  <c r="AE62" i="13"/>
  <c r="BA60" i="7"/>
  <c r="BJ60" i="7"/>
  <c r="BE61" i="7"/>
  <c r="AL66" i="7"/>
  <c r="BD61" i="7"/>
  <c r="AM66" i="7" l="1"/>
  <c r="BL61" i="7"/>
  <c r="BC65" i="7"/>
  <c r="BB65" i="7"/>
  <c r="BF65" i="7" s="1"/>
  <c r="AG67" i="13" s="1"/>
  <c r="BH65" i="7"/>
  <c r="BN65" i="7"/>
  <c r="BK65" i="7"/>
  <c r="AF68" i="13"/>
  <c r="AD68" i="13"/>
  <c r="AB68" i="13"/>
  <c r="AE66" i="7"/>
  <c r="AK67" i="7"/>
  <c r="AF66" i="7"/>
  <c r="AR66" i="7"/>
  <c r="AY64" i="7"/>
  <c r="AN65" i="7"/>
  <c r="AO65" i="7"/>
  <c r="AP63" i="7"/>
  <c r="BO63" i="7" s="1"/>
  <c r="AT64" i="7"/>
  <c r="AU64" i="7" s="1"/>
  <c r="AV64" i="7" s="1"/>
  <c r="BI64" i="7" s="1"/>
  <c r="AQ64" i="7"/>
  <c r="AW62" i="7"/>
  <c r="AZ62" i="7"/>
  <c r="BM62" i="7"/>
  <c r="AE63" i="13"/>
  <c r="BA61" i="7"/>
  <c r="BJ61" i="7"/>
  <c r="AC65" i="13"/>
  <c r="BG63" i="7"/>
  <c r="BE62" i="7"/>
  <c r="AL67" i="7"/>
  <c r="BD62" i="7"/>
  <c r="AM67" i="7" l="1"/>
  <c r="BL62" i="7"/>
  <c r="BC66" i="7"/>
  <c r="BB66" i="7"/>
  <c r="BF66" i="7" s="1"/>
  <c r="AG68" i="13" s="1"/>
  <c r="BK66" i="7"/>
  <c r="BN66" i="7"/>
  <c r="BH66" i="7"/>
  <c r="AW63" i="7"/>
  <c r="AZ63" i="7"/>
  <c r="BM63" i="7"/>
  <c r="AD69" i="13"/>
  <c r="AB69" i="13"/>
  <c r="AF69" i="13"/>
  <c r="AF67" i="7"/>
  <c r="AE67" i="7"/>
  <c r="AR67" i="7"/>
  <c r="AK68" i="7"/>
  <c r="AQ65" i="7"/>
  <c r="AT65" i="7"/>
  <c r="AU65" i="7" s="1"/>
  <c r="AV65" i="7" s="1"/>
  <c r="BI65" i="7" s="1"/>
  <c r="AY65" i="7"/>
  <c r="AO66" i="7"/>
  <c r="AN66" i="7"/>
  <c r="AP64" i="7"/>
  <c r="BO64" i="7" s="1"/>
  <c r="AE64" i="13"/>
  <c r="BA62" i="7"/>
  <c r="BJ62" i="7"/>
  <c r="AC66" i="13"/>
  <c r="BG64" i="7"/>
  <c r="AL68" i="7"/>
  <c r="BD63" i="7"/>
  <c r="BE63" i="7"/>
  <c r="AM68" i="7" l="1"/>
  <c r="BL63" i="7"/>
  <c r="BC67" i="7"/>
  <c r="BB67" i="7"/>
  <c r="BF67" i="7" s="1"/>
  <c r="AG69" i="13" s="1"/>
  <c r="BN67" i="7"/>
  <c r="BK67" i="7"/>
  <c r="BH67" i="7"/>
  <c r="AW64" i="7"/>
  <c r="AZ64" i="7"/>
  <c r="BM64" i="7"/>
  <c r="AB70" i="13"/>
  <c r="AD70" i="13"/>
  <c r="AF70" i="13"/>
  <c r="AF68" i="7"/>
  <c r="AE68" i="7"/>
  <c r="AK69" i="7"/>
  <c r="AR68" i="7"/>
  <c r="AE65" i="13"/>
  <c r="BA63" i="7"/>
  <c r="BJ63" i="7"/>
  <c r="AC67" i="13"/>
  <c r="BG65" i="7"/>
  <c r="AO67" i="7"/>
  <c r="AY66" i="7"/>
  <c r="AN67" i="7"/>
  <c r="AP65" i="7"/>
  <c r="BO65" i="7" s="1"/>
  <c r="AT66" i="7"/>
  <c r="AU66" i="7" s="1"/>
  <c r="AV66" i="7" s="1"/>
  <c r="BI66" i="7" s="1"/>
  <c r="AQ66" i="7"/>
  <c r="BE64" i="7"/>
  <c r="BD64" i="7"/>
  <c r="AL69" i="7"/>
  <c r="AM69" i="7" l="1"/>
  <c r="BL64" i="7"/>
  <c r="BB68" i="7"/>
  <c r="BF68" i="7" s="1"/>
  <c r="AG70" i="13" s="1"/>
  <c r="BC68" i="7"/>
  <c r="BH68" i="7"/>
  <c r="BN68" i="7"/>
  <c r="BK68" i="7"/>
  <c r="AY67" i="7"/>
  <c r="AO68" i="7"/>
  <c r="AN68" i="7"/>
  <c r="AP66" i="7"/>
  <c r="BO66" i="7" s="1"/>
  <c r="AW65" i="7"/>
  <c r="AZ65" i="7"/>
  <c r="BM65" i="7"/>
  <c r="AQ67" i="7"/>
  <c r="AT67" i="7"/>
  <c r="AU67" i="7" s="1"/>
  <c r="AV67" i="7" s="1"/>
  <c r="BI67" i="7" s="1"/>
  <c r="AF71" i="13"/>
  <c r="AD71" i="13"/>
  <c r="AB71" i="13"/>
  <c r="AF69" i="7"/>
  <c r="AE69" i="7"/>
  <c r="AR69" i="7"/>
  <c r="AK70" i="7"/>
  <c r="AE66" i="13"/>
  <c r="BA64" i="7"/>
  <c r="BJ64" i="7"/>
  <c r="AC68" i="13"/>
  <c r="BG66" i="7"/>
  <c r="BE65" i="7"/>
  <c r="AL70" i="7"/>
  <c r="BD65" i="7"/>
  <c r="AM70" i="7" l="1"/>
  <c r="BL65" i="7"/>
  <c r="BC69" i="7"/>
  <c r="BB69" i="7"/>
  <c r="BF69" i="7" s="1"/>
  <c r="AG71" i="13" s="1"/>
  <c r="BN69" i="7"/>
  <c r="BK69" i="7"/>
  <c r="BH69" i="7"/>
  <c r="AE67" i="13"/>
  <c r="BA65" i="7"/>
  <c r="BJ65" i="7"/>
  <c r="AW66" i="7"/>
  <c r="AZ66" i="7"/>
  <c r="BM66" i="7"/>
  <c r="AT68" i="7"/>
  <c r="AU68" i="7" s="1"/>
  <c r="AV68" i="7" s="1"/>
  <c r="BI68" i="7" s="1"/>
  <c r="AQ68" i="7"/>
  <c r="AC69" i="13"/>
  <c r="BG67" i="7"/>
  <c r="AD72" i="13"/>
  <c r="AB72" i="13"/>
  <c r="AF72" i="13"/>
  <c r="AF70" i="7"/>
  <c r="AE70" i="7"/>
  <c r="AK71" i="7"/>
  <c r="AR70" i="7"/>
  <c r="AN69" i="7"/>
  <c r="AY68" i="7"/>
  <c r="AO69" i="7"/>
  <c r="AP67" i="7"/>
  <c r="BO67" i="7" s="1"/>
  <c r="BE66" i="7"/>
  <c r="BD66" i="7"/>
  <c r="AL71" i="7"/>
  <c r="AM71" i="7" l="1"/>
  <c r="BL66" i="7"/>
  <c r="BB70" i="7"/>
  <c r="BF70" i="7" s="1"/>
  <c r="AG72" i="13" s="1"/>
  <c r="BC70" i="7"/>
  <c r="AQ69" i="7"/>
  <c r="AT69" i="7"/>
  <c r="AU69" i="7" s="1"/>
  <c r="AV69" i="7" s="1"/>
  <c r="BI69" i="7" s="1"/>
  <c r="BH70" i="7"/>
  <c r="BN70" i="7"/>
  <c r="BK70" i="7"/>
  <c r="AC70" i="13"/>
  <c r="BG68" i="7"/>
  <c r="AE68" i="13"/>
  <c r="BA66" i="7"/>
  <c r="BJ66" i="7"/>
  <c r="AW67" i="7"/>
  <c r="AZ67" i="7"/>
  <c r="BM67" i="7"/>
  <c r="AN70" i="7"/>
  <c r="AY69" i="7"/>
  <c r="AO70" i="7"/>
  <c r="AP68" i="7"/>
  <c r="BO68" i="7" s="1"/>
  <c r="AF73" i="13"/>
  <c r="AD73" i="13"/>
  <c r="AB73" i="13"/>
  <c r="AF71" i="7"/>
  <c r="AE71" i="7"/>
  <c r="AR71" i="7"/>
  <c r="AK72" i="7"/>
  <c r="BE67" i="7"/>
  <c r="BD67" i="7"/>
  <c r="AL72" i="7"/>
  <c r="AM72" i="7" l="1"/>
  <c r="BL67" i="7"/>
  <c r="BC71" i="7"/>
  <c r="BB71" i="7"/>
  <c r="BF71" i="7" s="1"/>
  <c r="AG73" i="13" s="1"/>
  <c r="AT70" i="7"/>
  <c r="AU70" i="7" s="1"/>
  <c r="AV70" i="7" s="1"/>
  <c r="BI70" i="7" s="1"/>
  <c r="AQ70" i="7"/>
  <c r="AN71" i="7"/>
  <c r="AY70" i="7"/>
  <c r="AO71" i="7"/>
  <c r="AP69" i="7"/>
  <c r="BO69" i="7" s="1"/>
  <c r="BH71" i="7"/>
  <c r="BN71" i="7"/>
  <c r="BK71" i="7"/>
  <c r="AE69" i="13"/>
  <c r="BA67" i="7"/>
  <c r="BJ67" i="7"/>
  <c r="AF74" i="13"/>
  <c r="AD74" i="13"/>
  <c r="AB74" i="13"/>
  <c r="AF72" i="7"/>
  <c r="AE72" i="7"/>
  <c r="AR72" i="7"/>
  <c r="AK73" i="7"/>
  <c r="AC71" i="13"/>
  <c r="BG69" i="7"/>
  <c r="AW68" i="7"/>
  <c r="AZ68" i="7"/>
  <c r="BM68" i="7"/>
  <c r="BD68" i="7"/>
  <c r="BE68" i="7"/>
  <c r="AL73" i="7"/>
  <c r="AM73" i="7" l="1"/>
  <c r="BL68" i="7"/>
  <c r="BC72" i="7"/>
  <c r="BB72" i="7"/>
  <c r="BF72" i="7" s="1"/>
  <c r="AG74" i="13" s="1"/>
  <c r="AW69" i="7"/>
  <c r="AZ69" i="7"/>
  <c r="BM69" i="7"/>
  <c r="AC72" i="13"/>
  <c r="BG70" i="7"/>
  <c r="AT71" i="7"/>
  <c r="AU71" i="7" s="1"/>
  <c r="AV71" i="7" s="1"/>
  <c r="BI71" i="7" s="1"/>
  <c r="AQ71" i="7"/>
  <c r="AO72" i="7"/>
  <c r="AY71" i="7"/>
  <c r="AN72" i="7"/>
  <c r="AP70" i="7"/>
  <c r="BO70" i="7" s="1"/>
  <c r="AE70" i="13"/>
  <c r="BA68" i="7"/>
  <c r="BJ68" i="7"/>
  <c r="AB75" i="13"/>
  <c r="AD75" i="13"/>
  <c r="AF75" i="13"/>
  <c r="AF73" i="7"/>
  <c r="AE73" i="7"/>
  <c r="AK74" i="7"/>
  <c r="AR73" i="7"/>
  <c r="BN72" i="7"/>
  <c r="BH72" i="7"/>
  <c r="BK72" i="7"/>
  <c r="AL74" i="7"/>
  <c r="BD69" i="7"/>
  <c r="BE69" i="7"/>
  <c r="AM74" i="7" l="1"/>
  <c r="BL69" i="7"/>
  <c r="BB73" i="7"/>
  <c r="BF73" i="7" s="1"/>
  <c r="AG75" i="13" s="1"/>
  <c r="BC73" i="7"/>
  <c r="AW70" i="7"/>
  <c r="AZ70" i="7"/>
  <c r="BM70" i="7"/>
  <c r="AY72" i="7"/>
  <c r="AN73" i="7"/>
  <c r="AO73" i="7"/>
  <c r="AP71" i="7"/>
  <c r="BO71" i="7" s="1"/>
  <c r="AD76" i="13"/>
  <c r="AB76" i="13"/>
  <c r="AF76" i="13"/>
  <c r="AF74" i="7"/>
  <c r="AE74" i="7"/>
  <c r="AR74" i="7"/>
  <c r="AK75" i="7"/>
  <c r="AC73" i="13"/>
  <c r="BG71" i="7"/>
  <c r="BH73" i="7"/>
  <c r="BN73" i="7"/>
  <c r="BK73" i="7"/>
  <c r="AQ72" i="7"/>
  <c r="AT72" i="7"/>
  <c r="AU72" i="7" s="1"/>
  <c r="AV72" i="7" s="1"/>
  <c r="BI72" i="7" s="1"/>
  <c r="AE71" i="13"/>
  <c r="BA69" i="7"/>
  <c r="BJ69" i="7"/>
  <c r="BE70" i="7"/>
  <c r="AL75" i="7"/>
  <c r="BD70" i="7"/>
  <c r="AM75" i="7" l="1"/>
  <c r="BL70" i="7"/>
  <c r="BB74" i="7"/>
  <c r="BF74" i="7" s="1"/>
  <c r="AG76" i="13" s="1"/>
  <c r="BC74" i="7"/>
  <c r="AF77" i="13"/>
  <c r="AB77" i="13"/>
  <c r="AD77" i="13"/>
  <c r="AF75" i="7"/>
  <c r="AE75" i="7"/>
  <c r="AK76" i="7"/>
  <c r="AR75" i="7"/>
  <c r="AO74" i="7"/>
  <c r="AY73" i="7"/>
  <c r="AN74" i="7"/>
  <c r="AP72" i="7"/>
  <c r="BO72" i="7" s="1"/>
  <c r="AT73" i="7"/>
  <c r="AU73" i="7" s="1"/>
  <c r="AV73" i="7" s="1"/>
  <c r="BI73" i="7" s="1"/>
  <c r="AQ73" i="7"/>
  <c r="AC74" i="13"/>
  <c r="BG72" i="7"/>
  <c r="BN74" i="7"/>
  <c r="BH74" i="7"/>
  <c r="BK74" i="7"/>
  <c r="AW71" i="7"/>
  <c r="AZ71" i="7"/>
  <c r="BM71" i="7"/>
  <c r="AE72" i="13"/>
  <c r="BA70" i="7"/>
  <c r="BJ70" i="7"/>
  <c r="BE71" i="7"/>
  <c r="AL76" i="7"/>
  <c r="BD71" i="7"/>
  <c r="AM76" i="7" l="1"/>
  <c r="BL71" i="7"/>
  <c r="BB75" i="7"/>
  <c r="BF75" i="7" s="1"/>
  <c r="AG77" i="13" s="1"/>
  <c r="BC75" i="7"/>
  <c r="AW72" i="7"/>
  <c r="AZ72" i="7"/>
  <c r="BM72" i="7"/>
  <c r="AF78" i="13"/>
  <c r="AD78" i="13"/>
  <c r="AB78" i="13"/>
  <c r="AF76" i="7"/>
  <c r="AE76" i="7"/>
  <c r="AR76" i="7"/>
  <c r="AK77" i="7"/>
  <c r="AC75" i="13"/>
  <c r="BG73" i="7"/>
  <c r="AY74" i="7"/>
  <c r="AO75" i="7"/>
  <c r="AN75" i="7"/>
  <c r="AP73" i="7"/>
  <c r="BO73" i="7" s="1"/>
  <c r="AT74" i="7"/>
  <c r="AU74" i="7" s="1"/>
  <c r="AV74" i="7" s="1"/>
  <c r="BI74" i="7" s="1"/>
  <c r="AQ74" i="7"/>
  <c r="BH75" i="7"/>
  <c r="BN75" i="7"/>
  <c r="BK75" i="7"/>
  <c r="AE73" i="13"/>
  <c r="BA71" i="7"/>
  <c r="BJ71" i="7"/>
  <c r="AL77" i="7"/>
  <c r="BD72" i="7"/>
  <c r="BE72" i="7"/>
  <c r="AM77" i="7" l="1"/>
  <c r="BL72" i="7"/>
  <c r="BB76" i="7"/>
  <c r="BF76" i="7" s="1"/>
  <c r="AG78" i="13" s="1"/>
  <c r="BC76" i="7"/>
  <c r="AC76" i="13"/>
  <c r="BG74" i="7"/>
  <c r="BN76" i="7"/>
  <c r="BH76" i="7"/>
  <c r="BK76" i="7"/>
  <c r="AT75" i="7"/>
  <c r="AU75" i="7" s="1"/>
  <c r="AV75" i="7" s="1"/>
  <c r="BI75" i="7" s="1"/>
  <c r="AQ75" i="7"/>
  <c r="AW73" i="7"/>
  <c r="AZ73" i="7"/>
  <c r="BM73" i="7"/>
  <c r="AB79" i="13"/>
  <c r="AD79" i="13"/>
  <c r="AF79" i="13"/>
  <c r="AF77" i="7"/>
  <c r="AE77" i="7"/>
  <c r="AK78" i="7"/>
  <c r="AR77" i="7"/>
  <c r="AO76" i="7"/>
  <c r="AY75" i="7"/>
  <c r="AN76" i="7"/>
  <c r="AP74" i="7"/>
  <c r="BO74" i="7" s="1"/>
  <c r="AE74" i="13"/>
  <c r="BA72" i="7"/>
  <c r="BJ72" i="7"/>
  <c r="AL78" i="7"/>
  <c r="BE73" i="7"/>
  <c r="BD73" i="7"/>
  <c r="AM78" i="7" l="1"/>
  <c r="BL73" i="7"/>
  <c r="BB77" i="7"/>
  <c r="BF77" i="7" s="1"/>
  <c r="AG79" i="13" s="1"/>
  <c r="BC77" i="7"/>
  <c r="AC77" i="13"/>
  <c r="BG75" i="7"/>
  <c r="AY76" i="7"/>
  <c r="AO77" i="7"/>
  <c r="AN77" i="7"/>
  <c r="AP75" i="7"/>
  <c r="BO75" i="7" s="1"/>
  <c r="AW74" i="7"/>
  <c r="AZ74" i="7"/>
  <c r="BM74" i="7"/>
  <c r="AF80" i="13"/>
  <c r="AD80" i="13"/>
  <c r="AB80" i="13"/>
  <c r="AF78" i="7"/>
  <c r="AE78" i="7"/>
  <c r="AR78" i="7"/>
  <c r="AK79" i="7"/>
  <c r="AE75" i="13"/>
  <c r="BA73" i="7"/>
  <c r="BJ73" i="7"/>
  <c r="BH77" i="7"/>
  <c r="BN77" i="7"/>
  <c r="BK77" i="7"/>
  <c r="AQ76" i="7"/>
  <c r="AT76" i="7"/>
  <c r="AU76" i="7" s="1"/>
  <c r="AV76" i="7" s="1"/>
  <c r="BI76" i="7" s="1"/>
  <c r="BD74" i="7"/>
  <c r="BE74" i="7"/>
  <c r="AL79" i="7"/>
  <c r="AM79" i="7" l="1"/>
  <c r="BL74" i="7"/>
  <c r="BC78" i="7"/>
  <c r="BB78" i="7"/>
  <c r="BF78" i="7" s="1"/>
  <c r="AG80" i="13" s="1"/>
  <c r="BN78" i="7"/>
  <c r="BH78" i="7"/>
  <c r="BK78" i="7"/>
  <c r="AO78" i="7"/>
  <c r="AY77" i="7"/>
  <c r="AN78" i="7"/>
  <c r="AP76" i="7"/>
  <c r="BO76" i="7" s="1"/>
  <c r="AC78" i="13"/>
  <c r="BG76" i="7"/>
  <c r="AT77" i="7"/>
  <c r="AU77" i="7" s="1"/>
  <c r="AV77" i="7" s="1"/>
  <c r="BI77" i="7" s="1"/>
  <c r="AQ77" i="7"/>
  <c r="AD81" i="13"/>
  <c r="AF81" i="13"/>
  <c r="AB81" i="13"/>
  <c r="AF79" i="7"/>
  <c r="AE79" i="7"/>
  <c r="AK80" i="7"/>
  <c r="AR79" i="7"/>
  <c r="AW75" i="7"/>
  <c r="AZ75" i="7"/>
  <c r="BM75" i="7"/>
  <c r="AE76" i="13"/>
  <c r="BA74" i="7"/>
  <c r="BJ74" i="7"/>
  <c r="BD75" i="7"/>
  <c r="BE75" i="7"/>
  <c r="AL80" i="7"/>
  <c r="AM80" i="7" l="1"/>
  <c r="BL75" i="7"/>
  <c r="BB79" i="7"/>
  <c r="BF79" i="7" s="1"/>
  <c r="AG81" i="13" s="1"/>
  <c r="BC79" i="7"/>
  <c r="BH79" i="7"/>
  <c r="BN79" i="7"/>
  <c r="BK79" i="7"/>
  <c r="AY78" i="7"/>
  <c r="AO79" i="7"/>
  <c r="AN79" i="7"/>
  <c r="AP77" i="7"/>
  <c r="BO77" i="7" s="1"/>
  <c r="AW76" i="7"/>
  <c r="AZ76" i="7"/>
  <c r="BM76" i="7"/>
  <c r="AC79" i="13"/>
  <c r="BG77" i="7"/>
  <c r="AE77" i="13"/>
  <c r="BA75" i="7"/>
  <c r="BJ75" i="7"/>
  <c r="AT78" i="7"/>
  <c r="AU78" i="7" s="1"/>
  <c r="AV78" i="7" s="1"/>
  <c r="BI78" i="7" s="1"/>
  <c r="AQ78" i="7"/>
  <c r="AB82" i="13"/>
  <c r="AF82" i="13"/>
  <c r="AD82" i="13"/>
  <c r="AF80" i="7"/>
  <c r="AE80" i="7"/>
  <c r="AR80" i="7"/>
  <c r="AK81" i="7"/>
  <c r="BD76" i="7"/>
  <c r="AL81" i="7"/>
  <c r="BE76" i="7"/>
  <c r="AM81" i="7" l="1"/>
  <c r="BL76" i="7"/>
  <c r="BC80" i="7"/>
  <c r="BB80" i="7"/>
  <c r="BF80" i="7" s="1"/>
  <c r="AG82" i="13" s="1"/>
  <c r="AE78" i="13"/>
  <c r="BA76" i="7"/>
  <c r="BJ76" i="7"/>
  <c r="AO80" i="7"/>
  <c r="AY79" i="7"/>
  <c r="AN80" i="7"/>
  <c r="AP78" i="7"/>
  <c r="BO78" i="7" s="1"/>
  <c r="BN80" i="7"/>
  <c r="BH80" i="7"/>
  <c r="BK80" i="7"/>
  <c r="AT79" i="7"/>
  <c r="AU79" i="7" s="1"/>
  <c r="AV79" i="7" s="1"/>
  <c r="BI79" i="7" s="1"/>
  <c r="AQ79" i="7"/>
  <c r="AF83" i="13"/>
  <c r="AD83" i="13"/>
  <c r="AB83" i="13"/>
  <c r="AF81" i="7"/>
  <c r="AE81" i="7"/>
  <c r="AK82" i="7"/>
  <c r="AR81" i="7"/>
  <c r="AW77" i="7"/>
  <c r="AZ77" i="7"/>
  <c r="BM77" i="7"/>
  <c r="AC80" i="13"/>
  <c r="BG78" i="7"/>
  <c r="BE77" i="7"/>
  <c r="BD77" i="7"/>
  <c r="AL82" i="7"/>
  <c r="AM82" i="7" l="1"/>
  <c r="BL77" i="7"/>
  <c r="BC81" i="7"/>
  <c r="BB81" i="7"/>
  <c r="BF81" i="7" s="1"/>
  <c r="AG83" i="13" s="1"/>
  <c r="AW78" i="7"/>
  <c r="AZ78" i="7"/>
  <c r="BM78" i="7"/>
  <c r="AC81" i="13"/>
  <c r="BG79" i="7"/>
  <c r="AQ80" i="7"/>
  <c r="AT80" i="7"/>
  <c r="AU80" i="7" s="1"/>
  <c r="AV80" i="7" s="1"/>
  <c r="BI80" i="7" s="1"/>
  <c r="BH81" i="7"/>
  <c r="BN81" i="7"/>
  <c r="BK81" i="7"/>
  <c r="AY80" i="7"/>
  <c r="AO81" i="7"/>
  <c r="AN81" i="7"/>
  <c r="AP79" i="7"/>
  <c r="BO79" i="7" s="1"/>
  <c r="AE79" i="13"/>
  <c r="BA77" i="7"/>
  <c r="BJ77" i="7"/>
  <c r="AD84" i="13"/>
  <c r="AB84" i="13"/>
  <c r="AF84" i="13"/>
  <c r="AR82" i="7"/>
  <c r="AF82" i="7"/>
  <c r="AE82" i="7"/>
  <c r="AK83" i="7"/>
  <c r="BD78" i="7"/>
  <c r="BE78" i="7"/>
  <c r="AL83" i="7"/>
  <c r="AM83" i="7" l="1"/>
  <c r="BL78" i="7"/>
  <c r="BC82" i="7"/>
  <c r="BB82" i="7"/>
  <c r="BF82" i="7" s="1"/>
  <c r="AG84" i="13" s="1"/>
  <c r="AW79" i="7"/>
  <c r="AZ79" i="7"/>
  <c r="BM79" i="7"/>
  <c r="BH82" i="7"/>
  <c r="BN82" i="7"/>
  <c r="BK82" i="7"/>
  <c r="AT81" i="7"/>
  <c r="AU81" i="7" s="1"/>
  <c r="AV81" i="7" s="1"/>
  <c r="BI81" i="7" s="1"/>
  <c r="AQ81" i="7"/>
  <c r="AF85" i="13"/>
  <c r="AD85" i="13"/>
  <c r="AB85" i="13"/>
  <c r="AE83" i="7"/>
  <c r="AK84" i="7"/>
  <c r="AF83" i="7"/>
  <c r="AR83" i="7"/>
  <c r="AY81" i="7"/>
  <c r="AO82" i="7"/>
  <c r="AN82" i="7"/>
  <c r="AP80" i="7"/>
  <c r="BO80" i="7" s="1"/>
  <c r="AC82" i="13"/>
  <c r="BG80" i="7"/>
  <c r="AE80" i="13"/>
  <c r="BA78" i="7"/>
  <c r="BJ78" i="7"/>
  <c r="AL84" i="7"/>
  <c r="BE79" i="7"/>
  <c r="BD79" i="7"/>
  <c r="AM84" i="7" l="1"/>
  <c r="BL79" i="7"/>
  <c r="BB83" i="7"/>
  <c r="BF83" i="7" s="1"/>
  <c r="AG85" i="13" s="1"/>
  <c r="BC83" i="7"/>
  <c r="BH83" i="7"/>
  <c r="BN83" i="7"/>
  <c r="BK83" i="7"/>
  <c r="AW80" i="7"/>
  <c r="AZ80" i="7"/>
  <c r="BM80" i="7"/>
  <c r="AQ82" i="7"/>
  <c r="AT82" i="7"/>
  <c r="AU82" i="7" s="1"/>
  <c r="AV82" i="7" s="1"/>
  <c r="BI82" i="7" s="1"/>
  <c r="AF86" i="13"/>
  <c r="AD86" i="13"/>
  <c r="AB86" i="13"/>
  <c r="AR84" i="7"/>
  <c r="AF84" i="7"/>
  <c r="AE84" i="7"/>
  <c r="AK85" i="7"/>
  <c r="AC83" i="13"/>
  <c r="BG81" i="7"/>
  <c r="AY82" i="7"/>
  <c r="AO83" i="7"/>
  <c r="AN83" i="7"/>
  <c r="AP81" i="7"/>
  <c r="BO81" i="7" s="1"/>
  <c r="AE81" i="13"/>
  <c r="BA79" i="7"/>
  <c r="BJ79" i="7"/>
  <c r="AL85" i="7"/>
  <c r="BD80" i="7"/>
  <c r="BE80" i="7"/>
  <c r="AM85" i="7" l="1"/>
  <c r="BL80" i="7"/>
  <c r="BC84" i="7"/>
  <c r="BB84" i="7"/>
  <c r="BF84" i="7" s="1"/>
  <c r="AG86" i="13" s="1"/>
  <c r="AW81" i="7"/>
  <c r="AZ81" i="7"/>
  <c r="BM81" i="7"/>
  <c r="BH84" i="7"/>
  <c r="BN84" i="7"/>
  <c r="BK84" i="7"/>
  <c r="AB87" i="13"/>
  <c r="AD87" i="13"/>
  <c r="AF87" i="13"/>
  <c r="AE85" i="7"/>
  <c r="AK86" i="7"/>
  <c r="AF85" i="7"/>
  <c r="AR85" i="7"/>
  <c r="AY83" i="7"/>
  <c r="AO84" i="7"/>
  <c r="AN84" i="7"/>
  <c r="AP82" i="7"/>
  <c r="BO82" i="7" s="1"/>
  <c r="AC84" i="13"/>
  <c r="BG82" i="7"/>
  <c r="AE82" i="13"/>
  <c r="BA80" i="7"/>
  <c r="BJ80" i="7"/>
  <c r="AT83" i="7"/>
  <c r="AU83" i="7" s="1"/>
  <c r="AV83" i="7" s="1"/>
  <c r="BI83" i="7" s="1"/>
  <c r="AQ83" i="7"/>
  <c r="BE81" i="7"/>
  <c r="BD81" i="7"/>
  <c r="AL86" i="7"/>
  <c r="AM86" i="7" l="1"/>
  <c r="BL81" i="7"/>
  <c r="BB85" i="7"/>
  <c r="BF85" i="7" s="1"/>
  <c r="AG87" i="13" s="1"/>
  <c r="BC85" i="7"/>
  <c r="AY84" i="7"/>
  <c r="AO85" i="7"/>
  <c r="AN85" i="7"/>
  <c r="AP83" i="7"/>
  <c r="BO83" i="7" s="1"/>
  <c r="AQ84" i="7"/>
  <c r="AT84" i="7"/>
  <c r="AU84" i="7" s="1"/>
  <c r="AV84" i="7" s="1"/>
  <c r="BI84" i="7" s="1"/>
  <c r="BH85" i="7"/>
  <c r="BK85" i="7"/>
  <c r="BN85" i="7"/>
  <c r="AW82" i="7"/>
  <c r="AZ82" i="7"/>
  <c r="BM82" i="7"/>
  <c r="AC85" i="13"/>
  <c r="BG83" i="7"/>
  <c r="AF88" i="13"/>
  <c r="AD88" i="13"/>
  <c r="AB88" i="13"/>
  <c r="AR86" i="7"/>
  <c r="AF86" i="7"/>
  <c r="AE86" i="7"/>
  <c r="AK87" i="7"/>
  <c r="AE83" i="13"/>
  <c r="BA81" i="7"/>
  <c r="BJ81" i="7"/>
  <c r="AL87" i="7"/>
  <c r="BD82" i="7"/>
  <c r="BE82" i="7"/>
  <c r="AM87" i="7" l="1"/>
  <c r="BL82" i="7"/>
  <c r="BB86" i="7"/>
  <c r="BF86" i="7" s="1"/>
  <c r="AG88" i="13" s="1"/>
  <c r="BC86" i="7"/>
  <c r="AY85" i="7"/>
  <c r="AO86" i="7"/>
  <c r="AN86" i="7"/>
  <c r="AP84" i="7"/>
  <c r="BO84" i="7" s="1"/>
  <c r="AW83" i="7"/>
  <c r="AZ83" i="7"/>
  <c r="BM83" i="7"/>
  <c r="BH86" i="7"/>
  <c r="BN86" i="7"/>
  <c r="BK86" i="7"/>
  <c r="AT85" i="7"/>
  <c r="AU85" i="7" s="1"/>
  <c r="AV85" i="7" s="1"/>
  <c r="BI85" i="7" s="1"/>
  <c r="AQ85" i="7"/>
  <c r="AE84" i="13"/>
  <c r="BA82" i="7"/>
  <c r="BJ82" i="7"/>
  <c r="AC86" i="13"/>
  <c r="BG84" i="7"/>
  <c r="AD89" i="13"/>
  <c r="AB89" i="13"/>
  <c r="AF89" i="13"/>
  <c r="AE87" i="7"/>
  <c r="AF87" i="7"/>
  <c r="AK88" i="7"/>
  <c r="AR87" i="7"/>
  <c r="BD83" i="7"/>
  <c r="AL88" i="7"/>
  <c r="BE83" i="7"/>
  <c r="AM88" i="7" l="1"/>
  <c r="BL83" i="7"/>
  <c r="BC87" i="7"/>
  <c r="BB87" i="7"/>
  <c r="BF87" i="7" s="1"/>
  <c r="AG89" i="13" s="1"/>
  <c r="AB90" i="13"/>
  <c r="AF90" i="13"/>
  <c r="AD90" i="13"/>
  <c r="AR88" i="7"/>
  <c r="AF88" i="7"/>
  <c r="AE88" i="7"/>
  <c r="AK89" i="7"/>
  <c r="AY86" i="7"/>
  <c r="AO87" i="7"/>
  <c r="AN87" i="7"/>
  <c r="AP85" i="7"/>
  <c r="BO85" i="7" s="1"/>
  <c r="BH87" i="7"/>
  <c r="BN87" i="7"/>
  <c r="BK87" i="7"/>
  <c r="AQ86" i="7"/>
  <c r="AT86" i="7"/>
  <c r="AU86" i="7" s="1"/>
  <c r="AV86" i="7" s="1"/>
  <c r="BI86" i="7" s="1"/>
  <c r="AW84" i="7"/>
  <c r="AZ84" i="7"/>
  <c r="BM84" i="7"/>
  <c r="AE85" i="13"/>
  <c r="BA83" i="7"/>
  <c r="BJ83" i="7"/>
  <c r="AC87" i="13"/>
  <c r="BG85" i="7"/>
  <c r="AL89" i="7"/>
  <c r="BE84" i="7"/>
  <c r="BD84" i="7"/>
  <c r="AM89" i="7" l="1"/>
  <c r="BL84" i="7"/>
  <c r="BB88" i="7"/>
  <c r="BF88" i="7" s="1"/>
  <c r="AG90" i="13" s="1"/>
  <c r="BC88" i="7"/>
  <c r="AF91" i="13"/>
  <c r="AD91" i="13"/>
  <c r="AB91" i="13"/>
  <c r="AE89" i="7"/>
  <c r="AK90" i="7"/>
  <c r="AF89" i="7"/>
  <c r="AR89" i="7"/>
  <c r="BH88" i="7"/>
  <c r="BN88" i="7"/>
  <c r="BK88" i="7"/>
  <c r="AY87" i="7"/>
  <c r="AO88" i="7"/>
  <c r="AN88" i="7"/>
  <c r="AP86" i="7"/>
  <c r="BO86" i="7" s="1"/>
  <c r="AT87" i="7"/>
  <c r="AU87" i="7" s="1"/>
  <c r="AV87" i="7" s="1"/>
  <c r="BI87" i="7" s="1"/>
  <c r="AQ87" i="7"/>
  <c r="AW85" i="7"/>
  <c r="AZ85" i="7"/>
  <c r="BM85" i="7"/>
  <c r="AE86" i="13"/>
  <c r="BA84" i="7"/>
  <c r="BJ84" i="7"/>
  <c r="AC88" i="13"/>
  <c r="BG86" i="7"/>
  <c r="AL90" i="7"/>
  <c r="BE85" i="7"/>
  <c r="BD85" i="7"/>
  <c r="AM90" i="7" l="1"/>
  <c r="BL85" i="7"/>
  <c r="BB89" i="7"/>
  <c r="BF89" i="7" s="1"/>
  <c r="AG91" i="13" s="1"/>
  <c r="BC89" i="7"/>
  <c r="BH89" i="7"/>
  <c r="BK89" i="7"/>
  <c r="BN89" i="7"/>
  <c r="AY88" i="7"/>
  <c r="AO89" i="7"/>
  <c r="AN89" i="7"/>
  <c r="AP87" i="7"/>
  <c r="BO87" i="7" s="1"/>
  <c r="AF92" i="13"/>
  <c r="AD92" i="13"/>
  <c r="AB92" i="13"/>
  <c r="AR90" i="7"/>
  <c r="AF90" i="7"/>
  <c r="AE90" i="7"/>
  <c r="AK91" i="7"/>
  <c r="AW86" i="7"/>
  <c r="AZ86" i="7"/>
  <c r="BM86" i="7"/>
  <c r="AQ88" i="7"/>
  <c r="AT88" i="7"/>
  <c r="AU88" i="7" s="1"/>
  <c r="AV88" i="7" s="1"/>
  <c r="BI88" i="7" s="1"/>
  <c r="AC89" i="13"/>
  <c r="BG87" i="7"/>
  <c r="AE87" i="13"/>
  <c r="BA85" i="7"/>
  <c r="BJ85" i="7"/>
  <c r="BD86" i="7"/>
  <c r="BE86" i="7"/>
  <c r="AL91" i="7"/>
  <c r="AM91" i="7" l="1"/>
  <c r="BL86" i="7"/>
  <c r="BB90" i="7"/>
  <c r="BF90" i="7" s="1"/>
  <c r="AG92" i="13" s="1"/>
  <c r="BC90" i="7"/>
  <c r="AE88" i="13"/>
  <c r="BA86" i="7"/>
  <c r="BJ86" i="7"/>
  <c r="AW87" i="7"/>
  <c r="AZ87" i="7"/>
  <c r="BM87" i="7"/>
  <c r="AT89" i="7"/>
  <c r="AU89" i="7" s="1"/>
  <c r="AV89" i="7" s="1"/>
  <c r="BI89" i="7" s="1"/>
  <c r="AQ89" i="7"/>
  <c r="AB93" i="13"/>
  <c r="AD93" i="13"/>
  <c r="AF93" i="13"/>
  <c r="AE91" i="7"/>
  <c r="AK92" i="7"/>
  <c r="AF91" i="7"/>
  <c r="AR91" i="7"/>
  <c r="AC90" i="13"/>
  <c r="BG88" i="7"/>
  <c r="AY89" i="7"/>
  <c r="AO90" i="7"/>
  <c r="AN90" i="7"/>
  <c r="AP88" i="7"/>
  <c r="BO88" i="7" s="1"/>
  <c r="BH90" i="7"/>
  <c r="BN90" i="7"/>
  <c r="BK90" i="7"/>
  <c r="BE87" i="7"/>
  <c r="BD87" i="7"/>
  <c r="AL92" i="7"/>
  <c r="AM92" i="7" l="1"/>
  <c r="BL87" i="7"/>
  <c r="BB91" i="7"/>
  <c r="BF91" i="7" s="1"/>
  <c r="AG93" i="13" s="1"/>
  <c r="BC91" i="7"/>
  <c r="BH91" i="7"/>
  <c r="BN91" i="7"/>
  <c r="BK91" i="7"/>
  <c r="AE89" i="13"/>
  <c r="BA87" i="7"/>
  <c r="BJ87" i="7"/>
  <c r="AW88" i="7"/>
  <c r="AZ88" i="7"/>
  <c r="BM88" i="7"/>
  <c r="AC91" i="13"/>
  <c r="BG89" i="7"/>
  <c r="AY90" i="7"/>
  <c r="AN91" i="7"/>
  <c r="AO91" i="7"/>
  <c r="AP89" i="7"/>
  <c r="BO89" i="7" s="1"/>
  <c r="AB94" i="13"/>
  <c r="AF94" i="13"/>
  <c r="AD94" i="13"/>
  <c r="AR92" i="7"/>
  <c r="AF92" i="7"/>
  <c r="AE92" i="7"/>
  <c r="AK93" i="7"/>
  <c r="AQ90" i="7"/>
  <c r="AT90" i="7"/>
  <c r="AU90" i="7" s="1"/>
  <c r="AV90" i="7" s="1"/>
  <c r="BI90" i="7" s="1"/>
  <c r="BD88" i="7"/>
  <c r="BE88" i="7"/>
  <c r="AL93" i="7"/>
  <c r="AM93" i="7" l="1"/>
  <c r="BL88" i="7"/>
  <c r="BC92" i="7"/>
  <c r="BB92" i="7"/>
  <c r="BF92" i="7" s="1"/>
  <c r="AG94" i="13" s="1"/>
  <c r="AW89" i="7"/>
  <c r="AZ89" i="7"/>
  <c r="BM89" i="7"/>
  <c r="AE90" i="13"/>
  <c r="BA88" i="7"/>
  <c r="BJ88" i="7"/>
  <c r="BH92" i="7"/>
  <c r="BN92" i="7"/>
  <c r="BK92" i="7"/>
  <c r="AD95" i="13"/>
  <c r="AB95" i="13"/>
  <c r="AF95" i="13"/>
  <c r="AE93" i="7"/>
  <c r="AK94" i="7"/>
  <c r="AF93" i="7"/>
  <c r="AR93" i="7"/>
  <c r="AY91" i="7"/>
  <c r="AO92" i="7"/>
  <c r="AN92" i="7"/>
  <c r="AP90" i="7"/>
  <c r="BO90" i="7" s="1"/>
  <c r="AC92" i="13"/>
  <c r="BG90" i="7"/>
  <c r="AT91" i="7"/>
  <c r="AU91" i="7" s="1"/>
  <c r="AV91" i="7" s="1"/>
  <c r="BI91" i="7" s="1"/>
  <c r="AQ91" i="7"/>
  <c r="AL94" i="7"/>
  <c r="BE89" i="7"/>
  <c r="BD89" i="7"/>
  <c r="AM94" i="7" l="1"/>
  <c r="BL89" i="7"/>
  <c r="BB93" i="7"/>
  <c r="BF93" i="7" s="1"/>
  <c r="AG95" i="13" s="1"/>
  <c r="BC93" i="7"/>
  <c r="BH93" i="7"/>
  <c r="BK93" i="7"/>
  <c r="BN93" i="7"/>
  <c r="AW90" i="7"/>
  <c r="AZ90" i="7"/>
  <c r="BM90" i="7"/>
  <c r="AB96" i="13"/>
  <c r="AF96" i="13"/>
  <c r="AD96" i="13"/>
  <c r="AR94" i="7"/>
  <c r="AF94" i="7"/>
  <c r="AE94" i="7"/>
  <c r="AK95" i="7"/>
  <c r="AY92" i="7"/>
  <c r="AN93" i="7"/>
  <c r="AO93" i="7"/>
  <c r="AP91" i="7"/>
  <c r="BO91" i="7" s="1"/>
  <c r="AC93" i="13"/>
  <c r="BG91" i="7"/>
  <c r="AQ92" i="7"/>
  <c r="AT92" i="7"/>
  <c r="AU92" i="7" s="1"/>
  <c r="AV92" i="7" s="1"/>
  <c r="BI92" i="7" s="1"/>
  <c r="AE91" i="13"/>
  <c r="BA89" i="7"/>
  <c r="BJ89" i="7"/>
  <c r="BE90" i="7"/>
  <c r="AL95" i="7"/>
  <c r="BD90" i="7"/>
  <c r="AM95" i="7" l="1"/>
  <c r="BL90" i="7"/>
  <c r="BB94" i="7"/>
  <c r="BF94" i="7" s="1"/>
  <c r="AG96" i="13" s="1"/>
  <c r="BC94" i="7"/>
  <c r="AY93" i="7"/>
  <c r="AO94" i="7"/>
  <c r="AN94" i="7"/>
  <c r="AP92" i="7"/>
  <c r="BO92" i="7" s="1"/>
  <c r="AW91" i="7"/>
  <c r="AZ91" i="7"/>
  <c r="BM91" i="7"/>
  <c r="AF97" i="13"/>
  <c r="AD97" i="13"/>
  <c r="AB97" i="13"/>
  <c r="AE95" i="7"/>
  <c r="AF95" i="7"/>
  <c r="AR95" i="7"/>
  <c r="AK96" i="7"/>
  <c r="AT93" i="7"/>
  <c r="AU93" i="7" s="1"/>
  <c r="AV93" i="7" s="1"/>
  <c r="BI93" i="7" s="1"/>
  <c r="AQ93" i="7"/>
  <c r="AE92" i="13"/>
  <c r="BA90" i="7"/>
  <c r="BJ90" i="7"/>
  <c r="AC94" i="13"/>
  <c r="BG92" i="7"/>
  <c r="BH94" i="7"/>
  <c r="BN94" i="7"/>
  <c r="BK94" i="7"/>
  <c r="BD91" i="7"/>
  <c r="BE91" i="7"/>
  <c r="AL96" i="7"/>
  <c r="AM96" i="7" l="1"/>
  <c r="BL91" i="7"/>
  <c r="BB95" i="7"/>
  <c r="BF95" i="7" s="1"/>
  <c r="AG97" i="13" s="1"/>
  <c r="BC95" i="7"/>
  <c r="AD98" i="13"/>
  <c r="AB98" i="13"/>
  <c r="AF98" i="13"/>
  <c r="AR96" i="7"/>
  <c r="AF96" i="7"/>
  <c r="AE96" i="7"/>
  <c r="AK97" i="7"/>
  <c r="AY94" i="7"/>
  <c r="AO95" i="7"/>
  <c r="AN95" i="7"/>
  <c r="AP93" i="7"/>
  <c r="BO93" i="7" s="1"/>
  <c r="BH95" i="7"/>
  <c r="BN95" i="7"/>
  <c r="BK95" i="7"/>
  <c r="AQ94" i="7"/>
  <c r="AT94" i="7"/>
  <c r="AU94" i="7" s="1"/>
  <c r="AV94" i="7" s="1"/>
  <c r="BI94" i="7" s="1"/>
  <c r="AW92" i="7"/>
  <c r="AZ92" i="7"/>
  <c r="BM92" i="7"/>
  <c r="AE93" i="13"/>
  <c r="BA91" i="7"/>
  <c r="BJ91" i="7"/>
  <c r="AC95" i="13"/>
  <c r="BG93" i="7"/>
  <c r="BD92" i="7"/>
  <c r="AL97" i="7"/>
  <c r="BE92" i="7"/>
  <c r="AM97" i="7" l="1"/>
  <c r="BL92" i="7"/>
  <c r="BB96" i="7"/>
  <c r="BF96" i="7" s="1"/>
  <c r="AG98" i="13" s="1"/>
  <c r="BC96" i="7"/>
  <c r="AF99" i="13"/>
  <c r="AD99" i="13"/>
  <c r="AB99" i="13"/>
  <c r="AK98" i="7"/>
  <c r="AF97" i="7"/>
  <c r="AE97" i="7"/>
  <c r="AR97" i="7"/>
  <c r="AY95" i="7"/>
  <c r="AO96" i="7"/>
  <c r="AN96" i="7"/>
  <c r="AP94" i="7"/>
  <c r="BO94" i="7" s="1"/>
  <c r="AE94" i="13"/>
  <c r="BA92" i="7"/>
  <c r="BJ92" i="7"/>
  <c r="BH96" i="7"/>
  <c r="BN96" i="7"/>
  <c r="BK96" i="7"/>
  <c r="AT95" i="7"/>
  <c r="AU95" i="7" s="1"/>
  <c r="AV95" i="7" s="1"/>
  <c r="BI95" i="7" s="1"/>
  <c r="AQ95" i="7"/>
  <c r="AW93" i="7"/>
  <c r="AZ93" i="7"/>
  <c r="BM93" i="7"/>
  <c r="AC96" i="13"/>
  <c r="BG94" i="7"/>
  <c r="BD93" i="7"/>
  <c r="AL98" i="7"/>
  <c r="BE93" i="7"/>
  <c r="AM98" i="7" l="1"/>
  <c r="BL93" i="7"/>
  <c r="BB97" i="7"/>
  <c r="BF97" i="7" s="1"/>
  <c r="AG99" i="13" s="1"/>
  <c r="BC97" i="7"/>
  <c r="BN97" i="7"/>
  <c r="BK97" i="7"/>
  <c r="BH97" i="7"/>
  <c r="AW94" i="7"/>
  <c r="AZ94" i="7"/>
  <c r="BM94" i="7"/>
  <c r="AF100" i="13"/>
  <c r="AB100" i="13"/>
  <c r="AD100" i="13"/>
  <c r="AR98" i="7"/>
  <c r="AE98" i="7"/>
  <c r="AF98" i="7"/>
  <c r="AK99" i="7"/>
  <c r="AY96" i="7"/>
  <c r="AO97" i="7"/>
  <c r="AN97" i="7"/>
  <c r="AP95" i="7"/>
  <c r="BO95" i="7" s="1"/>
  <c r="AQ96" i="7"/>
  <c r="AT96" i="7"/>
  <c r="AU96" i="7" s="1"/>
  <c r="AV96" i="7" s="1"/>
  <c r="BI96" i="7" s="1"/>
  <c r="AE95" i="13"/>
  <c r="BA93" i="7"/>
  <c r="BJ93" i="7"/>
  <c r="AC97" i="13"/>
  <c r="BG95" i="7"/>
  <c r="BE94" i="7"/>
  <c r="AL99" i="7"/>
  <c r="BD94" i="7"/>
  <c r="AM99" i="7" l="1"/>
  <c r="BL94" i="7"/>
  <c r="BB98" i="7"/>
  <c r="BF98" i="7" s="1"/>
  <c r="AG100" i="13" s="1"/>
  <c r="BC98" i="7"/>
  <c r="AN98" i="7"/>
  <c r="AY97" i="7"/>
  <c r="AO98" i="7"/>
  <c r="AP96" i="7"/>
  <c r="BO96" i="7" s="1"/>
  <c r="AT97" i="7"/>
  <c r="AU97" i="7" s="1"/>
  <c r="AV97" i="7" s="1"/>
  <c r="BI97" i="7" s="1"/>
  <c r="AQ97" i="7"/>
  <c r="AD101" i="13"/>
  <c r="AF101" i="13"/>
  <c r="AB101" i="13"/>
  <c r="AK100" i="7"/>
  <c r="AF99" i="7"/>
  <c r="AE99" i="7"/>
  <c r="AR99" i="7"/>
  <c r="AW95" i="7"/>
  <c r="AZ95" i="7"/>
  <c r="BM95" i="7"/>
  <c r="BH98" i="7"/>
  <c r="BN98" i="7"/>
  <c r="BK98" i="7"/>
  <c r="AE96" i="13"/>
  <c r="BA94" i="7"/>
  <c r="BJ94" i="7"/>
  <c r="AC98" i="13"/>
  <c r="BG96" i="7"/>
  <c r="BD95" i="7"/>
  <c r="BE95" i="7"/>
  <c r="AL100" i="7"/>
  <c r="AM100" i="7" l="1"/>
  <c r="BL95" i="7"/>
  <c r="BB99" i="7"/>
  <c r="BF99" i="7" s="1"/>
  <c r="AG101" i="13" s="1"/>
  <c r="BC99" i="7"/>
  <c r="AW96" i="7"/>
  <c r="AZ96" i="7"/>
  <c r="BM96" i="7"/>
  <c r="AT98" i="7"/>
  <c r="AU98" i="7" s="1"/>
  <c r="AV98" i="7" s="1"/>
  <c r="BI98" i="7" s="1"/>
  <c r="AQ98" i="7"/>
  <c r="BN99" i="7"/>
  <c r="BK99" i="7"/>
  <c r="BH99" i="7"/>
  <c r="AF102" i="13"/>
  <c r="AD102" i="13"/>
  <c r="AB102" i="13"/>
  <c r="AR100" i="7"/>
  <c r="AF100" i="7"/>
  <c r="AE100" i="7"/>
  <c r="AK101" i="7"/>
  <c r="AY98" i="7"/>
  <c r="AO99" i="7"/>
  <c r="AN99" i="7"/>
  <c r="AP97" i="7"/>
  <c r="BO97" i="7" s="1"/>
  <c r="AE97" i="13"/>
  <c r="BA95" i="7"/>
  <c r="BJ95" i="7"/>
  <c r="AC99" i="13"/>
  <c r="BG97" i="7"/>
  <c r="AL101" i="7"/>
  <c r="BE96" i="7"/>
  <c r="BD96" i="7"/>
  <c r="AM101" i="7" l="1"/>
  <c r="BL96" i="7"/>
  <c r="BB100" i="7"/>
  <c r="BF100" i="7" s="1"/>
  <c r="AG102" i="13" s="1"/>
  <c r="BC100" i="7"/>
  <c r="AC100" i="13"/>
  <c r="BG98" i="7"/>
  <c r="AD103" i="13"/>
  <c r="AF103" i="13"/>
  <c r="AB103" i="13"/>
  <c r="AF101" i="7"/>
  <c r="AE101" i="7"/>
  <c r="AK102" i="7"/>
  <c r="AR101" i="7"/>
  <c r="AW97" i="7"/>
  <c r="AZ97" i="7"/>
  <c r="BM97" i="7"/>
  <c r="BH100" i="7"/>
  <c r="BN100" i="7"/>
  <c r="BK100" i="7"/>
  <c r="AN100" i="7"/>
  <c r="AY99" i="7"/>
  <c r="AO100" i="7"/>
  <c r="AP98" i="7"/>
  <c r="BO98" i="7" s="1"/>
  <c r="AT99" i="7"/>
  <c r="AU99" i="7" s="1"/>
  <c r="AV99" i="7" s="1"/>
  <c r="BI99" i="7" s="1"/>
  <c r="AQ99" i="7"/>
  <c r="AE98" i="13"/>
  <c r="BA96" i="7"/>
  <c r="BJ96" i="7"/>
  <c r="BD97" i="7"/>
  <c r="AL102" i="7"/>
  <c r="BE97" i="7"/>
  <c r="AM102" i="7" l="1"/>
  <c r="BL97" i="7"/>
  <c r="BC101" i="7"/>
  <c r="BB101" i="7"/>
  <c r="BF101" i="7" s="1"/>
  <c r="AG103" i="13" s="1"/>
  <c r="AY100" i="7"/>
  <c r="AO101" i="7"/>
  <c r="AN101" i="7"/>
  <c r="AP99" i="7"/>
  <c r="BO99" i="7" s="1"/>
  <c r="AC101" i="13"/>
  <c r="BG99" i="7"/>
  <c r="AW98" i="7"/>
  <c r="AZ98" i="7"/>
  <c r="BM98" i="7"/>
  <c r="AE99" i="13"/>
  <c r="BA97" i="7"/>
  <c r="BJ97" i="7"/>
  <c r="BK101" i="7"/>
  <c r="BN101" i="7"/>
  <c r="BH101" i="7"/>
  <c r="AQ100" i="7"/>
  <c r="AT100" i="7"/>
  <c r="AU100" i="7" s="1"/>
  <c r="AV100" i="7" s="1"/>
  <c r="BI100" i="7" s="1"/>
  <c r="AD104" i="13"/>
  <c r="AB104" i="13"/>
  <c r="AF104" i="13"/>
  <c r="AE102" i="7"/>
  <c r="AF102" i="7"/>
  <c r="AK103" i="7"/>
  <c r="AR102" i="7"/>
  <c r="BD98" i="7"/>
  <c r="BE98" i="7"/>
  <c r="AL103" i="7"/>
  <c r="AM103" i="7" l="1"/>
  <c r="BL98" i="7"/>
  <c r="BC102" i="7"/>
  <c r="BB102" i="7"/>
  <c r="BF102" i="7" s="1"/>
  <c r="AG104" i="13" s="1"/>
  <c r="AB105" i="13"/>
  <c r="AD105" i="13"/>
  <c r="AF105" i="13"/>
  <c r="AF103" i="7"/>
  <c r="AE103" i="7"/>
  <c r="AR103" i="7"/>
  <c r="AK104" i="7"/>
  <c r="AY101" i="7"/>
  <c r="AO102" i="7"/>
  <c r="AN102" i="7"/>
  <c r="AP100" i="7"/>
  <c r="BO100" i="7" s="1"/>
  <c r="AW99" i="7"/>
  <c r="AZ99" i="7"/>
  <c r="BM99" i="7"/>
  <c r="AT101" i="7"/>
  <c r="AU101" i="7" s="1"/>
  <c r="AV101" i="7" s="1"/>
  <c r="BI101" i="7" s="1"/>
  <c r="AQ101" i="7"/>
  <c r="BH102" i="7"/>
  <c r="BK102" i="7"/>
  <c r="BN102" i="7"/>
  <c r="AC102" i="13"/>
  <c r="BG100" i="7"/>
  <c r="AE100" i="13"/>
  <c r="BA98" i="7"/>
  <c r="BJ98" i="7"/>
  <c r="BE99" i="7"/>
  <c r="BD99" i="7"/>
  <c r="AL104" i="7"/>
  <c r="AM104" i="7" l="1"/>
  <c r="BL99" i="7"/>
  <c r="BC103" i="7"/>
  <c r="BB103" i="7"/>
  <c r="BF103" i="7" s="1"/>
  <c r="AG105" i="13" s="1"/>
  <c r="AD106" i="13"/>
  <c r="AB106" i="13"/>
  <c r="AF106" i="13"/>
  <c r="AF104" i="7"/>
  <c r="AE104" i="7"/>
  <c r="AK105" i="7"/>
  <c r="AR104" i="7"/>
  <c r="AE101" i="13"/>
  <c r="BA99" i="7"/>
  <c r="BJ99" i="7"/>
  <c r="BK103" i="7"/>
  <c r="BH103" i="7"/>
  <c r="BN103" i="7"/>
  <c r="AY102" i="7"/>
  <c r="AO103" i="7"/>
  <c r="AN103" i="7"/>
  <c r="AP101" i="7"/>
  <c r="BO101" i="7" s="1"/>
  <c r="AQ102" i="7"/>
  <c r="AT102" i="7"/>
  <c r="AU102" i="7" s="1"/>
  <c r="AV102" i="7" s="1"/>
  <c r="BI102" i="7" s="1"/>
  <c r="AW100" i="7"/>
  <c r="AZ100" i="7"/>
  <c r="BM100" i="7"/>
  <c r="AC103" i="13"/>
  <c r="BG101" i="7"/>
  <c r="BD100" i="7"/>
  <c r="BE100" i="7"/>
  <c r="AL105" i="7"/>
  <c r="AM105" i="7" l="1"/>
  <c r="BL100" i="7"/>
  <c r="BC104" i="7"/>
  <c r="BB104" i="7"/>
  <c r="BF104" i="7" s="1"/>
  <c r="AG106" i="13" s="1"/>
  <c r="AF107" i="13"/>
  <c r="AB107" i="13"/>
  <c r="AD107" i="13"/>
  <c r="AF105" i="7"/>
  <c r="AK106" i="7"/>
  <c r="AE105" i="7"/>
  <c r="AR105" i="7"/>
  <c r="AT103" i="7"/>
  <c r="AU103" i="7" s="1"/>
  <c r="AV103" i="7" s="1"/>
  <c r="BI103" i="7" s="1"/>
  <c r="AQ103" i="7"/>
  <c r="AY103" i="7"/>
  <c r="AO104" i="7"/>
  <c r="AN104" i="7"/>
  <c r="AP102" i="7"/>
  <c r="BO102" i="7" s="1"/>
  <c r="AC104" i="13"/>
  <c r="BG102" i="7"/>
  <c r="AE102" i="13"/>
  <c r="BA100" i="7"/>
  <c r="BJ100" i="7"/>
  <c r="AW101" i="7"/>
  <c r="AZ101" i="7"/>
  <c r="BM101" i="7"/>
  <c r="AL106" i="7"/>
  <c r="BE101" i="7"/>
  <c r="BD101" i="7"/>
  <c r="AM106" i="7" l="1"/>
  <c r="BL101" i="7"/>
  <c r="BC105" i="7"/>
  <c r="BB105" i="7"/>
  <c r="BF105" i="7" s="1"/>
  <c r="AG107" i="13" s="1"/>
  <c r="AF108" i="13"/>
  <c r="AB108" i="13"/>
  <c r="AD108" i="13"/>
  <c r="AF106" i="7"/>
  <c r="AK107" i="7"/>
  <c r="AE106" i="7"/>
  <c r="AR106" i="7"/>
  <c r="AC105" i="13"/>
  <c r="BG103" i="7"/>
  <c r="AQ104" i="7"/>
  <c r="AT104" i="7"/>
  <c r="AU104" i="7" s="1"/>
  <c r="AV104" i="7" s="1"/>
  <c r="AW102" i="7"/>
  <c r="AZ102" i="7"/>
  <c r="BM102" i="7"/>
  <c r="AY104" i="7"/>
  <c r="AO105" i="7"/>
  <c r="AN105" i="7"/>
  <c r="AP103" i="7"/>
  <c r="BO103" i="7" s="1"/>
  <c r="AE103" i="13"/>
  <c r="BA101" i="7"/>
  <c r="BJ101" i="7"/>
  <c r="AL107" i="7"/>
  <c r="BD102" i="7"/>
  <c r="BE102" i="7"/>
  <c r="BI104" i="7" l="1"/>
  <c r="BH104" i="7"/>
  <c r="AM107" i="7"/>
  <c r="BL102" i="7"/>
  <c r="BB106" i="7"/>
  <c r="BF106" i="7" s="1"/>
  <c r="AG108" i="13" s="1"/>
  <c r="BC106" i="7"/>
  <c r="AB109" i="13"/>
  <c r="AF109" i="13"/>
  <c r="AD109" i="13"/>
  <c r="AR107" i="7"/>
  <c r="AE107" i="7"/>
  <c r="AF107" i="7"/>
  <c r="AK108" i="7"/>
  <c r="AE104" i="13"/>
  <c r="BA102" i="7"/>
  <c r="BJ102" i="7"/>
  <c r="AQ105" i="7"/>
  <c r="AT105" i="7"/>
  <c r="AU105" i="7" s="1"/>
  <c r="AV105" i="7" s="1"/>
  <c r="AY105" i="7"/>
  <c r="AO106" i="7"/>
  <c r="AN106" i="7"/>
  <c r="AP104" i="7"/>
  <c r="AW103" i="7"/>
  <c r="AZ103" i="7"/>
  <c r="BM103" i="7"/>
  <c r="AC106" i="13"/>
  <c r="L32" i="5"/>
  <c r="BG104" i="7"/>
  <c r="BD103" i="7"/>
  <c r="BE103" i="7"/>
  <c r="AL108" i="7"/>
  <c r="BO104" i="7" l="1"/>
  <c r="BN104" i="7"/>
  <c r="BI105" i="7"/>
  <c r="BH105" i="7"/>
  <c r="AM108" i="7"/>
  <c r="BL103" i="7"/>
  <c r="BC107" i="7"/>
  <c r="BB107" i="7"/>
  <c r="BF107" i="7" s="1"/>
  <c r="AG109" i="13" s="1"/>
  <c r="AQ106" i="7"/>
  <c r="AT106" i="7"/>
  <c r="AU106" i="7" s="1"/>
  <c r="AV106" i="7" s="1"/>
  <c r="AD110" i="13"/>
  <c r="AF110" i="13"/>
  <c r="AB110" i="13"/>
  <c r="AE108" i="7"/>
  <c r="AK109" i="7"/>
  <c r="AF108" i="7"/>
  <c r="AR108" i="7"/>
  <c r="AY106" i="7"/>
  <c r="AN107" i="7"/>
  <c r="AO107" i="7"/>
  <c r="AP105" i="7"/>
  <c r="AW15" i="5"/>
  <c r="BI106" i="5" s="1"/>
  <c r="BC23" i="5" s="1"/>
  <c r="B6" i="2"/>
  <c r="L101" i="5"/>
  <c r="B24" i="3" s="1"/>
  <c r="B22" i="3"/>
  <c r="L102" i="5"/>
  <c r="B25" i="3" s="1"/>
  <c r="L103" i="5"/>
  <c r="B26" i="3" s="1"/>
  <c r="AE105" i="13"/>
  <c r="BA103" i="7"/>
  <c r="BJ103" i="7"/>
  <c r="AW104" i="7"/>
  <c r="BK104" i="7" s="1"/>
  <c r="AZ104" i="7"/>
  <c r="BM104" i="7"/>
  <c r="AC107" i="13"/>
  <c r="BG105" i="7"/>
  <c r="AL109" i="7"/>
  <c r="BE104" i="7"/>
  <c r="BD104" i="7"/>
  <c r="BI106" i="7" l="1"/>
  <c r="BH106" i="7"/>
  <c r="BO105" i="7"/>
  <c r="BN105" i="7"/>
  <c r="AM109" i="7"/>
  <c r="BL104" i="7"/>
  <c r="BB108" i="7"/>
  <c r="BF108" i="7" s="1"/>
  <c r="AG110" i="13" s="1"/>
  <c r="BC108" i="7"/>
  <c r="BC33" i="5"/>
  <c r="BD33" i="5" s="1"/>
  <c r="BE33" i="5" s="1"/>
  <c r="BC34" i="5"/>
  <c r="BD34" i="5" s="1"/>
  <c r="BE34" i="5" s="1"/>
  <c r="BC32" i="5"/>
  <c r="BD32" i="5" s="1"/>
  <c r="BE32" i="5" s="1"/>
  <c r="BC30" i="5"/>
  <c r="BD30" i="5" s="1"/>
  <c r="BE30" i="5" s="1"/>
  <c r="BC36" i="5"/>
  <c r="BD36" i="5" s="1"/>
  <c r="BE36" i="5" s="1"/>
  <c r="BC26" i="5"/>
  <c r="BC35" i="5"/>
  <c r="BD35" i="5" s="1"/>
  <c r="BE35" i="5" s="1"/>
  <c r="BC31" i="5"/>
  <c r="BD31" i="5" s="1"/>
  <c r="BE31" i="5" s="1"/>
  <c r="BC29" i="5"/>
  <c r="BD29" i="5" s="1"/>
  <c r="BE29" i="5" s="1"/>
  <c r="BC27" i="5"/>
  <c r="BD27" i="5" s="1"/>
  <c r="BE27" i="5" s="1"/>
  <c r="BC28" i="5"/>
  <c r="BD28" i="5" s="1"/>
  <c r="BE28" i="5" s="1"/>
  <c r="AW105" i="7"/>
  <c r="BK105" i="7" s="1"/>
  <c r="AZ105" i="7"/>
  <c r="BM105" i="7"/>
  <c r="AF111" i="13"/>
  <c r="AD111" i="13"/>
  <c r="AB111" i="13"/>
  <c r="AF109" i="7"/>
  <c r="AE109" i="7"/>
  <c r="AK110" i="7"/>
  <c r="AR109" i="7"/>
  <c r="AC108" i="13"/>
  <c r="BG106" i="7"/>
  <c r="AN108" i="7"/>
  <c r="AY107" i="7"/>
  <c r="AO108" i="7"/>
  <c r="AP106" i="7"/>
  <c r="AQ107" i="7"/>
  <c r="AT107" i="7"/>
  <c r="AU107" i="7" s="1"/>
  <c r="AV107" i="7" s="1"/>
  <c r="AE106" i="13"/>
  <c r="BA104" i="7"/>
  <c r="L42" i="5"/>
  <c r="L110" i="5" s="1"/>
  <c r="BJ104" i="7"/>
  <c r="L115" i="5"/>
  <c r="AL110" i="7"/>
  <c r="L114" i="5"/>
  <c r="BE105" i="7"/>
  <c r="BD105" i="7"/>
  <c r="BI107" i="7" l="1"/>
  <c r="BH107" i="7"/>
  <c r="BO106" i="7"/>
  <c r="BN106" i="7"/>
  <c r="B31" i="3"/>
  <c r="L111" i="5"/>
  <c r="B32" i="3" s="1"/>
  <c r="AM110" i="7"/>
  <c r="B36" i="3"/>
  <c r="B35" i="3"/>
  <c r="BL105" i="7"/>
  <c r="BC109" i="7"/>
  <c r="BB109" i="7"/>
  <c r="BF109" i="7" s="1"/>
  <c r="AG111" i="13" s="1"/>
  <c r="B16" i="2"/>
  <c r="AW18" i="5"/>
  <c r="BE106" i="5" s="1"/>
  <c r="B29" i="3"/>
  <c r="L123" i="5"/>
  <c r="AY108" i="7"/>
  <c r="AN109" i="7"/>
  <c r="AO109" i="7"/>
  <c r="AP107" i="7"/>
  <c r="AQ108" i="7"/>
  <c r="AT108" i="7"/>
  <c r="AU108" i="7" s="1"/>
  <c r="AV108" i="7" s="1"/>
  <c r="AW106" i="7"/>
  <c r="BK106" i="7" s="1"/>
  <c r="AZ106" i="7"/>
  <c r="BM106" i="7"/>
  <c r="AD112" i="13"/>
  <c r="AB112" i="13"/>
  <c r="AF112" i="13"/>
  <c r="AK111" i="7"/>
  <c r="AF110" i="7"/>
  <c r="AR110" i="7"/>
  <c r="AE110" i="7"/>
  <c r="AE107" i="13"/>
  <c r="BA105" i="7"/>
  <c r="BJ105" i="7"/>
  <c r="AC109" i="13"/>
  <c r="BG107" i="7"/>
  <c r="BE106" i="7"/>
  <c r="AL111" i="7"/>
  <c r="BD106" i="7"/>
  <c r="BO107" i="7" l="1"/>
  <c r="BN107" i="7"/>
  <c r="BI108" i="7"/>
  <c r="BH108" i="7"/>
  <c r="AM111" i="7"/>
  <c r="BL106" i="7"/>
  <c r="BB110" i="7"/>
  <c r="BF110" i="7" s="1"/>
  <c r="AG112" i="13" s="1"/>
  <c r="BC110" i="7"/>
  <c r="AW107" i="7"/>
  <c r="BK107" i="7" s="1"/>
  <c r="AZ107" i="7"/>
  <c r="BM107" i="7"/>
  <c r="AT109" i="7"/>
  <c r="AU109" i="7" s="1"/>
  <c r="AV109" i="7" s="1"/>
  <c r="AQ109" i="7"/>
  <c r="AY109" i="7"/>
  <c r="AN110" i="7"/>
  <c r="AO110" i="7"/>
  <c r="AP108" i="7"/>
  <c r="AE108" i="13"/>
  <c r="BA106" i="7"/>
  <c r="BJ106" i="7"/>
  <c r="AB113" i="13"/>
  <c r="AD113" i="13"/>
  <c r="AF113" i="13"/>
  <c r="AK112" i="7"/>
  <c r="AF111" i="7"/>
  <c r="AR111" i="7"/>
  <c r="AE111" i="7"/>
  <c r="AC110" i="13"/>
  <c r="BG108" i="7"/>
  <c r="AL112" i="7"/>
  <c r="BD107" i="7"/>
  <c r="BE107" i="7"/>
  <c r="BO108" i="7" l="1"/>
  <c r="BN108" i="7"/>
  <c r="BI109" i="7"/>
  <c r="BH109" i="7"/>
  <c r="AM112" i="7"/>
  <c r="BL107" i="7"/>
  <c r="BB111" i="7"/>
  <c r="BF111" i="7" s="1"/>
  <c r="AG113" i="13" s="1"/>
  <c r="BC111" i="7"/>
  <c r="AY110" i="7"/>
  <c r="AO111" i="7"/>
  <c r="AN111" i="7"/>
  <c r="AP109" i="7"/>
  <c r="AW108" i="7"/>
  <c r="BK108" i="7" s="1"/>
  <c r="AZ108" i="7"/>
  <c r="BM108" i="7"/>
  <c r="AD114" i="13"/>
  <c r="AB114" i="13"/>
  <c r="AF114" i="13"/>
  <c r="AF112" i="7"/>
  <c r="AE112" i="7"/>
  <c r="AK113" i="7"/>
  <c r="AR112" i="7"/>
  <c r="AE109" i="13"/>
  <c r="BA107" i="7"/>
  <c r="BJ107" i="7"/>
  <c r="AQ110" i="7"/>
  <c r="AT110" i="7"/>
  <c r="AU110" i="7" s="1"/>
  <c r="AV110" i="7" s="1"/>
  <c r="AC111" i="13"/>
  <c r="BG109" i="7"/>
  <c r="AL113" i="7"/>
  <c r="BD108" i="7"/>
  <c r="BE108" i="7"/>
  <c r="BO109" i="7" l="1"/>
  <c r="BN109" i="7"/>
  <c r="BI110" i="7"/>
  <c r="BH110" i="7"/>
  <c r="AM113" i="7"/>
  <c r="BL108" i="7"/>
  <c r="BB112" i="7"/>
  <c r="BF112" i="7" s="1"/>
  <c r="AG114" i="13" s="1"/>
  <c r="BC112" i="7"/>
  <c r="AF115" i="13"/>
  <c r="AB115" i="13"/>
  <c r="AD115" i="13"/>
  <c r="AF113" i="7"/>
  <c r="AE113" i="7"/>
  <c r="AR113" i="7"/>
  <c r="AK114" i="7"/>
  <c r="AY111" i="7"/>
  <c r="AN112" i="7"/>
  <c r="AO112" i="7"/>
  <c r="AP110" i="7"/>
  <c r="AC112" i="13"/>
  <c r="BG110" i="7"/>
  <c r="AE110" i="13"/>
  <c r="BA108" i="7"/>
  <c r="BJ108" i="7"/>
  <c r="AT111" i="7"/>
  <c r="AU111" i="7" s="1"/>
  <c r="AV111" i="7" s="1"/>
  <c r="AQ111" i="7"/>
  <c r="AW109" i="7"/>
  <c r="BK109" i="7" s="1"/>
  <c r="AZ109" i="7"/>
  <c r="BM109" i="7"/>
  <c r="AL114" i="7"/>
  <c r="BE109" i="7"/>
  <c r="BD109" i="7"/>
  <c r="BI111" i="7" l="1"/>
  <c r="BH111" i="7"/>
  <c r="BO110" i="7"/>
  <c r="BN110" i="7"/>
  <c r="AM114" i="7"/>
  <c r="BL109" i="7"/>
  <c r="BB113" i="7"/>
  <c r="BF113" i="7" s="1"/>
  <c r="AG115" i="13" s="1"/>
  <c r="BC113" i="7"/>
  <c r="AB116" i="13"/>
  <c r="AF116" i="13"/>
  <c r="AD116" i="13"/>
  <c r="AF114" i="7"/>
  <c r="AK115" i="7"/>
  <c r="AE114" i="7"/>
  <c r="AR114" i="7"/>
  <c r="AW110" i="7"/>
  <c r="BK110" i="7" s="1"/>
  <c r="AZ110" i="7"/>
  <c r="BM110" i="7"/>
  <c r="AQ112" i="7"/>
  <c r="AT112" i="7"/>
  <c r="AU112" i="7" s="1"/>
  <c r="AV112" i="7" s="1"/>
  <c r="AE111" i="13"/>
  <c r="BA109" i="7"/>
  <c r="BJ109" i="7"/>
  <c r="AY112" i="7"/>
  <c r="AO113" i="7"/>
  <c r="AN113" i="7"/>
  <c r="AP111" i="7"/>
  <c r="AC113" i="13"/>
  <c r="BG111" i="7"/>
  <c r="AL115" i="7"/>
  <c r="BD110" i="7"/>
  <c r="BE110" i="7"/>
  <c r="BO111" i="7" l="1"/>
  <c r="BN111" i="7"/>
  <c r="BI112" i="7"/>
  <c r="BH112" i="7"/>
  <c r="AM115" i="7"/>
  <c r="BL110" i="7"/>
  <c r="BC114" i="7"/>
  <c r="BB114" i="7"/>
  <c r="BF114" i="7" s="1"/>
  <c r="AG116" i="13" s="1"/>
  <c r="AY113" i="7"/>
  <c r="AO114" i="7"/>
  <c r="AN114" i="7"/>
  <c r="AP112" i="7"/>
  <c r="AW111" i="7"/>
  <c r="BK111" i="7" s="1"/>
  <c r="AZ111" i="7"/>
  <c r="BM111" i="7"/>
  <c r="AC114" i="13"/>
  <c r="BG112" i="7"/>
  <c r="AB117" i="13"/>
  <c r="AF117" i="13"/>
  <c r="AD117" i="13"/>
  <c r="AF115" i="7"/>
  <c r="AE115" i="7"/>
  <c r="AR115" i="7"/>
  <c r="AK116" i="7"/>
  <c r="AT113" i="7"/>
  <c r="AU113" i="7" s="1"/>
  <c r="AV113" i="7" s="1"/>
  <c r="AQ113" i="7"/>
  <c r="AE112" i="13"/>
  <c r="BA110" i="7"/>
  <c r="BJ110" i="7"/>
  <c r="AL116" i="7"/>
  <c r="BD111" i="7"/>
  <c r="BE111" i="7"/>
  <c r="BO112" i="7" l="1"/>
  <c r="BN112" i="7"/>
  <c r="BI113" i="7"/>
  <c r="BH113" i="7"/>
  <c r="AM116" i="7"/>
  <c r="BL111" i="7"/>
  <c r="BC115" i="7"/>
  <c r="BB115" i="7"/>
  <c r="BF115" i="7" s="1"/>
  <c r="AG117" i="13" s="1"/>
  <c r="AW112" i="7"/>
  <c r="BK112" i="7" s="1"/>
  <c r="AZ112" i="7"/>
  <c r="BM112" i="7"/>
  <c r="AY114" i="7"/>
  <c r="AO115" i="7"/>
  <c r="AN115" i="7"/>
  <c r="AP113" i="7"/>
  <c r="AQ114" i="7"/>
  <c r="AT114" i="7"/>
  <c r="AU114" i="7" s="1"/>
  <c r="AV114" i="7" s="1"/>
  <c r="AD118" i="13"/>
  <c r="AF118" i="13"/>
  <c r="AB118" i="13"/>
  <c r="AF116" i="7"/>
  <c r="AE116" i="7"/>
  <c r="AR116" i="7"/>
  <c r="AK117" i="7"/>
  <c r="AE113" i="13"/>
  <c r="BA111" i="7"/>
  <c r="BJ111" i="7"/>
  <c r="AC115" i="13"/>
  <c r="BG113" i="7"/>
  <c r="BD112" i="7"/>
  <c r="BE112" i="7"/>
  <c r="AL117" i="7"/>
  <c r="BI114" i="7" l="1"/>
  <c r="BH114" i="7"/>
  <c r="BO113" i="7"/>
  <c r="BN113" i="7"/>
  <c r="AM117" i="7"/>
  <c r="BL112" i="7"/>
  <c r="BC116" i="7"/>
  <c r="BB116" i="7"/>
  <c r="BF116" i="7" s="1"/>
  <c r="AG118" i="13" s="1"/>
  <c r="AC116" i="13"/>
  <c r="BG114" i="7"/>
  <c r="AO116" i="7"/>
  <c r="AY115" i="7"/>
  <c r="AN116" i="7"/>
  <c r="AP114" i="7"/>
  <c r="AF119" i="13"/>
  <c r="AD119" i="13"/>
  <c r="AB119" i="13"/>
  <c r="AE117" i="7"/>
  <c r="AK118" i="7"/>
  <c r="AF117" i="7"/>
  <c r="AR117" i="7"/>
  <c r="AW113" i="7"/>
  <c r="BK113" i="7" s="1"/>
  <c r="AZ113" i="7"/>
  <c r="BM113" i="7"/>
  <c r="AT115" i="7"/>
  <c r="AU115" i="7" s="1"/>
  <c r="AV115" i="7" s="1"/>
  <c r="AQ115" i="7"/>
  <c r="AE114" i="13"/>
  <c r="BA112" i="7"/>
  <c r="BJ112" i="7"/>
  <c r="BE113" i="7"/>
  <c r="BD113" i="7"/>
  <c r="AL118" i="7"/>
  <c r="BI115" i="7" l="1"/>
  <c r="BH115" i="7"/>
  <c r="BO114" i="7"/>
  <c r="BN114" i="7"/>
  <c r="AM118" i="7"/>
  <c r="BL113" i="7"/>
  <c r="BC117" i="7"/>
  <c r="BB117" i="7"/>
  <c r="BF117" i="7" s="1"/>
  <c r="AG119" i="13" s="1"/>
  <c r="AQ116" i="7"/>
  <c r="AT116" i="7"/>
  <c r="AU116" i="7" s="1"/>
  <c r="AV116" i="7" s="1"/>
  <c r="AC117" i="13"/>
  <c r="BG115" i="7"/>
  <c r="AY116" i="7"/>
  <c r="AO117" i="7"/>
  <c r="AN117" i="7"/>
  <c r="AP115" i="7"/>
  <c r="AD120" i="13"/>
  <c r="AF120" i="13"/>
  <c r="AB120" i="13"/>
  <c r="AE118" i="7"/>
  <c r="AF118" i="7"/>
  <c r="AR118" i="7"/>
  <c r="AK119" i="7"/>
  <c r="AE115" i="13"/>
  <c r="BA113" i="7"/>
  <c r="BJ113" i="7"/>
  <c r="AW114" i="7"/>
  <c r="BK114" i="7" s="1"/>
  <c r="AZ114" i="7"/>
  <c r="BM114" i="7"/>
  <c r="BD114" i="7"/>
  <c r="BE114" i="7"/>
  <c r="AL119" i="7"/>
  <c r="BO115" i="7" l="1"/>
  <c r="BN115" i="7"/>
  <c r="BI116" i="7"/>
  <c r="BH116" i="7"/>
  <c r="AM119" i="7"/>
  <c r="BL114" i="7"/>
  <c r="BC118" i="7"/>
  <c r="BB118" i="7"/>
  <c r="BF118" i="7" s="1"/>
  <c r="AG120" i="13" s="1"/>
  <c r="AE116" i="13"/>
  <c r="BA114" i="7"/>
  <c r="BJ114" i="7"/>
  <c r="AC118" i="13"/>
  <c r="BG116" i="7"/>
  <c r="AY117" i="7"/>
  <c r="AN118" i="7"/>
  <c r="AO118" i="7"/>
  <c r="AP116" i="7"/>
  <c r="AB121" i="13"/>
  <c r="AD121" i="13"/>
  <c r="AF121" i="13"/>
  <c r="AF119" i="7"/>
  <c r="AE119" i="7"/>
  <c r="AK120" i="7"/>
  <c r="AR119" i="7"/>
  <c r="AT117" i="7"/>
  <c r="AU117" i="7" s="1"/>
  <c r="AV117" i="7" s="1"/>
  <c r="AQ117" i="7"/>
  <c r="AW115" i="7"/>
  <c r="BK115" i="7" s="1"/>
  <c r="AZ115" i="7"/>
  <c r="BM115" i="7"/>
  <c r="BE115" i="7"/>
  <c r="BD115" i="7"/>
  <c r="AL120" i="7"/>
  <c r="BO116" i="7" l="1"/>
  <c r="BN116" i="7"/>
  <c r="BI117" i="7"/>
  <c r="BH117" i="7"/>
  <c r="AM120" i="7"/>
  <c r="BL115" i="7"/>
  <c r="BB119" i="7"/>
  <c r="BF119" i="7" s="1"/>
  <c r="AG121" i="13" s="1"/>
  <c r="BC119" i="7"/>
  <c r="AD122" i="13"/>
  <c r="AB122" i="13"/>
  <c r="AF122" i="13"/>
  <c r="AF120" i="7"/>
  <c r="AE120" i="7"/>
  <c r="AR120" i="7"/>
  <c r="AK121" i="7"/>
  <c r="AC119" i="13"/>
  <c r="BG117" i="7"/>
  <c r="AY118" i="7"/>
  <c r="AN119" i="7"/>
  <c r="AO119" i="7"/>
  <c r="AP117" i="7"/>
  <c r="AW116" i="7"/>
  <c r="BK116" i="7" s="1"/>
  <c r="AZ116" i="7"/>
  <c r="BM116" i="7"/>
  <c r="AE117" i="13"/>
  <c r="BA115" i="7"/>
  <c r="BJ115" i="7"/>
  <c r="AQ118" i="7"/>
  <c r="AT118" i="7"/>
  <c r="AU118" i="7" s="1"/>
  <c r="AV118" i="7" s="1"/>
  <c r="BE116" i="7"/>
  <c r="BD116" i="7"/>
  <c r="AL121" i="7"/>
  <c r="BI118" i="7" l="1"/>
  <c r="BH118" i="7"/>
  <c r="BO117" i="7"/>
  <c r="BN117" i="7"/>
  <c r="AM121" i="7"/>
  <c r="BL116" i="7"/>
  <c r="BC120" i="7"/>
  <c r="BB120" i="7"/>
  <c r="BF120" i="7" s="1"/>
  <c r="AG122" i="13" s="1"/>
  <c r="AF123" i="13"/>
  <c r="AB123" i="13"/>
  <c r="AD123" i="13"/>
  <c r="AF121" i="7"/>
  <c r="AE121" i="7"/>
  <c r="AK122" i="7"/>
  <c r="AR121" i="7"/>
  <c r="AW117" i="7"/>
  <c r="BK117" i="7" s="1"/>
  <c r="AZ117" i="7"/>
  <c r="BM117" i="7"/>
  <c r="AY119" i="7"/>
  <c r="AO120" i="7"/>
  <c r="AN120" i="7"/>
  <c r="AP118" i="7"/>
  <c r="AC120" i="13"/>
  <c r="BG118" i="7"/>
  <c r="AQ119" i="7"/>
  <c r="AT119" i="7"/>
  <c r="AU119" i="7" s="1"/>
  <c r="AV119" i="7" s="1"/>
  <c r="AE118" i="13"/>
  <c r="BA116" i="7"/>
  <c r="BJ116" i="7"/>
  <c r="BD117" i="7"/>
  <c r="BE117" i="7"/>
  <c r="AL122" i="7"/>
  <c r="BI119" i="7" l="1"/>
  <c r="BH119" i="7"/>
  <c r="BO118" i="7"/>
  <c r="BN118" i="7"/>
  <c r="AM122" i="7"/>
  <c r="BL117" i="7"/>
  <c r="BC121" i="7"/>
  <c r="BB121" i="7"/>
  <c r="BF121" i="7" s="1"/>
  <c r="AG123" i="13" s="1"/>
  <c r="AY120" i="7"/>
  <c r="AO121" i="7"/>
  <c r="AN121" i="7"/>
  <c r="AP119" i="7"/>
  <c r="AW118" i="7"/>
  <c r="BK118" i="7" s="1"/>
  <c r="AZ118" i="7"/>
  <c r="BM118" i="7"/>
  <c r="AF124" i="13"/>
  <c r="AB124" i="13"/>
  <c r="AD124" i="13"/>
  <c r="AF122" i="7"/>
  <c r="AE122" i="7"/>
  <c r="AK123" i="7"/>
  <c r="AR122" i="7"/>
  <c r="AQ120" i="7"/>
  <c r="AT120" i="7"/>
  <c r="AU120" i="7" s="1"/>
  <c r="AV120" i="7" s="1"/>
  <c r="AC121" i="13"/>
  <c r="BG119" i="7"/>
  <c r="AE119" i="13"/>
  <c r="BA117" i="7"/>
  <c r="BJ117" i="7"/>
  <c r="BD118" i="7"/>
  <c r="BE118" i="7"/>
  <c r="AL123" i="7"/>
  <c r="BO119" i="7" l="1"/>
  <c r="BN119" i="7"/>
  <c r="BI120" i="7"/>
  <c r="BH120" i="7"/>
  <c r="AM123" i="7"/>
  <c r="BL118" i="7"/>
  <c r="BC122" i="7"/>
  <c r="BB122" i="7"/>
  <c r="BF122" i="7" s="1"/>
  <c r="AG124" i="13" s="1"/>
  <c r="AB125" i="13"/>
  <c r="AF125" i="13"/>
  <c r="AD125" i="13"/>
  <c r="AR123" i="7"/>
  <c r="AF123" i="7"/>
  <c r="AE123" i="7"/>
  <c r="AK124" i="7"/>
  <c r="AW119" i="7"/>
  <c r="BK119" i="7" s="1"/>
  <c r="AZ119" i="7"/>
  <c r="BM119" i="7"/>
  <c r="AC122" i="13"/>
  <c r="BG120" i="7"/>
  <c r="AY121" i="7"/>
  <c r="AO122" i="7"/>
  <c r="AN122" i="7"/>
  <c r="AP120" i="7"/>
  <c r="AQ121" i="7"/>
  <c r="AT121" i="7"/>
  <c r="AU121" i="7" s="1"/>
  <c r="AV121" i="7" s="1"/>
  <c r="AE120" i="13"/>
  <c r="BA118" i="7"/>
  <c r="BJ118" i="7"/>
  <c r="AL124" i="7"/>
  <c r="BD119" i="7"/>
  <c r="BE119" i="7"/>
  <c r="BI121" i="7" l="1"/>
  <c r="BH121" i="7"/>
  <c r="BO120" i="7"/>
  <c r="BN120" i="7"/>
  <c r="AM124" i="7"/>
  <c r="BL119" i="7"/>
  <c r="BC123" i="7"/>
  <c r="BB123" i="7"/>
  <c r="BF123" i="7" s="1"/>
  <c r="AG125" i="13" s="1"/>
  <c r="AQ122" i="7"/>
  <c r="AT122" i="7"/>
  <c r="AU122" i="7" s="1"/>
  <c r="AV122" i="7" s="1"/>
  <c r="AD126" i="13"/>
  <c r="AF126" i="13"/>
  <c r="AB126" i="13"/>
  <c r="AF124" i="7"/>
  <c r="AE124" i="7"/>
  <c r="AK125" i="7"/>
  <c r="AR124" i="7"/>
  <c r="AW120" i="7"/>
  <c r="BK120" i="7" s="1"/>
  <c r="AZ120" i="7"/>
  <c r="BM120" i="7"/>
  <c r="AY122" i="7"/>
  <c r="AN123" i="7"/>
  <c r="AO123" i="7"/>
  <c r="AP121" i="7"/>
  <c r="AC123" i="13"/>
  <c r="BG121" i="7"/>
  <c r="AE121" i="13"/>
  <c r="BA119" i="7"/>
  <c r="BJ119" i="7"/>
  <c r="AL125" i="7"/>
  <c r="BE120" i="7"/>
  <c r="BD120" i="7"/>
  <c r="BI122" i="7" l="1"/>
  <c r="BH122" i="7"/>
  <c r="BO121" i="7"/>
  <c r="BN121" i="7"/>
  <c r="AM125" i="7"/>
  <c r="BL120" i="7"/>
  <c r="BB124" i="7"/>
  <c r="BF124" i="7" s="1"/>
  <c r="AG126" i="13" s="1"/>
  <c r="BC124" i="7"/>
  <c r="AE122" i="13"/>
  <c r="BA120" i="7"/>
  <c r="BJ120" i="7"/>
  <c r="AW121" i="7"/>
  <c r="BK121" i="7" s="1"/>
  <c r="AZ121" i="7"/>
  <c r="BM121" i="7"/>
  <c r="AC124" i="13"/>
  <c r="BG122" i="7"/>
  <c r="AQ123" i="7"/>
  <c r="AT123" i="7"/>
  <c r="AU123" i="7" s="1"/>
  <c r="AV123" i="7" s="1"/>
  <c r="AY123" i="7"/>
  <c r="AN124" i="7"/>
  <c r="AO124" i="7"/>
  <c r="AP122" i="7"/>
  <c r="AF127" i="13"/>
  <c r="AD127" i="13"/>
  <c r="AB127" i="13"/>
  <c r="AF125" i="7"/>
  <c r="AE125" i="7"/>
  <c r="AK126" i="7"/>
  <c r="AR125" i="7"/>
  <c r="BD121" i="7"/>
  <c r="BE121" i="7"/>
  <c r="AL126" i="7"/>
  <c r="BO122" i="7" l="1"/>
  <c r="BN122" i="7"/>
  <c r="BI123" i="7"/>
  <c r="BH123" i="7"/>
  <c r="AM126" i="7"/>
  <c r="BL121" i="7"/>
  <c r="BC125" i="7"/>
  <c r="BB125" i="7"/>
  <c r="BF125" i="7" s="1"/>
  <c r="AG127" i="13" s="1"/>
  <c r="AY124" i="7"/>
  <c r="AO125" i="7"/>
  <c r="AN125" i="7"/>
  <c r="AP123" i="7"/>
  <c r="AD128" i="13"/>
  <c r="AB128" i="13"/>
  <c r="AF128" i="13"/>
  <c r="AK127" i="7"/>
  <c r="AF126" i="7"/>
  <c r="AE126" i="7"/>
  <c r="AR126" i="7"/>
  <c r="AC125" i="13"/>
  <c r="BG123" i="7"/>
  <c r="AQ124" i="7"/>
  <c r="AT124" i="7"/>
  <c r="AU124" i="7" s="1"/>
  <c r="AV124" i="7" s="1"/>
  <c r="AE123" i="13"/>
  <c r="BA121" i="7"/>
  <c r="BJ121" i="7"/>
  <c r="AW122" i="7"/>
  <c r="BK122" i="7" s="1"/>
  <c r="AZ122" i="7"/>
  <c r="BM122" i="7"/>
  <c r="AL127" i="7"/>
  <c r="BE122" i="7"/>
  <c r="BD122" i="7"/>
  <c r="BI124" i="7" l="1"/>
  <c r="BH124" i="7"/>
  <c r="BO123" i="7"/>
  <c r="BN123" i="7"/>
  <c r="AM127" i="7"/>
  <c r="BL122" i="7"/>
  <c r="BB126" i="7"/>
  <c r="BF126" i="7" s="1"/>
  <c r="AG128" i="13" s="1"/>
  <c r="BC126" i="7"/>
  <c r="AC126" i="13"/>
  <c r="BG124" i="7"/>
  <c r="AE124" i="13"/>
  <c r="BA122" i="7"/>
  <c r="BJ122" i="7"/>
  <c r="AY125" i="7"/>
  <c r="AO126" i="7"/>
  <c r="AN126" i="7"/>
  <c r="AP124" i="7"/>
  <c r="AB129" i="13"/>
  <c r="AD129" i="13"/>
  <c r="AF129" i="13"/>
  <c r="AK128" i="7"/>
  <c r="AR127" i="7"/>
  <c r="AF127" i="7"/>
  <c r="AE127" i="7"/>
  <c r="AW123" i="7"/>
  <c r="BK123" i="7" s="1"/>
  <c r="AZ123" i="7"/>
  <c r="BM123" i="7"/>
  <c r="AQ125" i="7"/>
  <c r="AT125" i="7"/>
  <c r="AU125" i="7" s="1"/>
  <c r="AV125" i="7" s="1"/>
  <c r="BD123" i="7"/>
  <c r="BE123" i="7"/>
  <c r="AL128" i="7"/>
  <c r="BI125" i="7" l="1"/>
  <c r="BH125" i="7"/>
  <c r="BO124" i="7"/>
  <c r="BN124" i="7"/>
  <c r="AM128" i="7"/>
  <c r="BL123" i="7"/>
  <c r="BC127" i="7"/>
  <c r="BB127" i="7"/>
  <c r="BF127" i="7" s="1"/>
  <c r="AG129" i="13" s="1"/>
  <c r="AD130" i="13"/>
  <c r="AB130" i="13"/>
  <c r="AF130" i="13"/>
  <c r="AF128" i="7"/>
  <c r="AE128" i="7"/>
  <c r="AK129" i="7"/>
  <c r="AR128" i="7"/>
  <c r="AY126" i="7"/>
  <c r="AO127" i="7"/>
  <c r="AN127" i="7"/>
  <c r="AP125" i="7"/>
  <c r="AE125" i="13"/>
  <c r="BA123" i="7"/>
  <c r="BJ123" i="7"/>
  <c r="AW124" i="7"/>
  <c r="BK124" i="7" s="1"/>
  <c r="AZ124" i="7"/>
  <c r="BM124" i="7"/>
  <c r="AQ126" i="7"/>
  <c r="AT126" i="7"/>
  <c r="AU126" i="7" s="1"/>
  <c r="AV126" i="7" s="1"/>
  <c r="AC127" i="13"/>
  <c r="BG125" i="7"/>
  <c r="BD124" i="7"/>
  <c r="AL129" i="7"/>
  <c r="BE124" i="7"/>
  <c r="BI126" i="7" l="1"/>
  <c r="BH126" i="7"/>
  <c r="BO125" i="7"/>
  <c r="BN125" i="7"/>
  <c r="AM129" i="7"/>
  <c r="BL124" i="7"/>
  <c r="BB128" i="7"/>
  <c r="BF128" i="7" s="1"/>
  <c r="AG130" i="13" s="1"/>
  <c r="BC128" i="7"/>
  <c r="AE126" i="13"/>
  <c r="BA124" i="7"/>
  <c r="BJ124" i="7"/>
  <c r="AF131" i="13"/>
  <c r="AB131" i="13"/>
  <c r="AD131" i="13"/>
  <c r="AF129" i="7"/>
  <c r="AE129" i="7"/>
  <c r="AR129" i="7"/>
  <c r="AK130" i="7"/>
  <c r="AC128" i="13"/>
  <c r="BG126" i="7"/>
  <c r="AW125" i="7"/>
  <c r="BK125" i="7" s="1"/>
  <c r="AZ125" i="7"/>
  <c r="BM125" i="7"/>
  <c r="AY127" i="7"/>
  <c r="AN128" i="7"/>
  <c r="AO128" i="7"/>
  <c r="AP126" i="7"/>
  <c r="AT127" i="7"/>
  <c r="AU127" i="7" s="1"/>
  <c r="AV127" i="7" s="1"/>
  <c r="AQ127" i="7"/>
  <c r="BD125" i="7"/>
  <c r="BE125" i="7"/>
  <c r="AL130" i="7"/>
  <c r="BI127" i="7" l="1"/>
  <c r="BH127" i="7"/>
  <c r="BO126" i="7"/>
  <c r="BN126" i="7"/>
  <c r="AM130" i="7"/>
  <c r="BL125" i="7"/>
  <c r="BC129" i="7"/>
  <c r="BB129" i="7"/>
  <c r="BF129" i="7" s="1"/>
  <c r="AG131" i="13" s="1"/>
  <c r="AQ128" i="7"/>
  <c r="AT128" i="7"/>
  <c r="AU128" i="7" s="1"/>
  <c r="AV128" i="7" s="1"/>
  <c r="AY128" i="7"/>
  <c r="AO129" i="7"/>
  <c r="AN129" i="7"/>
  <c r="AP127" i="7"/>
  <c r="AW126" i="7"/>
  <c r="BK126" i="7" s="1"/>
  <c r="AZ126" i="7"/>
  <c r="BM126" i="7"/>
  <c r="AC129" i="13"/>
  <c r="BG127" i="7"/>
  <c r="AB132" i="13"/>
  <c r="AF132" i="13"/>
  <c r="AD132" i="13"/>
  <c r="AF130" i="7"/>
  <c r="AE130" i="7"/>
  <c r="AR130" i="7"/>
  <c r="AK131" i="7"/>
  <c r="AE127" i="13"/>
  <c r="BA125" i="7"/>
  <c r="BJ125" i="7"/>
  <c r="BE126" i="7"/>
  <c r="BD126" i="7"/>
  <c r="AL131" i="7"/>
  <c r="BO127" i="7" l="1"/>
  <c r="BN127" i="7"/>
  <c r="BI128" i="7"/>
  <c r="BH128" i="7"/>
  <c r="AM131" i="7"/>
  <c r="BL126" i="7"/>
  <c r="BC130" i="7"/>
  <c r="BB130" i="7"/>
  <c r="BF130" i="7" s="1"/>
  <c r="AG132" i="13" s="1"/>
  <c r="AY129" i="7"/>
  <c r="AO130" i="7"/>
  <c r="AN130" i="7"/>
  <c r="AP128" i="7"/>
  <c r="AC130" i="13"/>
  <c r="BG128" i="7"/>
  <c r="AT129" i="7"/>
  <c r="AU129" i="7" s="1"/>
  <c r="AV129" i="7" s="1"/>
  <c r="AQ129" i="7"/>
  <c r="AE128" i="13"/>
  <c r="BA126" i="7"/>
  <c r="BJ126" i="7"/>
  <c r="AB133" i="13"/>
  <c r="AF133" i="13"/>
  <c r="AD133" i="13"/>
  <c r="AK132" i="7"/>
  <c r="AF131" i="7"/>
  <c r="AE131" i="7"/>
  <c r="AR131" i="7"/>
  <c r="AW127" i="7"/>
  <c r="BK127" i="7" s="1"/>
  <c r="AZ127" i="7"/>
  <c r="BM127" i="7"/>
  <c r="BE127" i="7"/>
  <c r="BD127" i="7"/>
  <c r="AL132" i="7"/>
  <c r="BO128" i="7" l="1"/>
  <c r="BN128" i="7"/>
  <c r="BI129" i="7"/>
  <c r="BH129" i="7"/>
  <c r="AM132" i="7"/>
  <c r="BL127" i="7"/>
  <c r="BC131" i="7"/>
  <c r="BB131" i="7"/>
  <c r="BF131" i="7" s="1"/>
  <c r="AG133" i="13" s="1"/>
  <c r="AY130" i="7"/>
  <c r="AN131" i="7"/>
  <c r="AO131" i="7"/>
  <c r="AP129" i="7"/>
  <c r="AW128" i="7"/>
  <c r="BK128" i="7" s="1"/>
  <c r="AZ128" i="7"/>
  <c r="BM128" i="7"/>
  <c r="AD134" i="13"/>
  <c r="AF134" i="13"/>
  <c r="AB134" i="13"/>
  <c r="AK133" i="7"/>
  <c r="AE132" i="7"/>
  <c r="AR132" i="7"/>
  <c r="AF132" i="7"/>
  <c r="AE129" i="13"/>
  <c r="BA127" i="7"/>
  <c r="BJ127" i="7"/>
  <c r="AQ130" i="7"/>
  <c r="AT130" i="7"/>
  <c r="AU130" i="7" s="1"/>
  <c r="AV130" i="7" s="1"/>
  <c r="AC131" i="13"/>
  <c r="BG129" i="7"/>
  <c r="BE128" i="7"/>
  <c r="AL133" i="7"/>
  <c r="BD128" i="7"/>
  <c r="BO129" i="7" l="1"/>
  <c r="BN129" i="7"/>
  <c r="BI130" i="7"/>
  <c r="BH130" i="7"/>
  <c r="AM133" i="7"/>
  <c r="BL128" i="7"/>
  <c r="BC132" i="7"/>
  <c r="BB132" i="7"/>
  <c r="BF132" i="7" s="1"/>
  <c r="AG134" i="13" s="1"/>
  <c r="AT131" i="7"/>
  <c r="AU131" i="7" s="1"/>
  <c r="AV131" i="7" s="1"/>
  <c r="AQ131" i="7"/>
  <c r="AE130" i="13"/>
  <c r="BA128" i="7"/>
  <c r="BJ128" i="7"/>
  <c r="AF135" i="13"/>
  <c r="AD135" i="13"/>
  <c r="AB135" i="13"/>
  <c r="AR133" i="7"/>
  <c r="AE133" i="7"/>
  <c r="AF133" i="7"/>
  <c r="AK134" i="7"/>
  <c r="AY131" i="7"/>
  <c r="AO132" i="7"/>
  <c r="AN132" i="7"/>
  <c r="AP130" i="7"/>
  <c r="AC132" i="13"/>
  <c r="BG130" i="7"/>
  <c r="AW129" i="7"/>
  <c r="BK129" i="7" s="1"/>
  <c r="AZ129" i="7"/>
  <c r="BM129" i="7"/>
  <c r="BD129" i="7"/>
  <c r="BE129" i="7"/>
  <c r="AL134" i="7"/>
  <c r="BO130" i="7" l="1"/>
  <c r="BN130" i="7"/>
  <c r="BI131" i="7"/>
  <c r="BH131" i="7"/>
  <c r="AM134" i="7"/>
  <c r="BL129" i="7"/>
  <c r="BB133" i="7"/>
  <c r="BF133" i="7" s="1"/>
  <c r="AG135" i="13" s="1"/>
  <c r="BC133" i="7"/>
  <c r="AD136" i="13"/>
  <c r="AF136" i="13"/>
  <c r="AB136" i="13"/>
  <c r="AF134" i="7"/>
  <c r="AK135" i="7"/>
  <c r="AE134" i="7"/>
  <c r="AR134" i="7"/>
  <c r="AW130" i="7"/>
  <c r="BK130" i="7" s="1"/>
  <c r="AZ130" i="7"/>
  <c r="BM130" i="7"/>
  <c r="AY132" i="7"/>
  <c r="AO133" i="7"/>
  <c r="AN133" i="7"/>
  <c r="AP131" i="7"/>
  <c r="AC133" i="13"/>
  <c r="BG131" i="7"/>
  <c r="AE131" i="13"/>
  <c r="BA129" i="7"/>
  <c r="BJ129" i="7"/>
  <c r="AT132" i="7"/>
  <c r="AU132" i="7" s="1"/>
  <c r="AV132" i="7" s="1"/>
  <c r="AQ132" i="7"/>
  <c r="BE130" i="7"/>
  <c r="BD130" i="7"/>
  <c r="AL135" i="7"/>
  <c r="BI132" i="7" l="1"/>
  <c r="BH132" i="7"/>
  <c r="BO131" i="7"/>
  <c r="BN131" i="7"/>
  <c r="AM135" i="7"/>
  <c r="BL130" i="7"/>
  <c r="BB134" i="7"/>
  <c r="BF134" i="7" s="1"/>
  <c r="AG136" i="13" s="1"/>
  <c r="BC134" i="7"/>
  <c r="AY133" i="7"/>
  <c r="AO134" i="7"/>
  <c r="AN134" i="7"/>
  <c r="AP132" i="7"/>
  <c r="AC134" i="13"/>
  <c r="BG132" i="7"/>
  <c r="AB137" i="13"/>
  <c r="AD137" i="13"/>
  <c r="AF137" i="13"/>
  <c r="AE135" i="7"/>
  <c r="AR135" i="7"/>
  <c r="AK136" i="7"/>
  <c r="AF135" i="7"/>
  <c r="AW131" i="7"/>
  <c r="BK131" i="7" s="1"/>
  <c r="AZ131" i="7"/>
  <c r="BM131" i="7"/>
  <c r="AT133" i="7"/>
  <c r="AU133" i="7" s="1"/>
  <c r="AV133" i="7" s="1"/>
  <c r="AQ133" i="7"/>
  <c r="AE132" i="13"/>
  <c r="BA130" i="7"/>
  <c r="BJ130" i="7"/>
  <c r="AL136" i="7"/>
  <c r="BE131" i="7"/>
  <c r="BD131" i="7"/>
  <c r="BO132" i="7" l="1"/>
  <c r="BN132" i="7"/>
  <c r="BI133" i="7"/>
  <c r="BH133" i="7"/>
  <c r="AM136" i="7"/>
  <c r="AN135" i="7" s="1"/>
  <c r="BL131" i="7"/>
  <c r="BC135" i="7"/>
  <c r="BB135" i="7"/>
  <c r="BF135" i="7" s="1"/>
  <c r="AG137" i="13" s="1"/>
  <c r="AY134" i="7"/>
  <c r="AO135" i="7"/>
  <c r="AP133" i="7"/>
  <c r="AD138" i="13"/>
  <c r="AB138" i="13"/>
  <c r="AF138" i="13"/>
  <c r="AR136" i="7"/>
  <c r="AF136" i="7"/>
  <c r="AK137" i="7"/>
  <c r="AE136" i="7"/>
  <c r="AW132" i="7"/>
  <c r="BK132" i="7" s="1"/>
  <c r="AZ132" i="7"/>
  <c r="BM132" i="7"/>
  <c r="AT134" i="7"/>
  <c r="AU134" i="7" s="1"/>
  <c r="AV134" i="7" s="1"/>
  <c r="AQ134" i="7"/>
  <c r="AE133" i="13"/>
  <c r="BA131" i="7"/>
  <c r="BJ131" i="7"/>
  <c r="AC135" i="13"/>
  <c r="BG133" i="7"/>
  <c r="BD132" i="7"/>
  <c r="BE132" i="7"/>
  <c r="AL137" i="7"/>
  <c r="BO133" i="7" l="1"/>
  <c r="BN133" i="7"/>
  <c r="BI134" i="7"/>
  <c r="BH134" i="7"/>
  <c r="AM137" i="7"/>
  <c r="AN136" i="7" s="1"/>
  <c r="BL132" i="7"/>
  <c r="BB136" i="7"/>
  <c r="BF136" i="7" s="1"/>
  <c r="AG138" i="13" s="1"/>
  <c r="BC136" i="7"/>
  <c r="AY135" i="7"/>
  <c r="AO136" i="7"/>
  <c r="AP134" i="7"/>
  <c r="AC136" i="13"/>
  <c r="BG134" i="7"/>
  <c r="AE134" i="13"/>
  <c r="BA132" i="7"/>
  <c r="BJ132" i="7"/>
  <c r="AW133" i="7"/>
  <c r="BK133" i="7" s="1"/>
  <c r="AZ133" i="7"/>
  <c r="BM133" i="7"/>
  <c r="AF139" i="13"/>
  <c r="AB139" i="13"/>
  <c r="AD139" i="13"/>
  <c r="AE137" i="7"/>
  <c r="AR137" i="7"/>
  <c r="AK138" i="7"/>
  <c r="AF137" i="7"/>
  <c r="AT135" i="7"/>
  <c r="AU135" i="7" s="1"/>
  <c r="AV135" i="7" s="1"/>
  <c r="AQ135" i="7"/>
  <c r="AL138" i="7"/>
  <c r="BE133" i="7"/>
  <c r="BD133" i="7"/>
  <c r="BO134" i="7" l="1"/>
  <c r="BN134" i="7"/>
  <c r="BI135" i="7"/>
  <c r="BH135" i="7"/>
  <c r="AM138" i="7"/>
  <c r="BL133" i="7"/>
  <c r="BC137" i="7"/>
  <c r="BB137" i="7"/>
  <c r="BF137" i="7" s="1"/>
  <c r="AG139" i="13" s="1"/>
  <c r="AT136" i="7"/>
  <c r="AU136" i="7" s="1"/>
  <c r="AV136" i="7" s="1"/>
  <c r="AQ136" i="7"/>
  <c r="AY136" i="7"/>
  <c r="AN137" i="7"/>
  <c r="AO137" i="7"/>
  <c r="AP135" i="7"/>
  <c r="AW134" i="7"/>
  <c r="BK134" i="7" s="1"/>
  <c r="AZ134" i="7"/>
  <c r="BM134" i="7"/>
  <c r="AF140" i="13"/>
  <c r="AB140" i="13"/>
  <c r="AD140" i="13"/>
  <c r="AR138" i="7"/>
  <c r="AF138" i="7"/>
  <c r="AK139" i="7"/>
  <c r="AE138" i="7"/>
  <c r="AE135" i="13"/>
  <c r="BA133" i="7"/>
  <c r="BJ133" i="7"/>
  <c r="AC137" i="13"/>
  <c r="BG135" i="7"/>
  <c r="BD134" i="7"/>
  <c r="AL139" i="7"/>
  <c r="BE134" i="7"/>
  <c r="BO135" i="7" l="1"/>
  <c r="BN135" i="7"/>
  <c r="BI136" i="7"/>
  <c r="BH136" i="7"/>
  <c r="AM139" i="7"/>
  <c r="BL134" i="7"/>
  <c r="BC138" i="7"/>
  <c r="BB138" i="7"/>
  <c r="BF138" i="7" s="1"/>
  <c r="AG140" i="13" s="1"/>
  <c r="AW135" i="7"/>
  <c r="BK135" i="7" s="1"/>
  <c r="AZ135" i="7"/>
  <c r="BM135" i="7"/>
  <c r="AC138" i="13"/>
  <c r="BG136" i="7"/>
  <c r="AY137" i="7"/>
  <c r="AO138" i="7"/>
  <c r="AN138" i="7"/>
  <c r="AP136" i="7"/>
  <c r="AB141" i="13"/>
  <c r="AF141" i="13"/>
  <c r="AD141" i="13"/>
  <c r="AE139" i="7"/>
  <c r="AR139" i="7"/>
  <c r="AF139" i="7"/>
  <c r="AK140" i="7"/>
  <c r="AE136" i="13"/>
  <c r="BA134" i="7"/>
  <c r="BJ134" i="7"/>
  <c r="AT137" i="7"/>
  <c r="AU137" i="7" s="1"/>
  <c r="AV137" i="7" s="1"/>
  <c r="AQ137" i="7"/>
  <c r="BE135" i="7"/>
  <c r="BD135" i="7"/>
  <c r="AL140" i="7"/>
  <c r="BI137" i="7" l="1"/>
  <c r="BH137" i="7"/>
  <c r="BO136" i="7"/>
  <c r="BN136" i="7"/>
  <c r="AM140" i="7"/>
  <c r="BL135" i="7"/>
  <c r="BC139" i="7"/>
  <c r="BB139" i="7"/>
  <c r="BF139" i="7" s="1"/>
  <c r="AG141" i="13" s="1"/>
  <c r="AC139" i="13"/>
  <c r="BG137" i="7"/>
  <c r="AT138" i="7"/>
  <c r="AU138" i="7" s="1"/>
  <c r="AV138" i="7" s="1"/>
  <c r="AQ138" i="7"/>
  <c r="AW136" i="7"/>
  <c r="BK136" i="7" s="1"/>
  <c r="AZ136" i="7"/>
  <c r="BM136" i="7"/>
  <c r="AD142" i="13"/>
  <c r="AF142" i="13"/>
  <c r="AB142" i="13"/>
  <c r="AF140" i="7"/>
  <c r="AE140" i="7"/>
  <c r="AK141" i="7"/>
  <c r="AR140" i="7"/>
  <c r="AY138" i="7"/>
  <c r="AO139" i="7"/>
  <c r="AN139" i="7"/>
  <c r="AP137" i="7"/>
  <c r="AE137" i="13"/>
  <c r="BA135" i="7"/>
  <c r="BJ135" i="7"/>
  <c r="AL141" i="7"/>
  <c r="BE136" i="7"/>
  <c r="BD136" i="7"/>
  <c r="BI138" i="7" l="1"/>
  <c r="BH138" i="7"/>
  <c r="BO137" i="7"/>
  <c r="BN137" i="7"/>
  <c r="AM141" i="7"/>
  <c r="BL136" i="7"/>
  <c r="BC140" i="7"/>
  <c r="BB140" i="7"/>
  <c r="BF140" i="7" s="1"/>
  <c r="AG142" i="13" s="1"/>
  <c r="AE138" i="13"/>
  <c r="BA136" i="7"/>
  <c r="BJ136" i="7"/>
  <c r="AC140" i="13"/>
  <c r="BG138" i="7"/>
  <c r="AQ139" i="7"/>
  <c r="AT139" i="7"/>
  <c r="AU139" i="7" s="1"/>
  <c r="AV139" i="7" s="1"/>
  <c r="AF143" i="13"/>
  <c r="AD143" i="13"/>
  <c r="AB143" i="13"/>
  <c r="AF141" i="7"/>
  <c r="AK142" i="7"/>
  <c r="AE141" i="7"/>
  <c r="AR141" i="7"/>
  <c r="AW137" i="7"/>
  <c r="BK137" i="7" s="1"/>
  <c r="AZ137" i="7"/>
  <c r="BM137" i="7"/>
  <c r="AY139" i="7"/>
  <c r="AO140" i="7"/>
  <c r="AN140" i="7"/>
  <c r="AP138" i="7"/>
  <c r="BE137" i="7"/>
  <c r="BD137" i="7"/>
  <c r="AL142" i="7"/>
  <c r="BI139" i="7" l="1"/>
  <c r="BH139" i="7"/>
  <c r="BO138" i="7"/>
  <c r="BN138" i="7"/>
  <c r="AM142" i="7"/>
  <c r="BL137" i="7"/>
  <c r="BB141" i="7"/>
  <c r="BF141" i="7" s="1"/>
  <c r="AG143" i="13" s="1"/>
  <c r="BC141" i="7"/>
  <c r="AD144" i="13"/>
  <c r="AB144" i="13"/>
  <c r="AF144" i="13"/>
  <c r="AE142" i="7"/>
  <c r="AR142" i="7"/>
  <c r="AK143" i="7"/>
  <c r="AF142" i="7"/>
  <c r="AW138" i="7"/>
  <c r="BK138" i="7" s="1"/>
  <c r="AZ138" i="7"/>
  <c r="BM138" i="7"/>
  <c r="AY140" i="7"/>
  <c r="AO141" i="7"/>
  <c r="AN141" i="7"/>
  <c r="AP139" i="7"/>
  <c r="AC141" i="13"/>
  <c r="BG139" i="7"/>
  <c r="AT140" i="7"/>
  <c r="AU140" i="7" s="1"/>
  <c r="AV140" i="7" s="1"/>
  <c r="AQ140" i="7"/>
  <c r="AE139" i="13"/>
  <c r="BA137" i="7"/>
  <c r="BJ137" i="7"/>
  <c r="AL143" i="7"/>
  <c r="BD138" i="7"/>
  <c r="BE138" i="7"/>
  <c r="BO139" i="7" l="1"/>
  <c r="BN139" i="7"/>
  <c r="BI140" i="7"/>
  <c r="BH140" i="7"/>
  <c r="AM143" i="7"/>
  <c r="BL138" i="7"/>
  <c r="BB142" i="7"/>
  <c r="BF142" i="7" s="1"/>
  <c r="AG144" i="13" s="1"/>
  <c r="BC142" i="7"/>
  <c r="AW139" i="7"/>
  <c r="BK139" i="7" s="1"/>
  <c r="AZ139" i="7"/>
  <c r="BM139" i="7"/>
  <c r="AY141" i="7"/>
  <c r="AO142" i="7"/>
  <c r="AN142" i="7"/>
  <c r="AP140" i="7"/>
  <c r="AC142" i="13"/>
  <c r="BG140" i="7"/>
  <c r="AQ141" i="7"/>
  <c r="AT141" i="7"/>
  <c r="AU141" i="7" s="1"/>
  <c r="AV141" i="7" s="1"/>
  <c r="AB145" i="13"/>
  <c r="AD145" i="13"/>
  <c r="AF145" i="13"/>
  <c r="AR143" i="7"/>
  <c r="AF143" i="7"/>
  <c r="AE143" i="7"/>
  <c r="AK144" i="7"/>
  <c r="AE140" i="13"/>
  <c r="BA138" i="7"/>
  <c r="BJ138" i="7"/>
  <c r="AL144" i="7"/>
  <c r="BD139" i="7"/>
  <c r="BE139" i="7"/>
  <c r="BI141" i="7" l="1"/>
  <c r="BH141" i="7"/>
  <c r="BO140" i="7"/>
  <c r="BN140" i="7"/>
  <c r="AM144" i="7"/>
  <c r="BL139" i="7"/>
  <c r="BC143" i="7"/>
  <c r="BB143" i="7"/>
  <c r="BF143" i="7" s="1"/>
  <c r="AG145" i="13" s="1"/>
  <c r="AY142" i="7"/>
  <c r="AO143" i="7"/>
  <c r="AN143" i="7"/>
  <c r="AP141" i="7"/>
  <c r="AT142" i="7"/>
  <c r="AU142" i="7" s="1"/>
  <c r="AV142" i="7" s="1"/>
  <c r="AQ142" i="7"/>
  <c r="AC143" i="13"/>
  <c r="BG141" i="7"/>
  <c r="AW140" i="7"/>
  <c r="BK140" i="7" s="1"/>
  <c r="AZ140" i="7"/>
  <c r="BM140" i="7"/>
  <c r="AD146" i="13"/>
  <c r="AB146" i="13"/>
  <c r="AF146" i="13"/>
  <c r="AF144" i="7"/>
  <c r="AE144" i="7"/>
  <c r="AK145" i="7"/>
  <c r="AR144" i="7"/>
  <c r="AE141" i="13"/>
  <c r="BA139" i="7"/>
  <c r="BJ139" i="7"/>
  <c r="AL145" i="7"/>
  <c r="BE140" i="7"/>
  <c r="BD140" i="7"/>
  <c r="BO141" i="7" l="1"/>
  <c r="BN141" i="7"/>
  <c r="BI142" i="7"/>
  <c r="BH142" i="7"/>
  <c r="AM145" i="7"/>
  <c r="BL140" i="7"/>
  <c r="BB144" i="7"/>
  <c r="BF144" i="7" s="1"/>
  <c r="AG146" i="13" s="1"/>
  <c r="BC144" i="7"/>
  <c r="AW141" i="7"/>
  <c r="BK141" i="7" s="1"/>
  <c r="AZ141" i="7"/>
  <c r="BM141" i="7"/>
  <c r="AE142" i="13"/>
  <c r="BA140" i="7"/>
  <c r="BJ140" i="7"/>
  <c r="AF147" i="13"/>
  <c r="AB147" i="13"/>
  <c r="AD147" i="13"/>
  <c r="AR145" i="7"/>
  <c r="AF145" i="7"/>
  <c r="AE145" i="7"/>
  <c r="AK146" i="7"/>
  <c r="AC144" i="13"/>
  <c r="BG142" i="7"/>
  <c r="AY143" i="7"/>
  <c r="AN144" i="7"/>
  <c r="AO144" i="7"/>
  <c r="AP142" i="7"/>
  <c r="AQ143" i="7"/>
  <c r="AT143" i="7"/>
  <c r="AU143" i="7" s="1"/>
  <c r="AV143" i="7" s="1"/>
  <c r="BD141" i="7"/>
  <c r="BE141" i="7"/>
  <c r="AL146" i="7"/>
  <c r="BI143" i="7" l="1"/>
  <c r="BH143" i="7"/>
  <c r="BO142" i="7"/>
  <c r="BN142" i="7"/>
  <c r="AM146" i="7"/>
  <c r="BL141" i="7"/>
  <c r="BC145" i="7"/>
  <c r="BB145" i="7"/>
  <c r="BF145" i="7" s="1"/>
  <c r="AG147" i="13" s="1"/>
  <c r="AT144" i="7"/>
  <c r="AU144" i="7" s="1"/>
  <c r="AV144" i="7" s="1"/>
  <c r="AQ144" i="7"/>
  <c r="AB148" i="13"/>
  <c r="AF148" i="13"/>
  <c r="AD148" i="13"/>
  <c r="AK147" i="7"/>
  <c r="AF146" i="7"/>
  <c r="AE146" i="7"/>
  <c r="AR146" i="7"/>
  <c r="AY144" i="7"/>
  <c r="AO145" i="7"/>
  <c r="AN145" i="7"/>
  <c r="AP143" i="7"/>
  <c r="AC145" i="13"/>
  <c r="BG143" i="7"/>
  <c r="AW142" i="7"/>
  <c r="BK142" i="7" s="1"/>
  <c r="AZ142" i="7"/>
  <c r="BM142" i="7"/>
  <c r="AE143" i="13"/>
  <c r="BA141" i="7"/>
  <c r="BJ141" i="7"/>
  <c r="BE142" i="7"/>
  <c r="AL147" i="7"/>
  <c r="BD142" i="7"/>
  <c r="BO143" i="7" l="1"/>
  <c r="BN143" i="7"/>
  <c r="BI144" i="7"/>
  <c r="BH144" i="7"/>
  <c r="AM147" i="7"/>
  <c r="BL142" i="7"/>
  <c r="BC146" i="7"/>
  <c r="BB146" i="7"/>
  <c r="BF146" i="7" s="1"/>
  <c r="AG148" i="13" s="1"/>
  <c r="AY145" i="7"/>
  <c r="AO146" i="7"/>
  <c r="AN146" i="7"/>
  <c r="AP144" i="7"/>
  <c r="AQ145" i="7"/>
  <c r="AT145" i="7"/>
  <c r="AU145" i="7" s="1"/>
  <c r="AV145" i="7" s="1"/>
  <c r="AW143" i="7"/>
  <c r="BK143" i="7" s="1"/>
  <c r="AZ143" i="7"/>
  <c r="BM143" i="7"/>
  <c r="AC146" i="13"/>
  <c r="BG144" i="7"/>
  <c r="AB149" i="13"/>
  <c r="AF149" i="13"/>
  <c r="AD149" i="13"/>
  <c r="AR147" i="7"/>
  <c r="AF147" i="7"/>
  <c r="AK148" i="7"/>
  <c r="AE147" i="7"/>
  <c r="AE144" i="13"/>
  <c r="BA142" i="7"/>
  <c r="BJ142" i="7"/>
  <c r="BE143" i="7"/>
  <c r="AL148" i="7"/>
  <c r="BD143" i="7"/>
  <c r="BI145" i="7" l="1"/>
  <c r="BH145" i="7"/>
  <c r="BO144" i="7"/>
  <c r="BN144" i="7"/>
  <c r="AM148" i="7"/>
  <c r="BL143" i="7"/>
  <c r="BB147" i="7"/>
  <c r="BF147" i="7" s="1"/>
  <c r="AG149" i="13" s="1"/>
  <c r="BC147" i="7"/>
  <c r="AY146" i="7"/>
  <c r="AN147" i="7"/>
  <c r="AO147" i="7"/>
  <c r="AP145" i="7"/>
  <c r="AW144" i="7"/>
  <c r="BK144" i="7" s="1"/>
  <c r="AZ144" i="7"/>
  <c r="BM144" i="7"/>
  <c r="AD150" i="13"/>
  <c r="AF150" i="13"/>
  <c r="AB150" i="13"/>
  <c r="AK149" i="7"/>
  <c r="AE148" i="7"/>
  <c r="AR148" i="7"/>
  <c r="AF148" i="7"/>
  <c r="AT146" i="7"/>
  <c r="AU146" i="7" s="1"/>
  <c r="AV146" i="7" s="1"/>
  <c r="AQ146" i="7"/>
  <c r="AC147" i="13"/>
  <c r="BG145" i="7"/>
  <c r="AE145" i="13"/>
  <c r="BA143" i="7"/>
  <c r="BJ143" i="7"/>
  <c r="BD144" i="7"/>
  <c r="BE144" i="7"/>
  <c r="AL149" i="7"/>
  <c r="BI146" i="7" l="1"/>
  <c r="BH146" i="7"/>
  <c r="BO145" i="7"/>
  <c r="BN145" i="7"/>
  <c r="AM149" i="7"/>
  <c r="BL144" i="7"/>
  <c r="BB148" i="7"/>
  <c r="BF148" i="7" s="1"/>
  <c r="AG150" i="13" s="1"/>
  <c r="BC148" i="7"/>
  <c r="AT147" i="7"/>
  <c r="AU147" i="7" s="1"/>
  <c r="AV147" i="7" s="1"/>
  <c r="AQ147" i="7"/>
  <c r="AW145" i="7"/>
  <c r="BK145" i="7" s="1"/>
  <c r="AZ145" i="7"/>
  <c r="BM145" i="7"/>
  <c r="AF151" i="13"/>
  <c r="AD151" i="13"/>
  <c r="AB151" i="13"/>
  <c r="AR149" i="7"/>
  <c r="AF149" i="7"/>
  <c r="AE149" i="7"/>
  <c r="AK150" i="7"/>
  <c r="AC148" i="13"/>
  <c r="BG146" i="7"/>
  <c r="AE146" i="13"/>
  <c r="BA144" i="7"/>
  <c r="BJ144" i="7"/>
  <c r="AY147" i="7"/>
  <c r="AO148" i="7"/>
  <c r="AN148" i="7"/>
  <c r="AP146" i="7"/>
  <c r="BD145" i="7"/>
  <c r="BE145" i="7"/>
  <c r="AL150" i="7"/>
  <c r="BO146" i="7" l="1"/>
  <c r="BN146" i="7"/>
  <c r="BI147" i="7"/>
  <c r="BH147" i="7"/>
  <c r="AM150" i="7"/>
  <c r="BL145" i="7"/>
  <c r="BC149" i="7"/>
  <c r="BB149" i="7"/>
  <c r="BF149" i="7" s="1"/>
  <c r="AG151" i="13" s="1"/>
  <c r="AW146" i="7"/>
  <c r="BK146" i="7" s="1"/>
  <c r="AZ146" i="7"/>
  <c r="BM146" i="7"/>
  <c r="AC149" i="13"/>
  <c r="BG147" i="7"/>
  <c r="AD152" i="13"/>
  <c r="AF152" i="13"/>
  <c r="AB152" i="13"/>
  <c r="AF150" i="7"/>
  <c r="AK151" i="7"/>
  <c r="AE150" i="7"/>
  <c r="AR150" i="7"/>
  <c r="AE147" i="13"/>
  <c r="BA145" i="7"/>
  <c r="BJ145" i="7"/>
  <c r="AT148" i="7"/>
  <c r="AU148" i="7" s="1"/>
  <c r="AV148" i="7" s="1"/>
  <c r="AQ148" i="7"/>
  <c r="AY148" i="7"/>
  <c r="AO149" i="7"/>
  <c r="AN149" i="7"/>
  <c r="AP147" i="7"/>
  <c r="BD146" i="7"/>
  <c r="AL151" i="7"/>
  <c r="BE146" i="7"/>
  <c r="BI148" i="7" l="1"/>
  <c r="BH148" i="7"/>
  <c r="BO147" i="7"/>
  <c r="BN147" i="7"/>
  <c r="AM151" i="7"/>
  <c r="BL146" i="7"/>
  <c r="BB150" i="7"/>
  <c r="BF150" i="7" s="1"/>
  <c r="AG152" i="13" s="1"/>
  <c r="BC150" i="7"/>
  <c r="AY149" i="7"/>
  <c r="AO150" i="7"/>
  <c r="AN150" i="7"/>
  <c r="AP148" i="7"/>
  <c r="AB153" i="13"/>
  <c r="AD153" i="13"/>
  <c r="AF153" i="13"/>
  <c r="AE151" i="7"/>
  <c r="AR151" i="7"/>
  <c r="AF151" i="7"/>
  <c r="AK152" i="7"/>
  <c r="AW147" i="7"/>
  <c r="BK147" i="7" s="1"/>
  <c r="AZ147" i="7"/>
  <c r="BM147" i="7"/>
  <c r="AC150" i="13"/>
  <c r="BG148" i="7"/>
  <c r="AT149" i="7"/>
  <c r="AU149" i="7" s="1"/>
  <c r="AV149" i="7" s="1"/>
  <c r="AQ149" i="7"/>
  <c r="AE148" i="13"/>
  <c r="BA146" i="7"/>
  <c r="BJ146" i="7"/>
  <c r="BD147" i="7"/>
  <c r="AL152" i="7"/>
  <c r="BE147" i="7"/>
  <c r="BO148" i="7" l="1"/>
  <c r="BN148" i="7"/>
  <c r="BI149" i="7"/>
  <c r="BH149" i="7"/>
  <c r="AM152" i="7"/>
  <c r="BL147" i="7"/>
  <c r="BC151" i="7"/>
  <c r="BB151" i="7"/>
  <c r="BF151" i="7" s="1"/>
  <c r="AG153" i="13" s="1"/>
  <c r="AY150" i="7"/>
  <c r="AO151" i="7"/>
  <c r="AN151" i="7"/>
  <c r="AP149" i="7"/>
  <c r="AW148" i="7"/>
  <c r="BK148" i="7" s="1"/>
  <c r="AZ148" i="7"/>
  <c r="BM148" i="7"/>
  <c r="AE149" i="13"/>
  <c r="BA147" i="7"/>
  <c r="BJ147" i="7"/>
  <c r="AD154" i="13"/>
  <c r="AB154" i="13"/>
  <c r="AF154" i="13"/>
  <c r="AR152" i="7"/>
  <c r="AF152" i="7"/>
  <c r="AK153" i="7"/>
  <c r="AE152" i="7"/>
  <c r="AT150" i="7"/>
  <c r="AU150" i="7" s="1"/>
  <c r="AV150" i="7" s="1"/>
  <c r="AQ150" i="7"/>
  <c r="AC151" i="13"/>
  <c r="BG149" i="7"/>
  <c r="AL153" i="7"/>
  <c r="BE148" i="7"/>
  <c r="BD148" i="7"/>
  <c r="BO149" i="7" l="1"/>
  <c r="BN149" i="7"/>
  <c r="BI150" i="7"/>
  <c r="BH150" i="7"/>
  <c r="AM153" i="7"/>
  <c r="BL148" i="7"/>
  <c r="BB152" i="7"/>
  <c r="BF152" i="7" s="1"/>
  <c r="AG154" i="13" s="1"/>
  <c r="BC152" i="7"/>
  <c r="AC152" i="13"/>
  <c r="BG150" i="7"/>
  <c r="AY151" i="7"/>
  <c r="AN152" i="7"/>
  <c r="AO152" i="7"/>
  <c r="AP150" i="7"/>
  <c r="AE150" i="13"/>
  <c r="BA148" i="7"/>
  <c r="BJ148" i="7"/>
  <c r="AW149" i="7"/>
  <c r="BK149" i="7" s="1"/>
  <c r="AZ149" i="7"/>
  <c r="BM149" i="7"/>
  <c r="AF155" i="13"/>
  <c r="AB155" i="13"/>
  <c r="AD155" i="13"/>
  <c r="AE153" i="7"/>
  <c r="AR153" i="7"/>
  <c r="AF153" i="7"/>
  <c r="AK154" i="7"/>
  <c r="AT151" i="7"/>
  <c r="AU151" i="7" s="1"/>
  <c r="AV151" i="7" s="1"/>
  <c r="AQ151" i="7"/>
  <c r="BD149" i="7"/>
  <c r="AL154" i="7"/>
  <c r="BE149" i="7"/>
  <c r="BI151" i="7" l="1"/>
  <c r="BH151" i="7"/>
  <c r="BO150" i="7"/>
  <c r="BN150" i="7"/>
  <c r="AM154" i="7"/>
  <c r="BL149" i="7"/>
  <c r="BC153" i="7"/>
  <c r="BB153" i="7"/>
  <c r="BF153" i="7" s="1"/>
  <c r="AG155" i="13" s="1"/>
  <c r="AW150" i="7"/>
  <c r="BK150" i="7" s="1"/>
  <c r="AZ150" i="7"/>
  <c r="BM150" i="7"/>
  <c r="AF156" i="13"/>
  <c r="AB156" i="13"/>
  <c r="AD156" i="13"/>
  <c r="AR154" i="7"/>
  <c r="AF154" i="7"/>
  <c r="AK155" i="7"/>
  <c r="AE154" i="7"/>
  <c r="AT152" i="7"/>
  <c r="AU152" i="7" s="1"/>
  <c r="AV152" i="7" s="1"/>
  <c r="AQ152" i="7"/>
  <c r="AE151" i="13"/>
  <c r="BA149" i="7"/>
  <c r="BJ149" i="7"/>
  <c r="AC153" i="13"/>
  <c r="BG151" i="7"/>
  <c r="AY152" i="7"/>
  <c r="AN153" i="7"/>
  <c r="AO153" i="7"/>
  <c r="AP151" i="7"/>
  <c r="BD150" i="7"/>
  <c r="BE150" i="7"/>
  <c r="AL155" i="7"/>
  <c r="BO151" i="7" l="1"/>
  <c r="BN151" i="7"/>
  <c r="BI152" i="7"/>
  <c r="BH152" i="7"/>
  <c r="AM155" i="7"/>
  <c r="BL150" i="7"/>
  <c r="BB154" i="7"/>
  <c r="BF154" i="7" s="1"/>
  <c r="AG156" i="13" s="1"/>
  <c r="BC154" i="7"/>
  <c r="AW151" i="7"/>
  <c r="BK151" i="7" s="1"/>
  <c r="AZ151" i="7"/>
  <c r="BM151" i="7"/>
  <c r="AY153" i="7"/>
  <c r="AO154" i="7"/>
  <c r="AN154" i="7"/>
  <c r="AP152" i="7"/>
  <c r="AC154" i="13"/>
  <c r="BG152" i="7"/>
  <c r="AT153" i="7"/>
  <c r="AU153" i="7" s="1"/>
  <c r="AV153" i="7" s="1"/>
  <c r="AQ153" i="7"/>
  <c r="AB157" i="13"/>
  <c r="AF157" i="13"/>
  <c r="AD157" i="13"/>
  <c r="AE155" i="7"/>
  <c r="AR155" i="7"/>
  <c r="AF155" i="7"/>
  <c r="AK156" i="7"/>
  <c r="AE152" i="13"/>
  <c r="BA150" i="7"/>
  <c r="BJ150" i="7"/>
  <c r="BD151" i="7"/>
  <c r="AL156" i="7"/>
  <c r="BE151" i="7"/>
  <c r="BO152" i="7" l="1"/>
  <c r="BN152" i="7"/>
  <c r="BI153" i="7"/>
  <c r="BH153" i="7"/>
  <c r="AM156" i="7"/>
  <c r="BL151" i="7"/>
  <c r="BC155" i="7"/>
  <c r="BB155" i="7"/>
  <c r="BF155" i="7" s="1"/>
  <c r="AG157" i="13" s="1"/>
  <c r="AT154" i="7"/>
  <c r="AU154" i="7" s="1"/>
  <c r="AV154" i="7" s="1"/>
  <c r="AQ154" i="7"/>
  <c r="AY154" i="7"/>
  <c r="AO155" i="7"/>
  <c r="AN155" i="7"/>
  <c r="AP153" i="7"/>
  <c r="AC155" i="13"/>
  <c r="BG153" i="7"/>
  <c r="AD158" i="13"/>
  <c r="AF158" i="13"/>
  <c r="AB158" i="13"/>
  <c r="AF156" i="7"/>
  <c r="AK157" i="7"/>
  <c r="AE156" i="7"/>
  <c r="AR156" i="7"/>
  <c r="AW152" i="7"/>
  <c r="BK152" i="7" s="1"/>
  <c r="AZ152" i="7"/>
  <c r="BM152" i="7"/>
  <c r="AE153" i="13"/>
  <c r="BA151" i="7"/>
  <c r="BJ151" i="7"/>
  <c r="AL157" i="7"/>
  <c r="BE152" i="7"/>
  <c r="BD152" i="7"/>
  <c r="BO153" i="7" l="1"/>
  <c r="BN153" i="7"/>
  <c r="BI154" i="7"/>
  <c r="BH154" i="7"/>
  <c r="AM157" i="7"/>
  <c r="BL152" i="7"/>
  <c r="BB156" i="7"/>
  <c r="BF156" i="7" s="1"/>
  <c r="AG158" i="13" s="1"/>
  <c r="BC156" i="7"/>
  <c r="AW153" i="7"/>
  <c r="BK153" i="7" s="1"/>
  <c r="AZ153" i="7"/>
  <c r="BM153" i="7"/>
  <c r="AC156" i="13"/>
  <c r="BG154" i="7"/>
  <c r="AY155" i="7"/>
  <c r="AO156" i="7"/>
  <c r="AN156" i="7"/>
  <c r="AP154" i="7"/>
  <c r="AE154" i="13"/>
  <c r="BA152" i="7"/>
  <c r="BJ152" i="7"/>
  <c r="AQ155" i="7"/>
  <c r="AT155" i="7"/>
  <c r="AU155" i="7" s="1"/>
  <c r="AV155" i="7" s="1"/>
  <c r="AF159" i="13"/>
  <c r="AD159" i="13"/>
  <c r="AB159" i="13"/>
  <c r="AF157" i="7"/>
  <c r="AK158" i="7"/>
  <c r="AE157" i="7"/>
  <c r="AR157" i="7"/>
  <c r="BD153" i="7"/>
  <c r="AL158" i="7"/>
  <c r="BE153" i="7"/>
  <c r="BI155" i="7" l="1"/>
  <c r="BH155" i="7"/>
  <c r="BO154" i="7"/>
  <c r="BN154" i="7"/>
  <c r="AM158" i="7"/>
  <c r="BL153" i="7"/>
  <c r="BC157" i="7"/>
  <c r="BB157" i="7"/>
  <c r="BF157" i="7" s="1"/>
  <c r="AG159" i="13" s="1"/>
  <c r="AT156" i="7"/>
  <c r="AU156" i="7" s="1"/>
  <c r="AV156" i="7" s="1"/>
  <c r="AQ156" i="7"/>
  <c r="AC157" i="13"/>
  <c r="BG155" i="7"/>
  <c r="AW154" i="7"/>
  <c r="BK154" i="7" s="1"/>
  <c r="AZ154" i="7"/>
  <c r="BM154" i="7"/>
  <c r="AD160" i="13"/>
  <c r="AB160" i="13"/>
  <c r="AF160" i="13"/>
  <c r="AE158" i="7"/>
  <c r="AR158" i="7"/>
  <c r="AF158" i="7"/>
  <c r="AK159" i="7"/>
  <c r="AY156" i="7"/>
  <c r="AO157" i="7"/>
  <c r="AN157" i="7"/>
  <c r="AP155" i="7"/>
  <c r="AE155" i="13"/>
  <c r="BA153" i="7"/>
  <c r="BJ153" i="7"/>
  <c r="AL159" i="7"/>
  <c r="BD154" i="7"/>
  <c r="BE154" i="7"/>
  <c r="BO155" i="7" l="1"/>
  <c r="BN155" i="7"/>
  <c r="BI156" i="7"/>
  <c r="BH156" i="7"/>
  <c r="AM159" i="7"/>
  <c r="BL154" i="7"/>
  <c r="BC158" i="7"/>
  <c r="BB158" i="7"/>
  <c r="BF158" i="7" s="1"/>
  <c r="AG160" i="13" s="1"/>
  <c r="AE156" i="13"/>
  <c r="BA154" i="7"/>
  <c r="BJ154" i="7"/>
  <c r="AQ157" i="7"/>
  <c r="AT157" i="7"/>
  <c r="AU157" i="7" s="1"/>
  <c r="AV157" i="7" s="1"/>
  <c r="AY157" i="7"/>
  <c r="AN158" i="7"/>
  <c r="AO158" i="7"/>
  <c r="AP156" i="7"/>
  <c r="AB161" i="13"/>
  <c r="AD161" i="13"/>
  <c r="AF161" i="13"/>
  <c r="AR159" i="7"/>
  <c r="AF159" i="7"/>
  <c r="AE159" i="7"/>
  <c r="AK160" i="7"/>
  <c r="AW155" i="7"/>
  <c r="BK155" i="7" s="1"/>
  <c r="AZ155" i="7"/>
  <c r="BM155" i="7"/>
  <c r="AC158" i="13"/>
  <c r="BG156" i="7"/>
  <c r="AL160" i="7"/>
  <c r="BD155" i="7"/>
  <c r="BE155" i="7"/>
  <c r="BI157" i="7" l="1"/>
  <c r="BH157" i="7"/>
  <c r="BO156" i="7"/>
  <c r="BN156" i="7"/>
  <c r="AM160" i="7"/>
  <c r="BL155" i="7"/>
  <c r="BC159" i="7"/>
  <c r="BB159" i="7"/>
  <c r="BF159" i="7" s="1"/>
  <c r="AG161" i="13" s="1"/>
  <c r="AE157" i="13"/>
  <c r="BA155" i="7"/>
  <c r="BJ155" i="7"/>
  <c r="AD162" i="13"/>
  <c r="AB162" i="13"/>
  <c r="AF162" i="13"/>
  <c r="AF160" i="7"/>
  <c r="AE160" i="7"/>
  <c r="AK161" i="7"/>
  <c r="AR160" i="7"/>
  <c r="AT158" i="7"/>
  <c r="AU158" i="7" s="1"/>
  <c r="AV158" i="7" s="1"/>
  <c r="AQ158" i="7"/>
  <c r="AW156" i="7"/>
  <c r="BK156" i="7" s="1"/>
  <c r="AZ156" i="7"/>
  <c r="BM156" i="7"/>
  <c r="AY158" i="7"/>
  <c r="AO159" i="7"/>
  <c r="AN159" i="7"/>
  <c r="AP157" i="7"/>
  <c r="AC159" i="13"/>
  <c r="BG157" i="7"/>
  <c r="BD156" i="7"/>
  <c r="BE156" i="7"/>
  <c r="AL161" i="7"/>
  <c r="BO157" i="7" l="1"/>
  <c r="BN157" i="7"/>
  <c r="BI158" i="7"/>
  <c r="BH158" i="7"/>
  <c r="AM161" i="7"/>
  <c r="BL156" i="7"/>
  <c r="BC160" i="7"/>
  <c r="BB160" i="7"/>
  <c r="BF160" i="7" s="1"/>
  <c r="AG162" i="13" s="1"/>
  <c r="AE158" i="13"/>
  <c r="BA156" i="7"/>
  <c r="BJ156" i="7"/>
  <c r="AQ159" i="7"/>
  <c r="AT159" i="7"/>
  <c r="AU159" i="7" s="1"/>
  <c r="AV159" i="7" s="1"/>
  <c r="AW157" i="7"/>
  <c r="BK157" i="7" s="1"/>
  <c r="AZ157" i="7"/>
  <c r="BM157" i="7"/>
  <c r="AY159" i="7"/>
  <c r="AO160" i="7"/>
  <c r="AN160" i="7"/>
  <c r="AP158" i="7"/>
  <c r="AC160" i="13"/>
  <c r="BG158" i="7"/>
  <c r="AF163" i="13"/>
  <c r="AB163" i="13"/>
  <c r="AD163" i="13"/>
  <c r="AR161" i="7"/>
  <c r="AF161" i="7"/>
  <c r="AE161" i="7"/>
  <c r="AK162" i="7"/>
  <c r="BD157" i="7"/>
  <c r="BE157" i="7"/>
  <c r="AL162" i="7"/>
  <c r="BI159" i="7" l="1"/>
  <c r="BH159" i="7"/>
  <c r="BO158" i="7"/>
  <c r="BN158" i="7"/>
  <c r="AM162" i="7"/>
  <c r="BL157" i="7"/>
  <c r="BB161" i="7"/>
  <c r="BF161" i="7" s="1"/>
  <c r="AG163" i="13" s="1"/>
  <c r="BC161" i="7"/>
  <c r="AW158" i="7"/>
  <c r="BK158" i="7" s="1"/>
  <c r="AZ158" i="7"/>
  <c r="BM158" i="7"/>
  <c r="AT160" i="7"/>
  <c r="AU160" i="7" s="1"/>
  <c r="AV160" i="7" s="1"/>
  <c r="AQ160" i="7"/>
  <c r="AB164" i="13"/>
  <c r="AF164" i="13"/>
  <c r="AD164" i="13"/>
  <c r="AK163" i="7"/>
  <c r="AF162" i="7"/>
  <c r="AE162" i="7"/>
  <c r="AR162" i="7"/>
  <c r="AE159" i="13"/>
  <c r="BA157" i="7"/>
  <c r="BJ157" i="7"/>
  <c r="AC161" i="13"/>
  <c r="BG159" i="7"/>
  <c r="AY160" i="7"/>
  <c r="AO161" i="7"/>
  <c r="AN161" i="7"/>
  <c r="AP159" i="7"/>
  <c r="BE158" i="7"/>
  <c r="AL163" i="7"/>
  <c r="BD158" i="7"/>
  <c r="BO159" i="7" l="1"/>
  <c r="BN159" i="7"/>
  <c r="BI160" i="7"/>
  <c r="BH160" i="7"/>
  <c r="AM163" i="7"/>
  <c r="AO162" i="7" s="1"/>
  <c r="BL158" i="7"/>
  <c r="BC162" i="7"/>
  <c r="BB162" i="7"/>
  <c r="BF162" i="7" s="1"/>
  <c r="AG164" i="13" s="1"/>
  <c r="AY161" i="7"/>
  <c r="AP160" i="7"/>
  <c r="AQ161" i="7"/>
  <c r="AT161" i="7"/>
  <c r="AU161" i="7" s="1"/>
  <c r="AV161" i="7" s="1"/>
  <c r="AW159" i="7"/>
  <c r="BK159" i="7" s="1"/>
  <c r="AZ159" i="7"/>
  <c r="BM159" i="7"/>
  <c r="AC162" i="13"/>
  <c r="BG160" i="7"/>
  <c r="AB165" i="13"/>
  <c r="AF165" i="13"/>
  <c r="AD165" i="13"/>
  <c r="AR163" i="7"/>
  <c r="AF163" i="7"/>
  <c r="AK164" i="7"/>
  <c r="AE163" i="7"/>
  <c r="AE160" i="13"/>
  <c r="BA158" i="7"/>
  <c r="BJ158" i="7"/>
  <c r="AL164" i="7"/>
  <c r="BE159" i="7"/>
  <c r="BD159" i="7"/>
  <c r="BI161" i="7" l="1"/>
  <c r="BH161" i="7"/>
  <c r="BO160" i="7"/>
  <c r="BN160" i="7"/>
  <c r="AN162" i="7"/>
  <c r="AM164" i="7"/>
  <c r="BL159" i="7"/>
  <c r="BC163" i="7"/>
  <c r="BB163" i="7"/>
  <c r="BF163" i="7" s="1"/>
  <c r="AG165" i="13" s="1"/>
  <c r="AQ162" i="7"/>
  <c r="AW160" i="7"/>
  <c r="BK160" i="7" s="1"/>
  <c r="AZ160" i="7"/>
  <c r="BM160" i="7"/>
  <c r="AP161" i="7"/>
  <c r="AD166" i="13"/>
  <c r="AF166" i="13"/>
  <c r="AB166" i="13"/>
  <c r="AK165" i="7"/>
  <c r="AE164" i="7"/>
  <c r="AR164" i="7"/>
  <c r="AF164" i="7"/>
  <c r="AC163" i="13"/>
  <c r="BG161" i="7"/>
  <c r="AE161" i="13"/>
  <c r="BA159" i="7"/>
  <c r="BJ159" i="7"/>
  <c r="BD160" i="7"/>
  <c r="BE160" i="7"/>
  <c r="AL165" i="7"/>
  <c r="BO161" i="7" l="1"/>
  <c r="BN161" i="7"/>
  <c r="AN163" i="7"/>
  <c r="AO163" i="7"/>
  <c r="AT163" i="7" s="1"/>
  <c r="AU163" i="7" s="1"/>
  <c r="AV163" i="7" s="1"/>
  <c r="AY162" i="7"/>
  <c r="AT162" i="7"/>
  <c r="AU162" i="7" s="1"/>
  <c r="AV162" i="7" s="1"/>
  <c r="AM165" i="7"/>
  <c r="BL160" i="7"/>
  <c r="BC164" i="7"/>
  <c r="BB164" i="7"/>
  <c r="BF164" i="7" s="1"/>
  <c r="AG166" i="13" s="1"/>
  <c r="BG162" i="7"/>
  <c r="AW161" i="7"/>
  <c r="BK161" i="7" s="1"/>
  <c r="AZ161" i="7"/>
  <c r="BM161" i="7"/>
  <c r="AE162" i="13"/>
  <c r="BA160" i="7"/>
  <c r="BJ160" i="7"/>
  <c r="AF167" i="13"/>
  <c r="AD167" i="13"/>
  <c r="AB167" i="13"/>
  <c r="AR165" i="7"/>
  <c r="AE165" i="7"/>
  <c r="AF165" i="7"/>
  <c r="AK166" i="7"/>
  <c r="AY163" i="7"/>
  <c r="AO164" i="7"/>
  <c r="AN164" i="7"/>
  <c r="AP162" i="7"/>
  <c r="AL166" i="7"/>
  <c r="BD161" i="7"/>
  <c r="BE161" i="7"/>
  <c r="BI163" i="7" l="1"/>
  <c r="BH163" i="7"/>
  <c r="BI162" i="7"/>
  <c r="BH162" i="7"/>
  <c r="BO162" i="7"/>
  <c r="BN162" i="7"/>
  <c r="AQ163" i="7"/>
  <c r="AC164" i="13"/>
  <c r="AM166" i="7"/>
  <c r="BL161" i="7"/>
  <c r="BC165" i="7"/>
  <c r="BB165" i="7"/>
  <c r="BF165" i="7" s="1"/>
  <c r="AG167" i="13" s="1"/>
  <c r="AT164" i="7"/>
  <c r="AU164" i="7" s="1"/>
  <c r="AV164" i="7" s="1"/>
  <c r="AQ164" i="7"/>
  <c r="AE163" i="13"/>
  <c r="BA161" i="7"/>
  <c r="BJ161" i="7"/>
  <c r="AW162" i="7"/>
  <c r="BK162" i="7" s="1"/>
  <c r="AZ162" i="7"/>
  <c r="BM162" i="7"/>
  <c r="AD168" i="13"/>
  <c r="AF168" i="13"/>
  <c r="AB168" i="13"/>
  <c r="AF166" i="7"/>
  <c r="AK167" i="7"/>
  <c r="AE166" i="7"/>
  <c r="AR166" i="7"/>
  <c r="AC165" i="13"/>
  <c r="BG163" i="7"/>
  <c r="AY164" i="7"/>
  <c r="AO165" i="7"/>
  <c r="AN165" i="7"/>
  <c r="AP163" i="7"/>
  <c r="AL167" i="7"/>
  <c r="BE162" i="7"/>
  <c r="BD162" i="7"/>
  <c r="BO163" i="7" l="1"/>
  <c r="BN163" i="7"/>
  <c r="BI164" i="7"/>
  <c r="BH164" i="7"/>
  <c r="AM167" i="7"/>
  <c r="BL162" i="7"/>
  <c r="BB166" i="7"/>
  <c r="BF166" i="7" s="1"/>
  <c r="AG168" i="13" s="1"/>
  <c r="BC166" i="7"/>
  <c r="AB169" i="13"/>
  <c r="AD169" i="13"/>
  <c r="AF169" i="13"/>
  <c r="AE167" i="7"/>
  <c r="AR167" i="7"/>
  <c r="AF167" i="7"/>
  <c r="AK168" i="7"/>
  <c r="AW163" i="7"/>
  <c r="BK163" i="7" s="1"/>
  <c r="AZ163" i="7"/>
  <c r="BM163" i="7"/>
  <c r="AE164" i="13"/>
  <c r="BA162" i="7"/>
  <c r="BJ162" i="7"/>
  <c r="AC166" i="13"/>
  <c r="BG164" i="7"/>
  <c r="AT165" i="7"/>
  <c r="AU165" i="7" s="1"/>
  <c r="AV165" i="7" s="1"/>
  <c r="AQ165" i="7"/>
  <c r="AY165" i="7"/>
  <c r="AN166" i="7"/>
  <c r="AO166" i="7"/>
  <c r="AP164" i="7"/>
  <c r="BD163" i="7"/>
  <c r="AL168" i="7"/>
  <c r="BE163" i="7"/>
  <c r="BO164" i="7" l="1"/>
  <c r="BN164" i="7"/>
  <c r="BI165" i="7"/>
  <c r="BH165" i="7"/>
  <c r="AM168" i="7"/>
  <c r="BL163" i="7"/>
  <c r="BC167" i="7"/>
  <c r="BB167" i="7"/>
  <c r="BF167" i="7" s="1"/>
  <c r="AG169" i="13" s="1"/>
  <c r="AY166" i="7"/>
  <c r="AO167" i="7"/>
  <c r="AN167" i="7"/>
  <c r="AP165" i="7"/>
  <c r="AW164" i="7"/>
  <c r="BK164" i="7" s="1"/>
  <c r="AZ164" i="7"/>
  <c r="BM164" i="7"/>
  <c r="AC167" i="13"/>
  <c r="BG165" i="7"/>
  <c r="AD170" i="13"/>
  <c r="AB170" i="13"/>
  <c r="AF170" i="13"/>
  <c r="AF168" i="7"/>
  <c r="AK169" i="7"/>
  <c r="AE168" i="7"/>
  <c r="AR168" i="7"/>
  <c r="AT166" i="7"/>
  <c r="AU166" i="7" s="1"/>
  <c r="AV166" i="7" s="1"/>
  <c r="AQ166" i="7"/>
  <c r="AE165" i="13"/>
  <c r="BA163" i="7"/>
  <c r="BJ163" i="7"/>
  <c r="AL169" i="7"/>
  <c r="BD164" i="7"/>
  <c r="BE164" i="7"/>
  <c r="BI166" i="7" l="1"/>
  <c r="BH166" i="7"/>
  <c r="BO165" i="7"/>
  <c r="BN165" i="7"/>
  <c r="AM169" i="7"/>
  <c r="BL164" i="7"/>
  <c r="BB168" i="7"/>
  <c r="BF168" i="7" s="1"/>
  <c r="AG170" i="13" s="1"/>
  <c r="BC168" i="7"/>
  <c r="AW165" i="7"/>
  <c r="BK165" i="7" s="1"/>
  <c r="AZ165" i="7"/>
  <c r="BM165" i="7"/>
  <c r="AY167" i="7"/>
  <c r="AN168" i="7"/>
  <c r="AO168" i="7"/>
  <c r="AP166" i="7"/>
  <c r="AF171" i="13"/>
  <c r="AB171" i="13"/>
  <c r="AD171" i="13"/>
  <c r="AE169" i="7"/>
  <c r="AR169" i="7"/>
  <c r="AF169" i="7"/>
  <c r="AK170" i="7"/>
  <c r="AC168" i="13"/>
  <c r="BG166" i="7"/>
  <c r="AE166" i="13"/>
  <c r="BA164" i="7"/>
  <c r="BJ164" i="7"/>
  <c r="AT167" i="7"/>
  <c r="AU167" i="7" s="1"/>
  <c r="AV167" i="7" s="1"/>
  <c r="AQ167" i="7"/>
  <c r="BD165" i="7"/>
  <c r="AL170" i="7"/>
  <c r="BE165" i="7"/>
  <c r="BI167" i="7" l="1"/>
  <c r="BH167" i="7"/>
  <c r="BO166" i="7"/>
  <c r="BN166" i="7"/>
  <c r="AM170" i="7"/>
  <c r="BL165" i="7"/>
  <c r="BC169" i="7"/>
  <c r="BB169" i="7"/>
  <c r="BF169" i="7" s="1"/>
  <c r="AG171" i="13" s="1"/>
  <c r="AO169" i="7"/>
  <c r="AY168" i="7"/>
  <c r="AN169" i="7"/>
  <c r="AP167" i="7"/>
  <c r="AT168" i="7"/>
  <c r="AU168" i="7" s="1"/>
  <c r="AV168" i="7" s="1"/>
  <c r="AQ168" i="7"/>
  <c r="AC169" i="13"/>
  <c r="BG167" i="7"/>
  <c r="AW166" i="7"/>
  <c r="BK166" i="7" s="1"/>
  <c r="AZ166" i="7"/>
  <c r="BM166" i="7"/>
  <c r="AF172" i="13"/>
  <c r="AB172" i="13"/>
  <c r="AD172" i="13"/>
  <c r="AK171" i="7"/>
  <c r="AF170" i="7"/>
  <c r="AE170" i="7"/>
  <c r="AR170" i="7"/>
  <c r="AE167" i="13"/>
  <c r="BA165" i="7"/>
  <c r="BJ165" i="7"/>
  <c r="AL171" i="7"/>
  <c r="BE166" i="7"/>
  <c r="BD166" i="7"/>
  <c r="BO167" i="7" l="1"/>
  <c r="BN167" i="7"/>
  <c r="BI168" i="7"/>
  <c r="BH168" i="7"/>
  <c r="AM171" i="7"/>
  <c r="BL166" i="7"/>
  <c r="BC170" i="7"/>
  <c r="BB170" i="7"/>
  <c r="BF170" i="7" s="1"/>
  <c r="AG172" i="13" s="1"/>
  <c r="AB173" i="13"/>
  <c r="AF173" i="13"/>
  <c r="AD173" i="13"/>
  <c r="AF171" i="7"/>
  <c r="AR171" i="7"/>
  <c r="AE171" i="7"/>
  <c r="AK172" i="7"/>
  <c r="AW167" i="7"/>
  <c r="BK167" i="7" s="1"/>
  <c r="AZ167" i="7"/>
  <c r="BM167" i="7"/>
  <c r="AC170" i="13"/>
  <c r="BG168" i="7"/>
  <c r="AY169" i="7"/>
  <c r="AO170" i="7"/>
  <c r="AN170" i="7"/>
  <c r="AP168" i="7"/>
  <c r="AE168" i="13"/>
  <c r="BA166" i="7"/>
  <c r="BJ166" i="7"/>
  <c r="AT169" i="7"/>
  <c r="AU169" i="7" s="1"/>
  <c r="AV169" i="7" s="1"/>
  <c r="AQ169" i="7"/>
  <c r="BE167" i="7"/>
  <c r="AL172" i="7"/>
  <c r="BD167" i="7"/>
  <c r="BO168" i="7" l="1"/>
  <c r="BN168" i="7"/>
  <c r="BI169" i="7"/>
  <c r="BH169" i="7"/>
  <c r="AM172" i="7"/>
  <c r="BL167" i="7"/>
  <c r="BC171" i="7"/>
  <c r="BB171" i="7"/>
  <c r="BF171" i="7" s="1"/>
  <c r="AG173" i="13" s="1"/>
  <c r="AE169" i="13"/>
  <c r="BA167" i="7"/>
  <c r="BJ167" i="7"/>
  <c r="AC171" i="13"/>
  <c r="BG169" i="7"/>
  <c r="AT170" i="7"/>
  <c r="AU170" i="7" s="1"/>
  <c r="AV170" i="7" s="1"/>
  <c r="AQ170" i="7"/>
  <c r="AO171" i="7"/>
  <c r="AY170" i="7"/>
  <c r="AN171" i="7"/>
  <c r="AP169" i="7"/>
  <c r="AD174" i="13"/>
  <c r="AF174" i="13"/>
  <c r="AB174" i="13"/>
  <c r="AF172" i="7"/>
  <c r="AK173" i="7"/>
  <c r="AE172" i="7"/>
  <c r="AR172" i="7"/>
  <c r="AW168" i="7"/>
  <c r="BK168" i="7" s="1"/>
  <c r="AZ168" i="7"/>
  <c r="BM168" i="7"/>
  <c r="BD168" i="7"/>
  <c r="BE168" i="7"/>
  <c r="AL173" i="7"/>
  <c r="BO169" i="7" l="1"/>
  <c r="BN169" i="7"/>
  <c r="BI170" i="7"/>
  <c r="BH170" i="7"/>
  <c r="AM173" i="7"/>
  <c r="BL168" i="7"/>
  <c r="BC172" i="7"/>
  <c r="BB172" i="7"/>
  <c r="BF172" i="7" s="1"/>
  <c r="AG174" i="13" s="1"/>
  <c r="AW169" i="7"/>
  <c r="BK169" i="7" s="1"/>
  <c r="AZ169" i="7"/>
  <c r="BM169" i="7"/>
  <c r="AE170" i="13"/>
  <c r="BA168" i="7"/>
  <c r="BJ168" i="7"/>
  <c r="AF175" i="13"/>
  <c r="AD175" i="13"/>
  <c r="AB175" i="13"/>
  <c r="AF173" i="7"/>
  <c r="AR173" i="7"/>
  <c r="AE173" i="7"/>
  <c r="AK174" i="7"/>
  <c r="AY171" i="7"/>
  <c r="AO172" i="7"/>
  <c r="AN172" i="7"/>
  <c r="AP170" i="7"/>
  <c r="AC172" i="13"/>
  <c r="BG170" i="7"/>
  <c r="AQ171" i="7"/>
  <c r="AT171" i="7"/>
  <c r="AU171" i="7" s="1"/>
  <c r="AV171" i="7" s="1"/>
  <c r="BE169" i="7"/>
  <c r="BD169" i="7"/>
  <c r="AL174" i="7"/>
  <c r="BI171" i="7" l="1"/>
  <c r="BH171" i="7"/>
  <c r="BO170" i="7"/>
  <c r="BN170" i="7"/>
  <c r="AM174" i="7"/>
  <c r="BL169" i="7"/>
  <c r="BC173" i="7"/>
  <c r="BB173" i="7"/>
  <c r="BF173" i="7" s="1"/>
  <c r="AG175" i="13" s="1"/>
  <c r="AC173" i="13"/>
  <c r="BG171" i="7"/>
  <c r="AD176" i="13"/>
  <c r="AB176" i="13"/>
  <c r="AF176" i="13"/>
  <c r="AE174" i="7"/>
  <c r="AF174" i="7"/>
  <c r="AK175" i="7"/>
  <c r="AR174" i="7"/>
  <c r="AW170" i="7"/>
  <c r="BK170" i="7" s="1"/>
  <c r="AZ170" i="7"/>
  <c r="BM170" i="7"/>
  <c r="AO173" i="7"/>
  <c r="AY172" i="7"/>
  <c r="AN173" i="7"/>
  <c r="AP171" i="7"/>
  <c r="AT172" i="7"/>
  <c r="AU172" i="7" s="1"/>
  <c r="AV172" i="7" s="1"/>
  <c r="AQ172" i="7"/>
  <c r="AE171" i="13"/>
  <c r="BA169" i="7"/>
  <c r="BJ169" i="7"/>
  <c r="AL175" i="7"/>
  <c r="BD170" i="7"/>
  <c r="BE170" i="7"/>
  <c r="BI172" i="7" l="1"/>
  <c r="BH172" i="7"/>
  <c r="BO171" i="7"/>
  <c r="BN171" i="7"/>
  <c r="AM175" i="7"/>
  <c r="AO174" i="7" s="1"/>
  <c r="BL170" i="7"/>
  <c r="BB174" i="7"/>
  <c r="BF174" i="7" s="1"/>
  <c r="AG176" i="13" s="1"/>
  <c r="BC174" i="7"/>
  <c r="AY173" i="7"/>
  <c r="AN174" i="7"/>
  <c r="AP172" i="7"/>
  <c r="AB177" i="13"/>
  <c r="AD177" i="13"/>
  <c r="AF177" i="13"/>
  <c r="AF175" i="7"/>
  <c r="AR175" i="7"/>
  <c r="AE175" i="7"/>
  <c r="AK176" i="7"/>
  <c r="AQ173" i="7"/>
  <c r="AT173" i="7"/>
  <c r="AU173" i="7" s="1"/>
  <c r="AV173" i="7" s="1"/>
  <c r="AW171" i="7"/>
  <c r="BK171" i="7" s="1"/>
  <c r="AZ171" i="7"/>
  <c r="BM171" i="7"/>
  <c r="AE172" i="13"/>
  <c r="BA170" i="7"/>
  <c r="BJ170" i="7"/>
  <c r="AC174" i="13"/>
  <c r="BG172" i="7"/>
  <c r="AL176" i="7"/>
  <c r="BD171" i="7"/>
  <c r="BE171" i="7"/>
  <c r="BI173" i="7" l="1"/>
  <c r="BH173" i="7"/>
  <c r="BO172" i="7"/>
  <c r="BN172" i="7"/>
  <c r="AM176" i="7"/>
  <c r="BL171" i="7"/>
  <c r="BC175" i="7"/>
  <c r="BB175" i="7"/>
  <c r="BF175" i="7" s="1"/>
  <c r="AG177" i="13" s="1"/>
  <c r="AE173" i="13"/>
  <c r="BA171" i="7"/>
  <c r="BJ171" i="7"/>
  <c r="AD178" i="13"/>
  <c r="AB178" i="13"/>
  <c r="AF178" i="13"/>
  <c r="AF176" i="7"/>
  <c r="AE176" i="7"/>
  <c r="AK177" i="7"/>
  <c r="AR176" i="7"/>
  <c r="AO175" i="7"/>
  <c r="AY174" i="7"/>
  <c r="AN175" i="7"/>
  <c r="AP173" i="7"/>
  <c r="AT174" i="7"/>
  <c r="AU174" i="7" s="1"/>
  <c r="AV174" i="7" s="1"/>
  <c r="AQ174" i="7"/>
  <c r="AW172" i="7"/>
  <c r="BK172" i="7" s="1"/>
  <c r="AZ172" i="7"/>
  <c r="BM172" i="7"/>
  <c r="AC175" i="13"/>
  <c r="BG173" i="7"/>
  <c r="BD172" i="7"/>
  <c r="BE172" i="7"/>
  <c r="AL177" i="7"/>
  <c r="BO173" i="7" l="1"/>
  <c r="BN173" i="7"/>
  <c r="BI174" i="7"/>
  <c r="BH174" i="7"/>
  <c r="AM177" i="7"/>
  <c r="BL172" i="7"/>
  <c r="BC176" i="7"/>
  <c r="BB176" i="7"/>
  <c r="BF176" i="7" s="1"/>
  <c r="AG178" i="13" s="1"/>
  <c r="AW173" i="7"/>
  <c r="BK173" i="7" s="1"/>
  <c r="AZ173" i="7"/>
  <c r="BM173" i="7"/>
  <c r="AC176" i="13"/>
  <c r="BG174" i="7"/>
  <c r="AQ175" i="7"/>
  <c r="AT175" i="7"/>
  <c r="AU175" i="7" s="1"/>
  <c r="AY175" i="7"/>
  <c r="AV175" i="7"/>
  <c r="AN176" i="7"/>
  <c r="AO176" i="7"/>
  <c r="AP174" i="7"/>
  <c r="AE174" i="13"/>
  <c r="BA172" i="7"/>
  <c r="BJ172" i="7"/>
  <c r="AF179" i="13"/>
  <c r="AB179" i="13"/>
  <c r="AD179" i="13"/>
  <c r="AF177" i="7"/>
  <c r="AR177" i="7"/>
  <c r="AE177" i="7"/>
  <c r="AK178" i="7"/>
  <c r="BE173" i="7"/>
  <c r="AL178" i="7"/>
  <c r="BD173" i="7"/>
  <c r="BI175" i="7" l="1"/>
  <c r="BH175" i="7"/>
  <c r="BO174" i="7"/>
  <c r="BN174" i="7"/>
  <c r="AM178" i="7"/>
  <c r="BL173" i="7"/>
  <c r="BB177" i="7"/>
  <c r="BF177" i="7" s="1"/>
  <c r="AG179" i="13" s="1"/>
  <c r="BC177" i="7"/>
  <c r="AW174" i="7"/>
  <c r="BK174" i="7" s="1"/>
  <c r="AZ174" i="7"/>
  <c r="BM174" i="7"/>
  <c r="AO177" i="7"/>
  <c r="AY176" i="7"/>
  <c r="AN177" i="7"/>
  <c r="AP175" i="7"/>
  <c r="AC177" i="13"/>
  <c r="BG175" i="7"/>
  <c r="AB180" i="13"/>
  <c r="AF180" i="13"/>
  <c r="AD180" i="13"/>
  <c r="AF178" i="7"/>
  <c r="AR178" i="7"/>
  <c r="AE178" i="7"/>
  <c r="AK179" i="7"/>
  <c r="AT176" i="7"/>
  <c r="AU176" i="7" s="1"/>
  <c r="AV176" i="7" s="1"/>
  <c r="AQ176" i="7"/>
  <c r="AE175" i="13"/>
  <c r="BA173" i="7"/>
  <c r="BJ173" i="7"/>
  <c r="BE174" i="7"/>
  <c r="AL179" i="7"/>
  <c r="BD174" i="7"/>
  <c r="BI176" i="7" l="1"/>
  <c r="BH176" i="7"/>
  <c r="BO175" i="7"/>
  <c r="BN175" i="7"/>
  <c r="AM179" i="7"/>
  <c r="BL174" i="7"/>
  <c r="BB178" i="7"/>
  <c r="BF178" i="7" s="1"/>
  <c r="AG180" i="13" s="1"/>
  <c r="BC178" i="7"/>
  <c r="AO178" i="7"/>
  <c r="AN178" i="7"/>
  <c r="AY177" i="7"/>
  <c r="AP176" i="7"/>
  <c r="AT177" i="7"/>
  <c r="AU177" i="7" s="1"/>
  <c r="AV177" i="7" s="1"/>
  <c r="AQ177" i="7"/>
  <c r="AB181" i="13"/>
  <c r="AF181" i="13"/>
  <c r="AD181" i="13"/>
  <c r="AF179" i="7"/>
  <c r="AR179" i="7"/>
  <c r="AE179" i="7"/>
  <c r="AK180" i="7"/>
  <c r="AC178" i="13"/>
  <c r="BG176" i="7"/>
  <c r="AW175" i="7"/>
  <c r="BK175" i="7" s="1"/>
  <c r="AZ175" i="7"/>
  <c r="BM175" i="7"/>
  <c r="AE176" i="13"/>
  <c r="BA174" i="7"/>
  <c r="BJ174" i="7"/>
  <c r="AL180" i="7"/>
  <c r="BE175" i="7"/>
  <c r="BD175" i="7"/>
  <c r="BO176" i="7" l="1"/>
  <c r="BN176" i="7"/>
  <c r="BI177" i="7"/>
  <c r="BH177" i="7"/>
  <c r="AM180" i="7"/>
  <c r="BL175" i="7"/>
  <c r="BC179" i="7"/>
  <c r="BB179" i="7"/>
  <c r="BF179" i="7" s="1"/>
  <c r="AG181" i="13" s="1"/>
  <c r="AD182" i="13"/>
  <c r="AF182" i="13"/>
  <c r="AB182" i="13"/>
  <c r="AK181" i="7"/>
  <c r="AF180" i="7"/>
  <c r="AE180" i="7"/>
  <c r="AR180" i="7"/>
  <c r="AC179" i="13"/>
  <c r="BG177" i="7"/>
  <c r="AE177" i="13"/>
  <c r="BA175" i="7"/>
  <c r="BJ175" i="7"/>
  <c r="AO179" i="7"/>
  <c r="AY178" i="7"/>
  <c r="AN179" i="7"/>
  <c r="AP177" i="7"/>
  <c r="AW176" i="7"/>
  <c r="BK176" i="7" s="1"/>
  <c r="AZ176" i="7"/>
  <c r="BM176" i="7"/>
  <c r="AT178" i="7"/>
  <c r="AU178" i="7" s="1"/>
  <c r="AV178" i="7" s="1"/>
  <c r="AQ178" i="7"/>
  <c r="BE176" i="7"/>
  <c r="AL181" i="7"/>
  <c r="BD176" i="7"/>
  <c r="BI178" i="7" l="1"/>
  <c r="BH178" i="7"/>
  <c r="BO177" i="7"/>
  <c r="BN177" i="7"/>
  <c r="AM181" i="7"/>
  <c r="BL176" i="7"/>
  <c r="BB180" i="7"/>
  <c r="BF180" i="7" s="1"/>
  <c r="AG182" i="13" s="1"/>
  <c r="BC180" i="7"/>
  <c r="AT179" i="7"/>
  <c r="AU179" i="7" s="1"/>
  <c r="AV179" i="7" s="1"/>
  <c r="AQ179" i="7"/>
  <c r="AF183" i="13"/>
  <c r="AD183" i="13"/>
  <c r="AB183" i="13"/>
  <c r="AF181" i="7"/>
  <c r="AE181" i="7"/>
  <c r="AR181" i="7"/>
  <c r="AK182" i="7"/>
  <c r="AW177" i="7"/>
  <c r="BK177" i="7" s="1"/>
  <c r="AZ177" i="7"/>
  <c r="BM177" i="7"/>
  <c r="AC180" i="13"/>
  <c r="BG178" i="7"/>
  <c r="AE178" i="13"/>
  <c r="BA176" i="7"/>
  <c r="BJ176" i="7"/>
  <c r="AY179" i="7"/>
  <c r="AO180" i="7"/>
  <c r="AN180" i="7"/>
  <c r="AP178" i="7"/>
  <c r="AL182" i="7"/>
  <c r="BD177" i="7"/>
  <c r="BE177" i="7"/>
  <c r="BO178" i="7" l="1"/>
  <c r="BN178" i="7"/>
  <c r="BI179" i="7"/>
  <c r="BH179" i="7"/>
  <c r="AM182" i="7"/>
  <c r="BL177" i="7"/>
  <c r="BC181" i="7"/>
  <c r="BB181" i="7"/>
  <c r="BF181" i="7" s="1"/>
  <c r="AG183" i="13" s="1"/>
  <c r="AT180" i="7"/>
  <c r="AU180" i="7" s="1"/>
  <c r="AV180" i="7" s="1"/>
  <c r="AQ180" i="7"/>
  <c r="AC181" i="13"/>
  <c r="BG179" i="7"/>
  <c r="AW178" i="7"/>
  <c r="BK178" i="7" s="1"/>
  <c r="AZ178" i="7"/>
  <c r="BM178" i="7"/>
  <c r="AE179" i="13"/>
  <c r="BA177" i="7"/>
  <c r="BJ177" i="7"/>
  <c r="AO181" i="7"/>
  <c r="AY180" i="7"/>
  <c r="AN181" i="7"/>
  <c r="AP179" i="7"/>
  <c r="AD184" i="13"/>
  <c r="AF184" i="13"/>
  <c r="AB184" i="13"/>
  <c r="AK183" i="7"/>
  <c r="AF182" i="7"/>
  <c r="AE182" i="7"/>
  <c r="AR182" i="7"/>
  <c r="AL183" i="7"/>
  <c r="BE178" i="7"/>
  <c r="BD178" i="7"/>
  <c r="BO179" i="7" l="1"/>
  <c r="BN179" i="7"/>
  <c r="BI180" i="7"/>
  <c r="BH180" i="7"/>
  <c r="AM183" i="7"/>
  <c r="BL178" i="7"/>
  <c r="BB182" i="7"/>
  <c r="BF182" i="7" s="1"/>
  <c r="AG184" i="13" s="1"/>
  <c r="BC182" i="7"/>
  <c r="AY181" i="7"/>
  <c r="AO182" i="7"/>
  <c r="AN182" i="7"/>
  <c r="AP180" i="7"/>
  <c r="AC182" i="13"/>
  <c r="BG180" i="7"/>
  <c r="AT181" i="7"/>
  <c r="AU181" i="7" s="1"/>
  <c r="AV181" i="7" s="1"/>
  <c r="AQ181" i="7"/>
  <c r="AW179" i="7"/>
  <c r="BK179" i="7" s="1"/>
  <c r="AZ179" i="7"/>
  <c r="BM179" i="7"/>
  <c r="AE180" i="13"/>
  <c r="BA178" i="7"/>
  <c r="BJ178" i="7"/>
  <c r="AB185" i="13"/>
  <c r="AD185" i="13"/>
  <c r="AF185" i="13"/>
  <c r="AF183" i="7"/>
  <c r="AE183" i="7"/>
  <c r="AR183" i="7"/>
  <c r="AK184" i="7"/>
  <c r="BD179" i="7"/>
  <c r="AL184" i="7"/>
  <c r="BE179" i="7"/>
  <c r="BO180" i="7" l="1"/>
  <c r="BN180" i="7"/>
  <c r="BI181" i="7"/>
  <c r="BH181" i="7"/>
  <c r="AM184" i="7"/>
  <c r="BL179" i="7"/>
  <c r="BC183" i="7"/>
  <c r="BB183" i="7"/>
  <c r="BF183" i="7" s="1"/>
  <c r="AG185" i="13" s="1"/>
  <c r="AD186" i="13"/>
  <c r="AB186" i="13"/>
  <c r="AF186" i="13"/>
  <c r="AK185" i="7"/>
  <c r="AF184" i="7"/>
  <c r="AE184" i="7"/>
  <c r="AR184" i="7"/>
  <c r="AW180" i="7"/>
  <c r="BK180" i="7" s="1"/>
  <c r="AZ180" i="7"/>
  <c r="BM180" i="7"/>
  <c r="AO183" i="7"/>
  <c r="AY182" i="7"/>
  <c r="AN183" i="7"/>
  <c r="AP181" i="7"/>
  <c r="AE181" i="13"/>
  <c r="BA179" i="7"/>
  <c r="BJ179" i="7"/>
  <c r="AT182" i="7"/>
  <c r="AU182" i="7" s="1"/>
  <c r="AV182" i="7" s="1"/>
  <c r="AQ182" i="7"/>
  <c r="AC183" i="13"/>
  <c r="BG181" i="7"/>
  <c r="AL185" i="7"/>
  <c r="BD180" i="7"/>
  <c r="BE180" i="7"/>
  <c r="BO181" i="7" l="1"/>
  <c r="BN181" i="7"/>
  <c r="BI182" i="7"/>
  <c r="BH182" i="7"/>
  <c r="AM185" i="7"/>
  <c r="BL180" i="7"/>
  <c r="BB184" i="7"/>
  <c r="BF184" i="7" s="1"/>
  <c r="AG186" i="13" s="1"/>
  <c r="BC184" i="7"/>
  <c r="AW181" i="7"/>
  <c r="BK181" i="7" s="1"/>
  <c r="AZ181" i="7"/>
  <c r="BM181" i="7"/>
  <c r="AF187" i="13"/>
  <c r="AB187" i="13"/>
  <c r="AD187" i="13"/>
  <c r="AF185" i="7"/>
  <c r="AR185" i="7"/>
  <c r="AE185" i="7"/>
  <c r="AK186" i="7"/>
  <c r="AT183" i="7"/>
  <c r="AU183" i="7" s="1"/>
  <c r="AV183" i="7" s="1"/>
  <c r="AQ183" i="7"/>
  <c r="AN184" i="7"/>
  <c r="AY183" i="7"/>
  <c r="AO184" i="7"/>
  <c r="AP182" i="7"/>
  <c r="AC184" i="13"/>
  <c r="BG182" i="7"/>
  <c r="AE182" i="13"/>
  <c r="BA180" i="7"/>
  <c r="BJ180" i="7"/>
  <c r="AL186" i="7"/>
  <c r="BD181" i="7"/>
  <c r="BE181" i="7"/>
  <c r="BO182" i="7" l="1"/>
  <c r="BN182" i="7"/>
  <c r="BI183" i="7"/>
  <c r="BH183" i="7"/>
  <c r="AM186" i="7"/>
  <c r="BL181" i="7"/>
  <c r="BB185" i="7"/>
  <c r="BF185" i="7" s="1"/>
  <c r="AG187" i="13" s="1"/>
  <c r="BC185" i="7"/>
  <c r="AC185" i="13"/>
  <c r="BG183" i="7"/>
  <c r="AW182" i="7"/>
  <c r="BK182" i="7" s="1"/>
  <c r="AZ182" i="7"/>
  <c r="BM182" i="7"/>
  <c r="AF188" i="13"/>
  <c r="AB188" i="13"/>
  <c r="AD188" i="13"/>
  <c r="AK187" i="7"/>
  <c r="AF186" i="7"/>
  <c r="AE186" i="7"/>
  <c r="AR186" i="7"/>
  <c r="AO185" i="7"/>
  <c r="AY184" i="7"/>
  <c r="AN185" i="7"/>
  <c r="AP183" i="7"/>
  <c r="AT184" i="7"/>
  <c r="AU184" i="7" s="1"/>
  <c r="AV184" i="7" s="1"/>
  <c r="AQ184" i="7"/>
  <c r="AE183" i="13"/>
  <c r="BA181" i="7"/>
  <c r="BJ181" i="7"/>
  <c r="BD182" i="7"/>
  <c r="BE182" i="7"/>
  <c r="AL187" i="7"/>
  <c r="BI184" i="7" l="1"/>
  <c r="BH184" i="7"/>
  <c r="BO183" i="7"/>
  <c r="BN183" i="7"/>
  <c r="AM187" i="7"/>
  <c r="BL182" i="7"/>
  <c r="BB186" i="7"/>
  <c r="BF186" i="7" s="1"/>
  <c r="AG188" i="13" s="1"/>
  <c r="BC186" i="7"/>
  <c r="AT185" i="7"/>
  <c r="AU185" i="7" s="1"/>
  <c r="AV185" i="7" s="1"/>
  <c r="AQ185" i="7"/>
  <c r="AY185" i="7"/>
  <c r="AO186" i="7"/>
  <c r="AN186" i="7"/>
  <c r="AP184" i="7"/>
  <c r="AE184" i="13"/>
  <c r="BA182" i="7"/>
  <c r="BJ182" i="7"/>
  <c r="AB189" i="13"/>
  <c r="AF189" i="13"/>
  <c r="AD189" i="13"/>
  <c r="AF187" i="7"/>
  <c r="AR187" i="7"/>
  <c r="AE187" i="7"/>
  <c r="AK188" i="7"/>
  <c r="AW183" i="7"/>
  <c r="BK183" i="7" s="1"/>
  <c r="AZ183" i="7"/>
  <c r="BM183" i="7"/>
  <c r="AC186" i="13"/>
  <c r="BG184" i="7"/>
  <c r="AL188" i="7"/>
  <c r="BD183" i="7"/>
  <c r="BE183" i="7"/>
  <c r="BO184" i="7" l="1"/>
  <c r="BN184" i="7"/>
  <c r="BI185" i="7"/>
  <c r="BH185" i="7"/>
  <c r="AM188" i="7"/>
  <c r="BL183" i="7"/>
  <c r="BB187" i="7"/>
  <c r="BF187" i="7" s="1"/>
  <c r="AG189" i="13" s="1"/>
  <c r="BC187" i="7"/>
  <c r="AT186" i="7"/>
  <c r="AU186" i="7" s="1"/>
  <c r="AV186" i="7" s="1"/>
  <c r="AQ186" i="7"/>
  <c r="AE185" i="13"/>
  <c r="BA183" i="7"/>
  <c r="BJ183" i="7"/>
  <c r="AD190" i="13"/>
  <c r="AF190" i="13"/>
  <c r="AB190" i="13"/>
  <c r="AF188" i="7"/>
  <c r="AE188" i="7"/>
  <c r="AK189" i="7"/>
  <c r="AR188" i="7"/>
  <c r="AC187" i="13"/>
  <c r="BG185" i="7"/>
  <c r="AO187" i="7"/>
  <c r="AY186" i="7"/>
  <c r="AN187" i="7"/>
  <c r="AP185" i="7"/>
  <c r="AW184" i="7"/>
  <c r="BK184" i="7" s="1"/>
  <c r="AZ184" i="7"/>
  <c r="BM184" i="7"/>
  <c r="AL189" i="7"/>
  <c r="BE184" i="7"/>
  <c r="BD184" i="7"/>
  <c r="BO185" i="7" l="1"/>
  <c r="BN185" i="7"/>
  <c r="BI186" i="7"/>
  <c r="BH186" i="7"/>
  <c r="AM189" i="7"/>
  <c r="BL184" i="7"/>
  <c r="BB188" i="7"/>
  <c r="BF188" i="7" s="1"/>
  <c r="AG190" i="13" s="1"/>
  <c r="BC188" i="7"/>
  <c r="AW185" i="7"/>
  <c r="BK185" i="7" s="1"/>
  <c r="AZ185" i="7"/>
  <c r="BM185" i="7"/>
  <c r="AC188" i="13"/>
  <c r="BG186" i="7"/>
  <c r="AO188" i="7"/>
  <c r="AN188" i="7"/>
  <c r="AY187" i="7"/>
  <c r="AP186" i="7"/>
  <c r="AF191" i="13"/>
  <c r="AD191" i="13"/>
  <c r="AB191" i="13"/>
  <c r="AF189" i="7"/>
  <c r="AE189" i="7"/>
  <c r="AR189" i="7"/>
  <c r="AK190" i="7"/>
  <c r="AE186" i="13"/>
  <c r="BA184" i="7"/>
  <c r="BJ184" i="7"/>
  <c r="AQ187" i="7"/>
  <c r="AT187" i="7"/>
  <c r="AU187" i="7" s="1"/>
  <c r="AV187" i="7" s="1"/>
  <c r="AL190" i="7"/>
  <c r="BE185" i="7"/>
  <c r="BD185" i="7"/>
  <c r="BI187" i="7" l="1"/>
  <c r="BH187" i="7"/>
  <c r="BO186" i="7"/>
  <c r="BN186" i="7"/>
  <c r="AM190" i="7"/>
  <c r="BL185" i="7"/>
  <c r="BC189" i="7"/>
  <c r="BB189" i="7"/>
  <c r="BF189" i="7" s="1"/>
  <c r="AG191" i="13" s="1"/>
  <c r="AT188" i="7"/>
  <c r="AU188" i="7" s="1"/>
  <c r="AV188" i="7" s="1"/>
  <c r="AQ188" i="7"/>
  <c r="AO189" i="7"/>
  <c r="AN189" i="7"/>
  <c r="AY188" i="7"/>
  <c r="AP187" i="7"/>
  <c r="AC189" i="13"/>
  <c r="BG187" i="7"/>
  <c r="AW186" i="7"/>
  <c r="BK186" i="7" s="1"/>
  <c r="AZ186" i="7"/>
  <c r="BM186" i="7"/>
  <c r="AD192" i="13"/>
  <c r="AB192" i="13"/>
  <c r="AF192" i="13"/>
  <c r="AF190" i="7"/>
  <c r="AE190" i="7"/>
  <c r="AK191" i="7"/>
  <c r="AR190" i="7"/>
  <c r="AE187" i="13"/>
  <c r="BA185" i="7"/>
  <c r="BJ185" i="7"/>
  <c r="AL191" i="7"/>
  <c r="BE186" i="7"/>
  <c r="BD186" i="7"/>
  <c r="BO187" i="7" l="1"/>
  <c r="BN187" i="7"/>
  <c r="BI188" i="7"/>
  <c r="BH188" i="7"/>
  <c r="AM191" i="7"/>
  <c r="BL186" i="7"/>
  <c r="BC190" i="7"/>
  <c r="BB190" i="7"/>
  <c r="BF190" i="7" s="1"/>
  <c r="AG192" i="13" s="1"/>
  <c r="AW187" i="7"/>
  <c r="BK187" i="7" s="1"/>
  <c r="AZ187" i="7"/>
  <c r="BM187" i="7"/>
  <c r="AQ189" i="7"/>
  <c r="AT189" i="7"/>
  <c r="AU189" i="7" s="1"/>
  <c r="AC190" i="13"/>
  <c r="BG188" i="7"/>
  <c r="AB193" i="13"/>
  <c r="AD193" i="13"/>
  <c r="AF193" i="13"/>
  <c r="AF191" i="7"/>
  <c r="AE191" i="7"/>
  <c r="AR191" i="7"/>
  <c r="AK192" i="7"/>
  <c r="AE188" i="13"/>
  <c r="BA186" i="7"/>
  <c r="BJ186" i="7"/>
  <c r="AV189" i="7"/>
  <c r="AN190" i="7"/>
  <c r="AY189" i="7"/>
  <c r="AO190" i="7"/>
  <c r="AP188" i="7"/>
  <c r="AL192" i="7"/>
  <c r="BE187" i="7"/>
  <c r="BD187" i="7"/>
  <c r="BO188" i="7" l="1"/>
  <c r="BN188" i="7"/>
  <c r="BI189" i="7"/>
  <c r="BH189" i="7"/>
  <c r="AM192" i="7"/>
  <c r="BL187" i="7"/>
  <c r="BB191" i="7"/>
  <c r="BF191" i="7" s="1"/>
  <c r="AG193" i="13" s="1"/>
  <c r="BC191" i="7"/>
  <c r="AW188" i="7"/>
  <c r="BK188" i="7" s="1"/>
  <c r="AZ188" i="7"/>
  <c r="BM188" i="7"/>
  <c r="AD194" i="13"/>
  <c r="AB194" i="13"/>
  <c r="AF194" i="13"/>
  <c r="AF192" i="7"/>
  <c r="AE192" i="7"/>
  <c r="AK193" i="7"/>
  <c r="AR192" i="7"/>
  <c r="AC191" i="13"/>
  <c r="BG189" i="7"/>
  <c r="AT190" i="7"/>
  <c r="AU190" i="7" s="1"/>
  <c r="AV190" i="7" s="1"/>
  <c r="AQ190" i="7"/>
  <c r="AO191" i="7"/>
  <c r="AN191" i="7"/>
  <c r="AY190" i="7"/>
  <c r="AP189" i="7"/>
  <c r="AE189" i="13"/>
  <c r="BA187" i="7"/>
  <c r="BJ187" i="7"/>
  <c r="BD188" i="7"/>
  <c r="BE188" i="7"/>
  <c r="AL193" i="7"/>
  <c r="BI190" i="7" l="1"/>
  <c r="BH190" i="7"/>
  <c r="BO189" i="7"/>
  <c r="BN189" i="7"/>
  <c r="AM193" i="7"/>
  <c r="BL188" i="7"/>
  <c r="BC192" i="7"/>
  <c r="BB192" i="7"/>
  <c r="BF192" i="7" s="1"/>
  <c r="AG194" i="13" s="1"/>
  <c r="AQ191" i="7"/>
  <c r="AT191" i="7"/>
  <c r="AU191" i="7" s="1"/>
  <c r="AV191" i="7" s="1"/>
  <c r="AW189" i="7"/>
  <c r="BK189" i="7" s="1"/>
  <c r="AZ189" i="7"/>
  <c r="BM189" i="7"/>
  <c r="AC192" i="13"/>
  <c r="BG190" i="7"/>
  <c r="AO192" i="7"/>
  <c r="AN192" i="7"/>
  <c r="AY191" i="7"/>
  <c r="AP190" i="7"/>
  <c r="AF195" i="13"/>
  <c r="AB195" i="13"/>
  <c r="AD195" i="13"/>
  <c r="AF193" i="7"/>
  <c r="AE193" i="7"/>
  <c r="AR193" i="7"/>
  <c r="AK194" i="7"/>
  <c r="AE190" i="13"/>
  <c r="BA188" i="7"/>
  <c r="BJ188" i="7"/>
  <c r="BE189" i="7"/>
  <c r="BD189" i="7"/>
  <c r="AL194" i="7"/>
  <c r="BO190" i="7" l="1"/>
  <c r="BN190" i="7"/>
  <c r="BI191" i="7"/>
  <c r="BH191" i="7"/>
  <c r="AM194" i="7"/>
  <c r="BL189" i="7"/>
  <c r="BC193" i="7"/>
  <c r="BB193" i="7"/>
  <c r="BF193" i="7" s="1"/>
  <c r="AG195" i="13" s="1"/>
  <c r="AW190" i="7"/>
  <c r="BK190" i="7" s="1"/>
  <c r="AZ190" i="7"/>
  <c r="BM190" i="7"/>
  <c r="AO193" i="7"/>
  <c r="AN193" i="7"/>
  <c r="AY192" i="7"/>
  <c r="AP191" i="7"/>
  <c r="AE191" i="13"/>
  <c r="BA189" i="7"/>
  <c r="BJ189" i="7"/>
  <c r="AT192" i="7"/>
  <c r="AU192" i="7" s="1"/>
  <c r="AV192" i="7" s="1"/>
  <c r="AQ192" i="7"/>
  <c r="AB196" i="13"/>
  <c r="AF196" i="13"/>
  <c r="AD196" i="13"/>
  <c r="AF194" i="7"/>
  <c r="AE194" i="7"/>
  <c r="AK195" i="7"/>
  <c r="AR194" i="7"/>
  <c r="AC193" i="13"/>
  <c r="BG191" i="7"/>
  <c r="AL195" i="7"/>
  <c r="BD190" i="7"/>
  <c r="BE190" i="7"/>
  <c r="BI192" i="7" l="1"/>
  <c r="BH192" i="7"/>
  <c r="BO191" i="7"/>
  <c r="BN191" i="7"/>
  <c r="AM195" i="7"/>
  <c r="BL190" i="7"/>
  <c r="BC194" i="7"/>
  <c r="BB194" i="7"/>
  <c r="BF194" i="7" s="1"/>
  <c r="AG196" i="13" s="1"/>
  <c r="AW191" i="7"/>
  <c r="BK191" i="7" s="1"/>
  <c r="AZ191" i="7"/>
  <c r="BM191" i="7"/>
  <c r="AC194" i="13"/>
  <c r="BG192" i="7"/>
  <c r="AO194" i="7"/>
  <c r="AY193" i="7"/>
  <c r="AN194" i="7"/>
  <c r="AP192" i="7"/>
  <c r="AT193" i="7"/>
  <c r="AU193" i="7" s="1"/>
  <c r="AV193" i="7" s="1"/>
  <c r="AQ193" i="7"/>
  <c r="AB197" i="13"/>
  <c r="AF197" i="13"/>
  <c r="AD197" i="13"/>
  <c r="AF195" i="7"/>
  <c r="AE195" i="7"/>
  <c r="AR195" i="7"/>
  <c r="AK196" i="7"/>
  <c r="AE192" i="13"/>
  <c r="BA190" i="7"/>
  <c r="BJ190" i="7"/>
  <c r="AL196" i="7"/>
  <c r="BD191" i="7"/>
  <c r="BE191" i="7"/>
  <c r="BI193" i="7" l="1"/>
  <c r="BH193" i="7"/>
  <c r="BO192" i="7"/>
  <c r="BN192" i="7"/>
  <c r="AM196" i="7"/>
  <c r="BL191" i="7"/>
  <c r="BC195" i="7"/>
  <c r="BB195" i="7"/>
  <c r="BF195" i="7" s="1"/>
  <c r="AG197" i="13" s="1"/>
  <c r="AT194" i="7"/>
  <c r="AU194" i="7" s="1"/>
  <c r="AV194" i="7" s="1"/>
  <c r="AQ194" i="7"/>
  <c r="AW192" i="7"/>
  <c r="BK192" i="7" s="1"/>
  <c r="AZ192" i="7"/>
  <c r="BM192" i="7"/>
  <c r="AC195" i="13"/>
  <c r="BG193" i="7"/>
  <c r="AD198" i="13"/>
  <c r="AF198" i="13"/>
  <c r="AB198" i="13"/>
  <c r="AF196" i="7"/>
  <c r="AE196" i="7"/>
  <c r="AK197" i="7"/>
  <c r="AR196" i="7"/>
  <c r="AO195" i="7"/>
  <c r="AN195" i="7"/>
  <c r="AY194" i="7"/>
  <c r="AP193" i="7"/>
  <c r="AE193" i="13"/>
  <c r="BA191" i="7"/>
  <c r="BJ191" i="7"/>
  <c r="AL197" i="7"/>
  <c r="BE192" i="7"/>
  <c r="BD192" i="7"/>
  <c r="BO193" i="7" l="1"/>
  <c r="BN193" i="7"/>
  <c r="BI194" i="7"/>
  <c r="BH194" i="7"/>
  <c r="AM197" i="7"/>
  <c r="BL192" i="7"/>
  <c r="BB196" i="7"/>
  <c r="BF196" i="7" s="1"/>
  <c r="AG198" i="13" s="1"/>
  <c r="BC196" i="7"/>
  <c r="AF199" i="13"/>
  <c r="AD199" i="13"/>
  <c r="AB199" i="13"/>
  <c r="AF197" i="7"/>
  <c r="AE197" i="7"/>
  <c r="AR197" i="7"/>
  <c r="AK198" i="7"/>
  <c r="AE194" i="13"/>
  <c r="BA192" i="7"/>
  <c r="BJ192" i="7"/>
  <c r="AC196" i="13"/>
  <c r="BG194" i="7"/>
  <c r="AO196" i="7"/>
  <c r="AY195" i="7"/>
  <c r="AN196" i="7"/>
  <c r="AP194" i="7"/>
  <c r="AW193" i="7"/>
  <c r="BK193" i="7" s="1"/>
  <c r="AZ193" i="7"/>
  <c r="BM193" i="7"/>
  <c r="AT195" i="7"/>
  <c r="AU195" i="7" s="1"/>
  <c r="AV195" i="7" s="1"/>
  <c r="AQ195" i="7"/>
  <c r="AL198" i="7"/>
  <c r="BD193" i="7"/>
  <c r="BE193" i="7"/>
  <c r="BI195" i="7" l="1"/>
  <c r="BH195" i="7"/>
  <c r="BO194" i="7"/>
  <c r="BN194" i="7"/>
  <c r="AM198" i="7"/>
  <c r="BL193" i="7"/>
  <c r="BB197" i="7"/>
  <c r="BF197" i="7" s="1"/>
  <c r="AG199" i="13" s="1"/>
  <c r="BC197" i="7"/>
  <c r="AT196" i="7"/>
  <c r="AU196" i="7" s="1"/>
  <c r="AV196" i="7" s="1"/>
  <c r="AQ196" i="7"/>
  <c r="AW194" i="7"/>
  <c r="BK194" i="7" s="1"/>
  <c r="AZ194" i="7"/>
  <c r="BM194" i="7"/>
  <c r="AC197" i="13"/>
  <c r="BG195" i="7"/>
  <c r="AE195" i="13"/>
  <c r="BA193" i="7"/>
  <c r="BJ193" i="7"/>
  <c r="AD200" i="13"/>
  <c r="AF200" i="13"/>
  <c r="AB200" i="13"/>
  <c r="AK199" i="7"/>
  <c r="AF198" i="7"/>
  <c r="AE198" i="7"/>
  <c r="AR198" i="7"/>
  <c r="AO197" i="7"/>
  <c r="AN197" i="7"/>
  <c r="AY196" i="7"/>
  <c r="AP195" i="7"/>
  <c r="BE194" i="7"/>
  <c r="BD194" i="7"/>
  <c r="AL199" i="7"/>
  <c r="BI196" i="7" l="1"/>
  <c r="BH196" i="7"/>
  <c r="BO195" i="7"/>
  <c r="BN195" i="7"/>
  <c r="AM199" i="7"/>
  <c r="BL194" i="7"/>
  <c r="BC198" i="7"/>
  <c r="BB198" i="7"/>
  <c r="BF198" i="7" s="1"/>
  <c r="AG200" i="13" s="1"/>
  <c r="AC198" i="13"/>
  <c r="BG196" i="7"/>
  <c r="AT197" i="7"/>
  <c r="AU197" i="7" s="1"/>
  <c r="AV197" i="7" s="1"/>
  <c r="AQ197" i="7"/>
  <c r="AB201" i="13"/>
  <c r="AD201" i="13"/>
  <c r="AF201" i="13"/>
  <c r="AF199" i="7"/>
  <c r="AE199" i="7"/>
  <c r="AR199" i="7"/>
  <c r="AK200" i="7"/>
  <c r="AW195" i="7"/>
  <c r="BK195" i="7" s="1"/>
  <c r="AZ195" i="7"/>
  <c r="BM195" i="7"/>
  <c r="AY197" i="7"/>
  <c r="AO198" i="7"/>
  <c r="AN198" i="7"/>
  <c r="AP196" i="7"/>
  <c r="AE196" i="13"/>
  <c r="BA194" i="7"/>
  <c r="BJ194" i="7"/>
  <c r="BD195" i="7"/>
  <c r="AL200" i="7"/>
  <c r="BE195" i="7"/>
  <c r="BO196" i="7" l="1"/>
  <c r="BN196" i="7"/>
  <c r="BI197" i="7"/>
  <c r="BH197" i="7"/>
  <c r="AM200" i="7"/>
  <c r="BL195" i="7"/>
  <c r="BB199" i="7"/>
  <c r="BF199" i="7" s="1"/>
  <c r="AG201" i="13" s="1"/>
  <c r="BC199" i="7"/>
  <c r="AE197" i="13"/>
  <c r="BA195" i="7"/>
  <c r="BJ195" i="7"/>
  <c r="AW196" i="7"/>
  <c r="BK196" i="7" s="1"/>
  <c r="AZ196" i="7"/>
  <c r="BM196" i="7"/>
  <c r="AD202" i="13"/>
  <c r="AB202" i="13"/>
  <c r="AF202" i="13"/>
  <c r="AK201" i="7"/>
  <c r="AF200" i="7"/>
  <c r="AE200" i="7"/>
  <c r="AR200" i="7"/>
  <c r="AC199" i="13"/>
  <c r="BG197" i="7"/>
  <c r="AO199" i="7"/>
  <c r="AN199" i="7"/>
  <c r="AY198" i="7"/>
  <c r="AP197" i="7"/>
  <c r="AT198" i="7"/>
  <c r="AU198" i="7" s="1"/>
  <c r="AV198" i="7" s="1"/>
  <c r="AQ198" i="7"/>
  <c r="BE196" i="7"/>
  <c r="BD196" i="7"/>
  <c r="AL201" i="7"/>
  <c r="BO197" i="7" l="1"/>
  <c r="BN197" i="7"/>
  <c r="BI198" i="7"/>
  <c r="BH198" i="7"/>
  <c r="AM201" i="7"/>
  <c r="BL196" i="7"/>
  <c r="BB200" i="7"/>
  <c r="BF200" i="7" s="1"/>
  <c r="AG202" i="13" s="1"/>
  <c r="BC200" i="7"/>
  <c r="AE198" i="13"/>
  <c r="BA196" i="7"/>
  <c r="BJ196" i="7"/>
  <c r="AW197" i="7"/>
  <c r="BK197" i="7" s="1"/>
  <c r="AZ197" i="7"/>
  <c r="BM197" i="7"/>
  <c r="AC200" i="13"/>
  <c r="BG198" i="7"/>
  <c r="AF203" i="13"/>
  <c r="AB203" i="13"/>
  <c r="AD203" i="13"/>
  <c r="AF201" i="7"/>
  <c r="AE201" i="7"/>
  <c r="AR201" i="7"/>
  <c r="AK202" i="7"/>
  <c r="AY199" i="7"/>
  <c r="AN200" i="7"/>
  <c r="AO200" i="7"/>
  <c r="AP198" i="7"/>
  <c r="AT199" i="7"/>
  <c r="AU199" i="7" s="1"/>
  <c r="AV199" i="7" s="1"/>
  <c r="AQ199" i="7"/>
  <c r="BE197" i="7"/>
  <c r="AL202" i="7"/>
  <c r="BD197" i="7"/>
  <c r="BI199" i="7" l="1"/>
  <c r="BH199" i="7"/>
  <c r="BO198" i="7"/>
  <c r="BN198" i="7"/>
  <c r="AM202" i="7"/>
  <c r="BL197" i="7"/>
  <c r="BC201" i="7"/>
  <c r="BB201" i="7"/>
  <c r="BF201" i="7" s="1"/>
  <c r="AG203" i="13" s="1"/>
  <c r="AE199" i="13"/>
  <c r="BA197" i="7"/>
  <c r="BJ197" i="7"/>
  <c r="AF204" i="13"/>
  <c r="AB204" i="13"/>
  <c r="AD204" i="13"/>
  <c r="AE202" i="7"/>
  <c r="AK203" i="7"/>
  <c r="AF202" i="7"/>
  <c r="AR202" i="7"/>
  <c r="AT200" i="7"/>
  <c r="AU200" i="7" s="1"/>
  <c r="AV200" i="7" s="1"/>
  <c r="AQ200" i="7"/>
  <c r="AO201" i="7"/>
  <c r="AN201" i="7"/>
  <c r="AY200" i="7"/>
  <c r="AP199" i="7"/>
  <c r="AW198" i="7"/>
  <c r="BK198" i="7" s="1"/>
  <c r="AZ198" i="7"/>
  <c r="BM198" i="7"/>
  <c r="AC201" i="13"/>
  <c r="BG199" i="7"/>
  <c r="BD198" i="7"/>
  <c r="BE198" i="7"/>
  <c r="AL203" i="7"/>
  <c r="BI200" i="7" l="1"/>
  <c r="BH200" i="7"/>
  <c r="BO199" i="7"/>
  <c r="BN199" i="7"/>
  <c r="AM203" i="7"/>
  <c r="BL198" i="7"/>
  <c r="BB202" i="7"/>
  <c r="BF202" i="7" s="1"/>
  <c r="AG204" i="13" s="1"/>
  <c r="BC202" i="7"/>
  <c r="AY201" i="7"/>
  <c r="AN202" i="7"/>
  <c r="AO202" i="7"/>
  <c r="AP200" i="7"/>
  <c r="AQ201" i="7"/>
  <c r="AT201" i="7"/>
  <c r="AU201" i="7" s="1"/>
  <c r="AV201" i="7" s="1"/>
  <c r="AE200" i="13"/>
  <c r="BA198" i="7"/>
  <c r="BJ198" i="7"/>
  <c r="AC202" i="13"/>
  <c r="BG200" i="7"/>
  <c r="AW199" i="7"/>
  <c r="BK199" i="7" s="1"/>
  <c r="AZ199" i="7"/>
  <c r="BM199" i="7"/>
  <c r="AB205" i="13"/>
  <c r="AF205" i="13"/>
  <c r="AD205" i="13"/>
  <c r="AF203" i="7"/>
  <c r="AE203" i="7"/>
  <c r="AR203" i="7"/>
  <c r="AK204" i="7"/>
  <c r="BE199" i="7"/>
  <c r="AL204" i="7"/>
  <c r="BD199" i="7"/>
  <c r="BI201" i="7" l="1"/>
  <c r="BH201" i="7"/>
  <c r="BO200" i="7"/>
  <c r="BN200" i="7"/>
  <c r="AM204" i="7"/>
  <c r="BL199" i="7"/>
  <c r="BC203" i="7"/>
  <c r="BB203" i="7"/>
  <c r="BF203" i="7" s="1"/>
  <c r="AG205" i="13" s="1"/>
  <c r="AW200" i="7"/>
  <c r="BK200" i="7" s="1"/>
  <c r="AZ200" i="7"/>
  <c r="BM200" i="7"/>
  <c r="AT202" i="7"/>
  <c r="AU202" i="7" s="1"/>
  <c r="AV202" i="7" s="1"/>
  <c r="AQ202" i="7"/>
  <c r="AO203" i="7"/>
  <c r="AN203" i="7"/>
  <c r="AY202" i="7"/>
  <c r="AP201" i="7"/>
  <c r="AD206" i="13"/>
  <c r="AF206" i="13"/>
  <c r="AB206" i="13"/>
  <c r="AF204" i="7"/>
  <c r="AE204" i="7"/>
  <c r="AR204" i="7"/>
  <c r="AE201" i="13"/>
  <c r="BA199" i="7"/>
  <c r="BJ199" i="7"/>
  <c r="AC203" i="13"/>
  <c r="BG201" i="7"/>
  <c r="BD200" i="7"/>
  <c r="BE200" i="7"/>
  <c r="BI202" i="7" l="1"/>
  <c r="BH202" i="7"/>
  <c r="BO201" i="7"/>
  <c r="BN201" i="7"/>
  <c r="BL200" i="7"/>
  <c r="BB204" i="7"/>
  <c r="BF204" i="7" s="1"/>
  <c r="AG206" i="13" s="1"/>
  <c r="BC204" i="7"/>
  <c r="AV203" i="7"/>
  <c r="AO204" i="7"/>
  <c r="AN204" i="7"/>
  <c r="AY203" i="7"/>
  <c r="AP202" i="7"/>
  <c r="AQ203" i="7"/>
  <c r="AT203" i="7"/>
  <c r="AU203" i="7" s="1"/>
  <c r="AW201" i="7"/>
  <c r="BK201" i="7" s="1"/>
  <c r="AZ201" i="7"/>
  <c r="BM201" i="7"/>
  <c r="AP204" i="7"/>
  <c r="BO204" i="7" s="1"/>
  <c r="AC204" i="13"/>
  <c r="BG202" i="7"/>
  <c r="AE202" i="13"/>
  <c r="BA200" i="7"/>
  <c r="BJ200" i="7"/>
  <c r="BD201" i="7"/>
  <c r="BE201" i="7"/>
  <c r="BO202" i="7" l="1"/>
  <c r="BN202" i="7"/>
  <c r="BI203" i="7"/>
  <c r="BH203" i="7"/>
  <c r="BN204" i="7"/>
  <c r="BL201" i="7"/>
  <c r="AW204" i="7"/>
  <c r="BK204" i="7" s="1"/>
  <c r="AZ204" i="7"/>
  <c r="BM204" i="7"/>
  <c r="AW202" i="7"/>
  <c r="BK202" i="7" s="1"/>
  <c r="AZ202" i="7"/>
  <c r="BM202" i="7"/>
  <c r="AY204" i="7"/>
  <c r="AV204" i="7"/>
  <c r="AP203" i="7"/>
  <c r="AT204" i="7"/>
  <c r="AU204" i="7" s="1"/>
  <c r="AQ204" i="7"/>
  <c r="AE203" i="13"/>
  <c r="BA201" i="7"/>
  <c r="BJ201" i="7"/>
  <c r="AC205" i="13"/>
  <c r="BG203" i="7"/>
  <c r="BE204" i="7"/>
  <c r="BD204" i="7"/>
  <c r="BE202" i="7"/>
  <c r="BD202" i="7"/>
  <c r="BO203" i="7" l="1"/>
  <c r="BN203" i="7"/>
  <c r="BI204" i="7"/>
  <c r="N32" i="5" s="1"/>
  <c r="D22" i="3" s="1"/>
  <c r="BH204" i="7"/>
  <c r="P32" i="5" s="1"/>
  <c r="N101" i="5"/>
  <c r="D24" i="3" s="1"/>
  <c r="N102" i="5"/>
  <c r="D25" i="3" s="1"/>
  <c r="BL202" i="7"/>
  <c r="BL204" i="7"/>
  <c r="AE204" i="13"/>
  <c r="BA202" i="7"/>
  <c r="BJ202" i="7"/>
  <c r="AE206" i="13"/>
  <c r="BA204" i="7"/>
  <c r="BJ204" i="7"/>
  <c r="AW203" i="7"/>
  <c r="BK203" i="7" s="1"/>
  <c r="P42" i="5" s="1"/>
  <c r="AZ203" i="7"/>
  <c r="BM203" i="7"/>
  <c r="AC206" i="13"/>
  <c r="BG204" i="7"/>
  <c r="O32" i="5" s="1"/>
  <c r="P114" i="5"/>
  <c r="BD203" i="7"/>
  <c r="P115" i="5"/>
  <c r="BE203" i="7"/>
  <c r="F35" i="3" l="1"/>
  <c r="F36" i="3"/>
  <c r="P110" i="5"/>
  <c r="F31" i="3" s="1"/>
  <c r="P123" i="5"/>
  <c r="F29" i="3"/>
  <c r="P111" i="5"/>
  <c r="F32" i="3" s="1"/>
  <c r="F16" i="2"/>
  <c r="D6" i="2"/>
  <c r="N103" i="5"/>
  <c r="D26" i="3" s="1"/>
  <c r="P103" i="5"/>
  <c r="F26" i="3" s="1"/>
  <c r="P101" i="5"/>
  <c r="F24" i="3" s="1"/>
  <c r="F22" i="3"/>
  <c r="P102" i="5"/>
  <c r="F25" i="3" s="1"/>
  <c r="F6" i="2"/>
  <c r="BL203" i="7"/>
  <c r="N42" i="5" s="1"/>
  <c r="N110" i="5" s="1"/>
  <c r="AE205" i="13"/>
  <c r="BA203" i="7"/>
  <c r="BJ203" i="7"/>
  <c r="O42" i="5" s="1"/>
  <c r="O110" i="5" s="1"/>
  <c r="E22" i="3"/>
  <c r="O102" i="5"/>
  <c r="E25" i="3" s="1"/>
  <c r="O101" i="5"/>
  <c r="E24" i="3" s="1"/>
  <c r="E6" i="2"/>
  <c r="O103" i="5"/>
  <c r="E26" i="3" s="1"/>
  <c r="N115" i="5"/>
  <c r="O114" i="5"/>
  <c r="O115" i="5"/>
  <c r="N114" i="5"/>
  <c r="E35" i="3" l="1"/>
  <c r="E36" i="3"/>
  <c r="D35" i="3"/>
  <c r="D36" i="3"/>
  <c r="N111" i="5"/>
  <c r="D32" i="3" s="1"/>
  <c r="D16" i="2"/>
  <c r="D29" i="3"/>
  <c r="D31" i="3"/>
  <c r="L184" i="5"/>
  <c r="L185" i="5" s="1"/>
  <c r="N123" i="5"/>
  <c r="O111" i="5"/>
  <c r="E32" i="3" s="1"/>
  <c r="E16" i="2"/>
  <c r="O123" i="5"/>
  <c r="E29" i="3"/>
  <c r="E31" i="3"/>
</calcChain>
</file>

<file path=xl/sharedStrings.xml><?xml version="1.0" encoding="utf-8"?>
<sst xmlns="http://schemas.openxmlformats.org/spreadsheetml/2006/main" count="1984" uniqueCount="1010">
  <si>
    <t>Y Values (all)</t>
  </si>
  <si>
    <t>Station (ft)</t>
  </si>
  <si>
    <t>n (manning)</t>
  </si>
  <si>
    <t>n value possible?</t>
  </si>
  <si>
    <t>Right</t>
  </si>
  <si>
    <t>very large</t>
  </si>
  <si>
    <t>medium</t>
  </si>
  <si>
    <t>Tcr (lb/sf)</t>
  </si>
  <si>
    <t/>
  </si>
  <si>
    <t>Wp * n^1.5</t>
  </si>
  <si>
    <t>R-3 Stg</t>
  </si>
  <si>
    <t>IB/Low Flow</t>
  </si>
  <si>
    <t>Channel</t>
  </si>
  <si>
    <t>BACKGROUND CALCULATIONS</t>
  </si>
  <si>
    <t>Width (ft)</t>
  </si>
  <si>
    <t>Ratio of Existing Mean Depth to Required Mean Depth</t>
  </si>
  <si>
    <t>Equation</t>
  </si>
  <si>
    <t>Use PSR, if 3 &lt; PSR &lt; 7</t>
  </si>
  <si>
    <r>
      <t xml:space="preserve">     D</t>
    </r>
    <r>
      <rPr>
        <vertAlign val="subscript"/>
        <sz val="11"/>
        <rFont val="Arial"/>
        <family val="2"/>
      </rPr>
      <t>s</t>
    </r>
    <r>
      <rPr>
        <sz val="11"/>
        <rFont val="Arial"/>
        <family val="2"/>
      </rPr>
      <t>=diameter sediment particle (mm)</t>
    </r>
  </si>
  <si>
    <r>
      <t xml:space="preserve">     g=gravitational acceleration (32.2 ft/s</t>
    </r>
    <r>
      <rPr>
        <vertAlign val="superscript"/>
        <sz val="11"/>
        <rFont val="Arial"/>
        <family val="2"/>
      </rPr>
      <t>2</t>
    </r>
    <r>
      <rPr>
        <sz val="11"/>
        <rFont val="Arial"/>
        <family val="2"/>
      </rPr>
      <t>) (9.81 m/s</t>
    </r>
    <r>
      <rPr>
        <vertAlign val="superscript"/>
        <sz val="11"/>
        <rFont val="Arial"/>
        <family val="2"/>
      </rPr>
      <t>2</t>
    </r>
    <r>
      <rPr>
        <sz val="11"/>
        <rFont val="Arial"/>
        <family val="2"/>
      </rPr>
      <t>)</t>
    </r>
  </si>
  <si>
    <t>ft/ft</t>
  </si>
  <si>
    <t>mm</t>
  </si>
  <si>
    <t>particle size new</t>
  </si>
  <si>
    <t>Shield's parameter typically in the range of 0.045 to 0.06</t>
  </si>
  <si>
    <t>Shields Chart - Fully Rough</t>
  </si>
  <si>
    <t>English units with grain size in mm</t>
  </si>
  <si>
    <t>Override</t>
  </si>
  <si>
    <t>Refer to right for pebble count data</t>
  </si>
  <si>
    <t>ΔY3rdstage-L</t>
  </si>
  <si>
    <t>D3s-bk-R</t>
  </si>
  <si>
    <t>L3</t>
  </si>
  <si>
    <t>Wbench-L</t>
  </si>
  <si>
    <t>Dmean</t>
  </si>
  <si>
    <t>Wib</t>
  </si>
  <si>
    <t>Sib-transverse</t>
  </si>
  <si>
    <t>pL8_Formula</t>
  </si>
  <si>
    <t>2 Stage</t>
  </si>
  <si>
    <t>Normalized to bkfl width</t>
  </si>
  <si>
    <t>0.5Dib-PrevH</t>
  </si>
  <si>
    <t>Riffle IB-No_Station</t>
  </si>
  <si>
    <t>SUMMARY OF XS</t>
  </si>
  <si>
    <t>Number of Stages</t>
  </si>
  <si>
    <t>Stage 1</t>
  </si>
  <si>
    <t>Right_Mbanks_BKF_Multiplier</t>
  </si>
  <si>
    <t>Y_datum</t>
  </si>
  <si>
    <t>Upper</t>
  </si>
  <si>
    <t>Entrenchment Ratio</t>
  </si>
  <si>
    <t>Stream Pattern Empirical Guidelines - From Rosgen</t>
  </si>
  <si>
    <t>Average Shear</t>
  </si>
  <si>
    <t>VDOT CL-III</t>
  </si>
  <si>
    <t>Type I</t>
  </si>
  <si>
    <t>0.04-0.08 in</t>
  </si>
  <si>
    <t>D50 in</t>
  </si>
  <si>
    <t>VDOT #3</t>
  </si>
  <si>
    <t>D50 (mm)</t>
  </si>
  <si>
    <t>Statistics</t>
  </si>
  <si>
    <t>Supply Hydraulics</t>
  </si>
  <si>
    <t>Design Fraction</t>
  </si>
  <si>
    <t>Boulder (%)</t>
  </si>
  <si>
    <t>GRAVEL</t>
  </si>
  <si>
    <t>Method</t>
  </si>
  <si>
    <t>D50 moved by Max Shear</t>
  </si>
  <si>
    <t>MS</t>
  </si>
  <si>
    <t>VFS</t>
  </si>
  <si>
    <t>clear water</t>
  </si>
  <si>
    <t>Valid for Rc/Tw between 1 and 7</t>
  </si>
  <si>
    <t>Design RB</t>
  </si>
  <si>
    <t>Orig RB</t>
  </si>
  <si>
    <t>Count from Left</t>
  </si>
  <si>
    <t>Right side end</t>
  </si>
  <si>
    <t>y3rdStage-L</t>
  </si>
  <si>
    <t>y3rdStage_L</t>
  </si>
  <si>
    <t>n_label_data</t>
  </si>
  <si>
    <t>X Corrected (all)</t>
  </si>
  <si>
    <t>flow area</t>
  </si>
  <si>
    <t>Version 1.0</t>
  </si>
  <si>
    <t>Left EOW</t>
  </si>
  <si>
    <t>n value - running</t>
  </si>
  <si>
    <t>Wp</t>
  </si>
  <si>
    <t>Class</t>
  </si>
  <si>
    <t>small</t>
  </si>
  <si>
    <t>coarse</t>
  </si>
  <si>
    <t>Right 2nd Stage</t>
  </si>
  <si>
    <t>D (inch)</t>
  </si>
  <si>
    <t>Flow Depth (ft)</t>
  </si>
  <si>
    <t>R-2 Stg</t>
  </si>
  <si>
    <t>Permissible Vel</t>
  </si>
  <si>
    <t>n components</t>
  </si>
  <si>
    <t>GEOMETRY AND HYDRAULICS CALCS</t>
  </si>
  <si>
    <t>Starting Flow Depth</t>
  </si>
  <si>
    <t>Proposed Bankfull Water Surface Slope</t>
  </si>
  <si>
    <t>Range for Flow Depth (ft)</t>
  </si>
  <si>
    <t>Range for Dmean bkf (ft)</t>
  </si>
  <si>
    <t xml:space="preserve">     Conversion Constant 304.8 mm/ft or 1000 mm/m</t>
  </si>
  <si>
    <t>size</t>
  </si>
  <si>
    <t>(ft/ft)</t>
  </si>
  <si>
    <t>(mm)</t>
  </si>
  <si>
    <t>conversion</t>
  </si>
  <si>
    <t>m</t>
  </si>
  <si>
    <t>density fluid</t>
  </si>
  <si>
    <t>density sediment</t>
  </si>
  <si>
    <t>Hydraulic Radius (ft) - Existing</t>
  </si>
  <si>
    <t>Insert Shields Parameter Lookup Table</t>
  </si>
  <si>
    <t>Bottom of Bank</t>
  </si>
  <si>
    <t>Top Innerberm (Point Bar)</t>
  </si>
  <si>
    <t>D3stg-(Y3rdstageL)</t>
  </si>
  <si>
    <t>CL Shift Right</t>
  </si>
  <si>
    <t>R1</t>
  </si>
  <si>
    <t>-0.5*(0.5Wbed)</t>
  </si>
  <si>
    <t>L7</t>
  </si>
  <si>
    <t>Totals</t>
  </si>
  <si>
    <t>0.5*(0.5Wbed-CL+.001)</t>
  </si>
  <si>
    <t>-WbenchL</t>
  </si>
  <si>
    <t>-W3rdstageL</t>
  </si>
  <si>
    <t>Dmaxbkf</t>
  </si>
  <si>
    <t>RIFFLE WITH IB, NO</t>
  </si>
  <si>
    <t>Left Top Innerberm (Point Bar)</t>
  </si>
  <si>
    <t>pL9_Formula</t>
  </si>
  <si>
    <t>YibArea / Wbkf</t>
  </si>
  <si>
    <t>Riffle IB-Yes_Description</t>
  </si>
  <si>
    <t>Riffle IB-Yes_Elevation</t>
  </si>
  <si>
    <t>WBKF-R</t>
  </si>
  <si>
    <t>Min</t>
  </si>
  <si>
    <t>Wfpa/Wrbkf</t>
  </si>
  <si>
    <t>Wblt/Wbkf</t>
  </si>
  <si>
    <t>LOB Station START</t>
  </si>
  <si>
    <t>LOB Vmax</t>
  </si>
  <si>
    <t>Percent (%)</t>
  </si>
  <si>
    <t>Bank Run Gravel</t>
  </si>
  <si>
    <t>0.002-1 mm</t>
  </si>
  <si>
    <t>Geo Std Dev</t>
  </si>
  <si>
    <t>SYNTHETIC GRAIN SIZE DISTRIBUTION CREATION</t>
  </si>
  <si>
    <t>D50 critical (in)</t>
  </si>
  <si>
    <t>Sbed Right Transverse</t>
  </si>
  <si>
    <t>SEDIMENT TRANSPORT - THRESHOLD</t>
  </si>
  <si>
    <t>ft/s</t>
  </si>
  <si>
    <t>Vcr</t>
  </si>
  <si>
    <t>Tcr</t>
  </si>
  <si>
    <t>avg Design CL</t>
  </si>
  <si>
    <t>Orig X Max</t>
  </si>
  <si>
    <t>Org Y Start</t>
  </si>
  <si>
    <t>Mright</t>
  </si>
  <si>
    <t>Sediment Transport - Incipient Motion (Threshold)</t>
  </si>
  <si>
    <t>Particle Mobilized by Average Velocity</t>
  </si>
  <si>
    <t>Maximum Velocity (ft/s)</t>
  </si>
  <si>
    <t>Manning "n"</t>
  </si>
  <si>
    <t>thalweg_shift</t>
  </si>
  <si>
    <t>Wbench_L</t>
  </si>
  <si>
    <t>Right Limit</t>
  </si>
  <si>
    <t>Elevation</t>
  </si>
  <si>
    <t>Right Bound</t>
  </si>
  <si>
    <t>X INTERCEPT</t>
  </si>
  <si>
    <t>Right EOW</t>
  </si>
  <si>
    <t>y</t>
  </si>
  <si>
    <t>n value</t>
  </si>
  <si>
    <t>HYDRAULICS ANALYSIS</t>
  </si>
  <si>
    <t>n^1.5 * Pw</t>
  </si>
  <si>
    <t>Area</t>
  </si>
  <si>
    <t>LC</t>
  </si>
  <si>
    <t>very coarse</t>
  </si>
  <si>
    <t>Left Bankfull</t>
  </si>
  <si>
    <t>Left 3rd Stage</t>
  </si>
  <si>
    <t>R</t>
  </si>
  <si>
    <t>n value X</t>
  </si>
  <si>
    <t>IB Present</t>
  </si>
  <si>
    <t>Stage Label Conversion</t>
  </si>
  <si>
    <t>mean depth</t>
  </si>
  <si>
    <t>Sediment Transport Validation</t>
  </si>
  <si>
    <t>QUICK CALCULATOR</t>
  </si>
  <si>
    <t>Flume + Field</t>
  </si>
  <si>
    <r>
      <t>kg</t>
    </r>
    <r>
      <rPr>
        <vertAlign val="subscript"/>
        <sz val="10"/>
        <rFont val="Arial"/>
        <family val="2"/>
      </rPr>
      <t>f</t>
    </r>
    <r>
      <rPr>
        <sz val="10"/>
        <rFont val="Arial"/>
        <family val="2"/>
      </rPr>
      <t>/m</t>
    </r>
    <r>
      <rPr>
        <vertAlign val="superscript"/>
        <sz val="10"/>
        <rFont val="Arial"/>
        <family val="2"/>
      </rPr>
      <t>3</t>
    </r>
  </si>
  <si>
    <t>Note</t>
  </si>
  <si>
    <t>Kb Upper Data</t>
  </si>
  <si>
    <t>Andrews EQ. T</t>
  </si>
  <si>
    <t>R9</t>
  </si>
  <si>
    <t>Y3rdstageR/W3rdstageR</t>
  </si>
  <si>
    <t>R5</t>
  </si>
  <si>
    <t>W3sbkL</t>
  </si>
  <si>
    <t>S2stg-bench-R</t>
  </si>
  <si>
    <t>W2</t>
  </si>
  <si>
    <t>pR1_Formula</t>
  </si>
  <si>
    <t>Tie-out</t>
  </si>
  <si>
    <t>Inner Berm</t>
  </si>
  <si>
    <t>Prtcle Mobile (in)</t>
  </si>
  <si>
    <t>ANALYTICAL CHANNEL DESIGN</t>
  </si>
  <si>
    <t>ID</t>
  </si>
  <si>
    <t>Shear</t>
  </si>
  <si>
    <t>K Segments</t>
  </si>
  <si>
    <t>ROB Tmax</t>
  </si>
  <si>
    <t>Average Velocity</t>
  </si>
  <si>
    <t>Critical</t>
  </si>
  <si>
    <t>Topsoil</t>
  </si>
  <si>
    <t>D84 (mm)</t>
  </si>
  <si>
    <t>Very Fine</t>
  </si>
  <si>
    <t>Fine</t>
  </si>
  <si>
    <t>Bedrock</t>
  </si>
  <si>
    <t>Manual broken down by topics to consider</t>
  </si>
  <si>
    <t>Fine Gravel</t>
  </si>
  <si>
    <t>Kb = Maximum Shear to averaged shear stress</t>
  </si>
  <si>
    <t>Right Side</t>
  </si>
  <si>
    <t>Design Bottom</t>
  </si>
  <si>
    <t>Tieout?</t>
  </si>
  <si>
    <t>corrected</t>
  </si>
  <si>
    <t>Average Shear Stress (lb/ft^2)</t>
  </si>
  <si>
    <t>Width</t>
  </si>
  <si>
    <t>Mtieout_3stg_L</t>
  </si>
  <si>
    <t>stage_points_data</t>
  </si>
  <si>
    <t>Elevation (ft)</t>
  </si>
  <si>
    <t>final upper value</t>
  </si>
  <si>
    <t>W/D Ratio</t>
  </si>
  <si>
    <t>SB</t>
  </si>
  <si>
    <t>VLB</t>
  </si>
  <si>
    <t>D (mm)</t>
  </si>
  <si>
    <t>Station marks upper limit of …</t>
  </si>
  <si>
    <t>LWM D50 Moved (in)</t>
  </si>
  <si>
    <t>Fine Sand</t>
  </si>
  <si>
    <t>Raw Station</t>
  </si>
  <si>
    <t>COMPONENTS</t>
  </si>
  <si>
    <t>COMPONENT CALCULATED VALUES</t>
  </si>
  <si>
    <t>FLOW AREA CALCULATION</t>
  </si>
  <si>
    <t>Flow Depth Interval (ft)</t>
  </si>
  <si>
    <t>Di Upper</t>
  </si>
  <si>
    <t>Variable</t>
  </si>
  <si>
    <t>Definition</t>
  </si>
  <si>
    <r>
      <t>d</t>
    </r>
    <r>
      <rPr>
        <b/>
        <vertAlign val="subscript"/>
        <sz val="12"/>
        <rFont val="Times New Roman"/>
        <family val="1"/>
      </rPr>
      <t>r</t>
    </r>
    <r>
      <rPr>
        <b/>
        <sz val="12"/>
        <rFont val="Times New Roman"/>
        <family val="1"/>
      </rPr>
      <t xml:space="preserve"> (ft)</t>
    </r>
  </si>
  <si>
    <t>Check one:</t>
  </si>
  <si>
    <t>Range for R (ft)</t>
  </si>
  <si>
    <t>Derivation</t>
  </si>
  <si>
    <t>Andrews, Rosgen</t>
  </si>
  <si>
    <r>
      <t>r</t>
    </r>
    <r>
      <rPr>
        <vertAlign val="subscript"/>
        <sz val="10"/>
        <rFont val="Arial"/>
        <family val="2"/>
      </rPr>
      <t>f</t>
    </r>
  </si>
  <si>
    <r>
      <t>lb</t>
    </r>
    <r>
      <rPr>
        <sz val="10"/>
        <rFont val="Arial"/>
        <family val="2"/>
      </rPr>
      <t>/ft</t>
    </r>
    <r>
      <rPr>
        <vertAlign val="superscript"/>
        <sz val="10"/>
        <rFont val="Arial"/>
        <family val="2"/>
      </rPr>
      <t>3</t>
    </r>
  </si>
  <si>
    <t>Andrews</t>
  </si>
  <si>
    <t>W2sbkL</t>
  </si>
  <si>
    <t>D2stg-(YbenchR)</t>
  </si>
  <si>
    <t>(Mbanks-2stg)*D2sbkL</t>
  </si>
  <si>
    <t>Ybed</t>
  </si>
  <si>
    <t>n/a</t>
  </si>
  <si>
    <t>Dmaxib</t>
  </si>
  <si>
    <t>3 Stage Channel</t>
  </si>
  <si>
    <t>pR2_Formula</t>
  </si>
  <si>
    <t>Estimated by triangle</t>
  </si>
  <si>
    <t>RIFFLE WITH IB, YES</t>
  </si>
  <si>
    <t>BKF Velocity</t>
  </si>
  <si>
    <t>WSE = BKF?</t>
  </si>
  <si>
    <t>Width Flood Prone Area</t>
  </si>
  <si>
    <t>MWR</t>
  </si>
  <si>
    <t>Incremental W</t>
  </si>
  <si>
    <t>Maximize</t>
  </si>
  <si>
    <t>Cobble</t>
  </si>
  <si>
    <t>0.08-2.5 in</t>
  </si>
  <si>
    <t>51-102 mm</t>
  </si>
  <si>
    <t>Texture</t>
  </si>
  <si>
    <t>Geo Mean (mm)</t>
  </si>
  <si>
    <t>Transport Statistics</t>
  </si>
  <si>
    <t>Particle Count</t>
  </si>
  <si>
    <t>Silt/Clay</t>
  </si>
  <si>
    <t>Gravel (%)</t>
  </si>
  <si>
    <t>Manual for how to do restoration design</t>
  </si>
  <si>
    <t>Meander Length (Lm)</t>
  </si>
  <si>
    <t>Stable Channel Riprap Design</t>
  </si>
  <si>
    <t>VDOT DM App 7D-3</t>
  </si>
  <si>
    <t>MOVED PARTICLES</t>
  </si>
  <si>
    <t>Existing Bottom</t>
  </si>
  <si>
    <t>Blended diff</t>
  </si>
  <si>
    <t>Particle Mobilized (in) by Max Shear Stress</t>
  </si>
  <si>
    <t>D50 Bar</t>
  </si>
  <si>
    <t>Ybench_R</t>
  </si>
  <si>
    <t>xs_data</t>
  </si>
  <si>
    <t>n label elevation</t>
  </si>
  <si>
    <t>stage label</t>
  </si>
  <si>
    <t>L Station</t>
  </si>
  <si>
    <t>y limit</t>
  </si>
  <si>
    <t>n value final</t>
  </si>
  <si>
    <t>Dmean(ft)</t>
  </si>
  <si>
    <t>n composite</t>
  </si>
  <si>
    <t>Increm W</t>
  </si>
  <si>
    <t>Miller 1977</t>
  </si>
  <si>
    <t>STG value X</t>
  </si>
  <si>
    <t>Next change in STG value</t>
  </si>
  <si>
    <t>L-BKF</t>
  </si>
  <si>
    <t>Sandy Loam</t>
  </si>
  <si>
    <t>Coarse Gravel</t>
  </si>
  <si>
    <t>Width/Depth</t>
  </si>
  <si>
    <t>Existing Bankfull Mean Depth (from riffle cross section)</t>
  </si>
  <si>
    <r>
      <t>t</t>
    </r>
    <r>
      <rPr>
        <b/>
        <vertAlign val="subscript"/>
        <sz val="10"/>
        <rFont val="Arial"/>
        <family val="2"/>
      </rPr>
      <t>ci</t>
    </r>
    <r>
      <rPr>
        <b/>
        <sz val="10"/>
        <rFont val="Arial"/>
        <family val="2"/>
      </rPr>
      <t xml:space="preserve"> = 0.0834(d</t>
    </r>
    <r>
      <rPr>
        <b/>
        <vertAlign val="subscript"/>
        <sz val="10"/>
        <rFont val="Arial"/>
        <family val="2"/>
      </rPr>
      <t>i</t>
    </r>
    <r>
      <rPr>
        <b/>
        <sz val="10"/>
        <rFont val="Arial"/>
        <family val="2"/>
      </rPr>
      <t>/d</t>
    </r>
    <r>
      <rPr>
        <b/>
        <vertAlign val="subscript"/>
        <sz val="10"/>
        <rFont val="Arial"/>
        <family val="2"/>
      </rPr>
      <t>50</t>
    </r>
    <r>
      <rPr>
        <b/>
        <sz val="10"/>
        <rFont val="Arial"/>
        <family val="2"/>
      </rPr>
      <t>)</t>
    </r>
    <r>
      <rPr>
        <b/>
        <vertAlign val="superscript"/>
        <sz val="10"/>
        <rFont val="Arial"/>
        <family val="2"/>
      </rPr>
      <t>-0.872</t>
    </r>
  </si>
  <si>
    <t>BKF Mean Depth (Ft)</t>
  </si>
  <si>
    <t>Largest Particle moved (in)</t>
  </si>
  <si>
    <t>Source</t>
  </si>
  <si>
    <t>D50 Eroded by Avg Velocity</t>
  </si>
  <si>
    <t>NOTE : GARRETT - YOU CAN PROBABLY MOVE THE ENTRAINMENT</t>
  </si>
  <si>
    <t>Tbed Fishenich 2001</t>
  </si>
  <si>
    <t>(Mbanks)*(Ybanks)</t>
  </si>
  <si>
    <t>0.25*Ybed</t>
  </si>
  <si>
    <t>Left Bankfull/Design</t>
  </si>
  <si>
    <t>W2s-bk-L</t>
  </si>
  <si>
    <t>-0.5*(CL-.001+0.5Wbed)</t>
  </si>
  <si>
    <t>-W3sbkL</t>
  </si>
  <si>
    <t>pR3_Formula</t>
  </si>
  <si>
    <t>N Value</t>
  </si>
  <si>
    <t>Stage 2</t>
  </si>
  <si>
    <t>Right_BKF_Bottom_Slope_Multiplier</t>
  </si>
  <si>
    <t>Bank Angle</t>
  </si>
  <si>
    <t>Step Multiplier</t>
  </si>
  <si>
    <t>LOB Tmax</t>
  </si>
  <si>
    <t>Critical D50 (in)</t>
  </si>
  <si>
    <t>8e05 - .039 in</t>
  </si>
  <si>
    <t>% Finer</t>
  </si>
  <si>
    <t>Bedload Transport Rate</t>
  </si>
  <si>
    <t>Capacity/Supply Ratio (CSR)</t>
  </si>
  <si>
    <t>D100 (mm)</t>
  </si>
  <si>
    <t>Reference Material</t>
  </si>
  <si>
    <t>Sbed Left Transverse</t>
  </si>
  <si>
    <t>MEANDER BENDS</t>
  </si>
  <si>
    <t>mystage2properties</t>
  </si>
  <si>
    <t>ROB Rmax</t>
  </si>
  <si>
    <t>n</t>
  </si>
  <si>
    <t>V head (ft)</t>
  </si>
  <si>
    <t>Flow Bounds</t>
  </si>
  <si>
    <t>Dmax(ft)</t>
  </si>
  <si>
    <t>CG</t>
  </si>
  <si>
    <t>gravel</t>
  </si>
  <si>
    <t xml:space="preserve">X Lower </t>
  </si>
  <si>
    <t>24" Riprap</t>
  </si>
  <si>
    <t>Kb</t>
  </si>
  <si>
    <t>Avg Vel</t>
  </si>
  <si>
    <t>Guidance</t>
  </si>
  <si>
    <t>Di design (inch)</t>
  </si>
  <si>
    <t>1.65 = submerged specific weight of sediment</t>
  </si>
  <si>
    <t>Bankfull Mean Depth Required to move Largest Particle</t>
  </si>
  <si>
    <r>
      <t>τ</t>
    </r>
    <r>
      <rPr>
        <i/>
        <vertAlign val="subscript"/>
        <sz val="10"/>
        <rFont val="Arial"/>
        <family val="2"/>
      </rPr>
      <t>*c</t>
    </r>
  </si>
  <si>
    <t>Sediment Entrainment and Competency - Tractive Force Calculations</t>
  </si>
  <si>
    <t>Competency = max particle size moved by combination of depth and slope</t>
  </si>
  <si>
    <t>Right 3rd Stage Top Bank</t>
  </si>
  <si>
    <t>W3rdstageR</t>
  </si>
  <si>
    <t>Ybanks</t>
  </si>
  <si>
    <t>Bankfull/Design</t>
  </si>
  <si>
    <t>W3rdstage-L</t>
  </si>
  <si>
    <t>R2</t>
  </si>
  <si>
    <t>L4</t>
  </si>
  <si>
    <t>ΔYbench-L</t>
  </si>
  <si>
    <t>L8</t>
  </si>
  <si>
    <t>Pool Shape Factor</t>
  </si>
  <si>
    <t>-W2sbkL</t>
  </si>
  <si>
    <t>Wbed</t>
  </si>
  <si>
    <t>pR4_Formula</t>
  </si>
  <si>
    <t>Shift, if any</t>
  </si>
  <si>
    <t>0.5Wbkf-PrevW</t>
  </si>
  <si>
    <t>(2*(W1*Y2)+(W1*Y1)+(W2*Y2))+(YibArea)</t>
  </si>
  <si>
    <t>Dmaxbkf-Ybed-YmeanIBdepth</t>
  </si>
  <si>
    <t>Riffle IB-No_Description</t>
  </si>
  <si>
    <t>Riffle IB-No_Elevation</t>
  </si>
  <si>
    <t>Riffle IB-No</t>
  </si>
  <si>
    <t>Riffle IB-Yes</t>
  </si>
  <si>
    <t>Planform</t>
  </si>
  <si>
    <t>Left_BKF_Height_Multiplier</t>
  </si>
  <si>
    <t>Right_BKF_Height_Multiplier</t>
  </si>
  <si>
    <t>Left_Mbanks_BKF_Multipler</t>
  </si>
  <si>
    <t>Yes</t>
  </si>
  <si>
    <t>Lower</t>
  </si>
  <si>
    <t>Width at 2*DmaxBKF</t>
  </si>
  <si>
    <t>After Rosgen</t>
  </si>
  <si>
    <t>For Flow Distrib</t>
  </si>
  <si>
    <t>Channel Vmax</t>
  </si>
  <si>
    <t>Max Velocity</t>
  </si>
  <si>
    <t>Max Shear</t>
  </si>
  <si>
    <t>Avg Shear</t>
  </si>
  <si>
    <t>Parameter</t>
  </si>
  <si>
    <t>VDOT CL-II</t>
  </si>
  <si>
    <t>Coarse Sand</t>
  </si>
  <si>
    <t>2.5-10.1 in</t>
  </si>
  <si>
    <t>Size</t>
  </si>
  <si>
    <t>D25 (mm)</t>
  </si>
  <si>
    <t>D75 (mm)</t>
  </si>
  <si>
    <t>Threshold Design - Competence and Incipient Motion</t>
  </si>
  <si>
    <t>SAND</t>
  </si>
  <si>
    <t>Cobble (%)</t>
  </si>
  <si>
    <t>Very Coarse</t>
  </si>
  <si>
    <t xml:space="preserve">Large  </t>
  </si>
  <si>
    <t>XS Average</t>
  </si>
  <si>
    <t>HYDRAULICS</t>
  </si>
  <si>
    <t>V*cr</t>
  </si>
  <si>
    <t>Tbend bed /Tstraight bed</t>
  </si>
  <si>
    <t>CSU report for USBR (2012)</t>
  </si>
  <si>
    <t>Orig Rev Points</t>
  </si>
  <si>
    <t>Slope to Tieout (ss:1)</t>
  </si>
  <si>
    <t>Design CL Y Max</t>
  </si>
  <si>
    <t>ID for tieout</t>
  </si>
  <si>
    <t>Andrews Equation</t>
  </si>
  <si>
    <t>Stage Width</t>
  </si>
  <si>
    <t>W3rdstage_L</t>
  </si>
  <si>
    <t>Mtieout_2stg_L</t>
  </si>
  <si>
    <t>n label station</t>
  </si>
  <si>
    <t>Top Limit</t>
  </si>
  <si>
    <t>left x limit</t>
  </si>
  <si>
    <t>Left bounds</t>
  </si>
  <si>
    <t>upper limit</t>
  </si>
  <si>
    <t>Str Pwr (lb/ft s)</t>
  </si>
  <si>
    <t>Rsgn CR D50 (in)</t>
  </si>
  <si>
    <t>ground surface</t>
  </si>
  <si>
    <t>S</t>
  </si>
  <si>
    <t>large</t>
  </si>
  <si>
    <t>Right 3rd Stage</t>
  </si>
  <si>
    <t>STG Value Line (x)</t>
  </si>
  <si>
    <t>STG value final</t>
  </si>
  <si>
    <t>L-3 Stg</t>
  </si>
  <si>
    <t>1" Gravel</t>
  </si>
  <si>
    <t>Cobbles</t>
  </si>
  <si>
    <t>max depth final</t>
  </si>
  <si>
    <t>Slope interval</t>
  </si>
  <si>
    <r>
      <t>D</t>
    </r>
    <r>
      <rPr>
        <b/>
        <vertAlign val="subscript"/>
        <sz val="12"/>
        <rFont val="Times New Roman"/>
        <family val="1"/>
      </rPr>
      <t xml:space="preserve">i </t>
    </r>
    <r>
      <rPr>
        <b/>
        <sz val="12"/>
        <rFont val="Times New Roman"/>
        <family val="1"/>
      </rPr>
      <t>(ft)</t>
    </r>
  </si>
  <si>
    <r>
      <t>Bankfull Shear Stress</t>
    </r>
    <r>
      <rPr>
        <sz val="10"/>
        <rFont val="GreekC"/>
      </rPr>
      <t xml:space="preserve"> t</t>
    </r>
    <r>
      <rPr>
        <vertAlign val="subscript"/>
        <sz val="10"/>
        <rFont val="Times New Roman"/>
        <family val="1"/>
      </rPr>
      <t>c</t>
    </r>
    <r>
      <rPr>
        <sz val="10"/>
        <rFont val="Times New Roman"/>
        <family val="1"/>
      </rPr>
      <t>=</t>
    </r>
    <r>
      <rPr>
        <sz val="10"/>
        <rFont val="GreekC"/>
      </rPr>
      <t>g</t>
    </r>
    <r>
      <rPr>
        <sz val="10"/>
        <rFont val="Times New Roman"/>
        <family val="1"/>
      </rPr>
      <t>RS (lb/ft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 xml:space="preserve">)   </t>
    </r>
    <r>
      <rPr>
        <sz val="10"/>
        <rFont val="GreekC"/>
      </rPr>
      <t>g</t>
    </r>
    <r>
      <rPr>
        <sz val="10"/>
        <rFont val="Times New Roman"/>
        <family val="1"/>
      </rPr>
      <t xml:space="preserve"> = 62.4   R=Hydraulic Radius   S=Slope</t>
    </r>
  </si>
  <si>
    <t>Moveable particle size (mm) at bankfull shear stress (predicted by the Shields Diagram: Blue field book: p238, Red field book: p190)</t>
  </si>
  <si>
    <t>PAVEMENT TO SUBPAVEMENT RATIO (PSR)</t>
  </si>
  <si>
    <r>
      <t>d</t>
    </r>
    <r>
      <rPr>
        <b/>
        <vertAlign val="subscript"/>
        <sz val="12"/>
        <rFont val="Times New Roman"/>
        <family val="1"/>
      </rPr>
      <t>50,sub bar</t>
    </r>
    <r>
      <rPr>
        <b/>
        <sz val="12"/>
        <rFont val="Times New Roman"/>
        <family val="1"/>
      </rPr>
      <t xml:space="preserve"> (mm)</t>
    </r>
  </si>
  <si>
    <r>
      <t>d</t>
    </r>
    <r>
      <rPr>
        <b/>
        <vertAlign val="subscript"/>
        <sz val="12"/>
        <rFont val="Times New Roman"/>
        <family val="1"/>
      </rPr>
      <t>i</t>
    </r>
    <r>
      <rPr>
        <b/>
        <sz val="12"/>
        <rFont val="Times New Roman"/>
        <family val="1"/>
      </rPr>
      <t xml:space="preserve"> or d</t>
    </r>
    <r>
      <rPr>
        <b/>
        <vertAlign val="subscript"/>
        <sz val="12"/>
        <rFont val="Times New Roman"/>
        <family val="1"/>
      </rPr>
      <t>max</t>
    </r>
    <r>
      <rPr>
        <b/>
        <sz val="12"/>
        <rFont val="Times New Roman"/>
        <family val="1"/>
      </rPr>
      <t xml:space="preserve"> (mm)</t>
    </r>
  </si>
  <si>
    <t>Largest Particle (dmax, di) moved by Bankfull Mean Depth (in)</t>
  </si>
  <si>
    <t>particle</t>
  </si>
  <si>
    <t>Shields Equation with Specified Shields Parameter</t>
  </si>
  <si>
    <t>LWM 1964</t>
  </si>
  <si>
    <t>Flume study using different density substances</t>
  </si>
  <si>
    <t>Compilation of Field and Flume Studies</t>
  </si>
  <si>
    <t>Mathmatical calculations of Shields</t>
  </si>
  <si>
    <t>γ</t>
  </si>
  <si>
    <r>
      <t>N/m</t>
    </r>
    <r>
      <rPr>
        <vertAlign val="superscript"/>
        <sz val="10"/>
        <rFont val="Arial"/>
        <family val="2"/>
      </rPr>
      <t>3</t>
    </r>
  </si>
  <si>
    <t>Mtieout-R</t>
  </si>
  <si>
    <t>WbenchL</t>
  </si>
  <si>
    <t>R6</t>
  </si>
  <si>
    <t>S3stg-bench-L</t>
  </si>
  <si>
    <t>CL Shift Left</t>
  </si>
  <si>
    <t>D2stg-Ybench-L</t>
  </si>
  <si>
    <t>D2s-bk-R</t>
  </si>
  <si>
    <t>Y1</t>
  </si>
  <si>
    <t>Mbanks</t>
  </si>
  <si>
    <t>Wbkf</t>
  </si>
  <si>
    <t>M = run/rise</t>
  </si>
  <si>
    <t>pR5_Formula</t>
  </si>
  <si>
    <t>Riffle IB-Yes_Station</t>
  </si>
  <si>
    <t>X_datum</t>
  </si>
  <si>
    <t>Ouput Hydraulics</t>
  </si>
  <si>
    <t>Solv Precision</t>
  </si>
  <si>
    <t>W belt</t>
  </si>
  <si>
    <t>Use</t>
  </si>
  <si>
    <t>ROB Station START</t>
  </si>
  <si>
    <t>Dir of Thalweg</t>
  </si>
  <si>
    <t>LWM</t>
  </si>
  <si>
    <t>Type II</t>
  </si>
  <si>
    <t>Normal Shields Stress</t>
  </si>
  <si>
    <t>COBBLE</t>
  </si>
  <si>
    <t>Goals/Targets evaluation</t>
  </si>
  <si>
    <t>After Rosgen, 10-14 Wbkf</t>
  </si>
  <si>
    <t>SEDIMENT TRANSPORT - ALLUVIAL</t>
  </si>
  <si>
    <t>Rc/B</t>
  </si>
  <si>
    <t>Design XS - Shifted to Orig CL</t>
  </si>
  <si>
    <t>Design CL X Max</t>
  </si>
  <si>
    <t>Particle Mobilized (in) by Average Shear Stress</t>
  </si>
  <si>
    <t>Average Velocity (ft/s)</t>
  </si>
  <si>
    <t>Mtieout_R</t>
  </si>
  <si>
    <t>stage value labels</t>
  </si>
  <si>
    <t>LOB Rmax</t>
  </si>
  <si>
    <t>1st n value</t>
  </si>
  <si>
    <t>Y Corrected (all)</t>
  </si>
  <si>
    <t>Right bounds</t>
  </si>
  <si>
    <t>n station (ft)</t>
  </si>
  <si>
    <t>Left</t>
  </si>
  <si>
    <t>Manning's n</t>
  </si>
  <si>
    <t>SC</t>
  </si>
  <si>
    <t>Left Inner Berm</t>
  </si>
  <si>
    <t>Rosgen CO</t>
  </si>
  <si>
    <t>X actual (FT)</t>
  </si>
  <si>
    <t>L-2 Stg</t>
  </si>
  <si>
    <t>L-IB</t>
  </si>
  <si>
    <t>D50 Mobilized (in)</t>
  </si>
  <si>
    <t>2" Gravel</t>
  </si>
  <si>
    <t>Q components</t>
  </si>
  <si>
    <t>Raw max depth</t>
  </si>
  <si>
    <t>BASE HYDRAULICS CALCULATIONS</t>
  </si>
  <si>
    <t>Equation Applicability</t>
  </si>
  <si>
    <r>
      <t>d</t>
    </r>
    <r>
      <rPr>
        <b/>
        <vertAlign val="subscript"/>
        <sz val="10"/>
        <rFont val="Times New Roman"/>
        <family val="1"/>
      </rPr>
      <t>r</t>
    </r>
    <r>
      <rPr>
        <b/>
        <sz val="10"/>
        <rFont val="Times New Roman"/>
        <family val="1"/>
      </rPr>
      <t xml:space="preserve"> = (</t>
    </r>
    <r>
      <rPr>
        <b/>
        <sz val="10"/>
        <rFont val="GreekC"/>
      </rPr>
      <t>t</t>
    </r>
    <r>
      <rPr>
        <b/>
        <vertAlign val="subscript"/>
        <sz val="10"/>
        <rFont val="Times New Roman"/>
        <family val="1"/>
      </rPr>
      <t>ci</t>
    </r>
    <r>
      <rPr>
        <b/>
        <sz val="10"/>
        <rFont val="Times New Roman"/>
        <family val="1"/>
      </rPr>
      <t>*1.65*D</t>
    </r>
    <r>
      <rPr>
        <b/>
        <vertAlign val="subscript"/>
        <sz val="10"/>
        <rFont val="Times New Roman"/>
        <family val="1"/>
      </rPr>
      <t>i</t>
    </r>
    <r>
      <rPr>
        <b/>
        <sz val="10"/>
        <rFont val="Times New Roman"/>
        <family val="1"/>
      </rPr>
      <t>)/S</t>
    </r>
    <r>
      <rPr>
        <b/>
        <vertAlign val="subscript"/>
        <sz val="10"/>
        <rFont val="Times New Roman"/>
        <family val="1"/>
      </rPr>
      <t>e</t>
    </r>
  </si>
  <si>
    <t>Largest particle from bar sample</t>
  </si>
  <si>
    <r>
      <t>S</t>
    </r>
    <r>
      <rPr>
        <b/>
        <vertAlign val="subscript"/>
        <sz val="12"/>
        <rFont val="Times New Roman"/>
        <family val="1"/>
      </rPr>
      <t>e</t>
    </r>
    <r>
      <rPr>
        <b/>
        <sz val="12"/>
        <rFont val="Times New Roman"/>
        <family val="1"/>
      </rPr>
      <t>/S</t>
    </r>
    <r>
      <rPr>
        <b/>
        <vertAlign val="subscript"/>
        <sz val="12"/>
        <rFont val="Times New Roman"/>
        <family val="1"/>
      </rPr>
      <t>r</t>
    </r>
  </si>
  <si>
    <r>
      <t xml:space="preserve">   D</t>
    </r>
    <r>
      <rPr>
        <vertAlign val="subscript"/>
        <sz val="11"/>
        <rFont val="Arial"/>
        <family val="2"/>
      </rPr>
      <t>s</t>
    </r>
    <r>
      <rPr>
        <sz val="11"/>
        <rFont val="Arial"/>
        <family val="2"/>
      </rPr>
      <t>=</t>
    </r>
    <r>
      <rPr>
        <sz val="11"/>
        <rFont val="Symbol"/>
        <family val="1"/>
        <charset val="2"/>
      </rPr>
      <t>t</t>
    </r>
    <r>
      <rPr>
        <sz val="11"/>
        <rFont val="Arial"/>
        <family val="2"/>
      </rPr>
      <t xml:space="preserve"> / ((</t>
    </r>
    <r>
      <rPr>
        <sz val="11"/>
        <rFont val="Symbol"/>
        <family val="1"/>
        <charset val="2"/>
      </rPr>
      <t>r</t>
    </r>
    <r>
      <rPr>
        <vertAlign val="subscript"/>
        <sz val="11"/>
        <rFont val="Arial"/>
        <family val="2"/>
      </rPr>
      <t>s</t>
    </r>
    <r>
      <rPr>
        <sz val="11"/>
        <rFont val="Arial"/>
        <family val="2"/>
      </rPr>
      <t xml:space="preserve"> - </t>
    </r>
    <r>
      <rPr>
        <sz val="11"/>
        <rFont val="Symbol"/>
        <family val="1"/>
        <charset val="2"/>
      </rPr>
      <t>r</t>
    </r>
    <r>
      <rPr>
        <sz val="11"/>
        <rFont val="Arial"/>
        <family val="2"/>
      </rPr>
      <t>) g 0.06)(304.8)</t>
    </r>
  </si>
  <si>
    <t>slope</t>
  </si>
  <si>
    <t>depth</t>
  </si>
  <si>
    <t>particle size (mm)</t>
  </si>
  <si>
    <t>slope ref</t>
  </si>
  <si>
    <t>Similar to Fischenlich, Mathematical Compuations of Shields</t>
  </si>
  <si>
    <t>Shields, 1936</t>
  </si>
  <si>
    <t>Threshold of Motion</t>
  </si>
  <si>
    <t>T max Upper</t>
  </si>
  <si>
    <t>Tbed NRCS - Fig 8-8</t>
  </si>
  <si>
    <t>~</t>
  </si>
  <si>
    <t>D3s-bk-L</t>
  </si>
  <si>
    <t>(Mbanks-3stg)*D3sbkR</t>
  </si>
  <si>
    <t>W3s-bk-R</t>
  </si>
  <si>
    <t>-0.25*(0.5Wbed)</t>
  </si>
  <si>
    <t>0.25*(0.5Wbed-CL)</t>
  </si>
  <si>
    <t>EQ</t>
  </si>
  <si>
    <t>pR6_Formula</t>
  </si>
  <si>
    <t>YibArea</t>
  </si>
  <si>
    <t>-.25*Wib</t>
  </si>
  <si>
    <t>Advanced Parameters</t>
  </si>
  <si>
    <t>Channel "n"</t>
  </si>
  <si>
    <t>Geometry Input</t>
  </si>
  <si>
    <t>Ch Station START</t>
  </si>
  <si>
    <t>LOB Start</t>
  </si>
  <si>
    <t>D50 MOBILIZED BY SHEAR</t>
  </si>
  <si>
    <t>D90 (mm)</t>
  </si>
  <si>
    <t>Size (mm)</t>
  </si>
  <si>
    <t xml:space="preserve">Particle </t>
  </si>
  <si>
    <t>To do</t>
  </si>
  <si>
    <t>LIST ALL OF THE VARIABLES  WITH THE RANGES ….</t>
  </si>
  <si>
    <t>CS</t>
  </si>
  <si>
    <t>Fishenlich Modified</t>
  </si>
  <si>
    <t>Design LB</t>
  </si>
  <si>
    <t>Shear Mobilized Particle</t>
  </si>
  <si>
    <t>velocity station</t>
  </si>
  <si>
    <t>D50 value</t>
  </si>
  <si>
    <t>X values (all)</t>
  </si>
  <si>
    <t>Flow Depth</t>
  </si>
  <si>
    <t>INTERCEPT LOCATION</t>
  </si>
  <si>
    <t>EDGE OF WATER</t>
  </si>
  <si>
    <t>midpoint</t>
  </si>
  <si>
    <t>Bankfull</t>
  </si>
  <si>
    <t>Storm Event</t>
  </si>
  <si>
    <t>Stage List Generation</t>
  </si>
  <si>
    <t>Upper Stage Limit</t>
  </si>
  <si>
    <t>VDOT</t>
  </si>
  <si>
    <t>X Upper</t>
  </si>
  <si>
    <t>stg value - running</t>
  </si>
  <si>
    <t>STG value</t>
  </si>
  <si>
    <t>Thalweg Check</t>
  </si>
  <si>
    <t>LOB</t>
  </si>
  <si>
    <t>ROB</t>
  </si>
  <si>
    <t>Main Channel</t>
  </si>
  <si>
    <t>Bed Slope</t>
  </si>
  <si>
    <t>Leopold, Wolman, Miller 1964</t>
  </si>
  <si>
    <r>
      <t>t</t>
    </r>
    <r>
      <rPr>
        <b/>
        <vertAlign val="subscript"/>
        <sz val="10"/>
        <rFont val="Arial"/>
        <family val="2"/>
      </rPr>
      <t>ci</t>
    </r>
    <r>
      <rPr>
        <b/>
        <sz val="10"/>
        <rFont val="Arial"/>
        <family val="2"/>
      </rPr>
      <t xml:space="preserve"> = 0.0384(d</t>
    </r>
    <r>
      <rPr>
        <b/>
        <vertAlign val="subscript"/>
        <sz val="10"/>
        <rFont val="Arial"/>
        <family val="2"/>
      </rPr>
      <t>i</t>
    </r>
    <r>
      <rPr>
        <b/>
        <sz val="10"/>
        <rFont val="Arial"/>
        <family val="2"/>
      </rPr>
      <t>/d</t>
    </r>
    <r>
      <rPr>
        <b/>
        <vertAlign val="subscript"/>
        <sz val="10"/>
        <rFont val="Arial"/>
        <family val="2"/>
      </rPr>
      <t>50</t>
    </r>
    <r>
      <rPr>
        <b/>
        <sz val="10"/>
        <rFont val="Arial"/>
        <family val="2"/>
      </rPr>
      <t>)</t>
    </r>
    <r>
      <rPr>
        <b/>
        <vertAlign val="superscript"/>
        <sz val="10"/>
        <rFont val="Arial"/>
        <family val="2"/>
      </rPr>
      <t>-0.887</t>
    </r>
  </si>
  <si>
    <t>Bankfull Mean Depth Required for Entrainment of Largest Particle in Bar Sample:</t>
  </si>
  <si>
    <t>Moveable particle size (mm) at bankfull shear stress (predicted by Colorodo data from Rosgen Chapter 11, page 11-19)</t>
  </si>
  <si>
    <r>
      <t>d</t>
    </r>
    <r>
      <rPr>
        <b/>
        <vertAlign val="subscript"/>
        <sz val="12"/>
        <rFont val="Times New Roman"/>
        <family val="1"/>
      </rPr>
      <t xml:space="preserve">50,bed </t>
    </r>
    <r>
      <rPr>
        <b/>
        <sz val="12"/>
        <rFont val="Times New Roman"/>
        <family val="1"/>
      </rPr>
      <t>(mm)</t>
    </r>
  </si>
  <si>
    <t>PSR Ratio</t>
  </si>
  <si>
    <t xml:space="preserve">motion is often near in size to the D50 of mobile bed surface material.  </t>
  </si>
  <si>
    <r>
      <t xml:space="preserve">     </t>
    </r>
    <r>
      <rPr>
        <sz val="11"/>
        <rFont val="Symbol"/>
        <family val="1"/>
        <charset val="2"/>
      </rPr>
      <t>r</t>
    </r>
    <r>
      <rPr>
        <vertAlign val="subscript"/>
        <sz val="11"/>
        <rFont val="Arial"/>
        <family val="2"/>
      </rPr>
      <t>s</t>
    </r>
    <r>
      <rPr>
        <sz val="11"/>
        <rFont val="Arial"/>
        <family val="2"/>
      </rPr>
      <t>=density of sediment (5.15 slugs/ft</t>
    </r>
    <r>
      <rPr>
        <vertAlign val="superscript"/>
        <sz val="11"/>
        <rFont val="Arial"/>
        <family val="2"/>
      </rPr>
      <t>3</t>
    </r>
    <r>
      <rPr>
        <sz val="11"/>
        <rFont val="Arial"/>
        <family val="2"/>
      </rPr>
      <t>) or (2560 kg/m</t>
    </r>
    <r>
      <rPr>
        <vertAlign val="superscript"/>
        <sz val="11"/>
        <rFont val="Arial"/>
        <family val="2"/>
      </rPr>
      <t>3</t>
    </r>
    <r>
      <rPr>
        <sz val="11"/>
        <rFont val="Arial"/>
        <family val="2"/>
      </rPr>
      <t>)</t>
    </r>
  </si>
  <si>
    <t>ft</t>
  </si>
  <si>
    <t>depth ref</t>
  </si>
  <si>
    <t>g</t>
  </si>
  <si>
    <r>
      <t>ft/sec</t>
    </r>
    <r>
      <rPr>
        <vertAlign val="superscript"/>
        <sz val="10"/>
        <rFont val="Arial"/>
        <family val="2"/>
      </rPr>
      <t>2</t>
    </r>
  </si>
  <si>
    <t>specific weight of water</t>
  </si>
  <si>
    <t>Particle at threshold of motion</t>
  </si>
  <si>
    <r>
      <t>D</t>
    </r>
    <r>
      <rPr>
        <vertAlign val="subscript"/>
        <sz val="10"/>
        <rFont val="Arial"/>
        <family val="2"/>
      </rPr>
      <t>cr</t>
    </r>
  </si>
  <si>
    <t>Location:</t>
  </si>
  <si>
    <t>LWM D50 - Best (in)</t>
  </si>
  <si>
    <t>Particle Size Analysis</t>
  </si>
  <si>
    <t>Tbed</t>
  </si>
  <si>
    <t>Slope to tie into EG</t>
  </si>
  <si>
    <t>D3stg-Ybench-R</t>
  </si>
  <si>
    <t>3rd Stage Top Bank</t>
  </si>
  <si>
    <t>End of 3rd stage bench</t>
  </si>
  <si>
    <t>0.5*(0.5Wbed)</t>
  </si>
  <si>
    <t>L1</t>
  </si>
  <si>
    <t>Abkf/Wbkf</t>
  </si>
  <si>
    <t>0.5Wbkf-W2</t>
  </si>
  <si>
    <t>S = rise / run</t>
  </si>
  <si>
    <t>ΔYbanks</t>
  </si>
  <si>
    <t>pR7_Formula</t>
  </si>
  <si>
    <t>Ybedtotal</t>
  </si>
  <si>
    <t>Shift</t>
  </si>
  <si>
    <t>Stage 3</t>
  </si>
  <si>
    <t>Current</t>
  </si>
  <si>
    <t>BANKFULL Q (cfs)</t>
  </si>
  <si>
    <t>Radius of Curvature</t>
  </si>
  <si>
    <t>Channel Tmax</t>
  </si>
  <si>
    <t>VDOT CL A1</t>
  </si>
  <si>
    <t>VDOT CL-I</t>
  </si>
  <si>
    <t>2-4 in</t>
  </si>
  <si>
    <t>Range (in)</t>
  </si>
  <si>
    <t>D16 (mm)</t>
  </si>
  <si>
    <t>Fine Sediment?</t>
  </si>
  <si>
    <t>CUM %</t>
  </si>
  <si>
    <t>Medium</t>
  </si>
  <si>
    <t>Synthetic Design Bed Mix</t>
  </si>
  <si>
    <t>WIZARD</t>
  </si>
  <si>
    <t>Avg D50 (in) moved by Average Shear</t>
  </si>
  <si>
    <t>Max Shear (1.5 Rule) - Fischenlich 2001</t>
  </si>
  <si>
    <t>Orig LB</t>
  </si>
  <si>
    <t>Total Points</t>
  </si>
  <si>
    <t>avg Orig CL</t>
  </si>
  <si>
    <t>Stage</t>
  </si>
  <si>
    <t>y3rdStage-R</t>
  </si>
  <si>
    <t>n label</t>
  </si>
  <si>
    <t>D50 Mobilized by shear</t>
  </si>
  <si>
    <t>L Elevation</t>
  </si>
  <si>
    <t>Top Elevation</t>
  </si>
  <si>
    <t>velocity value</t>
  </si>
  <si>
    <t>Fischenich 2001</t>
  </si>
  <si>
    <t>Max shear in Meander</t>
  </si>
  <si>
    <t>X Midpoint</t>
  </si>
  <si>
    <t>12" Gravel</t>
  </si>
  <si>
    <t>Silty loam</t>
  </si>
  <si>
    <r>
      <t>d</t>
    </r>
    <r>
      <rPr>
        <b/>
        <vertAlign val="subscript"/>
        <sz val="12"/>
        <rFont val="Times New Roman"/>
        <family val="1"/>
      </rPr>
      <t>e</t>
    </r>
    <r>
      <rPr>
        <b/>
        <sz val="12"/>
        <rFont val="Times New Roman"/>
        <family val="1"/>
      </rPr>
      <t>/d</t>
    </r>
    <r>
      <rPr>
        <b/>
        <vertAlign val="subscript"/>
        <sz val="12"/>
        <rFont val="Times New Roman"/>
        <family val="1"/>
      </rPr>
      <t>r</t>
    </r>
  </si>
  <si>
    <t xml:space="preserve"> parameter</t>
  </si>
  <si>
    <t>Shield's Parameter</t>
  </si>
  <si>
    <t>….. NEVERMIND… KEEP IT FOR CALCULATIONS. TO HELP ASSESS STABLE CHANNELS FOR EXISTING</t>
  </si>
  <si>
    <t>ΔY3rdstage-R</t>
  </si>
  <si>
    <t>R3</t>
  </si>
  <si>
    <t>L5</t>
  </si>
  <si>
    <t>Left 3rd Stage Top Bank</t>
  </si>
  <si>
    <t>L9</t>
  </si>
  <si>
    <t>Wbench-R</t>
  </si>
  <si>
    <t>Ybed/0.5Wbed</t>
  </si>
  <si>
    <t>.5Wbed</t>
  </si>
  <si>
    <t>Dmaxbkf-Ybed</t>
  </si>
  <si>
    <t>pR8_Formula</t>
  </si>
  <si>
    <t>pL1_Formula</t>
  </si>
  <si>
    <t>Point bar slope (Dmaxib/0.5Wib)</t>
  </si>
  <si>
    <t>FEATURE DESIGN VARIABLES</t>
  </si>
  <si>
    <t>Default Description</t>
  </si>
  <si>
    <t>Max</t>
  </si>
  <si>
    <t>ROB Station END</t>
  </si>
  <si>
    <t>T avg (lb/ft^2)</t>
  </si>
  <si>
    <t>Threshold Criteria</t>
  </si>
  <si>
    <t>2-64 mm</t>
  </si>
  <si>
    <t>1-2 mm</t>
  </si>
  <si>
    <t>D10 (mm)</t>
  </si>
  <si>
    <t>Alluvial Channel Design - Transport Capacity</t>
  </si>
  <si>
    <t>ITEM %</t>
  </si>
  <si>
    <t>Total</t>
  </si>
  <si>
    <t>Coarse</t>
  </si>
  <si>
    <t>Bedrock  (%)</t>
  </si>
  <si>
    <r>
      <t>Evaluators:</t>
    </r>
    <r>
      <rPr>
        <sz val="10"/>
        <rFont val="Arial"/>
        <family val="2"/>
      </rPr>
      <t xml:space="preserve"> GTM</t>
    </r>
  </si>
  <si>
    <t>final upper value… -&gt; midpoint</t>
  </si>
  <si>
    <t>DYNAMIC EQUILIBRIUM</t>
  </si>
  <si>
    <t>Left Side</t>
  </si>
  <si>
    <t>Orig X Min</t>
  </si>
  <si>
    <t>Ltieout Sta</t>
  </si>
  <si>
    <t>Rtieout Elev</t>
  </si>
  <si>
    <t>Wbench_R</t>
  </si>
  <si>
    <t>y3rdStage_R</t>
  </si>
  <si>
    <t>n_line_data</t>
  </si>
  <si>
    <t>n elevation</t>
  </si>
  <si>
    <t>stage label station</t>
  </si>
  <si>
    <t>R Station</t>
  </si>
  <si>
    <t>Top Station</t>
  </si>
  <si>
    <t>(n)</t>
  </si>
  <si>
    <t>1st stage</t>
  </si>
  <si>
    <t>Q (cfs)</t>
  </si>
  <si>
    <t>Sp. Energy (ft)</t>
  </si>
  <si>
    <t>IB</t>
  </si>
  <si>
    <t>R (ft)</t>
  </si>
  <si>
    <t>FG</t>
  </si>
  <si>
    <t>MB</t>
  </si>
  <si>
    <t>cobble</t>
  </si>
  <si>
    <t>Right Inner Berm</t>
  </si>
  <si>
    <t>Leo, Wol, Mill 1964</t>
  </si>
  <si>
    <t>Description</t>
  </si>
  <si>
    <t>STG Value Line Labels</t>
  </si>
  <si>
    <t>18" Riprap</t>
  </si>
  <si>
    <t>VDOT Drainage Manual</t>
  </si>
  <si>
    <t>max</t>
  </si>
  <si>
    <t>Total XS</t>
  </si>
  <si>
    <t>-</t>
  </si>
  <si>
    <r>
      <t>d</t>
    </r>
    <r>
      <rPr>
        <b/>
        <vertAlign val="subscript"/>
        <sz val="12"/>
        <rFont val="Times New Roman"/>
        <family val="1"/>
      </rPr>
      <t>e</t>
    </r>
    <r>
      <rPr>
        <b/>
        <sz val="12"/>
        <rFont val="Times New Roman"/>
        <family val="1"/>
      </rPr>
      <t xml:space="preserve"> (ft)</t>
    </r>
  </si>
  <si>
    <t>Bankfull Water Surface Slope Required for Entrainment of Largest Particle in Bar Sample:</t>
  </si>
  <si>
    <t>SURFACE MATERIALS RATIO (SMR)</t>
  </si>
  <si>
    <r>
      <t>D50 Bed Material (D</t>
    </r>
    <r>
      <rPr>
        <vertAlign val="subscript"/>
        <sz val="12"/>
        <rFont val="Times New Roman"/>
        <family val="1"/>
      </rPr>
      <t>50</t>
    </r>
    <r>
      <rPr>
        <sz val="12"/>
        <rFont val="Times New Roman"/>
        <family val="1"/>
      </rPr>
      <t xml:space="preserve"> from riffle pebble count)</t>
    </r>
  </si>
  <si>
    <t>Bankfull Water Surface Slope Required for Entrainment of Largest Particle</t>
  </si>
  <si>
    <t xml:space="preserve">     0.06 = Shield's parameter typically in the range of 0.04 to 0.07</t>
  </si>
  <si>
    <t>slope (ft/ft)</t>
  </si>
  <si>
    <t>depth (ft)</t>
  </si>
  <si>
    <t>metric units</t>
  </si>
  <si>
    <t>diameter sediment</t>
  </si>
  <si>
    <t>gravitational acceleration</t>
  </si>
  <si>
    <r>
      <t>kg</t>
    </r>
    <r>
      <rPr>
        <vertAlign val="subscript"/>
        <sz val="10"/>
        <rFont val="Arial"/>
        <family val="2"/>
      </rPr>
      <t>f</t>
    </r>
    <r>
      <rPr>
        <sz val="10"/>
        <rFont val="Arial"/>
        <family val="2"/>
      </rPr>
      <t>/m</t>
    </r>
    <r>
      <rPr>
        <vertAlign val="superscript"/>
        <sz val="10"/>
        <rFont val="Arial"/>
        <family val="2"/>
      </rPr>
      <t>2</t>
    </r>
  </si>
  <si>
    <t>Rosgen Application of Andrews Equation (competency)</t>
  </si>
  <si>
    <t>2.5 * Channel W</t>
  </si>
  <si>
    <t>Typically 0.045 to 0.06.  0.045 is Miller 1977</t>
  </si>
  <si>
    <t>W3sbkR</t>
  </si>
  <si>
    <t>R7</t>
  </si>
  <si>
    <t>D3stg-(Y3rdstageR)</t>
  </si>
  <si>
    <t>CL</t>
  </si>
  <si>
    <t>-(Mbanks)*(Ybanks)</t>
  </si>
  <si>
    <t>S2stg-bench-L</t>
  </si>
  <si>
    <t>D2stg-(YbenchL)</t>
  </si>
  <si>
    <t>Wbkf/Dmean</t>
  </si>
  <si>
    <t>Rshift</t>
  </si>
  <si>
    <t>Y2</t>
  </si>
  <si>
    <t>Mbanks * Y2</t>
  </si>
  <si>
    <t>Sbed-transverse</t>
  </si>
  <si>
    <t>pR9_Formula</t>
  </si>
  <si>
    <t>pL2_Formula</t>
  </si>
  <si>
    <t>3 Stage</t>
  </si>
  <si>
    <t>YibMeanDepth</t>
  </si>
  <si>
    <t>Left_BKF_Bottom_Slope_Multiplier</t>
  </si>
  <si>
    <t>LOB Flow distribution calcs</t>
  </si>
  <si>
    <t>V max (ft/s)</t>
  </si>
  <si>
    <t>Material</t>
  </si>
  <si>
    <t>Fishenlich 2001</t>
  </si>
  <si>
    <t>Synthetic Grain Size Distribution</t>
  </si>
  <si>
    <t>Design Hydraulics</t>
  </si>
  <si>
    <t>Total Transport Rate</t>
  </si>
  <si>
    <t>Small</t>
  </si>
  <si>
    <t>Linear Wavelength</t>
  </si>
  <si>
    <t>Figure 8-8 -NRCS handbook</t>
  </si>
  <si>
    <t>Hydraulics Summary</t>
  </si>
  <si>
    <t>D50 Bed</t>
  </si>
  <si>
    <t>stage station</t>
  </si>
  <si>
    <t>stage points label</t>
  </si>
  <si>
    <t>R Elevation</t>
  </si>
  <si>
    <t>mystage3properties</t>
  </si>
  <si>
    <t>Left Flow bound</t>
  </si>
  <si>
    <t>Channel Rmax</t>
  </si>
  <si>
    <t>WATER EDGE</t>
  </si>
  <si>
    <t>Line</t>
  </si>
  <si>
    <t>VCG</t>
  </si>
  <si>
    <t>boulder</t>
  </si>
  <si>
    <t>sand</t>
  </si>
  <si>
    <t>Thalweg</t>
  </si>
  <si>
    <t>6" Gravel</t>
  </si>
  <si>
    <t>CROSS-SECTION DATA</t>
  </si>
  <si>
    <t>max depth at transition</t>
  </si>
  <si>
    <t>Sr (ft/ft)</t>
  </si>
  <si>
    <t>Hydraulic Radius (ft)</t>
  </si>
  <si>
    <t>Shields Parameter</t>
  </si>
  <si>
    <t>particle size ref</t>
  </si>
  <si>
    <t>Shields parameter</t>
  </si>
  <si>
    <t>Fischenlich 2001</t>
  </si>
  <si>
    <r>
      <t>d</t>
    </r>
    <r>
      <rPr>
        <vertAlign val="subscript"/>
        <sz val="10"/>
        <rFont val="Arial"/>
        <family val="2"/>
      </rPr>
      <t>s</t>
    </r>
  </si>
  <si>
    <r>
      <t>lb</t>
    </r>
    <r>
      <rPr>
        <sz val="10"/>
        <rFont val="Arial"/>
        <family val="2"/>
      </rPr>
      <t>/ft</t>
    </r>
    <r>
      <rPr>
        <vertAlign val="superscript"/>
        <sz val="10"/>
        <rFont val="Arial"/>
        <family val="2"/>
      </rPr>
      <t>2</t>
    </r>
  </si>
  <si>
    <t>Tmax Best Fit</t>
  </si>
  <si>
    <t>3rd Stage</t>
  </si>
  <si>
    <t>0.25*(0.5Wbed)</t>
  </si>
  <si>
    <t>Baseflow</t>
  </si>
  <si>
    <t>-.001</t>
  </si>
  <si>
    <t>D3stg</t>
  </si>
  <si>
    <t>X</t>
  </si>
  <si>
    <t>(Mbanks-2stg)*D2sbkR</t>
  </si>
  <si>
    <t>.001</t>
  </si>
  <si>
    <t>Input Variables</t>
  </si>
  <si>
    <t>pL3_Formula</t>
  </si>
  <si>
    <t>Shift, if any + x datum</t>
  </si>
  <si>
    <t>WS slope</t>
  </si>
  <si>
    <t>Thalweg Station</t>
  </si>
  <si>
    <t>Step X</t>
  </si>
  <si>
    <t>V avg FPL &lt; 2.5 ft/s for non-erosion</t>
  </si>
  <si>
    <t>ROB vmax</t>
  </si>
  <si>
    <t>d50 (in)</t>
  </si>
  <si>
    <t>Reference Substrate Sizes</t>
  </si>
  <si>
    <t xml:space="preserve">Synthetic Pebble Count Data  </t>
  </si>
  <si>
    <t>Layout of restoration design process and it steps you through</t>
  </si>
  <si>
    <t>FS</t>
  </si>
  <si>
    <t>NRCS</t>
  </si>
  <si>
    <t>T max* (lb/ft^2)</t>
  </si>
  <si>
    <t>Original XS</t>
  </si>
  <si>
    <t>Blended XS - Shifted</t>
  </si>
  <si>
    <t>Org Y End</t>
  </si>
  <si>
    <t>Mleft</t>
  </si>
  <si>
    <t>Design XS X Max</t>
  </si>
  <si>
    <t>Rtieout Sta</t>
  </si>
  <si>
    <t>Ybench_L</t>
  </si>
  <si>
    <t>Mtieout_3stg_R</t>
  </si>
  <si>
    <t>D50 Station</t>
  </si>
  <si>
    <t>Right flow bound</t>
  </si>
  <si>
    <t>Depth (ft)</t>
  </si>
  <si>
    <t>*Note: Outside of XS</t>
  </si>
  <si>
    <t>silts</t>
  </si>
  <si>
    <t>Fishenich 2001</t>
  </si>
  <si>
    <t>USFWS 2008</t>
  </si>
  <si>
    <t>R-BKF</t>
  </si>
  <si>
    <t>Rc/W</t>
  </si>
  <si>
    <t>K components</t>
  </si>
  <si>
    <t>flow elevation (ft)</t>
  </si>
  <si>
    <t>ENERGY CALCS</t>
  </si>
  <si>
    <t>EDGE OF WATER CALCULATION</t>
  </si>
  <si>
    <t>Shields</t>
  </si>
  <si>
    <r>
      <t>Bar Sample D</t>
    </r>
    <r>
      <rPr>
        <vertAlign val="subscript"/>
        <sz val="12"/>
        <rFont val="Times New Roman"/>
        <family val="1"/>
      </rPr>
      <t>50</t>
    </r>
    <r>
      <rPr>
        <sz val="12"/>
        <rFont val="Times New Roman"/>
        <family val="1"/>
      </rPr>
      <t xml:space="preserve"> Or Subpavement D</t>
    </r>
    <r>
      <rPr>
        <vertAlign val="subscript"/>
        <sz val="12"/>
        <rFont val="Times New Roman"/>
        <family val="1"/>
      </rPr>
      <t>50</t>
    </r>
    <r>
      <rPr>
        <sz val="12"/>
        <rFont val="Times New Roman"/>
        <family val="1"/>
      </rPr>
      <t xml:space="preserve"> (Use Representative)</t>
    </r>
  </si>
  <si>
    <r>
      <t xml:space="preserve">    </t>
    </r>
    <r>
      <rPr>
        <sz val="11"/>
        <rFont val="Symbol"/>
        <family val="1"/>
        <charset val="2"/>
      </rPr>
      <t xml:space="preserve"> t</t>
    </r>
    <r>
      <rPr>
        <sz val="11"/>
        <rFont val="Arial"/>
        <family val="2"/>
      </rPr>
      <t>=shear stress=(</t>
    </r>
    <r>
      <rPr>
        <sz val="11"/>
        <rFont val="Symbol"/>
        <family val="1"/>
        <charset val="2"/>
      </rPr>
      <t>r</t>
    </r>
    <r>
      <rPr>
        <sz val="11"/>
        <rFont val="Arial"/>
        <family val="2"/>
      </rPr>
      <t>g)(depth)(slope) (lb/ft</t>
    </r>
    <r>
      <rPr>
        <vertAlign val="superscript"/>
        <sz val="11"/>
        <rFont val="Arial"/>
        <family val="2"/>
      </rPr>
      <t>2</t>
    </r>
    <r>
      <rPr>
        <sz val="11"/>
        <rFont val="Arial"/>
        <family val="2"/>
      </rPr>
      <t>)  (N/m</t>
    </r>
    <r>
      <rPr>
        <vertAlign val="superscript"/>
        <sz val="11"/>
        <rFont val="Arial"/>
        <family val="2"/>
      </rPr>
      <t>2</t>
    </r>
    <r>
      <rPr>
        <sz val="11"/>
        <rFont val="Arial"/>
        <family val="2"/>
      </rPr>
      <t>)</t>
    </r>
  </si>
  <si>
    <t>New Slope From Reference Channel</t>
  </si>
  <si>
    <t>Rosgen modified Andrews Equation and set application limits</t>
  </si>
  <si>
    <t>Flume</t>
  </si>
  <si>
    <t>d</t>
  </si>
  <si>
    <t>m/m</t>
  </si>
  <si>
    <r>
      <t>kg/m</t>
    </r>
    <r>
      <rPr>
        <vertAlign val="superscript"/>
        <sz val="10"/>
        <rFont val="Arial"/>
        <family val="2"/>
      </rPr>
      <t>3</t>
    </r>
  </si>
  <si>
    <r>
      <t>slugs/ft</t>
    </r>
    <r>
      <rPr>
        <vertAlign val="superscript"/>
        <sz val="10"/>
        <rFont val="Arial"/>
        <family val="2"/>
      </rPr>
      <t>3</t>
    </r>
  </si>
  <si>
    <r>
      <t>r</t>
    </r>
    <r>
      <rPr>
        <vertAlign val="subscript"/>
        <sz val="10"/>
        <rFont val="Arial"/>
        <family val="2"/>
      </rPr>
      <t>s</t>
    </r>
  </si>
  <si>
    <t>dimensionless</t>
  </si>
  <si>
    <t>shear stress</t>
  </si>
  <si>
    <t>Kb Best Fit</t>
  </si>
  <si>
    <t>LWM D50 - Upper (in)</t>
  </si>
  <si>
    <t>CSU &amp; USBR 2012</t>
  </si>
  <si>
    <t>W2sbkR</t>
  </si>
  <si>
    <t>End of bankfull/design bench</t>
  </si>
  <si>
    <t>Mbanks-3stg</t>
  </si>
  <si>
    <t>-Rshift</t>
  </si>
  <si>
    <t>Centerline</t>
  </si>
  <si>
    <t>L2</t>
  </si>
  <si>
    <t>W3rdstageL</t>
  </si>
  <si>
    <t>YbenchR/WbenchR</t>
  </si>
  <si>
    <t>2*(W1*Y2)+(W1*Y1)+(W2*Y2)</t>
  </si>
  <si>
    <t>Wbkf-(2*(Mbanks*Ybanks))</t>
  </si>
  <si>
    <t>pL4_Formula</t>
  </si>
  <si>
    <t>Ybed-above-ib+Dmaxib</t>
  </si>
  <si>
    <t>Numbers for Design page (don't delete)</t>
  </si>
  <si>
    <t>Minnesota NRCS (1989)</t>
  </si>
  <si>
    <t>D50 (in)</t>
  </si>
  <si>
    <t>Approx. FOS</t>
  </si>
  <si>
    <t>Graph D50 by Shear</t>
  </si>
  <si>
    <t>Range (mm)</t>
  </si>
  <si>
    <t>D65 (mm)</t>
  </si>
  <si>
    <t>Transported Grain Size Distribution</t>
  </si>
  <si>
    <t>D0 (mm)</t>
  </si>
  <si>
    <t>Large - Vry Large</t>
  </si>
  <si>
    <t>Spreadsheet tool application</t>
  </si>
  <si>
    <t>GEOMORPHOLOGY - NCD (REFERENCE REACH APPROACH)</t>
  </si>
  <si>
    <t>VCS</t>
  </si>
  <si>
    <t>Design XS Num Points</t>
  </si>
  <si>
    <t>Right side Start</t>
  </si>
  <si>
    <t>Name</t>
  </si>
  <si>
    <t>stage_line_data</t>
  </si>
  <si>
    <t>n value labels</t>
  </si>
  <si>
    <t>n station</t>
  </si>
  <si>
    <t>stage elevation</t>
  </si>
  <si>
    <t>velocity</t>
  </si>
  <si>
    <t>myadvancedxsproperties</t>
  </si>
  <si>
    <t>FLOW AREA</t>
  </si>
  <si>
    <t>Wetted Perimiter</t>
  </si>
  <si>
    <t>label elev</t>
  </si>
  <si>
    <t>Wtop (ft)</t>
  </si>
  <si>
    <t>T*</t>
  </si>
  <si>
    <t>Next change in n value</t>
  </si>
  <si>
    <t>N Value Line Labels</t>
  </si>
  <si>
    <t>N Value Line (x)</t>
  </si>
  <si>
    <t>Right Bankfull</t>
  </si>
  <si>
    <t>Left 2nd Stage</t>
  </si>
  <si>
    <t>Defined?</t>
  </si>
  <si>
    <t>Radius of Curve</t>
  </si>
  <si>
    <t>Tc lb/ft^2</t>
  </si>
  <si>
    <t>SEDIMENT COMPETENCY CALCS</t>
  </si>
  <si>
    <t>Value</t>
  </si>
  <si>
    <r>
      <t>t</t>
    </r>
    <r>
      <rPr>
        <b/>
        <vertAlign val="subscript"/>
        <sz val="12"/>
        <rFont val="Times New Roman"/>
        <family val="1"/>
      </rPr>
      <t>ci</t>
    </r>
  </si>
  <si>
    <t>Ratio of Existing Slope to Required Slope</t>
  </si>
  <si>
    <r>
      <t>Largest Particle in Bar Sample D</t>
    </r>
    <r>
      <rPr>
        <vertAlign val="subscript"/>
        <sz val="10"/>
        <rFont val="Times New Roman"/>
        <family val="1"/>
      </rPr>
      <t>i</t>
    </r>
    <r>
      <rPr>
        <sz val="10"/>
        <rFont val="Times New Roman"/>
        <family val="1"/>
      </rPr>
      <t xml:space="preserve"> (mm)</t>
    </r>
  </si>
  <si>
    <t>SMR Ratio</t>
  </si>
  <si>
    <t>Use SMR, if 1.30 &lt; SMR &lt; 3</t>
  </si>
  <si>
    <t>In gravel-bed streams at bankfull flow the particle at the threshold of</t>
  </si>
  <si>
    <t>slope new</t>
  </si>
  <si>
    <t>*There are many more equations and variations of Shields - See Buffington Paper for Summary</t>
  </si>
  <si>
    <t>Riffle</t>
  </si>
  <si>
    <t>Mtieout-L</t>
  </si>
  <si>
    <t>L6</t>
  </si>
  <si>
    <t>YbenchL/WbenchL</t>
  </si>
  <si>
    <t>D2s-bk-L</t>
  </si>
  <si>
    <t>W2s-bk-R</t>
  </si>
  <si>
    <t>D2stg</t>
  </si>
  <si>
    <t>Calced Variables</t>
  </si>
  <si>
    <t>pCL_Formula</t>
  </si>
  <si>
    <t>pL5_Formula</t>
  </si>
  <si>
    <t>2*(0.5*Wib*Dmaxib)</t>
  </si>
  <si>
    <t>.25*Wib</t>
  </si>
  <si>
    <t>-0.25Wib</t>
  </si>
  <si>
    <t>Sib-trns, PtBrSlp</t>
  </si>
  <si>
    <t>DMAX-BKF</t>
  </si>
  <si>
    <t>Thalweg Shift</t>
  </si>
  <si>
    <t>WSE</t>
  </si>
  <si>
    <t>ROB Start</t>
  </si>
  <si>
    <t>T max (lb/ft^2)</t>
  </si>
  <si>
    <t>FOS</t>
  </si>
  <si>
    <t>Q ft^3/s</t>
  </si>
  <si>
    <t>D50 (ft)</t>
  </si>
  <si>
    <t>Total Particles</t>
  </si>
  <si>
    <t>Type 1</t>
  </si>
  <si>
    <t>Stable Channel Design Calculator</t>
  </si>
  <si>
    <t>INSERT REGIME OR OTHER METHODS FOR RESTORATION</t>
  </si>
  <si>
    <t>Medium Silt</t>
  </si>
  <si>
    <t>Mtieout_L</t>
  </si>
  <si>
    <t>Mbanks_3stg</t>
  </si>
  <si>
    <t>stage value line</t>
  </si>
  <si>
    <t>limit_data</t>
  </si>
  <si>
    <t>hydraulics_data</t>
  </si>
  <si>
    <t>Left Limit</t>
  </si>
  <si>
    <t>Station</t>
  </si>
  <si>
    <t>shear value</t>
  </si>
  <si>
    <t>stage - n offset</t>
  </si>
  <si>
    <t>right x limit</t>
  </si>
  <si>
    <t>flow depth</t>
  </si>
  <si>
    <t>x</t>
  </si>
  <si>
    <t>Area (ft^2)</t>
  </si>
  <si>
    <t>LB</t>
  </si>
  <si>
    <t>fine</t>
  </si>
  <si>
    <t>very fine</t>
  </si>
  <si>
    <t>Shields 1936</t>
  </si>
  <si>
    <t>stg value</t>
  </si>
  <si>
    <t>NRCS Handbook</t>
  </si>
  <si>
    <t>SUMMED WITHIN COMPONENTS</t>
  </si>
  <si>
    <t>Critical Dimensionless Shear Stress</t>
  </si>
  <si>
    <t xml:space="preserve"> 3 &lt; PSR &lt; 7         OR           1.30 &lt; SMR &lt; 3</t>
  </si>
  <si>
    <t>Wide Channel (Flow Depth)</t>
  </si>
  <si>
    <t>Range of Top Width (ft)</t>
  </si>
  <si>
    <t>Solve for:</t>
  </si>
  <si>
    <t>(ft)</t>
  </si>
  <si>
    <t>depth new</t>
  </si>
  <si>
    <t>USACE, Fishenich 2001</t>
  </si>
  <si>
    <t>Notes</t>
  </si>
  <si>
    <t>Field</t>
  </si>
  <si>
    <t>t</t>
  </si>
  <si>
    <r>
      <t>N/m</t>
    </r>
    <r>
      <rPr>
        <vertAlign val="superscript"/>
        <sz val="10"/>
        <rFont val="Arial"/>
        <family val="2"/>
      </rPr>
      <t>2</t>
    </r>
  </si>
  <si>
    <t>3.2* Channel W</t>
  </si>
  <si>
    <t>AND COMPETENCE SHEET TO THE PROPOSED SCENARIO…?</t>
  </si>
  <si>
    <t>R8</t>
  </si>
  <si>
    <t>ΔYbench-R</t>
  </si>
  <si>
    <t>R4</t>
  </si>
  <si>
    <t>W3rdstage-R</t>
  </si>
  <si>
    <t>(Mbanks-3stg)*D3sbkL</t>
  </si>
  <si>
    <t>W3s-bk-L</t>
  </si>
  <si>
    <t>Mbanks-2stg</t>
  </si>
  <si>
    <t>W1</t>
  </si>
  <si>
    <t>ΔYbed</t>
  </si>
  <si>
    <t>pL6_Formula</t>
  </si>
  <si>
    <t>-0.5Wbkf-PrevW</t>
  </si>
  <si>
    <t>Roundness</t>
  </si>
  <si>
    <t>Avg D (in)</t>
  </si>
  <si>
    <t>VDOT Riprap (HEC11)</t>
  </si>
  <si>
    <t>Slice Y (flow depth)</t>
  </si>
  <si>
    <t>Slice Y (ground surface)</t>
  </si>
  <si>
    <t>Design Bed Mix</t>
  </si>
  <si>
    <t>Max Vel</t>
  </si>
  <si>
    <t>64-256 mm</t>
  </si>
  <si>
    <t>Plotted d50 by shear</t>
  </si>
  <si>
    <t>Design Channel Hydraulics and Bed Composition</t>
  </si>
  <si>
    <t>Silt/Clay (%)</t>
  </si>
  <si>
    <t>Wfpa</t>
  </si>
  <si>
    <t>GEOMORPHOLOGY</t>
  </si>
  <si>
    <t>METHODOLOGY FOR CALCULATING SHEAR STRESS IN A MEANDERING CHANNEL</t>
  </si>
  <si>
    <t>Design XS</t>
  </si>
  <si>
    <t>Design CL X Min</t>
  </si>
  <si>
    <t>Extreme Ltie Y</t>
  </si>
  <si>
    <t>Extreme Rtie Y</t>
  </si>
  <si>
    <t>Ltieout Elev</t>
  </si>
  <si>
    <t>D100 Bar</t>
  </si>
  <si>
    <t>mbanks</t>
  </si>
  <si>
    <t>Mbanks_2stg</t>
  </si>
  <si>
    <t>W3rdstage_R</t>
  </si>
  <si>
    <t>Mtieout_2stg_R</t>
  </si>
  <si>
    <t>stage_label_data</t>
  </si>
  <si>
    <t>stage points elevation</t>
  </si>
  <si>
    <t>shear station</t>
  </si>
  <si>
    <t>mystage1properties</t>
  </si>
  <si>
    <t>return first value from list</t>
  </si>
  <si>
    <t>Left Bound</t>
  </si>
  <si>
    <t>Flow depth</t>
  </si>
  <si>
    <t>Slope (ft/ft)</t>
  </si>
  <si>
    <t>Froude</t>
  </si>
  <si>
    <t>T (lb/ft^2)</t>
  </si>
  <si>
    <t>Depth</t>
  </si>
  <si>
    <t>Slope</t>
  </si>
  <si>
    <t>VFG</t>
  </si>
  <si>
    <t>MG</t>
  </si>
  <si>
    <t>D (in)</t>
  </si>
  <si>
    <t>Di lower</t>
  </si>
  <si>
    <r>
      <t>S</t>
    </r>
    <r>
      <rPr>
        <b/>
        <vertAlign val="subscript"/>
        <sz val="12"/>
        <rFont val="Times New Roman"/>
        <family val="1"/>
      </rPr>
      <t>e</t>
    </r>
    <r>
      <rPr>
        <b/>
        <sz val="12"/>
        <rFont val="Times New Roman"/>
        <family val="1"/>
      </rPr>
      <t xml:space="preserve"> (ft/ft)</t>
    </r>
  </si>
  <si>
    <r>
      <t>S</t>
    </r>
    <r>
      <rPr>
        <b/>
        <vertAlign val="subscript"/>
        <sz val="10"/>
        <rFont val="Times New Roman"/>
        <family val="1"/>
      </rPr>
      <t>r</t>
    </r>
    <r>
      <rPr>
        <b/>
        <sz val="10"/>
        <rFont val="Times New Roman"/>
        <family val="1"/>
      </rPr>
      <t xml:space="preserve"> = (</t>
    </r>
    <r>
      <rPr>
        <b/>
        <sz val="10"/>
        <rFont val="GreekC"/>
      </rPr>
      <t>t</t>
    </r>
    <r>
      <rPr>
        <b/>
        <vertAlign val="subscript"/>
        <sz val="10"/>
        <rFont val="Times New Roman"/>
        <family val="1"/>
      </rPr>
      <t>ci</t>
    </r>
    <r>
      <rPr>
        <b/>
        <sz val="10"/>
        <rFont val="Times New Roman"/>
        <family val="1"/>
      </rPr>
      <t>*1.65*D</t>
    </r>
    <r>
      <rPr>
        <b/>
        <vertAlign val="subscript"/>
        <sz val="10"/>
        <rFont val="Times New Roman"/>
        <family val="1"/>
      </rPr>
      <t>i</t>
    </r>
    <r>
      <rPr>
        <b/>
        <sz val="10"/>
        <rFont val="Times New Roman"/>
        <family val="1"/>
      </rPr>
      <t>)/d</t>
    </r>
    <r>
      <rPr>
        <b/>
        <vertAlign val="subscript"/>
        <sz val="10"/>
        <rFont val="Times New Roman"/>
        <family val="1"/>
      </rPr>
      <t>e</t>
    </r>
  </si>
  <si>
    <t>Largest Particle from Bar Sample or Subpavement Sample</t>
  </si>
  <si>
    <t>Sediment Competency Input Variables and Equation Selection</t>
  </si>
  <si>
    <r>
      <t xml:space="preserve">     </t>
    </r>
    <r>
      <rPr>
        <sz val="11"/>
        <rFont val="Symbol"/>
        <family val="1"/>
        <charset val="2"/>
      </rPr>
      <t>r</t>
    </r>
    <r>
      <rPr>
        <sz val="11"/>
        <rFont val="Arial"/>
        <family val="2"/>
      </rPr>
      <t>=density of water (1.94 slugs/ft</t>
    </r>
    <r>
      <rPr>
        <vertAlign val="superscript"/>
        <sz val="11"/>
        <rFont val="Arial"/>
        <family val="2"/>
      </rPr>
      <t>3</t>
    </r>
    <r>
      <rPr>
        <sz val="11"/>
        <rFont val="Arial"/>
        <family val="2"/>
      </rPr>
      <t>) (1000 kg/m</t>
    </r>
    <r>
      <rPr>
        <vertAlign val="superscript"/>
        <sz val="11"/>
        <rFont val="Arial"/>
        <family val="2"/>
      </rPr>
      <t>3</t>
    </r>
    <r>
      <rPr>
        <sz val="11"/>
        <rFont val="Arial"/>
        <family val="2"/>
      </rPr>
      <t>)</t>
    </r>
  </si>
  <si>
    <t>Set the Basis for Shear Stress Calculations : Flow Depth (Wide Channel) or Hydraulic Radius</t>
  </si>
  <si>
    <r>
      <t>m/sec</t>
    </r>
    <r>
      <rPr>
        <vertAlign val="superscript"/>
        <sz val="10"/>
        <rFont val="Arial"/>
        <family val="2"/>
      </rPr>
      <t>2</t>
    </r>
  </si>
  <si>
    <t>Y</t>
  </si>
  <si>
    <t>D2stg-Ybench-R</t>
  </si>
  <si>
    <t>S3stg-bench-R</t>
  </si>
  <si>
    <t>Right Bankfull/Design</t>
  </si>
  <si>
    <t>Y3rdstageL/W3rdstageL</t>
  </si>
  <si>
    <t>0.5*Ybed</t>
  </si>
  <si>
    <t>D3stg-Ybench-L</t>
  </si>
  <si>
    <t>WbenchR</t>
  </si>
  <si>
    <t>Abkf</t>
  </si>
  <si>
    <t>Sib (%)</t>
  </si>
  <si>
    <t>-0.25*(0.5Wbed+CL)</t>
  </si>
  <si>
    <t>0.5 * Wbed</t>
  </si>
  <si>
    <t>Right Top Innerberm (Point Bar)</t>
  </si>
  <si>
    <t>pL7_Formula</t>
  </si>
  <si>
    <t>Variables Summary</t>
  </si>
  <si>
    <t>Dmax-MbanksH-PrevH</t>
  </si>
  <si>
    <t>ΔYbed-above-ib</t>
  </si>
  <si>
    <t>4-6, 6-7 use caution, 7&gt;Bad</t>
  </si>
  <si>
    <t>Flow Conditions</t>
  </si>
  <si>
    <t>Channel Start check</t>
  </si>
  <si>
    <t>Slice X coordinate</t>
  </si>
  <si>
    <t>V avg (ft/s)</t>
  </si>
  <si>
    <t>Channel Location</t>
  </si>
  <si>
    <t>D50 Moved by Max Velocity</t>
  </si>
  <si>
    <t>D35 (mm)</t>
  </si>
  <si>
    <t>Sand (%)</t>
  </si>
  <si>
    <t>BOULDER</t>
  </si>
  <si>
    <t>Rationale</t>
  </si>
  <si>
    <t>Silt loam</t>
  </si>
  <si>
    <t>Coarse Silt</t>
  </si>
  <si>
    <t>Davg (in)</t>
  </si>
  <si>
    <t>Fishenlich Raw Values</t>
  </si>
  <si>
    <t>End of Design ID</t>
  </si>
  <si>
    <t>Particle Mobilized by Max Velocity</t>
  </si>
  <si>
    <t>Maximum Shear Stress (lb/ft^2)</t>
  </si>
  <si>
    <t>Display Name</t>
  </si>
  <si>
    <t>ybed</t>
  </si>
  <si>
    <t>n value line</t>
  </si>
  <si>
    <t>stage label elevation</t>
  </si>
  <si>
    <t>stage points station</t>
  </si>
  <si>
    <t>Andrews 1983</t>
  </si>
  <si>
    <t>No</t>
  </si>
  <si>
    <t>(identify stage)</t>
  </si>
  <si>
    <t>wse_data</t>
  </si>
  <si>
    <t>Bottom Elevation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</si>
</sst>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"/>
    <numFmt numFmtId="166" formatCode=".00"/>
    <numFmt numFmtId="167" formatCode=".0"/>
    <numFmt numFmtId="168" formatCode="0.0000"/>
    <numFmt numFmtId="169" formatCode="0.00000"/>
  </numFmts>
  <fonts count="52">
    <font>
      <sz val="10"/>
      <name val="Arial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name val="Times New Roman"/>
      <family val="1"/>
    </font>
    <font>
      <b/>
      <sz val="12"/>
      <name val="Times New Roman"/>
      <family val="1"/>
    </font>
    <font>
      <sz val="9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8"/>
      <name val="Times New Roman"/>
      <family val="1"/>
    </font>
    <font>
      <b/>
      <u/>
      <sz val="18"/>
      <color theme="1"/>
      <name val="Calibri"/>
      <family val="2"/>
      <scheme val="minor"/>
    </font>
    <font>
      <b/>
      <sz val="10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b/>
      <sz val="16"/>
      <name val="Arial"/>
      <family val="2"/>
    </font>
    <font>
      <b/>
      <sz val="12"/>
      <name val="GreekC"/>
    </font>
    <font>
      <sz val="11"/>
      <name val="Calibri"/>
      <family val="2"/>
      <scheme val="minor"/>
    </font>
    <font>
      <b/>
      <sz val="11"/>
      <color theme="1"/>
      <name val="Arial"/>
      <family val="2"/>
    </font>
    <font>
      <i/>
      <sz val="10"/>
      <name val="Arial"/>
      <family val="2"/>
    </font>
    <font>
      <b/>
      <sz val="9"/>
      <name val="Arial"/>
      <family val="2"/>
    </font>
    <font>
      <sz val="10"/>
      <color rgb="FF242729"/>
      <name val="Consolas"/>
      <family val="3"/>
    </font>
    <font>
      <b/>
      <u/>
      <sz val="11"/>
      <color theme="1"/>
      <name val="Calibri"/>
      <family val="2"/>
      <scheme val="minor"/>
    </font>
    <font>
      <sz val="10"/>
      <color indexed="23"/>
      <name val="Arial"/>
      <family val="2"/>
    </font>
    <font>
      <sz val="10"/>
      <name val="Symbol"/>
      <family val="1"/>
      <charset val="2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10"/>
      <color rgb="FFFF0000"/>
      <name val="Arial"/>
      <family val="2"/>
    </font>
    <font>
      <b/>
      <vertAlign val="subscript"/>
      <sz val="12"/>
      <name val="Times New Roman"/>
      <family val="1"/>
    </font>
    <font>
      <vertAlign val="superscript"/>
      <sz val="10"/>
      <name val="Arial"/>
      <family val="2"/>
    </font>
    <font>
      <vertAlign val="superscript"/>
      <sz val="11"/>
      <name val="Arial"/>
      <family val="2"/>
    </font>
    <font>
      <b/>
      <vertAlign val="subscript"/>
      <sz val="10"/>
      <name val="Times New Roman"/>
      <family val="1"/>
    </font>
    <font>
      <sz val="11"/>
      <name val="Symbol"/>
      <family val="1"/>
      <charset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  <font>
      <vertAlign val="subscript"/>
      <sz val="11"/>
      <name val="Arial"/>
      <family val="2"/>
    </font>
    <font>
      <sz val="10"/>
      <name val="GreekC"/>
    </font>
    <font>
      <vertAlign val="subscript"/>
      <sz val="12"/>
      <name val="Times New Roman"/>
      <family val="1"/>
    </font>
    <font>
      <b/>
      <vertAlign val="superscript"/>
      <sz val="10"/>
      <name val="Arial"/>
      <family val="2"/>
    </font>
    <font>
      <b/>
      <sz val="10"/>
      <name val="GreekC"/>
    </font>
    <font>
      <vertAlign val="subscript"/>
      <sz val="10"/>
      <name val="Times New Roman"/>
      <family val="1"/>
    </font>
    <font>
      <vertAlign val="superscript"/>
      <sz val="10"/>
      <name val="Times New Roman"/>
      <family val="1"/>
    </font>
    <font>
      <i/>
      <vertAlign val="subscript"/>
      <sz val="10"/>
      <name val="Arial"/>
      <family val="2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EB9C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58800012207406E-2"/>
        <bgColor indexed="64"/>
      </patternFill>
    </fill>
    <fill>
      <patternFill patternType="solid">
        <fgColor theme="0" tint="-0.24991607409894101"/>
        <bgColor indexed="64"/>
      </patternFill>
    </fill>
    <fill>
      <patternFill patternType="solid">
        <fgColor theme="0" tint="-0.3499252296517838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149876400036622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theme="0" tint="-0.14999847407452621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23"/>
      </right>
      <top/>
      <bottom style="thin">
        <color indexed="64"/>
      </bottom>
      <diagonal/>
    </border>
    <border>
      <left style="thin">
        <color indexed="64"/>
      </left>
      <right style="thin">
        <color indexed="23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3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23"/>
      </right>
      <top style="thin">
        <color indexed="64"/>
      </top>
      <bottom style="thin">
        <color indexed="23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23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2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64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9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5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1" fillId="0" borderId="0"/>
    <xf numFmtId="0" fontId="2" fillId="0" borderId="0"/>
    <xf numFmtId="0" fontId="2" fillId="0" borderId="0"/>
    <xf numFmtId="9" fontId="51" fillId="0" borderId="0" applyFont="0" applyFill="0" applyBorder="0" applyAlignment="0" applyProtection="0"/>
  </cellStyleXfs>
  <cellXfs count="553">
    <xf numFmtId="0" fontId="0" fillId="0" borderId="0" xfId="0"/>
    <xf numFmtId="0" fontId="2" fillId="0" borderId="0" xfId="2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1" xfId="2" applyBorder="1" applyAlignment="1">
      <alignment horizontal="center"/>
    </xf>
    <xf numFmtId="2" fontId="2" fillId="0" borderId="1" xfId="2" applyNumberFormat="1" applyBorder="1" applyAlignment="1">
      <alignment horizontal="center"/>
    </xf>
    <xf numFmtId="0" fontId="51" fillId="0" borderId="1" xfId="3" applyBorder="1"/>
    <xf numFmtId="2" fontId="2" fillId="3" borderId="1" xfId="2" applyNumberFormat="1" applyFill="1" applyBorder="1" applyAlignment="1">
      <alignment horizontal="center"/>
    </xf>
    <xf numFmtId="164" fontId="2" fillId="0" borderId="0" xfId="2" applyNumberFormat="1"/>
    <xf numFmtId="0" fontId="2" fillId="0" borderId="5" xfId="2" applyBorder="1" applyAlignment="1">
      <alignment horizontal="center"/>
    </xf>
    <xf numFmtId="0" fontId="2" fillId="0" borderId="0" xfId="2" applyAlignment="1">
      <alignment horizontal="center"/>
    </xf>
    <xf numFmtId="2" fontId="2" fillId="0" borderId="0" xfId="2" applyNumberFormat="1" applyAlignment="1">
      <alignment horizontal="center"/>
    </xf>
    <xf numFmtId="0" fontId="0" fillId="0" borderId="6" xfId="0" applyBorder="1"/>
    <xf numFmtId="2" fontId="0" fillId="0" borderId="1" xfId="0" applyNumberFormat="1" applyBorder="1" applyAlignment="1">
      <alignment horizontal="center"/>
    </xf>
    <xf numFmtId="0" fontId="0" fillId="0" borderId="7" xfId="0" applyBorder="1"/>
    <xf numFmtId="169" fontId="51" fillId="0" borderId="1" xfId="3" applyNumberFormat="1" applyBorder="1"/>
    <xf numFmtId="0" fontId="3" fillId="4" borderId="1" xfId="2" applyFont="1" applyFill="1" applyBorder="1" applyAlignment="1">
      <alignment horizontal="center"/>
    </xf>
    <xf numFmtId="0" fontId="51" fillId="0" borderId="0" xfId="3"/>
    <xf numFmtId="2" fontId="2" fillId="0" borderId="0" xfId="2" applyNumberFormat="1"/>
    <xf numFmtId="0" fontId="0" fillId="5" borderId="0" xfId="0" applyFill="1"/>
    <xf numFmtId="0" fontId="3" fillId="0" borderId="0" xfId="2" applyFont="1" applyAlignment="1">
      <alignment horizontal="center"/>
    </xf>
    <xf numFmtId="0" fontId="0" fillId="0" borderId="1" xfId="0" applyBorder="1"/>
    <xf numFmtId="0" fontId="51" fillId="0" borderId="0" xfId="10"/>
    <xf numFmtId="0" fontId="0" fillId="6" borderId="0" xfId="0" applyFill="1" applyAlignment="1">
      <alignment horizontal="center"/>
    </xf>
    <xf numFmtId="0" fontId="0" fillId="6" borderId="0" xfId="0" applyFill="1"/>
    <xf numFmtId="1" fontId="2" fillId="3" borderId="1" xfId="2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3" fillId="3" borderId="1" xfId="2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1" xfId="2" applyBorder="1"/>
    <xf numFmtId="0" fontId="3" fillId="0" borderId="1" xfId="2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51" fillId="0" borderId="6" xfId="10" applyBorder="1"/>
    <xf numFmtId="2" fontId="0" fillId="7" borderId="11" xfId="0" applyNumberFormat="1" applyFill="1" applyBorder="1" applyAlignment="1">
      <alignment horizontal="center"/>
    </xf>
    <xf numFmtId="2" fontId="10" fillId="6" borderId="1" xfId="9" applyNumberFormat="1" applyFont="1" applyFill="1" applyBorder="1" applyAlignment="1">
      <alignment horizontal="center"/>
    </xf>
    <xf numFmtId="0" fontId="51" fillId="0" borderId="7" xfId="10" applyBorder="1"/>
    <xf numFmtId="0" fontId="2" fillId="3" borderId="1" xfId="2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0" xfId="6"/>
    <xf numFmtId="165" fontId="0" fillId="0" borderId="0" xfId="0" applyNumberFormat="1" applyAlignment="1">
      <alignment horizontal="center"/>
    </xf>
    <xf numFmtId="0" fontId="11" fillId="5" borderId="0" xfId="0" applyFont="1" applyFill="1"/>
    <xf numFmtId="0" fontId="2" fillId="4" borderId="1" xfId="2" applyFill="1" applyBorder="1" applyAlignment="1">
      <alignment horizontal="center"/>
    </xf>
    <xf numFmtId="0" fontId="0" fillId="0" borderId="0" xfId="17" applyFont="1"/>
    <xf numFmtId="0" fontId="0" fillId="3" borderId="0" xfId="0" applyFill="1"/>
    <xf numFmtId="164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0" fillId="0" borderId="0" xfId="3" applyFont="1"/>
    <xf numFmtId="0" fontId="0" fillId="0" borderId="0" xfId="0" applyAlignment="1">
      <alignment horizontal="left"/>
    </xf>
    <xf numFmtId="0" fontId="0" fillId="5" borderId="5" xfId="0" applyFill="1" applyBorder="1"/>
    <xf numFmtId="165" fontId="2" fillId="3" borderId="1" xfId="2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center"/>
    </xf>
    <xf numFmtId="0" fontId="3" fillId="0" borderId="0" xfId="2" applyFont="1"/>
    <xf numFmtId="2" fontId="51" fillId="0" borderId="0" xfId="3" applyNumberFormat="1"/>
    <xf numFmtId="2" fontId="0" fillId="0" borderId="0" xfId="0" applyNumberFormat="1"/>
    <xf numFmtId="0" fontId="9" fillId="0" borderId="0" xfId="0" applyFont="1"/>
    <xf numFmtId="0" fontId="0" fillId="6" borderId="16" xfId="0" applyFill="1" applyBorder="1" applyAlignment="1">
      <alignment horizontal="center"/>
    </xf>
    <xf numFmtId="0" fontId="0" fillId="5" borderId="0" xfId="0" applyFill="1" applyAlignment="1">
      <alignment horizontal="right"/>
    </xf>
    <xf numFmtId="0" fontId="3" fillId="0" borderId="1" xfId="2" applyFont="1" applyBorder="1"/>
    <xf numFmtId="0" fontId="2" fillId="8" borderId="0" xfId="2" applyFill="1"/>
    <xf numFmtId="0" fontId="3" fillId="0" borderId="1" xfId="2" applyFont="1" applyBorder="1" applyAlignment="1">
      <alignment horizontal="center" wrapText="1"/>
    </xf>
    <xf numFmtId="0" fontId="0" fillId="5" borderId="0" xfId="0" applyFill="1" applyAlignment="1">
      <alignment horizontal="center"/>
    </xf>
    <xf numFmtId="0" fontId="2" fillId="0" borderId="1" xfId="3" applyFont="1" applyBorder="1"/>
    <xf numFmtId="2" fontId="0" fillId="6" borderId="18" xfId="0" applyNumberFormat="1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7" fillId="0" borderId="1" xfId="0" applyFont="1" applyBorder="1" applyAlignment="1">
      <alignment horizontal="center"/>
    </xf>
    <xf numFmtId="164" fontId="2" fillId="9" borderId="1" xfId="2" applyNumberFormat="1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1" fontId="2" fillId="9" borderId="1" xfId="2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0" borderId="5" xfId="2" applyBorder="1"/>
    <xf numFmtId="0" fontId="0" fillId="0" borderId="0" xfId="17" applyFont="1" applyAlignment="1">
      <alignment horizontal="center"/>
    </xf>
    <xf numFmtId="0" fontId="0" fillId="5" borderId="0" xfId="0" applyFill="1" applyAlignment="1">
      <alignment horizontal="left"/>
    </xf>
    <xf numFmtId="0" fontId="0" fillId="0" borderId="5" xfId="0" applyBorder="1" applyAlignment="1">
      <alignment horizontal="center"/>
    </xf>
    <xf numFmtId="0" fontId="2" fillId="0" borderId="1" xfId="2" applyBorder="1" applyAlignment="1">
      <alignment horizontal="center" vertical="center"/>
    </xf>
    <xf numFmtId="0" fontId="6" fillId="0" borderId="0" xfId="0" applyFont="1"/>
    <xf numFmtId="0" fontId="0" fillId="6" borderId="21" xfId="0" applyFill="1" applyBorder="1" applyAlignment="1">
      <alignment horizontal="center"/>
    </xf>
    <xf numFmtId="0" fontId="20" fillId="0" borderId="0" xfId="2" applyFont="1"/>
    <xf numFmtId="0" fontId="8" fillId="0" borderId="1" xfId="0" applyFont="1" applyBorder="1" applyAlignment="1">
      <alignment horizontal="center"/>
    </xf>
    <xf numFmtId="2" fontId="51" fillId="0" borderId="1" xfId="3" applyNumberFormat="1" applyBorder="1"/>
    <xf numFmtId="0" fontId="2" fillId="10" borderId="1" xfId="2" applyFill="1" applyBorder="1" applyAlignment="1">
      <alignment horizontal="center"/>
    </xf>
    <xf numFmtId="0" fontId="2" fillId="0" borderId="1" xfId="8" applyBorder="1" applyAlignment="1">
      <alignment horizontal="center"/>
    </xf>
    <xf numFmtId="0" fontId="15" fillId="6" borderId="15" xfId="0" applyFont="1" applyFill="1" applyBorder="1"/>
    <xf numFmtId="0" fontId="6" fillId="3" borderId="22" xfId="0" applyFont="1" applyFill="1" applyBorder="1" applyAlignment="1" applyProtection="1">
      <alignment horizontal="center"/>
      <protection locked="0"/>
    </xf>
    <xf numFmtId="0" fontId="0" fillId="6" borderId="23" xfId="0" applyFill="1" applyBorder="1" applyAlignment="1">
      <alignment horizontal="center"/>
    </xf>
    <xf numFmtId="0" fontId="0" fillId="0" borderId="1" xfId="17" applyFont="1" applyBorder="1" applyAlignment="1">
      <alignment horizontal="center"/>
    </xf>
    <xf numFmtId="0" fontId="2" fillId="6" borderId="0" xfId="9" applyFill="1" applyAlignment="1">
      <alignment horizontal="center"/>
    </xf>
    <xf numFmtId="165" fontId="2" fillId="0" borderId="0" xfId="2" applyNumberFormat="1" applyAlignment="1">
      <alignment horizontal="center"/>
    </xf>
    <xf numFmtId="49" fontId="3" fillId="0" borderId="0" xfId="2" applyNumberFormat="1" applyFont="1"/>
    <xf numFmtId="2" fontId="0" fillId="3" borderId="1" xfId="0" applyNumberFormat="1" applyFill="1" applyBorder="1" applyAlignment="1">
      <alignment horizontal="center"/>
    </xf>
    <xf numFmtId="0" fontId="15" fillId="6" borderId="0" xfId="0" applyFont="1" applyFill="1"/>
    <xf numFmtId="0" fontId="0" fillId="6" borderId="24" xfId="0" applyFill="1" applyBorder="1" applyAlignment="1">
      <alignment horizontal="center"/>
    </xf>
    <xf numFmtId="0" fontId="15" fillId="6" borderId="5" xfId="0" applyFont="1" applyFill="1" applyBorder="1"/>
    <xf numFmtId="49" fontId="2" fillId="0" borderId="0" xfId="2" applyNumberFormat="1"/>
    <xf numFmtId="2" fontId="0" fillId="0" borderId="2" xfId="0" applyNumberFormat="1" applyBorder="1" applyAlignment="1">
      <alignment horizontal="center"/>
    </xf>
    <xf numFmtId="166" fontId="0" fillId="0" borderId="0" xfId="3" applyNumberFormat="1" applyFont="1" applyAlignment="1">
      <alignment horizontal="center"/>
    </xf>
    <xf numFmtId="164" fontId="0" fillId="6" borderId="16" xfId="0" applyNumberForma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21" fillId="7" borderId="11" xfId="9" applyFont="1" applyFill="1" applyBorder="1" applyAlignment="1">
      <alignment horizontal="center"/>
    </xf>
    <xf numFmtId="0" fontId="0" fillId="0" borderId="25" xfId="0" applyBorder="1"/>
    <xf numFmtId="2" fontId="0" fillId="4" borderId="1" xfId="0" applyNumberFormat="1" applyFill="1" applyBorder="1" applyAlignment="1">
      <alignment horizontal="center"/>
    </xf>
    <xf numFmtId="2" fontId="10" fillId="6" borderId="26" xfId="9" applyNumberFormat="1" applyFont="1" applyFill="1" applyBorder="1" applyAlignment="1">
      <alignment horizontal="center"/>
    </xf>
    <xf numFmtId="9" fontId="0" fillId="6" borderId="23" xfId="18" applyFont="1" applyFill="1" applyBorder="1" applyAlignment="1">
      <alignment horizontal="center"/>
    </xf>
    <xf numFmtId="0" fontId="9" fillId="7" borderId="11" xfId="0" applyFont="1" applyFill="1" applyBorder="1" applyAlignment="1">
      <alignment horizontal="center"/>
    </xf>
    <xf numFmtId="0" fontId="22" fillId="7" borderId="22" xfId="0" applyFont="1" applyFill="1" applyBorder="1" applyAlignment="1">
      <alignment horizontal="center"/>
    </xf>
    <xf numFmtId="165" fontId="10" fillId="6" borderId="1" xfId="9" applyNumberFormat="1" applyFont="1" applyFill="1" applyBorder="1" applyAlignment="1">
      <alignment horizontal="center"/>
    </xf>
    <xf numFmtId="164" fontId="0" fillId="5" borderId="0" xfId="0" applyNumberFormat="1" applyFill="1" applyAlignment="1">
      <alignment horizontal="right"/>
    </xf>
    <xf numFmtId="9" fontId="0" fillId="6" borderId="27" xfId="18" applyFont="1" applyFill="1" applyBorder="1" applyAlignment="1">
      <alignment horizontal="center"/>
    </xf>
    <xf numFmtId="9" fontId="0" fillId="6" borderId="24" xfId="18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9" fontId="0" fillId="6" borderId="29" xfId="18" applyFont="1" applyFill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2" fontId="0" fillId="0" borderId="2" xfId="0" applyNumberFormat="1" applyBorder="1"/>
    <xf numFmtId="0" fontId="22" fillId="7" borderId="30" xfId="0" applyFont="1" applyFill="1" applyBorder="1" applyAlignment="1">
      <alignment horizontal="center"/>
    </xf>
    <xf numFmtId="2" fontId="10" fillId="6" borderId="22" xfId="9" applyNumberFormat="1" applyFont="1" applyFill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2" fillId="8" borderId="1" xfId="2" applyFill="1" applyBorder="1" applyAlignment="1">
      <alignment horizontal="center"/>
    </xf>
    <xf numFmtId="165" fontId="6" fillId="3" borderId="22" xfId="0" applyNumberFormat="1" applyFont="1" applyFill="1" applyBorder="1" applyAlignment="1">
      <alignment horizontal="center"/>
    </xf>
    <xf numFmtId="9" fontId="0" fillId="6" borderId="16" xfId="18" applyFont="1" applyFill="1" applyBorder="1" applyAlignment="1">
      <alignment horizontal="center"/>
    </xf>
    <xf numFmtId="2" fontId="10" fillId="6" borderId="18" xfId="9" applyNumberFormat="1" applyFon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68" fontId="2" fillId="0" borderId="0" xfId="2" applyNumberFormat="1" applyAlignment="1">
      <alignment horizontal="center"/>
    </xf>
    <xf numFmtId="165" fontId="0" fillId="0" borderId="0" xfId="0" applyNumberFormat="1"/>
    <xf numFmtId="2" fontId="10" fillId="6" borderId="31" xfId="9" applyNumberFormat="1" applyFont="1" applyFill="1" applyBorder="1" applyAlignment="1">
      <alignment horizontal="center"/>
    </xf>
    <xf numFmtId="2" fontId="51" fillId="0" borderId="1" xfId="3" applyNumberFormat="1" applyBorder="1" applyAlignment="1">
      <alignment horizontal="center"/>
    </xf>
    <xf numFmtId="2" fontId="0" fillId="7" borderId="32" xfId="0" applyNumberFormat="1" applyFill="1" applyBorder="1" applyAlignment="1">
      <alignment horizontal="center"/>
    </xf>
    <xf numFmtId="1" fontId="0" fillId="0" borderId="1" xfId="0" applyNumberFormat="1" applyBorder="1"/>
    <xf numFmtId="0" fontId="0" fillId="0" borderId="0" xfId="0" applyAlignment="1">
      <alignment horizontal="right"/>
    </xf>
    <xf numFmtId="0" fontId="24" fillId="0" borderId="0" xfId="0" applyFont="1" applyAlignment="1">
      <alignment horizontal="left" vertical="center"/>
    </xf>
    <xf numFmtId="0" fontId="2" fillId="0" borderId="2" xfId="2" applyBorder="1" applyAlignment="1">
      <alignment horizontal="center"/>
    </xf>
    <xf numFmtId="9" fontId="0" fillId="6" borderId="33" xfId="18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2" fillId="0" borderId="15" xfId="2" applyBorder="1"/>
    <xf numFmtId="165" fontId="2" fillId="0" borderId="1" xfId="2" applyNumberFormat="1" applyBorder="1" applyAlignment="1">
      <alignment horizontal="center"/>
    </xf>
    <xf numFmtId="164" fontId="0" fillId="0" borderId="0" xfId="0" applyNumberFormat="1"/>
    <xf numFmtId="165" fontId="0" fillId="3" borderId="1" xfId="0" applyNumberFormat="1" applyFill="1" applyBorder="1" applyAlignment="1">
      <alignment horizontal="center"/>
    </xf>
    <xf numFmtId="0" fontId="6" fillId="12" borderId="22" xfId="0" applyFont="1" applyFill="1" applyBorder="1" applyAlignment="1" applyProtection="1">
      <alignment horizontal="center"/>
      <protection locked="0"/>
    </xf>
    <xf numFmtId="0" fontId="0" fillId="6" borderId="25" xfId="0" applyFill="1" applyBorder="1" applyAlignment="1">
      <alignment horizontal="center"/>
    </xf>
    <xf numFmtId="0" fontId="0" fillId="11" borderId="5" xfId="0" applyFill="1" applyBorder="1" applyAlignment="1">
      <alignment horizontal="right"/>
    </xf>
    <xf numFmtId="0" fontId="22" fillId="5" borderId="0" xfId="0" applyFont="1" applyFill="1" applyAlignment="1">
      <alignment horizontal="center"/>
    </xf>
    <xf numFmtId="0" fontId="15" fillId="0" borderId="0" xfId="0" applyFont="1"/>
    <xf numFmtId="168" fontId="2" fillId="0" borderId="1" xfId="2" applyNumberFormat="1" applyBorder="1" applyAlignment="1">
      <alignment horizontal="center"/>
    </xf>
    <xf numFmtId="0" fontId="0" fillId="0" borderId="2" xfId="0" applyBorder="1"/>
    <xf numFmtId="0" fontId="8" fillId="6" borderId="37" xfId="0" applyFont="1" applyFill="1" applyBorder="1" applyAlignment="1">
      <alignment horizontal="center" vertical="center"/>
    </xf>
    <xf numFmtId="2" fontId="0" fillId="10" borderId="1" xfId="17" applyNumberFormat="1" applyFont="1" applyFill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2" fontId="0" fillId="5" borderId="0" xfId="0" applyNumberFormat="1" applyFill="1"/>
    <xf numFmtId="165" fontId="0" fillId="5" borderId="0" xfId="0" applyNumberFormat="1" applyFill="1"/>
    <xf numFmtId="166" fontId="0" fillId="0" borderId="0" xfId="0" applyNumberFormat="1" applyAlignment="1">
      <alignment horizontal="center"/>
    </xf>
    <xf numFmtId="0" fontId="8" fillId="6" borderId="39" xfId="0" applyFont="1" applyFill="1" applyBorder="1" applyAlignment="1">
      <alignment horizontal="center" vertical="center"/>
    </xf>
    <xf numFmtId="0" fontId="8" fillId="6" borderId="40" xfId="0" applyFont="1" applyFill="1" applyBorder="1" applyAlignment="1">
      <alignment horizontal="center" vertical="center"/>
    </xf>
    <xf numFmtId="0" fontId="0" fillId="11" borderId="15" xfId="0" applyFill="1" applyBorder="1" applyAlignment="1">
      <alignment horizontal="right"/>
    </xf>
    <xf numFmtId="164" fontId="0" fillId="0" borderId="0" xfId="0" applyNumberFormat="1" applyAlignment="1">
      <alignment horizontal="center"/>
    </xf>
    <xf numFmtId="0" fontId="2" fillId="0" borderId="43" xfId="2" applyBorder="1"/>
    <xf numFmtId="0" fontId="0" fillId="0" borderId="21" xfId="0" applyBorder="1"/>
    <xf numFmtId="0" fontId="9" fillId="5" borderId="0" xfId="0" applyFont="1" applyFill="1"/>
    <xf numFmtId="2" fontId="0" fillId="6" borderId="26" xfId="0" applyNumberFormat="1" applyFill="1" applyBorder="1" applyAlignment="1">
      <alignment horizontal="center"/>
    </xf>
    <xf numFmtId="2" fontId="0" fillId="3" borderId="1" xfId="0" applyNumberFormat="1" applyFill="1" applyBorder="1"/>
    <xf numFmtId="0" fontId="2" fillId="0" borderId="38" xfId="2" applyBorder="1"/>
    <xf numFmtId="0" fontId="0" fillId="4" borderId="17" xfId="0" applyFill="1" applyBorder="1" applyAlignment="1">
      <alignment horizontal="center" vertical="center"/>
    </xf>
    <xf numFmtId="0" fontId="0" fillId="0" borderId="46" xfId="0" applyBorder="1"/>
    <xf numFmtId="0" fontId="19" fillId="0" borderId="18" xfId="0" applyFont="1" applyBorder="1" applyAlignment="1">
      <alignment horizontal="center"/>
    </xf>
    <xf numFmtId="0" fontId="2" fillId="0" borderId="1" xfId="2" applyBorder="1" applyAlignment="1">
      <alignment horizontal="center" wrapText="1"/>
    </xf>
    <xf numFmtId="0" fontId="0" fillId="6" borderId="47" xfId="0" applyFill="1" applyBorder="1" applyAlignment="1">
      <alignment horizontal="center"/>
    </xf>
    <xf numFmtId="0" fontId="0" fillId="0" borderId="17" xfId="0" applyBorder="1" applyAlignment="1">
      <alignment horizontal="center"/>
    </xf>
    <xf numFmtId="164" fontId="0" fillId="6" borderId="24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3" borderId="1" xfId="2" applyNumberFormat="1" applyFill="1" applyBorder="1" applyAlignment="1">
      <alignment horizontal="center"/>
    </xf>
    <xf numFmtId="0" fontId="2" fillId="0" borderId="42" xfId="2" applyBorder="1"/>
    <xf numFmtId="0" fontId="2" fillId="13" borderId="1" xfId="8" applyFill="1" applyBorder="1"/>
    <xf numFmtId="0" fontId="0" fillId="0" borderId="0" xfId="0" applyAlignment="1">
      <alignment vertical="center" wrapText="1"/>
    </xf>
    <xf numFmtId="0" fontId="2" fillId="0" borderId="49" xfId="2" applyBorder="1"/>
    <xf numFmtId="0" fontId="0" fillId="11" borderId="5" xfId="0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0" fontId="2" fillId="0" borderId="1" xfId="2" applyBorder="1" applyAlignment="1">
      <alignment horizontal="left"/>
    </xf>
    <xf numFmtId="0" fontId="19" fillId="0" borderId="1" xfId="0" applyFont="1" applyBorder="1" applyAlignment="1">
      <alignment horizontal="center"/>
    </xf>
    <xf numFmtId="0" fontId="0" fillId="0" borderId="52" xfId="0" applyBorder="1"/>
    <xf numFmtId="0" fontId="0" fillId="11" borderId="15" xfId="0" applyFill="1" applyBorder="1" applyAlignment="1">
      <alignment horizontal="center"/>
    </xf>
    <xf numFmtId="0" fontId="26" fillId="0" borderId="0" xfId="0" applyFont="1" applyAlignment="1">
      <alignment horizontal="center"/>
    </xf>
    <xf numFmtId="0" fontId="51" fillId="0" borderId="25" xfId="3" applyBorder="1"/>
    <xf numFmtId="0" fontId="2" fillId="0" borderId="1" xfId="7" applyBorder="1"/>
    <xf numFmtId="0" fontId="2" fillId="0" borderId="43" xfId="2" applyBorder="1" applyAlignment="1">
      <alignment horizontal="center"/>
    </xf>
    <xf numFmtId="0" fontId="0" fillId="0" borderId="54" xfId="0" applyBorder="1"/>
    <xf numFmtId="0" fontId="2" fillId="11" borderId="1" xfId="2" applyFill="1" applyBorder="1" applyAlignment="1">
      <alignment horizontal="center"/>
    </xf>
    <xf numFmtId="9" fontId="0" fillId="6" borderId="28" xfId="18" applyFont="1" applyFill="1" applyBorder="1" applyAlignment="1">
      <alignment horizontal="center"/>
    </xf>
    <xf numFmtId="0" fontId="51" fillId="0" borderId="22" xfId="3" applyBorder="1"/>
    <xf numFmtId="0" fontId="3" fillId="4" borderId="1" xfId="2" applyFont="1" applyFill="1" applyBorder="1"/>
    <xf numFmtId="1" fontId="0" fillId="3" borderId="1" xfId="0" applyNumberFormat="1" applyFill="1" applyBorder="1" applyAlignment="1">
      <alignment horizontal="center"/>
    </xf>
    <xf numFmtId="0" fontId="2" fillId="0" borderId="1" xfId="8" applyBorder="1"/>
    <xf numFmtId="2" fontId="0" fillId="6" borderId="47" xfId="0" applyNumberFormat="1" applyFill="1" applyBorder="1" applyAlignment="1">
      <alignment horizontal="center"/>
    </xf>
    <xf numFmtId="0" fontId="2" fillId="0" borderId="21" xfId="2" applyBorder="1"/>
    <xf numFmtId="0" fontId="20" fillId="4" borderId="1" xfId="0" applyFont="1" applyFill="1" applyBorder="1"/>
    <xf numFmtId="168" fontId="20" fillId="3" borderId="1" xfId="0" applyNumberFormat="1" applyFont="1" applyFill="1" applyBorder="1"/>
    <xf numFmtId="0" fontId="2" fillId="0" borderId="8" xfId="2" applyBorder="1"/>
    <xf numFmtId="164" fontId="0" fillId="3" borderId="1" xfId="0" applyNumberFormat="1" applyFill="1" applyBorder="1" applyAlignment="1">
      <alignment horizontal="center"/>
    </xf>
    <xf numFmtId="168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51" fillId="8" borderId="0" xfId="3" applyFill="1" applyAlignment="1">
      <alignment horizontal="center"/>
    </xf>
    <xf numFmtId="165" fontId="20" fillId="0" borderId="1" xfId="0" applyNumberFormat="1" applyFont="1" applyBorder="1" applyAlignment="1">
      <alignment horizontal="center"/>
    </xf>
    <xf numFmtId="164" fontId="6" fillId="3" borderId="22" xfId="0" applyNumberFormat="1" applyFont="1" applyFill="1" applyBorder="1" applyAlignment="1" applyProtection="1">
      <alignment horizontal="center"/>
      <protection locked="0"/>
    </xf>
    <xf numFmtId="2" fontId="6" fillId="3" borderId="22" xfId="0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2" fillId="0" borderId="1" xfId="9" applyBorder="1" applyAlignment="1">
      <alignment horizontal="center"/>
    </xf>
    <xf numFmtId="0" fontId="2" fillId="0" borderId="6" xfId="2" applyBorder="1"/>
    <xf numFmtId="0" fontId="7" fillId="0" borderId="55" xfId="0" applyFont="1" applyBorder="1" applyAlignment="1">
      <alignment horizontal="center"/>
    </xf>
    <xf numFmtId="0" fontId="2" fillId="3" borderId="0" xfId="2" applyFill="1"/>
    <xf numFmtId="165" fontId="6" fillId="3" borderId="30" xfId="0" applyNumberFormat="1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2" fillId="0" borderId="25" xfId="2" applyBorder="1"/>
    <xf numFmtId="0" fontId="0" fillId="6" borderId="26" xfId="0" applyFill="1" applyBorder="1" applyAlignment="1">
      <alignment horizontal="center"/>
    </xf>
    <xf numFmtId="0" fontId="0" fillId="0" borderId="9" xfId="0" applyBorder="1"/>
    <xf numFmtId="0" fontId="0" fillId="0" borderId="26" xfId="0" applyBorder="1" applyAlignment="1">
      <alignment horizontal="center"/>
    </xf>
    <xf numFmtId="0" fontId="51" fillId="0" borderId="25" xfId="10" applyBorder="1"/>
    <xf numFmtId="1" fontId="0" fillId="5" borderId="0" xfId="0" applyNumberFormat="1" applyFill="1"/>
    <xf numFmtId="0" fontId="0" fillId="6" borderId="9" xfId="0" applyFill="1" applyBorder="1"/>
    <xf numFmtId="1" fontId="0" fillId="5" borderId="0" xfId="0" applyNumberFormat="1" applyFill="1" applyAlignment="1">
      <alignment horizontal="right"/>
    </xf>
    <xf numFmtId="0" fontId="27" fillId="5" borderId="0" xfId="0" applyFont="1" applyFill="1" applyAlignment="1">
      <alignment horizontal="center"/>
    </xf>
    <xf numFmtId="0" fontId="7" fillId="0" borderId="22" xfId="0" applyFont="1" applyBorder="1" applyAlignment="1">
      <alignment horizontal="center"/>
    </xf>
    <xf numFmtId="164" fontId="6" fillId="3" borderId="22" xfId="0" applyNumberFormat="1" applyFont="1" applyFill="1" applyBorder="1" applyAlignment="1">
      <alignment horizontal="center"/>
    </xf>
    <xf numFmtId="9" fontId="0" fillId="6" borderId="60" xfId="18" applyFont="1" applyFill="1" applyBorder="1" applyAlignment="1">
      <alignment horizontal="center"/>
    </xf>
    <xf numFmtId="0" fontId="0" fillId="0" borderId="0" xfId="3" applyFont="1" applyAlignment="1">
      <alignment horizontal="center"/>
    </xf>
    <xf numFmtId="0" fontId="7" fillId="0" borderId="0" xfId="0" applyFont="1" applyAlignment="1">
      <alignment horizontal="center"/>
    </xf>
    <xf numFmtId="0" fontId="2" fillId="0" borderId="62" xfId="2" applyBorder="1"/>
    <xf numFmtId="0" fontId="6" fillId="3" borderId="55" xfId="0" applyFont="1" applyFill="1" applyBorder="1" applyAlignment="1" applyProtection="1">
      <alignment horizontal="center"/>
      <protection locked="0"/>
    </xf>
    <xf numFmtId="164" fontId="6" fillId="12" borderId="22" xfId="0" applyNumberFormat="1" applyFont="1" applyFill="1" applyBorder="1" applyAlignment="1" applyProtection="1">
      <alignment horizontal="center"/>
      <protection locked="0"/>
    </xf>
    <xf numFmtId="0" fontId="28" fillId="0" borderId="0" xfId="2" applyFont="1" applyAlignment="1">
      <alignment horizontal="center"/>
    </xf>
    <xf numFmtId="0" fontId="15" fillId="6" borderId="49" xfId="0" applyFont="1" applyFill="1" applyBorder="1"/>
    <xf numFmtId="0" fontId="0" fillId="4" borderId="1" xfId="0" applyFill="1" applyBorder="1" applyAlignment="1">
      <alignment horizontal="center"/>
    </xf>
    <xf numFmtId="1" fontId="2" fillId="3" borderId="18" xfId="2" applyNumberFormat="1" applyFill="1" applyBorder="1" applyAlignment="1">
      <alignment horizontal="center"/>
    </xf>
    <xf numFmtId="164" fontId="2" fillId="10" borderId="1" xfId="2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2" fillId="0" borderId="64" xfId="2" applyBorder="1"/>
    <xf numFmtId="1" fontId="0" fillId="0" borderId="1" xfId="0" applyNumberFormat="1" applyBorder="1" applyAlignment="1">
      <alignment horizontal="center"/>
    </xf>
    <xf numFmtId="0" fontId="0" fillId="0" borderId="42" xfId="0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15" fillId="0" borderId="1" xfId="0" applyFont="1" applyBorder="1"/>
    <xf numFmtId="2" fontId="2" fillId="3" borderId="9" xfId="2" applyNumberFormat="1" applyFill="1" applyBorder="1" applyAlignment="1">
      <alignment horizontal="center"/>
    </xf>
    <xf numFmtId="0" fontId="2" fillId="12" borderId="1" xfId="2" applyFill="1" applyBorder="1" applyAlignment="1">
      <alignment horizontal="center"/>
    </xf>
    <xf numFmtId="0" fontId="51" fillId="0" borderId="46" xfId="10" applyBorder="1"/>
    <xf numFmtId="165" fontId="2" fillId="10" borderId="1" xfId="2" applyNumberFormat="1" applyFill="1" applyBorder="1" applyAlignment="1">
      <alignment horizontal="center"/>
    </xf>
    <xf numFmtId="0" fontId="0" fillId="6" borderId="0" xfId="0" applyFill="1" applyAlignment="1">
      <alignment horizontal="right"/>
    </xf>
    <xf numFmtId="0" fontId="0" fillId="3" borderId="1" xfId="0" applyFill="1" applyBorder="1"/>
    <xf numFmtId="0" fontId="3" fillId="0" borderId="0" xfId="2" applyFont="1" applyAlignment="1">
      <alignment horizontal="left"/>
    </xf>
    <xf numFmtId="2" fontId="0" fillId="0" borderId="0" xfId="0" applyNumberFormat="1" applyAlignment="1">
      <alignment horizontal="right"/>
    </xf>
    <xf numFmtId="2" fontId="0" fillId="0" borderId="26" xfId="0" applyNumberFormat="1" applyBorder="1" applyAlignment="1">
      <alignment horizontal="center"/>
    </xf>
    <xf numFmtId="165" fontId="6" fillId="12" borderId="22" xfId="0" applyNumberFormat="1" applyFont="1" applyFill="1" applyBorder="1" applyAlignment="1" applyProtection="1">
      <alignment horizontal="center"/>
      <protection locked="0"/>
    </xf>
    <xf numFmtId="0" fontId="15" fillId="0" borderId="59" xfId="10" applyFont="1" applyBorder="1"/>
    <xf numFmtId="0" fontId="0" fillId="6" borderId="54" xfId="0" applyFill="1" applyBorder="1" applyAlignment="1">
      <alignment horizontal="center"/>
    </xf>
    <xf numFmtId="165" fontId="10" fillId="6" borderId="26" xfId="9" applyNumberFormat="1" applyFont="1" applyFill="1" applyBorder="1" applyAlignment="1">
      <alignment horizontal="center"/>
    </xf>
    <xf numFmtId="0" fontId="2" fillId="0" borderId="0" xfId="4"/>
    <xf numFmtId="0" fontId="15" fillId="6" borderId="65" xfId="0" applyFont="1" applyFill="1" applyBorder="1" applyAlignment="1">
      <alignment horizontal="center" wrapText="1"/>
    </xf>
    <xf numFmtId="2" fontId="10" fillId="6" borderId="47" xfId="9" applyNumberFormat="1" applyFont="1" applyFill="1" applyBorder="1" applyAlignment="1">
      <alignment horizontal="center"/>
    </xf>
    <xf numFmtId="0" fontId="2" fillId="0" borderId="0" xfId="2" applyAlignment="1">
      <alignment wrapText="1"/>
    </xf>
    <xf numFmtId="0" fontId="0" fillId="0" borderId="1" xfId="3" applyFont="1" applyBorder="1" applyAlignment="1">
      <alignment horizontal="center"/>
    </xf>
    <xf numFmtId="0" fontId="4" fillId="0" borderId="0" xfId="2" applyFont="1"/>
    <xf numFmtId="0" fontId="15" fillId="6" borderId="34" xfId="0" applyFont="1" applyFill="1" applyBorder="1"/>
    <xf numFmtId="0" fontId="2" fillId="0" borderId="0" xfId="3" applyFont="1"/>
    <xf numFmtId="0" fontId="0" fillId="6" borderId="0" xfId="0" applyFill="1" applyAlignment="1">
      <alignment vertical="center" wrapText="1"/>
    </xf>
    <xf numFmtId="167" fontId="0" fillId="0" borderId="0" xfId="0" applyNumberFormat="1" applyAlignment="1">
      <alignment horizontal="center"/>
    </xf>
    <xf numFmtId="0" fontId="51" fillId="0" borderId="19" xfId="3" applyBorder="1"/>
    <xf numFmtId="2" fontId="2" fillId="10" borderId="1" xfId="2" applyNumberFormat="1" applyFill="1" applyBorder="1" applyAlignment="1">
      <alignment horizontal="center"/>
    </xf>
    <xf numFmtId="167" fontId="0" fillId="0" borderId="0" xfId="3" applyNumberFormat="1" applyFont="1" applyAlignment="1">
      <alignment horizontal="center"/>
    </xf>
    <xf numFmtId="1" fontId="0" fillId="6" borderId="0" xfId="0" applyNumberFormat="1" applyFill="1" applyAlignment="1">
      <alignment horizontal="center"/>
    </xf>
    <xf numFmtId="0" fontId="0" fillId="11" borderId="64" xfId="0" applyFill="1" applyBorder="1" applyAlignment="1">
      <alignment horizontal="center"/>
    </xf>
    <xf numFmtId="168" fontId="0" fillId="0" borderId="0" xfId="0" applyNumberFormat="1"/>
    <xf numFmtId="164" fontId="0" fillId="0" borderId="47" xfId="0" applyNumberFormat="1" applyBorder="1" applyAlignment="1">
      <alignment horizontal="center"/>
    </xf>
    <xf numFmtId="2" fontId="20" fillId="12" borderId="1" xfId="3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168" fontId="0" fillId="3" borderId="1" xfId="0" applyNumberFormat="1" applyFill="1" applyBorder="1" applyAlignment="1">
      <alignment horizontal="center"/>
    </xf>
    <xf numFmtId="0" fontId="0" fillId="11" borderId="38" xfId="0" applyFill="1" applyBorder="1"/>
    <xf numFmtId="169" fontId="0" fillId="0" borderId="0" xfId="0" applyNumberFormat="1" applyAlignment="1" applyProtection="1">
      <alignment horizontal="center"/>
      <protection locked="0"/>
    </xf>
    <xf numFmtId="0" fontId="15" fillId="0" borderId="59" xfId="0" applyFont="1" applyBorder="1"/>
    <xf numFmtId="2" fontId="2" fillId="3" borderId="30" xfId="2" applyNumberFormat="1" applyFill="1" applyBorder="1" applyAlignment="1">
      <alignment horizontal="center"/>
    </xf>
    <xf numFmtId="0" fontId="2" fillId="3" borderId="0" xfId="2" applyFill="1" applyAlignment="1">
      <alignment horizontal="right"/>
    </xf>
    <xf numFmtId="9" fontId="0" fillId="6" borderId="5" xfId="0" applyNumberFormat="1" applyFill="1" applyBorder="1" applyAlignment="1">
      <alignment horizontal="center"/>
    </xf>
    <xf numFmtId="0" fontId="8" fillId="6" borderId="37" xfId="0" applyFont="1" applyFill="1" applyBorder="1" applyAlignment="1">
      <alignment horizontal="center"/>
    </xf>
    <xf numFmtId="169" fontId="0" fillId="5" borderId="0" xfId="0" applyNumberFormat="1" applyFill="1" applyAlignment="1">
      <alignment horizontal="center"/>
    </xf>
    <xf numFmtId="2" fontId="2" fillId="3" borderId="22" xfId="2" applyNumberFormat="1" applyFill="1" applyBorder="1" applyAlignment="1">
      <alignment horizontal="center"/>
    </xf>
    <xf numFmtId="0" fontId="15" fillId="0" borderId="25" xfId="0" applyFont="1" applyBorder="1"/>
    <xf numFmtId="0" fontId="30" fillId="14" borderId="2" xfId="0" applyFont="1" applyFill="1" applyBorder="1" applyAlignment="1">
      <alignment horizontal="right"/>
    </xf>
    <xf numFmtId="0" fontId="31" fillId="14" borderId="1" xfId="0" applyFont="1" applyFill="1" applyBorder="1"/>
    <xf numFmtId="2" fontId="32" fillId="0" borderId="0" xfId="0" applyNumberFormat="1" applyFont="1" applyAlignment="1">
      <alignment horizontal="center"/>
    </xf>
    <xf numFmtId="9" fontId="0" fillId="6" borderId="3" xfId="0" applyNumberFormat="1" applyFill="1" applyBorder="1" applyAlignment="1">
      <alignment horizontal="center"/>
    </xf>
    <xf numFmtId="9" fontId="0" fillId="0" borderId="0" xfId="18" applyFont="1"/>
    <xf numFmtId="0" fontId="31" fillId="14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center"/>
    </xf>
    <xf numFmtId="2" fontId="10" fillId="6" borderId="30" xfId="9" applyNumberFormat="1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6" borderId="42" xfId="0" applyFill="1" applyBorder="1"/>
    <xf numFmtId="2" fontId="0" fillId="0" borderId="1" xfId="17" applyNumberFormat="1" applyFont="1" applyBorder="1" applyAlignment="1">
      <alignment horizontal="center"/>
    </xf>
    <xf numFmtId="0" fontId="0" fillId="5" borderId="38" xfId="0" applyFill="1" applyBorder="1"/>
    <xf numFmtId="164" fontId="2" fillId="0" borderId="0" xfId="2" applyNumberFormat="1" applyAlignment="1">
      <alignment horizontal="center"/>
    </xf>
    <xf numFmtId="0" fontId="8" fillId="6" borderId="39" xfId="0" applyFont="1" applyFill="1" applyBorder="1" applyAlignment="1">
      <alignment horizontal="center"/>
    </xf>
    <xf numFmtId="0" fontId="2" fillId="0" borderId="0" xfId="2" applyAlignment="1">
      <alignment horizontal="right"/>
    </xf>
    <xf numFmtId="165" fontId="6" fillId="3" borderId="22" xfId="0" applyNumberFormat="1" applyFont="1" applyFill="1" applyBorder="1" applyAlignment="1" applyProtection="1">
      <alignment horizontal="center"/>
      <protection locked="0"/>
    </xf>
    <xf numFmtId="0" fontId="51" fillId="12" borderId="1" xfId="3" applyFill="1" applyBorder="1"/>
    <xf numFmtId="169" fontId="0" fillId="8" borderId="0" xfId="0" applyNumberFormat="1" applyFill="1" applyAlignment="1">
      <alignment horizontal="center"/>
    </xf>
    <xf numFmtId="0" fontId="20" fillId="5" borderId="1" xfId="0" applyFont="1" applyFill="1" applyBorder="1" applyAlignment="1">
      <alignment horizontal="right"/>
    </xf>
    <xf numFmtId="0" fontId="5" fillId="0" borderId="0" xfId="2" applyFont="1"/>
    <xf numFmtId="0" fontId="2" fillId="0" borderId="1" xfId="2" applyBorder="1" applyAlignment="1">
      <alignment horizontal="right"/>
    </xf>
    <xf numFmtId="164" fontId="0" fillId="0" borderId="1" xfId="0" applyNumberFormat="1" applyBorder="1"/>
    <xf numFmtId="0" fontId="2" fillId="0" borderId="22" xfId="2" applyBorder="1" applyAlignment="1">
      <alignment horizontal="center"/>
    </xf>
    <xf numFmtId="0" fontId="8" fillId="6" borderId="68" xfId="0" applyFont="1" applyFill="1" applyBorder="1" applyAlignment="1">
      <alignment horizontal="center"/>
    </xf>
    <xf numFmtId="0" fontId="0" fillId="0" borderId="59" xfId="0" applyBorder="1"/>
    <xf numFmtId="0" fontId="0" fillId="6" borderId="69" xfId="0" applyFill="1" applyBorder="1" applyAlignment="1">
      <alignment horizontal="center"/>
    </xf>
    <xf numFmtId="165" fontId="0" fillId="5" borderId="0" xfId="0" applyNumberFormat="1" applyFill="1" applyAlignment="1">
      <alignment horizontal="center"/>
    </xf>
    <xf numFmtId="0" fontId="30" fillId="14" borderId="1" xfId="0" applyFont="1" applyFill="1" applyBorder="1" applyAlignment="1">
      <alignment horizontal="right"/>
    </xf>
    <xf numFmtId="0" fontId="0" fillId="4" borderId="1" xfId="0" applyFill="1" applyBorder="1"/>
    <xf numFmtId="2" fontId="0" fillId="0" borderId="8" xfId="0" applyNumberFormat="1" applyBorder="1" applyAlignment="1">
      <alignment horizontal="center"/>
    </xf>
    <xf numFmtId="0" fontId="8" fillId="6" borderId="40" xfId="0" applyFont="1" applyFill="1" applyBorder="1" applyAlignment="1">
      <alignment horizontal="center"/>
    </xf>
    <xf numFmtId="0" fontId="0" fillId="5" borderId="42" xfId="0" applyFill="1" applyBorder="1"/>
    <xf numFmtId="1" fontId="51" fillId="3" borderId="1" xfId="3" applyNumberFormat="1" applyFill="1" applyBorder="1" applyAlignment="1">
      <alignment horizontal="center"/>
    </xf>
    <xf numFmtId="0" fontId="0" fillId="6" borderId="59" xfId="0" applyFill="1" applyBorder="1" applyAlignment="1">
      <alignment horizontal="center"/>
    </xf>
    <xf numFmtId="0" fontId="15" fillId="6" borderId="43" xfId="0" applyFont="1" applyFill="1" applyBorder="1" applyAlignment="1">
      <alignment horizontal="left"/>
    </xf>
    <xf numFmtId="0" fontId="2" fillId="0" borderId="0" xfId="2" applyAlignment="1">
      <alignment horizontal="left"/>
    </xf>
    <xf numFmtId="0" fontId="25" fillId="0" borderId="0" xfId="2" applyFont="1" applyAlignment="1">
      <alignment vertical="center"/>
    </xf>
    <xf numFmtId="169" fontId="0" fillId="9" borderId="0" xfId="0" applyNumberFormat="1" applyFill="1" applyAlignment="1">
      <alignment horizontal="center"/>
    </xf>
    <xf numFmtId="0" fontId="33" fillId="0" borderId="0" xfId="0" applyFont="1"/>
    <xf numFmtId="0" fontId="20" fillId="0" borderId="1" xfId="0" applyFont="1" applyBorder="1"/>
    <xf numFmtId="0" fontId="15" fillId="6" borderId="38" xfId="0" applyFont="1" applyFill="1" applyBorder="1"/>
    <xf numFmtId="0" fontId="51" fillId="0" borderId="52" xfId="10" applyBorder="1"/>
    <xf numFmtId="0" fontId="0" fillId="0" borderId="1" xfId="0" applyBorder="1" applyAlignment="1">
      <alignment vertical="center"/>
    </xf>
    <xf numFmtId="0" fontId="51" fillId="0" borderId="54" xfId="10" applyBorder="1"/>
    <xf numFmtId="0" fontId="2" fillId="0" borderId="0" xfId="2" applyAlignment="1">
      <alignment vertical="center"/>
    </xf>
    <xf numFmtId="0" fontId="0" fillId="0" borderId="1" xfId="3" applyFont="1" applyBorder="1"/>
    <xf numFmtId="0" fontId="0" fillId="0" borderId="8" xfId="0" applyBorder="1"/>
    <xf numFmtId="169" fontId="0" fillId="3" borderId="0" xfId="0" applyNumberFormat="1" applyFill="1" applyAlignment="1">
      <alignment horizontal="center"/>
    </xf>
    <xf numFmtId="2" fontId="20" fillId="3" borderId="1" xfId="2" applyNumberFormat="1" applyFont="1" applyFill="1" applyBorder="1" applyAlignment="1">
      <alignment horizontal="center"/>
    </xf>
    <xf numFmtId="0" fontId="34" fillId="0" borderId="0" xfId="0" applyFont="1" applyAlignment="1">
      <alignment horizontal="right"/>
    </xf>
    <xf numFmtId="0" fontId="9" fillId="7" borderId="32" xfId="0" applyFont="1" applyFill="1" applyBorder="1" applyAlignment="1">
      <alignment horizontal="center"/>
    </xf>
    <xf numFmtId="0" fontId="2" fillId="4" borderId="1" xfId="2" applyFill="1" applyBorder="1"/>
    <xf numFmtId="2" fontId="10" fillId="6" borderId="71" xfId="9" applyNumberFormat="1" applyFont="1" applyFill="1" applyBorder="1" applyAlignment="1">
      <alignment horizontal="center"/>
    </xf>
    <xf numFmtId="0" fontId="0" fillId="6" borderId="68" xfId="0" applyFill="1" applyBorder="1" applyAlignment="1">
      <alignment horizontal="center"/>
    </xf>
    <xf numFmtId="165" fontId="0" fillId="5" borderId="0" xfId="0" applyNumberFormat="1" applyFill="1" applyAlignment="1">
      <alignment horizontal="right"/>
    </xf>
    <xf numFmtId="165" fontId="0" fillId="4" borderId="1" xfId="0" applyNumberFormat="1" applyFill="1" applyBorder="1" applyAlignment="1">
      <alignment horizontal="center"/>
    </xf>
    <xf numFmtId="0" fontId="15" fillId="0" borderId="1" xfId="3" applyFont="1" applyBorder="1" applyAlignment="1">
      <alignment horizontal="center"/>
    </xf>
    <xf numFmtId="0" fontId="0" fillId="11" borderId="42" xfId="0" applyFill="1" applyBorder="1" applyAlignment="1">
      <alignment horizontal="center"/>
    </xf>
    <xf numFmtId="0" fontId="0" fillId="6" borderId="62" xfId="0" applyFill="1" applyBorder="1"/>
    <xf numFmtId="0" fontId="0" fillId="0" borderId="0" xfId="0" applyAlignment="1">
      <alignment vertical="center"/>
    </xf>
    <xf numFmtId="0" fontId="0" fillId="6" borderId="34" xfId="0" applyFill="1" applyBorder="1" applyAlignment="1">
      <alignment horizontal="center"/>
    </xf>
    <xf numFmtId="0" fontId="0" fillId="5" borderId="62" xfId="0" applyFill="1" applyBorder="1"/>
    <xf numFmtId="169" fontId="0" fillId="0" borderId="0" xfId="0" applyNumberFormat="1"/>
    <xf numFmtId="0" fontId="15" fillId="11" borderId="49" xfId="0" applyFont="1" applyFill="1" applyBorder="1"/>
    <xf numFmtId="0" fontId="2" fillId="3" borderId="1" xfId="2" applyFill="1" applyBorder="1"/>
    <xf numFmtId="164" fontId="35" fillId="0" borderId="0" xfId="0" applyNumberFormat="1" applyFont="1"/>
    <xf numFmtId="1" fontId="0" fillId="0" borderId="0" xfId="0" applyNumberFormat="1"/>
    <xf numFmtId="164" fontId="0" fillId="0" borderId="26" xfId="0" applyNumberFormat="1" applyBorder="1" applyAlignment="1">
      <alignment horizontal="center"/>
    </xf>
    <xf numFmtId="164" fontId="2" fillId="3" borderId="1" xfId="2" applyNumberFormat="1" applyFill="1" applyBorder="1" applyAlignment="1">
      <alignment horizontal="center"/>
    </xf>
    <xf numFmtId="0" fontId="0" fillId="6" borderId="64" xfId="0" applyFill="1" applyBorder="1"/>
    <xf numFmtId="0" fontId="2" fillId="0" borderId="19" xfId="2" applyBorder="1" applyAlignment="1">
      <alignment horizontal="center" wrapText="1"/>
    </xf>
    <xf numFmtId="165" fontId="0" fillId="8" borderId="0" xfId="0" applyNumberFormat="1" applyFill="1" applyAlignment="1">
      <alignment horizontal="center"/>
    </xf>
    <xf numFmtId="0" fontId="0" fillId="5" borderId="43" xfId="0" applyFill="1" applyBorder="1"/>
    <xf numFmtId="0" fontId="51" fillId="0" borderId="21" xfId="10" applyBorder="1"/>
    <xf numFmtId="0" fontId="15" fillId="6" borderId="62" xfId="0" applyFont="1" applyFill="1" applyBorder="1" applyAlignment="1">
      <alignment horizontal="left"/>
    </xf>
    <xf numFmtId="0" fontId="15" fillId="6" borderId="43" xfId="0" applyFont="1" applyFill="1" applyBorder="1"/>
    <xf numFmtId="2" fontId="10" fillId="6" borderId="74" xfId="9" applyNumberFormat="1" applyFont="1" applyFill="1" applyBorder="1" applyAlignment="1">
      <alignment horizontal="center"/>
    </xf>
    <xf numFmtId="0" fontId="2" fillId="15" borderId="1" xfId="2" applyFill="1" applyBorder="1" applyAlignment="1">
      <alignment horizontal="center"/>
    </xf>
    <xf numFmtId="0" fontId="6" fillId="15" borderId="55" xfId="0" applyFont="1" applyFill="1" applyBorder="1" applyAlignment="1" applyProtection="1">
      <alignment horizontal="center"/>
      <protection locked="0"/>
    </xf>
    <xf numFmtId="0" fontId="6" fillId="15" borderId="22" xfId="0" applyFont="1" applyFill="1" applyBorder="1" applyAlignment="1" applyProtection="1">
      <alignment horizontal="center"/>
      <protection locked="0"/>
    </xf>
    <xf numFmtId="164" fontId="6" fillId="15" borderId="22" xfId="0" applyNumberFormat="1" applyFont="1" applyFill="1" applyBorder="1" applyAlignment="1" applyProtection="1">
      <alignment horizontal="center"/>
      <protection locked="0"/>
    </xf>
    <xf numFmtId="2" fontId="51" fillId="0" borderId="1" xfId="0" applyNumberFormat="1" applyFont="1" applyBorder="1" applyAlignment="1">
      <alignment horizontal="center"/>
    </xf>
    <xf numFmtId="169" fontId="2" fillId="0" borderId="0" xfId="2" applyNumberFormat="1" applyAlignment="1">
      <alignment horizontal="center"/>
    </xf>
    <xf numFmtId="0" fontId="12" fillId="6" borderId="0" xfId="0" applyFont="1" applyFill="1" applyAlignment="1">
      <alignment horizontal="center" vertical="center"/>
    </xf>
    <xf numFmtId="2" fontId="10" fillId="6" borderId="36" xfId="9" applyNumberFormat="1" applyFont="1" applyFill="1" applyBorder="1" applyAlignment="1">
      <alignment horizontal="center"/>
    </xf>
    <xf numFmtId="2" fontId="10" fillId="6" borderId="3" xfId="9" applyNumberFormat="1" applyFont="1" applyFill="1" applyBorder="1" applyAlignment="1">
      <alignment horizontal="center"/>
    </xf>
    <xf numFmtId="2" fontId="10" fillId="6" borderId="20" xfId="9" applyNumberFormat="1" applyFont="1" applyFill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21" xfId="0" applyFont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21" xfId="0" applyFill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49" fontId="3" fillId="0" borderId="0" xfId="2" applyNumberFormat="1" applyFont="1" applyAlignment="1">
      <alignment horizontal="center"/>
    </xf>
    <xf numFmtId="0" fontId="2" fillId="0" borderId="44" xfId="3" applyFont="1" applyBorder="1" applyAlignment="1">
      <alignment horizontal="center" vertical="center" wrapText="1"/>
    </xf>
    <xf numFmtId="0" fontId="2" fillId="0" borderId="53" xfId="3" applyFont="1" applyBorder="1" applyAlignment="1">
      <alignment horizontal="center" vertical="center" wrapText="1"/>
    </xf>
    <xf numFmtId="0" fontId="2" fillId="0" borderId="55" xfId="3" applyFont="1" applyBorder="1" applyAlignment="1">
      <alignment horizontal="center" vertical="center" wrapText="1"/>
    </xf>
    <xf numFmtId="0" fontId="2" fillId="0" borderId="25" xfId="3" applyFont="1" applyBorder="1" applyAlignment="1">
      <alignment horizontal="center" vertical="center" wrapText="1"/>
    </xf>
    <xf numFmtId="0" fontId="2" fillId="0" borderId="9" xfId="2" applyBorder="1" applyAlignment="1">
      <alignment horizontal="center"/>
    </xf>
    <xf numFmtId="0" fontId="2" fillId="0" borderId="3" xfId="2" applyBorder="1" applyAlignment="1">
      <alignment horizontal="center"/>
    </xf>
    <xf numFmtId="0" fontId="2" fillId="0" borderId="8" xfId="2" applyBorder="1" applyAlignment="1">
      <alignment horizontal="center"/>
    </xf>
    <xf numFmtId="0" fontId="23" fillId="8" borderId="17" xfId="0" applyFont="1" applyFill="1" applyBorder="1" applyAlignment="1">
      <alignment horizontal="center" vertical="center" textRotation="90"/>
    </xf>
    <xf numFmtId="0" fontId="23" fillId="8" borderId="19" xfId="0" applyFont="1" applyFill="1" applyBorder="1" applyAlignment="1">
      <alignment horizontal="center" vertical="center" textRotation="90"/>
    </xf>
    <xf numFmtId="0" fontId="23" fillId="8" borderId="2" xfId="0" applyFont="1" applyFill="1" applyBorder="1" applyAlignment="1">
      <alignment horizontal="center" vertical="center" textRotation="90"/>
    </xf>
    <xf numFmtId="0" fontId="15" fillId="6" borderId="49" xfId="0" applyFont="1" applyFill="1" applyBorder="1" applyAlignment="1">
      <alignment horizontal="left"/>
    </xf>
    <xf numFmtId="0" fontId="15" fillId="6" borderId="64" xfId="0" applyFont="1" applyFill="1" applyBorder="1" applyAlignment="1">
      <alignment horizontal="left"/>
    </xf>
    <xf numFmtId="0" fontId="2" fillId="0" borderId="5" xfId="2" applyBorder="1" applyAlignment="1">
      <alignment horizontal="center"/>
    </xf>
    <xf numFmtId="0" fontId="15" fillId="6" borderId="38" xfId="0" applyFont="1" applyFill="1" applyBorder="1" applyAlignment="1">
      <alignment horizontal="center"/>
    </xf>
    <xf numFmtId="0" fontId="15" fillId="6" borderId="42" xfId="0" applyFont="1" applyFill="1" applyBorder="1" applyAlignment="1">
      <alignment horizontal="center"/>
    </xf>
    <xf numFmtId="0" fontId="15" fillId="6" borderId="3" xfId="0" applyFont="1" applyFill="1" applyBorder="1" applyAlignment="1">
      <alignment horizontal="center"/>
    </xf>
    <xf numFmtId="0" fontId="15" fillId="6" borderId="70" xfId="0" applyFont="1" applyFill="1" applyBorder="1" applyAlignment="1">
      <alignment horizontal="center"/>
    </xf>
    <xf numFmtId="0" fontId="15" fillId="6" borderId="45" xfId="0" applyFont="1" applyFill="1" applyBorder="1" applyAlignment="1">
      <alignment horizontal="center"/>
    </xf>
    <xf numFmtId="0" fontId="15" fillId="6" borderId="63" xfId="0" applyFont="1" applyFill="1" applyBorder="1" applyAlignment="1">
      <alignment horizontal="center"/>
    </xf>
    <xf numFmtId="0" fontId="0" fillId="6" borderId="24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33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6" borderId="73" xfId="0" applyFill="1" applyBorder="1" applyAlignment="1">
      <alignment horizontal="center"/>
    </xf>
    <xf numFmtId="0" fontId="0" fillId="6" borderId="57" xfId="0" applyFill="1" applyBorder="1" applyAlignment="1">
      <alignment horizontal="center"/>
    </xf>
    <xf numFmtId="0" fontId="0" fillId="6" borderId="72" xfId="0" applyFill="1" applyBorder="1" applyAlignment="1">
      <alignment horizontal="center"/>
    </xf>
    <xf numFmtId="0" fontId="15" fillId="6" borderId="0" xfId="0" applyFont="1" applyFill="1" applyAlignment="1">
      <alignment horizontal="center"/>
    </xf>
    <xf numFmtId="0" fontId="3" fillId="0" borderId="5" xfId="2" applyFont="1" applyBorder="1" applyAlignment="1">
      <alignment horizontal="center"/>
    </xf>
    <xf numFmtId="0" fontId="29" fillId="0" borderId="17" xfId="2" applyFont="1" applyBorder="1" applyAlignment="1">
      <alignment horizontal="center" vertical="center" textRotation="90"/>
    </xf>
    <xf numFmtId="0" fontId="29" fillId="0" borderId="19" xfId="2" applyFont="1" applyBorder="1" applyAlignment="1">
      <alignment horizontal="center" vertical="center" textRotation="90"/>
    </xf>
    <xf numFmtId="0" fontId="29" fillId="0" borderId="2" xfId="2" applyFont="1" applyBorder="1" applyAlignment="1">
      <alignment horizontal="center" vertical="center" textRotation="90"/>
    </xf>
    <xf numFmtId="0" fontId="2" fillId="0" borderId="17" xfId="2" applyBorder="1" applyAlignment="1">
      <alignment horizontal="center"/>
    </xf>
    <xf numFmtId="0" fontId="2" fillId="0" borderId="19" xfId="2" applyBorder="1" applyAlignment="1">
      <alignment horizontal="center"/>
    </xf>
    <xf numFmtId="0" fontId="2" fillId="0" borderId="2" xfId="2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2" fillId="0" borderId="0" xfId="2" applyAlignment="1">
      <alignment horizontal="center"/>
    </xf>
    <xf numFmtId="0" fontId="6" fillId="0" borderId="36" xfId="0" applyFont="1" applyBorder="1" applyAlignment="1" applyProtection="1">
      <alignment horizontal="center"/>
      <protection locked="0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20" xfId="0" applyFont="1" applyBorder="1" applyAlignment="1" applyProtection="1">
      <alignment horizontal="center"/>
      <protection locked="0"/>
    </xf>
    <xf numFmtId="0" fontId="7" fillId="0" borderId="36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6" fillId="0" borderId="9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20" xfId="0" applyFont="1" applyBorder="1" applyAlignment="1">
      <alignment horizontal="left"/>
    </xf>
    <xf numFmtId="164" fontId="6" fillId="0" borderId="36" xfId="0" applyNumberFormat="1" applyFont="1" applyBorder="1" applyAlignment="1" applyProtection="1">
      <alignment horizontal="center"/>
      <protection locked="0"/>
    </xf>
    <xf numFmtId="164" fontId="6" fillId="0" borderId="3" xfId="0" applyNumberFormat="1" applyFont="1" applyBorder="1" applyAlignment="1" applyProtection="1">
      <alignment horizontal="center"/>
      <protection locked="0"/>
    </xf>
    <xf numFmtId="164" fontId="6" fillId="0" borderId="20" xfId="0" applyNumberFormat="1" applyFont="1" applyBorder="1" applyAlignment="1" applyProtection="1">
      <alignment horizontal="center"/>
      <protection locked="0"/>
    </xf>
    <xf numFmtId="0" fontId="7" fillId="0" borderId="58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35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2" fillId="0" borderId="17" xfId="2" applyBorder="1" applyAlignment="1">
      <alignment horizontal="center" vertical="center" wrapText="1"/>
    </xf>
    <xf numFmtId="0" fontId="2" fillId="0" borderId="19" xfId="2" applyBorder="1" applyAlignment="1">
      <alignment horizontal="center" vertical="center" wrapText="1"/>
    </xf>
    <xf numFmtId="0" fontId="2" fillId="0" borderId="2" xfId="2" applyBorder="1" applyAlignment="1">
      <alignment horizontal="center" vertical="center" wrapText="1"/>
    </xf>
    <xf numFmtId="0" fontId="3" fillId="0" borderId="17" xfId="2" applyFont="1" applyBorder="1" applyAlignment="1">
      <alignment horizontal="center" vertical="center" wrapText="1"/>
    </xf>
    <xf numFmtId="0" fontId="3" fillId="0" borderId="19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vertical="center" wrapText="1"/>
    </xf>
    <xf numFmtId="0" fontId="2" fillId="11" borderId="9" xfId="2" applyFill="1" applyBorder="1" applyAlignment="1">
      <alignment horizontal="center"/>
    </xf>
    <xf numFmtId="0" fontId="2" fillId="11" borderId="8" xfId="2" applyFill="1" applyBorder="1" applyAlignment="1">
      <alignment horizontal="center"/>
    </xf>
    <xf numFmtId="0" fontId="3" fillId="0" borderId="9" xfId="2" applyFont="1" applyBorder="1" applyAlignment="1">
      <alignment horizontal="center"/>
    </xf>
    <xf numFmtId="0" fontId="3" fillId="0" borderId="3" xfId="2" applyFont="1" applyBorder="1" applyAlignment="1">
      <alignment horizontal="center"/>
    </xf>
    <xf numFmtId="0" fontId="0" fillId="0" borderId="0" xfId="0" applyAlignment="1">
      <alignment horizontal="center"/>
    </xf>
    <xf numFmtId="0" fontId="3" fillId="0" borderId="49" xfId="2" applyFont="1" applyBorder="1" applyAlignment="1">
      <alignment horizontal="center" vertical="center"/>
    </xf>
    <xf numFmtId="0" fontId="3" fillId="0" borderId="15" xfId="2" applyFont="1" applyBorder="1" applyAlignment="1">
      <alignment horizontal="center" vertical="center"/>
    </xf>
    <xf numFmtId="0" fontId="3" fillId="0" borderId="64" xfId="2" applyFont="1" applyBorder="1" applyAlignment="1">
      <alignment horizontal="center" vertical="center"/>
    </xf>
    <xf numFmtId="0" fontId="3" fillId="0" borderId="38" xfId="2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3" fillId="0" borderId="42" xfId="2" applyFont="1" applyBorder="1" applyAlignment="1">
      <alignment horizontal="center" vertical="center"/>
    </xf>
    <xf numFmtId="0" fontId="51" fillId="0" borderId="17" xfId="3" applyBorder="1" applyAlignment="1">
      <alignment horizontal="center" vertical="center"/>
    </xf>
    <xf numFmtId="0" fontId="51" fillId="0" borderId="19" xfId="3" applyBorder="1" applyAlignment="1">
      <alignment horizontal="center" vertical="center"/>
    </xf>
    <xf numFmtId="0" fontId="51" fillId="0" borderId="2" xfId="3" applyBorder="1" applyAlignment="1">
      <alignment horizontal="center" vertical="center"/>
    </xf>
    <xf numFmtId="0" fontId="2" fillId="0" borderId="17" xfId="2" applyBorder="1" applyAlignment="1">
      <alignment horizontal="center" vertical="center"/>
    </xf>
    <xf numFmtId="0" fontId="2" fillId="0" borderId="2" xfId="2" applyBorder="1" applyAlignment="1">
      <alignment horizontal="center" vertical="center"/>
    </xf>
    <xf numFmtId="0" fontId="2" fillId="0" borderId="19" xfId="2" applyBorder="1" applyAlignment="1">
      <alignment horizontal="center" vertical="center"/>
    </xf>
    <xf numFmtId="0" fontId="3" fillId="0" borderId="35" xfId="2" applyFont="1" applyBorder="1" applyAlignment="1">
      <alignment horizontal="center"/>
    </xf>
    <xf numFmtId="0" fontId="3" fillId="0" borderId="10" xfId="2" applyFont="1" applyBorder="1" applyAlignment="1">
      <alignment horizontal="center"/>
    </xf>
    <xf numFmtId="0" fontId="3" fillId="0" borderId="41" xfId="2" applyFont="1" applyBorder="1" applyAlignment="1">
      <alignment horizontal="center"/>
    </xf>
    <xf numFmtId="0" fontId="2" fillId="0" borderId="36" xfId="2" applyBorder="1" applyAlignment="1">
      <alignment horizontal="center"/>
    </xf>
    <xf numFmtId="0" fontId="2" fillId="0" borderId="9" xfId="2" applyBorder="1" applyAlignment="1">
      <alignment horizontal="center" vertical="center" wrapText="1"/>
    </xf>
    <xf numFmtId="0" fontId="2" fillId="0" borderId="8" xfId="2" applyBorder="1" applyAlignment="1">
      <alignment horizontal="center" vertical="center" wrapText="1"/>
    </xf>
    <xf numFmtId="0" fontId="0" fillId="0" borderId="43" xfId="0" applyBorder="1" applyAlignment="1">
      <alignment horizontal="center"/>
    </xf>
    <xf numFmtId="0" fontId="3" fillId="0" borderId="13" xfId="2" applyFont="1" applyBorder="1" applyAlignment="1">
      <alignment horizontal="center"/>
    </xf>
    <xf numFmtId="0" fontId="3" fillId="0" borderId="4" xfId="2" applyFont="1" applyBorder="1" applyAlignment="1">
      <alignment horizontal="center"/>
    </xf>
    <xf numFmtId="0" fontId="3" fillId="0" borderId="14" xfId="2" applyFont="1" applyBorder="1" applyAlignment="1">
      <alignment horizontal="center"/>
    </xf>
    <xf numFmtId="0" fontId="0" fillId="0" borderId="5" xfId="3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0" borderId="38" xfId="2" applyBorder="1" applyAlignment="1">
      <alignment horizontal="center"/>
    </xf>
    <xf numFmtId="0" fontId="2" fillId="0" borderId="42" xfId="2" applyBorder="1" applyAlignment="1">
      <alignment horizontal="center"/>
    </xf>
    <xf numFmtId="0" fontId="25" fillId="0" borderId="0" xfId="6" applyFont="1" applyAlignment="1">
      <alignment horizontal="center"/>
    </xf>
    <xf numFmtId="0" fontId="2" fillId="0" borderId="0" xfId="6" applyAlignment="1">
      <alignment horizontal="center"/>
    </xf>
    <xf numFmtId="0" fontId="0" fillId="0" borderId="0" xfId="3" applyFont="1" applyAlignment="1">
      <alignment horizontal="center"/>
    </xf>
    <xf numFmtId="0" fontId="4" fillId="0" borderId="5" xfId="2" applyFont="1" applyBorder="1" applyAlignment="1">
      <alignment horizontal="center"/>
    </xf>
    <xf numFmtId="0" fontId="5" fillId="0" borderId="9" xfId="2" applyFont="1" applyBorder="1" applyAlignment="1">
      <alignment horizontal="center"/>
    </xf>
    <xf numFmtId="0" fontId="5" fillId="0" borderId="3" xfId="2" applyFont="1" applyBorder="1" applyAlignment="1">
      <alignment horizontal="center"/>
    </xf>
    <xf numFmtId="0" fontId="5" fillId="0" borderId="8" xfId="2" applyFont="1" applyBorder="1" applyAlignment="1">
      <alignment horizontal="center"/>
    </xf>
    <xf numFmtId="0" fontId="3" fillId="0" borderId="8" xfId="2" applyFont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11" borderId="15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15" fillId="0" borderId="9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7" fillId="0" borderId="9" xfId="0" applyFont="1" applyBorder="1" applyAlignment="1">
      <alignment horizontal="left"/>
    </xf>
    <xf numFmtId="0" fontId="17" fillId="0" borderId="3" xfId="0" applyFont="1" applyBorder="1" applyAlignment="1">
      <alignment horizontal="left"/>
    </xf>
    <xf numFmtId="0" fontId="17" fillId="0" borderId="20" xfId="0" applyFont="1" applyBorder="1" applyAlignment="1">
      <alignment horizontal="left"/>
    </xf>
    <xf numFmtId="2" fontId="6" fillId="3" borderId="44" xfId="0" applyNumberFormat="1" applyFont="1" applyFill="1" applyBorder="1" applyAlignment="1" applyProtection="1">
      <alignment horizontal="center"/>
      <protection locked="0"/>
    </xf>
    <xf numFmtId="2" fontId="6" fillId="3" borderId="55" xfId="0" applyNumberFormat="1" applyFont="1" applyFill="1" applyBorder="1" applyAlignment="1" applyProtection="1">
      <alignment horizontal="center"/>
      <protection locked="0"/>
    </xf>
    <xf numFmtId="0" fontId="17" fillId="0" borderId="49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17" fillId="0" borderId="61" xfId="0" applyFont="1" applyBorder="1" applyAlignment="1">
      <alignment horizontal="left" wrapText="1"/>
    </xf>
    <xf numFmtId="0" fontId="17" fillId="0" borderId="38" xfId="0" applyFont="1" applyBorder="1" applyAlignment="1">
      <alignment horizontal="left" wrapText="1"/>
    </xf>
    <xf numFmtId="0" fontId="17" fillId="0" borderId="5" xfId="0" applyFont="1" applyBorder="1" applyAlignment="1">
      <alignment horizontal="left" wrapText="1"/>
    </xf>
    <xf numFmtId="0" fontId="17" fillId="0" borderId="48" xfId="0" applyFont="1" applyBorder="1" applyAlignment="1">
      <alignment horizontal="left" wrapText="1"/>
    </xf>
    <xf numFmtId="2" fontId="6" fillId="3" borderId="67" xfId="0" applyNumberFormat="1" applyFont="1" applyFill="1" applyBorder="1" applyAlignment="1" applyProtection="1">
      <alignment horizontal="center"/>
      <protection locked="0"/>
    </xf>
    <xf numFmtId="0" fontId="17" fillId="0" borderId="6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46" xfId="0" applyFont="1" applyBorder="1" applyAlignment="1">
      <alignment horizontal="left" wrapText="1"/>
    </xf>
    <xf numFmtId="0" fontId="0" fillId="0" borderId="5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50" xfId="0" applyBorder="1" applyAlignment="1">
      <alignment horizontal="left"/>
    </xf>
    <xf numFmtId="0" fontId="7" fillId="0" borderId="9" xfId="0" applyFont="1" applyBorder="1" applyAlignment="1">
      <alignment horizontal="left"/>
    </xf>
    <xf numFmtId="0" fontId="7" fillId="0" borderId="3" xfId="0" applyFont="1" applyBorder="1" applyAlignment="1">
      <alignment horizontal="left"/>
    </xf>
    <xf numFmtId="0" fontId="7" fillId="0" borderId="20" xfId="0" applyFont="1" applyBorder="1" applyAlignment="1">
      <alignment horizontal="left"/>
    </xf>
    <xf numFmtId="0" fontId="7" fillId="0" borderId="59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54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21" xfId="0" applyFont="1" applyBorder="1" applyAlignment="1">
      <alignment horizontal="center"/>
    </xf>
    <xf numFmtId="0" fontId="13" fillId="0" borderId="56" xfId="0" applyFont="1" applyBorder="1" applyAlignment="1">
      <alignment horizontal="right"/>
    </xf>
    <xf numFmtId="0" fontId="13" fillId="0" borderId="5" xfId="0" applyFont="1" applyBorder="1" applyAlignment="1">
      <alignment horizontal="right"/>
    </xf>
    <xf numFmtId="0" fontId="13" fillId="0" borderId="48" xfId="0" applyFont="1" applyBorder="1" applyAlignment="1">
      <alignment horizontal="right"/>
    </xf>
    <xf numFmtId="0" fontId="7" fillId="0" borderId="4" xfId="0" applyFont="1" applyBorder="1" applyAlignment="1">
      <alignment horizontal="center"/>
    </xf>
    <xf numFmtId="0" fontId="4" fillId="0" borderId="9" xfId="2" applyFont="1" applyBorder="1" applyAlignment="1">
      <alignment horizontal="center"/>
    </xf>
    <xf numFmtId="0" fontId="4" fillId="0" borderId="3" xfId="2" applyFont="1" applyBorder="1" applyAlignment="1">
      <alignment horizontal="center"/>
    </xf>
    <xf numFmtId="0" fontId="4" fillId="0" borderId="8" xfId="2" applyFont="1" applyBorder="1" applyAlignment="1">
      <alignment horizontal="center"/>
    </xf>
    <xf numFmtId="0" fontId="9" fillId="3" borderId="9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9" fillId="3" borderId="8" xfId="0" applyFont="1" applyFill="1" applyBorder="1" applyAlignment="1">
      <alignment horizontal="center"/>
    </xf>
    <xf numFmtId="0" fontId="14" fillId="0" borderId="0" xfId="2" applyFont="1" applyAlignment="1">
      <alignment horizontal="center" vertical="center"/>
    </xf>
    <xf numFmtId="0" fontId="18" fillId="0" borderId="9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8" xfId="0" applyFont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0" fontId="12" fillId="4" borderId="3" xfId="0" applyFont="1" applyFill="1" applyBorder="1" applyAlignment="1">
      <alignment horizontal="center"/>
    </xf>
    <xf numFmtId="0" fontId="12" fillId="4" borderId="8" xfId="0" applyFont="1" applyFill="1" applyBorder="1" applyAlignment="1">
      <alignment horizontal="center"/>
    </xf>
    <xf numFmtId="0" fontId="2" fillId="0" borderId="9" xfId="7" applyBorder="1" applyAlignment="1">
      <alignment horizontal="center"/>
    </xf>
    <xf numFmtId="0" fontId="2" fillId="0" borderId="8" xfId="7" applyBorder="1" applyAlignment="1">
      <alignment horizontal="center"/>
    </xf>
    <xf numFmtId="0" fontId="15" fillId="0" borderId="1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14" xfId="0" applyFont="1" applyBorder="1" applyAlignment="1">
      <alignment horizontal="center"/>
    </xf>
  </cellXfs>
  <cellStyles count="19">
    <cellStyle name="Neutral 2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2 5" xfId="6" xr:uid="{00000000-0005-0000-0000-000006000000}"/>
    <cellStyle name="Normal 2 6" xfId="7" xr:uid="{00000000-0005-0000-0000-000007000000}"/>
    <cellStyle name="Normal 2 7" xfId="8" xr:uid="{00000000-0005-0000-0000-000008000000}"/>
    <cellStyle name="Normal 2 7_Data" xfId="9" xr:uid="{00000000-0005-0000-0000-000009000000}"/>
    <cellStyle name="Normal 3" xfId="10" xr:uid="{00000000-0005-0000-0000-00000A000000}"/>
    <cellStyle name="Normal 4" xfId="11" xr:uid="{00000000-0005-0000-0000-00000B000000}"/>
    <cellStyle name="Normal 4 2" xfId="12" xr:uid="{00000000-0005-0000-0000-00000C000000}"/>
    <cellStyle name="Normal 5" xfId="13" xr:uid="{00000000-0005-0000-0000-00000D000000}"/>
    <cellStyle name="Normal 5 2" xfId="14" xr:uid="{00000000-0005-0000-0000-00000E000000}"/>
    <cellStyle name="Normal 6" xfId="15" xr:uid="{00000000-0005-0000-0000-00000F000000}"/>
    <cellStyle name="Normal 7" xfId="16" xr:uid="{00000000-0005-0000-0000-000010000000}"/>
    <cellStyle name="Normal_Data" xfId="17" xr:uid="{00000000-0005-0000-0000-000011000000}"/>
    <cellStyle name="Percent" xfId="18" builtinId="5"/>
  </cellStyles>
  <dxfs count="13"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0" tint="-0.3499252296517838"/>
        </patternFill>
      </fill>
    </dxf>
    <dxf>
      <fill>
        <patternFill>
          <bgColor theme="0" tint="-0.3499252296517838"/>
        </patternFill>
      </fill>
    </dxf>
    <dxf>
      <fill>
        <patternFill>
          <bgColor rgb="FFFFFF00"/>
        </patternFill>
      </fill>
    </dxf>
    <dxf>
      <fill>
        <patternFill>
          <bgColor theme="0" tint="-0.3499252296517838"/>
        </patternFill>
      </fill>
    </dxf>
    <dxf>
      <fill>
        <patternFill>
          <bgColor rgb="FFFFFF00"/>
        </patternFill>
      </fill>
    </dxf>
    <dxf>
      <fill>
        <patternFill>
          <bgColor theme="0" tint="-0.3499252296517838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v>Ground Data</c:v>
          </c:tx>
          <c:spPr>
            <a:ln w="38100">
              <a:solidFill>
                <a:schemeClr val="accent6">
                  <a:lumMod val="50000"/>
                </a:schemeClr>
              </a:solidFill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XS_Designer_Calculations!$B$5:$B$104</c:f>
              <c:numCache>
                <c:formatCode>General</c:formatCode>
                <c:ptCount val="100"/>
                <c:pt idx="0" formatCode="0.00000">
                  <c:v>-27.201250000000002</c:v>
                </c:pt>
                <c:pt idx="1">
                  <c:v>-26.60125</c:v>
                </c:pt>
                <c:pt idx="2">
                  <c:v>-16.60125</c:v>
                </c:pt>
                <c:pt idx="3">
                  <c:v>-15.001249999999999</c:v>
                </c:pt>
                <c:pt idx="4">
                  <c:v>-5.0012499999999998</c:v>
                </c:pt>
                <c:pt idx="5">
                  <c:v>-2.0012499999999998</c:v>
                </c:pt>
                <c:pt idx="6">
                  <c:v>-1.00125</c:v>
                </c:pt>
                <c:pt idx="7">
                  <c:v>-0.50124999999999997</c:v>
                </c:pt>
                <c:pt idx="8">
                  <c:v>-1E-3</c:v>
                </c:pt>
                <c:pt idx="9">
                  <c:v>0</c:v>
                </c:pt>
                <c:pt idx="10">
                  <c:v>1E-3</c:v>
                </c:pt>
                <c:pt idx="11">
                  <c:v>0.50124999999999997</c:v>
                </c:pt>
                <c:pt idx="12">
                  <c:v>1.00125</c:v>
                </c:pt>
                <c:pt idx="13">
                  <c:v>2.0012499999999998</c:v>
                </c:pt>
                <c:pt idx="14">
                  <c:v>5.0012499999999998</c:v>
                </c:pt>
                <c:pt idx="15">
                  <c:v>15.001249999999999</c:v>
                </c:pt>
                <c:pt idx="16">
                  <c:v>16.60125</c:v>
                </c:pt>
                <c:pt idx="17">
                  <c:v>26.60125</c:v>
                </c:pt>
                <c:pt idx="18">
                  <c:v>27.201250000000002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XS_Designer_Calculations!$C$5:$C$104</c:f>
              <c:numCache>
                <c:formatCode>General</c:formatCode>
                <c:ptCount val="100"/>
                <c:pt idx="0">
                  <c:v>3.5010000000000003</c:v>
                </c:pt>
                <c:pt idx="1">
                  <c:v>3.2010000000000005</c:v>
                </c:pt>
                <c:pt idx="2">
                  <c:v>3.0010000000000003</c:v>
                </c:pt>
                <c:pt idx="3">
                  <c:v>2.2010000000000001</c:v>
                </c:pt>
                <c:pt idx="4">
                  <c:v>2.0009999999999999</c:v>
                </c:pt>
                <c:pt idx="5">
                  <c:v>0.501</c:v>
                </c:pt>
                <c:pt idx="6">
                  <c:v>0.251</c:v>
                </c:pt>
                <c:pt idx="7">
                  <c:v>0.126</c:v>
                </c:pt>
                <c:pt idx="8">
                  <c:v>1E-3</c:v>
                </c:pt>
                <c:pt idx="9">
                  <c:v>0</c:v>
                </c:pt>
                <c:pt idx="10">
                  <c:v>1E-3</c:v>
                </c:pt>
                <c:pt idx="11">
                  <c:v>0.126</c:v>
                </c:pt>
                <c:pt idx="12">
                  <c:v>0.251</c:v>
                </c:pt>
                <c:pt idx="13">
                  <c:v>0.501</c:v>
                </c:pt>
                <c:pt idx="14">
                  <c:v>2.0009999999999999</c:v>
                </c:pt>
                <c:pt idx="15">
                  <c:v>2.2010000000000001</c:v>
                </c:pt>
                <c:pt idx="16">
                  <c:v>3.0010000000000003</c:v>
                </c:pt>
                <c:pt idx="17">
                  <c:v>3.2010000000000005</c:v>
                </c:pt>
                <c:pt idx="18">
                  <c:v>3.5010000000000003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C6-4C58-8657-ECBAF8C6693F}"/>
            </c:ext>
          </c:extLst>
        </c:ser>
        <c:ser>
          <c:idx val="3"/>
          <c:order val="1"/>
          <c:tx>
            <c:v>Left Limit</c:v>
          </c:tx>
          <c:spPr>
            <a:ln w="25400">
              <a:solidFill>
                <a:schemeClr val="lt1">
                  <a:lumMod val="5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XS_Designer_Calculations!$N$5:$N$6</c:f>
              <c:numCache>
                <c:formatCode>General</c:formatCode>
                <c:ptCount val="2"/>
                <c:pt idx="0">
                  <c:v>-50</c:v>
                </c:pt>
                <c:pt idx="1">
                  <c:v>-50</c:v>
                </c:pt>
              </c:numCache>
            </c:numRef>
          </c:xVal>
          <c:yVal>
            <c:numRef>
              <c:f>XS_Designer_Calculations!$O$5:$O$6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3.5010000000000003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C6-4C58-8657-ECBAF8C6693F}"/>
            </c:ext>
          </c:extLst>
        </c:ser>
        <c:ser>
          <c:idx val="4"/>
          <c:order val="2"/>
          <c:tx>
            <c:v>Top Limit</c:v>
          </c:tx>
          <c:spPr>
            <a:ln w="25400" cap="rnd">
              <a:solidFill>
                <a:srgbClr val="002060"/>
              </a:solidFill>
              <a:prstDash val="lgDashDot"/>
            </a:ln>
          </c:spPr>
          <c:marker>
            <c:symbol val="none"/>
          </c:marker>
          <c:xVal>
            <c:numRef>
              <c:f>XS_Designer_Calculations!$N$18:$N$19</c:f>
              <c:numCache>
                <c:formatCode>General</c:formatCode>
                <c:ptCount val="2"/>
                <c:pt idx="0">
                  <c:v>-27.201250000000002</c:v>
                </c:pt>
                <c:pt idx="1">
                  <c:v>27.201250000000002</c:v>
                </c:pt>
              </c:numCache>
            </c:numRef>
          </c:xVal>
          <c:yVal>
            <c:numRef>
              <c:f>XS_Designer_Calculations!$O$18:$O$19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C6-4C58-8657-ECBAF8C6693F}"/>
            </c:ext>
          </c:extLst>
        </c:ser>
        <c:ser>
          <c:idx val="5"/>
          <c:order val="3"/>
          <c:tx>
            <c:v>Right Limit</c:v>
          </c:tx>
          <c:spPr>
            <a:ln w="25400">
              <a:solidFill>
                <a:schemeClr val="lt1">
                  <a:lumMod val="5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XS_Designer_Calculations!$N$12:$N$13</c:f>
              <c:numCache>
                <c:formatCode>General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xVal>
          <c:yVal>
            <c:numRef>
              <c:f>XS_Designer_Calculations!$O$12:$O$13</c:f>
              <c:numCache>
                <c:formatCode>General</c:formatCode>
                <c:ptCount val="2"/>
                <c:pt idx="0">
                  <c:v>0</c:v>
                </c:pt>
                <c:pt idx="1">
                  <c:v>3.5010000000000003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C6-4C58-8657-ECBAF8C6693F}"/>
            </c:ext>
          </c:extLst>
        </c:ser>
        <c:ser>
          <c:idx val="6"/>
          <c:order val="4"/>
          <c:tx>
            <c:strRef>
              <c:f>XS_Designer_Calculations!$AS$2</c:f>
              <c:strCache>
                <c:ptCount val="1"/>
                <c:pt idx="0">
                  <c:v>flow area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xVal>
            <c:numRef>
              <c:f>XS_Designer_Calculations!$AU$3:$AU$104</c:f>
              <c:numCache>
                <c:formatCode>0.00000</c:formatCode>
                <c:ptCount val="102"/>
                <c:pt idx="0">
                  <c:v>-27.201250000000002</c:v>
                </c:pt>
                <c:pt idx="1">
                  <c:v>-27.201250000000002</c:v>
                </c:pt>
                <c:pt idx="2">
                  <c:v>-26.60125</c:v>
                </c:pt>
                <c:pt idx="3">
                  <c:v>-16.60125</c:v>
                </c:pt>
                <c:pt idx="4">
                  <c:v>-15.001249999999999</c:v>
                </c:pt>
                <c:pt idx="5">
                  <c:v>-5.0012499999999998</c:v>
                </c:pt>
                <c:pt idx="6">
                  <c:v>-2.0012499999999998</c:v>
                </c:pt>
                <c:pt idx="7">
                  <c:v>-1.00125</c:v>
                </c:pt>
                <c:pt idx="8">
                  <c:v>-0.50124999999999997</c:v>
                </c:pt>
                <c:pt idx="9">
                  <c:v>-1E-3</c:v>
                </c:pt>
                <c:pt idx="10">
                  <c:v>0</c:v>
                </c:pt>
                <c:pt idx="11">
                  <c:v>1E-3</c:v>
                </c:pt>
                <c:pt idx="12">
                  <c:v>0.50124999999999997</c:v>
                </c:pt>
                <c:pt idx="13">
                  <c:v>1.00125</c:v>
                </c:pt>
                <c:pt idx="14">
                  <c:v>2.0012499999999998</c:v>
                </c:pt>
                <c:pt idx="15">
                  <c:v>5.0012499999999998</c:v>
                </c:pt>
                <c:pt idx="16">
                  <c:v>15.001249999999999</c:v>
                </c:pt>
                <c:pt idx="17">
                  <c:v>16.60125</c:v>
                </c:pt>
                <c:pt idx="18">
                  <c:v>26.60125</c:v>
                </c:pt>
                <c:pt idx="19">
                  <c:v>27.201250000000002</c:v>
                </c:pt>
                <c:pt idx="20">
                  <c:v>27.201250000000002</c:v>
                </c:pt>
                <c:pt idx="21">
                  <c:v>27.201250000000002</c:v>
                </c:pt>
                <c:pt idx="22">
                  <c:v>27.201250000000002</c:v>
                </c:pt>
                <c:pt idx="23">
                  <c:v>27.201250000000002</c:v>
                </c:pt>
                <c:pt idx="24">
                  <c:v>27.201250000000002</c:v>
                </c:pt>
                <c:pt idx="25">
                  <c:v>27.201250000000002</c:v>
                </c:pt>
                <c:pt idx="26">
                  <c:v>27.201250000000002</c:v>
                </c:pt>
                <c:pt idx="27">
                  <c:v>27.201250000000002</c:v>
                </c:pt>
                <c:pt idx="28">
                  <c:v>27.201250000000002</c:v>
                </c:pt>
                <c:pt idx="29">
                  <c:v>27.201250000000002</c:v>
                </c:pt>
                <c:pt idx="30">
                  <c:v>27.201250000000002</c:v>
                </c:pt>
                <c:pt idx="31">
                  <c:v>27.201250000000002</c:v>
                </c:pt>
                <c:pt idx="32">
                  <c:v>27.201250000000002</c:v>
                </c:pt>
                <c:pt idx="33">
                  <c:v>27.201250000000002</c:v>
                </c:pt>
                <c:pt idx="34">
                  <c:v>27.201250000000002</c:v>
                </c:pt>
                <c:pt idx="35">
                  <c:v>27.201250000000002</c:v>
                </c:pt>
                <c:pt idx="36">
                  <c:v>27.201250000000002</c:v>
                </c:pt>
                <c:pt idx="37">
                  <c:v>27.201250000000002</c:v>
                </c:pt>
                <c:pt idx="38">
                  <c:v>27.201250000000002</c:v>
                </c:pt>
                <c:pt idx="39">
                  <c:v>27.201250000000002</c:v>
                </c:pt>
                <c:pt idx="40">
                  <c:v>27.201250000000002</c:v>
                </c:pt>
                <c:pt idx="41">
                  <c:v>27.201250000000002</c:v>
                </c:pt>
                <c:pt idx="42">
                  <c:v>27.201250000000002</c:v>
                </c:pt>
                <c:pt idx="43">
                  <c:v>27.201250000000002</c:v>
                </c:pt>
                <c:pt idx="44">
                  <c:v>27.201250000000002</c:v>
                </c:pt>
                <c:pt idx="45">
                  <c:v>27.201250000000002</c:v>
                </c:pt>
                <c:pt idx="46">
                  <c:v>27.201250000000002</c:v>
                </c:pt>
                <c:pt idx="47">
                  <c:v>27.201250000000002</c:v>
                </c:pt>
                <c:pt idx="48">
                  <c:v>27.201250000000002</c:v>
                </c:pt>
                <c:pt idx="49">
                  <c:v>27.201250000000002</c:v>
                </c:pt>
                <c:pt idx="50">
                  <c:v>27.201250000000002</c:v>
                </c:pt>
                <c:pt idx="51">
                  <c:v>27.201250000000002</c:v>
                </c:pt>
                <c:pt idx="52">
                  <c:v>27.201250000000002</c:v>
                </c:pt>
                <c:pt idx="53">
                  <c:v>27.201250000000002</c:v>
                </c:pt>
                <c:pt idx="54">
                  <c:v>27.201250000000002</c:v>
                </c:pt>
                <c:pt idx="55">
                  <c:v>27.201250000000002</c:v>
                </c:pt>
                <c:pt idx="56">
                  <c:v>27.201250000000002</c:v>
                </c:pt>
                <c:pt idx="57">
                  <c:v>27.201250000000002</c:v>
                </c:pt>
                <c:pt idx="58">
                  <c:v>27.201250000000002</c:v>
                </c:pt>
                <c:pt idx="59">
                  <c:v>27.201250000000002</c:v>
                </c:pt>
                <c:pt idx="60">
                  <c:v>27.201250000000002</c:v>
                </c:pt>
                <c:pt idx="61">
                  <c:v>27.201250000000002</c:v>
                </c:pt>
                <c:pt idx="62">
                  <c:v>27.201250000000002</c:v>
                </c:pt>
                <c:pt idx="63">
                  <c:v>27.201250000000002</c:v>
                </c:pt>
                <c:pt idx="64">
                  <c:v>27.201250000000002</c:v>
                </c:pt>
                <c:pt idx="65">
                  <c:v>27.201250000000002</c:v>
                </c:pt>
                <c:pt idx="66">
                  <c:v>27.201250000000002</c:v>
                </c:pt>
                <c:pt idx="67">
                  <c:v>27.201250000000002</c:v>
                </c:pt>
                <c:pt idx="68">
                  <c:v>27.201250000000002</c:v>
                </c:pt>
                <c:pt idx="69">
                  <c:v>27.201250000000002</c:v>
                </c:pt>
                <c:pt idx="70">
                  <c:v>27.201250000000002</c:v>
                </c:pt>
                <c:pt idx="71">
                  <c:v>27.201250000000002</c:v>
                </c:pt>
                <c:pt idx="72">
                  <c:v>27.201250000000002</c:v>
                </c:pt>
                <c:pt idx="73">
                  <c:v>27.201250000000002</c:v>
                </c:pt>
                <c:pt idx="74">
                  <c:v>27.201250000000002</c:v>
                </c:pt>
                <c:pt idx="75">
                  <c:v>27.201250000000002</c:v>
                </c:pt>
                <c:pt idx="76">
                  <c:v>27.201250000000002</c:v>
                </c:pt>
                <c:pt idx="77">
                  <c:v>27.201250000000002</c:v>
                </c:pt>
                <c:pt idx="78">
                  <c:v>27.201250000000002</c:v>
                </c:pt>
                <c:pt idx="79">
                  <c:v>27.201250000000002</c:v>
                </c:pt>
                <c:pt idx="80">
                  <c:v>27.201250000000002</c:v>
                </c:pt>
                <c:pt idx="81">
                  <c:v>27.201250000000002</c:v>
                </c:pt>
                <c:pt idx="82">
                  <c:v>27.201250000000002</c:v>
                </c:pt>
                <c:pt idx="83">
                  <c:v>27.201250000000002</c:v>
                </c:pt>
                <c:pt idx="84">
                  <c:v>27.201250000000002</c:v>
                </c:pt>
                <c:pt idx="85">
                  <c:v>27.201250000000002</c:v>
                </c:pt>
                <c:pt idx="86">
                  <c:v>27.201250000000002</c:v>
                </c:pt>
                <c:pt idx="87">
                  <c:v>27.201250000000002</c:v>
                </c:pt>
                <c:pt idx="88">
                  <c:v>27.201250000000002</c:v>
                </c:pt>
                <c:pt idx="89">
                  <c:v>27.201250000000002</c:v>
                </c:pt>
                <c:pt idx="90">
                  <c:v>27.201250000000002</c:v>
                </c:pt>
                <c:pt idx="91">
                  <c:v>27.201250000000002</c:v>
                </c:pt>
                <c:pt idx="92">
                  <c:v>27.201250000000002</c:v>
                </c:pt>
                <c:pt idx="93">
                  <c:v>27.201250000000002</c:v>
                </c:pt>
                <c:pt idx="94">
                  <c:v>27.201250000000002</c:v>
                </c:pt>
                <c:pt idx="95">
                  <c:v>27.201250000000002</c:v>
                </c:pt>
                <c:pt idx="96">
                  <c:v>27.201250000000002</c:v>
                </c:pt>
                <c:pt idx="97">
                  <c:v>27.201250000000002</c:v>
                </c:pt>
                <c:pt idx="98">
                  <c:v>27.201250000000002</c:v>
                </c:pt>
                <c:pt idx="99">
                  <c:v>27.201250000000002</c:v>
                </c:pt>
                <c:pt idx="100">
                  <c:v>27.201250000000002</c:v>
                </c:pt>
                <c:pt idx="101">
                  <c:v>27.201250000000002</c:v>
                </c:pt>
              </c:numCache>
            </c:numRef>
          </c:xVal>
          <c:yVal>
            <c:numRef>
              <c:f>XS_Designer_Calculations!$AV$3:$AV$104</c:f>
              <c:numCache>
                <c:formatCode>0.000</c:formatCode>
                <c:ptCount val="102"/>
                <c:pt idx="0">
                  <c:v>5</c:v>
                </c:pt>
                <c:pt idx="1">
                  <c:v>3.5010000000000003</c:v>
                </c:pt>
                <c:pt idx="2">
                  <c:v>3.2010000000000005</c:v>
                </c:pt>
                <c:pt idx="3">
                  <c:v>3.0010000000000003</c:v>
                </c:pt>
                <c:pt idx="4">
                  <c:v>2.2010000000000001</c:v>
                </c:pt>
                <c:pt idx="5">
                  <c:v>2.0009999999999999</c:v>
                </c:pt>
                <c:pt idx="6">
                  <c:v>0.501</c:v>
                </c:pt>
                <c:pt idx="7">
                  <c:v>0.251</c:v>
                </c:pt>
                <c:pt idx="8">
                  <c:v>0.126</c:v>
                </c:pt>
                <c:pt idx="9">
                  <c:v>1E-3</c:v>
                </c:pt>
                <c:pt idx="10">
                  <c:v>0</c:v>
                </c:pt>
                <c:pt idx="11">
                  <c:v>1E-3</c:v>
                </c:pt>
                <c:pt idx="12">
                  <c:v>0.126</c:v>
                </c:pt>
                <c:pt idx="13">
                  <c:v>0.251</c:v>
                </c:pt>
                <c:pt idx="14">
                  <c:v>0.501</c:v>
                </c:pt>
                <c:pt idx="15">
                  <c:v>2.0009999999999999</c:v>
                </c:pt>
                <c:pt idx="16">
                  <c:v>2.2010000000000001</c:v>
                </c:pt>
                <c:pt idx="17">
                  <c:v>3.0010000000000003</c:v>
                </c:pt>
                <c:pt idx="18">
                  <c:v>3.2010000000000005</c:v>
                </c:pt>
                <c:pt idx="19">
                  <c:v>3.5010000000000003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6C6-4C58-8657-ECBAF8C6693F}"/>
            </c:ext>
          </c:extLst>
        </c:ser>
        <c:ser>
          <c:idx val="0"/>
          <c:order val="5"/>
          <c:tx>
            <c:v>n value points</c:v>
          </c:tx>
          <c:spPr>
            <a:ln>
              <a:noFill/>
            </a:ln>
          </c:spPr>
          <c:marker>
            <c:symbol val="none"/>
          </c:marker>
          <c:xVal>
            <c:strRef>
              <c:f>XS_Designer_Calculations!$AF$4:$AF$104</c:f>
              <c:strCache>
                <c:ptCount val="18"/>
                <c:pt idx="0">
                  <c:v>-16.10125</c:v>
                </c:pt>
                <c:pt idx="1">
                  <c:v>-16.10125</c:v>
                </c:pt>
                <c:pt idx="2">
                  <c:v>-16.10125</c:v>
                </c:pt>
                <c:pt idx="3">
                  <c:v>-16.10125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16.10125</c:v>
                </c:pt>
                <c:pt idx="15">
                  <c:v>16.10125</c:v>
                </c:pt>
                <c:pt idx="16">
                  <c:v>16.10125</c:v>
                </c:pt>
                <c:pt idx="17">
                  <c:v>16.10125</c:v>
                </c:pt>
              </c:strCache>
            </c:strRef>
          </c:xVal>
          <c:yVal>
            <c:numRef>
              <c:f>XS_Designer_Calculations!$W$4:$W$104</c:f>
              <c:numCache>
                <c:formatCode>General</c:formatCode>
                <c:ptCount val="101"/>
                <c:pt idx="0">
                  <c:v>4.0010000000000003</c:v>
                </c:pt>
                <c:pt idx="1">
                  <c:v>4.0010000000000003</c:v>
                </c:pt>
                <c:pt idx="2">
                  <c:v>4.0010000000000003</c:v>
                </c:pt>
                <c:pt idx="3">
                  <c:v>4.0010000000000003</c:v>
                </c:pt>
                <c:pt idx="4">
                  <c:v>4.0010000000000003</c:v>
                </c:pt>
                <c:pt idx="5">
                  <c:v>4.0010000000000003</c:v>
                </c:pt>
                <c:pt idx="6">
                  <c:v>4.0010000000000003</c:v>
                </c:pt>
                <c:pt idx="7">
                  <c:v>4.0010000000000003</c:v>
                </c:pt>
                <c:pt idx="8">
                  <c:v>4.0010000000000003</c:v>
                </c:pt>
                <c:pt idx="9">
                  <c:v>4.0010000000000003</c:v>
                </c:pt>
                <c:pt idx="10">
                  <c:v>4.0010000000000003</c:v>
                </c:pt>
                <c:pt idx="11">
                  <c:v>4.0010000000000003</c:v>
                </c:pt>
                <c:pt idx="12">
                  <c:v>4.0010000000000003</c:v>
                </c:pt>
                <c:pt idx="13">
                  <c:v>4.0010000000000003</c:v>
                </c:pt>
                <c:pt idx="14">
                  <c:v>4.0010000000000003</c:v>
                </c:pt>
                <c:pt idx="15">
                  <c:v>4.0010000000000003</c:v>
                </c:pt>
                <c:pt idx="16">
                  <c:v>4.0010000000000003</c:v>
                </c:pt>
                <c:pt idx="17">
                  <c:v>4.0010000000000003</c:v>
                </c:pt>
                <c:pt idx="18">
                  <c:v>4.0010000000000003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C6-4C58-8657-ECBAF8C6693F}"/>
            </c:ext>
          </c:extLst>
        </c:ser>
        <c:ser>
          <c:idx val="1"/>
          <c:order val="6"/>
          <c:tx>
            <c:v>n value line</c:v>
          </c:tx>
          <c:spPr>
            <a:ln w="19050">
              <a:solidFill>
                <a:schemeClr val="lt1">
                  <a:lumMod val="50000"/>
                </a:schemeClr>
              </a:solidFill>
            </a:ln>
          </c:spPr>
          <c:marker>
            <c:symbol val="plus"/>
            <c:size val="7"/>
            <c:spPr>
              <a:noFill/>
              <a:ln w="19050">
                <a:solidFill>
                  <a:schemeClr val="lt1">
                    <a:lumMod val="50000"/>
                  </a:schemeClr>
                </a:solidFill>
              </a:ln>
            </c:spPr>
          </c:marker>
          <c:xVal>
            <c:strRef>
              <c:f>XS_Designer_Calculations!$AE$4:$AE$104</c:f>
              <c:strCache>
                <c:ptCount val="19"/>
                <c:pt idx="0">
                  <c:v>-27.20125</c:v>
                </c:pt>
                <c:pt idx="1">
                  <c:v>-5.00125</c:v>
                </c:pt>
                <c:pt idx="2">
                  <c:v>-5.00125</c:v>
                </c:pt>
                <c:pt idx="3">
                  <c:v>-5.00125</c:v>
                </c:pt>
                <c:pt idx="4">
                  <c:v>-5.00125</c:v>
                </c:pt>
                <c:pt idx="5">
                  <c:v>5.00125</c:v>
                </c:pt>
                <c:pt idx="6">
                  <c:v>5.00125</c:v>
                </c:pt>
                <c:pt idx="7">
                  <c:v>5.00125</c:v>
                </c:pt>
                <c:pt idx="8">
                  <c:v>5.00125</c:v>
                </c:pt>
                <c:pt idx="9">
                  <c:v>5.00125</c:v>
                </c:pt>
                <c:pt idx="10">
                  <c:v>5.00125</c:v>
                </c:pt>
                <c:pt idx="11">
                  <c:v>5.00125</c:v>
                </c:pt>
                <c:pt idx="12">
                  <c:v>5.00125</c:v>
                </c:pt>
                <c:pt idx="13">
                  <c:v>5.00125</c:v>
                </c:pt>
                <c:pt idx="14">
                  <c:v>5.00125</c:v>
                </c:pt>
                <c:pt idx="15">
                  <c:v>27.20125</c:v>
                </c:pt>
                <c:pt idx="16">
                  <c:v>27.20125</c:v>
                </c:pt>
                <c:pt idx="17">
                  <c:v>27.20125</c:v>
                </c:pt>
                <c:pt idx="18">
                  <c:v>27.20125</c:v>
                </c:pt>
              </c:strCache>
            </c:strRef>
          </c:xVal>
          <c:yVal>
            <c:numRef>
              <c:f>XS_Designer_Calculations!$W$4:$W$104</c:f>
              <c:numCache>
                <c:formatCode>General</c:formatCode>
                <c:ptCount val="101"/>
                <c:pt idx="0">
                  <c:v>4.0010000000000003</c:v>
                </c:pt>
                <c:pt idx="1">
                  <c:v>4.0010000000000003</c:v>
                </c:pt>
                <c:pt idx="2">
                  <c:v>4.0010000000000003</c:v>
                </c:pt>
                <c:pt idx="3">
                  <c:v>4.0010000000000003</c:v>
                </c:pt>
                <c:pt idx="4">
                  <c:v>4.0010000000000003</c:v>
                </c:pt>
                <c:pt idx="5">
                  <c:v>4.0010000000000003</c:v>
                </c:pt>
                <c:pt idx="6">
                  <c:v>4.0010000000000003</c:v>
                </c:pt>
                <c:pt idx="7">
                  <c:v>4.0010000000000003</c:v>
                </c:pt>
                <c:pt idx="8">
                  <c:v>4.0010000000000003</c:v>
                </c:pt>
                <c:pt idx="9">
                  <c:v>4.0010000000000003</c:v>
                </c:pt>
                <c:pt idx="10">
                  <c:v>4.0010000000000003</c:v>
                </c:pt>
                <c:pt idx="11">
                  <c:v>4.0010000000000003</c:v>
                </c:pt>
                <c:pt idx="12">
                  <c:v>4.0010000000000003</c:v>
                </c:pt>
                <c:pt idx="13">
                  <c:v>4.0010000000000003</c:v>
                </c:pt>
                <c:pt idx="14">
                  <c:v>4.0010000000000003</c:v>
                </c:pt>
                <c:pt idx="15">
                  <c:v>4.0010000000000003</c:v>
                </c:pt>
                <c:pt idx="16">
                  <c:v>4.0010000000000003</c:v>
                </c:pt>
                <c:pt idx="17">
                  <c:v>4.0010000000000003</c:v>
                </c:pt>
                <c:pt idx="18">
                  <c:v>4.0010000000000003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6C6-4C58-8657-ECBAF8C6693F}"/>
            </c:ext>
          </c:extLst>
        </c:ser>
        <c:ser>
          <c:idx val="7"/>
          <c:order val="7"/>
          <c:tx>
            <c:v>Stage Points</c:v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XS_Designer!$AF$3:$AF$11</c:f>
              <c:numCache>
                <c:formatCode>0.00</c:formatCode>
                <c:ptCount val="9"/>
                <c:pt idx="0">
                  <c:v>-27.201250000000002</c:v>
                </c:pt>
                <c:pt idx="1">
                  <c:v>-16.60125</c:v>
                </c:pt>
                <c:pt idx="2">
                  <c:v>-5.0012499999999998</c:v>
                </c:pt>
                <c:pt idx="3">
                  <c:v>#N/A</c:v>
                </c:pt>
                <c:pt idx="4">
                  <c:v>0</c:v>
                </c:pt>
                <c:pt idx="5">
                  <c:v>#N/A</c:v>
                </c:pt>
                <c:pt idx="6">
                  <c:v>5.0012499999999998</c:v>
                </c:pt>
                <c:pt idx="7">
                  <c:v>16.60125</c:v>
                </c:pt>
                <c:pt idx="8">
                  <c:v>27.201250000000002</c:v>
                </c:pt>
              </c:numCache>
            </c:numRef>
          </c:xVal>
          <c:yVal>
            <c:numRef>
              <c:f>XS_Designer!$AG$3:$AG$11</c:f>
              <c:numCache>
                <c:formatCode>0.00</c:formatCode>
                <c:ptCount val="9"/>
                <c:pt idx="0">
                  <c:v>3.5010000000000003</c:v>
                </c:pt>
                <c:pt idx="1">
                  <c:v>3.0010000000000003</c:v>
                </c:pt>
                <c:pt idx="2">
                  <c:v>2.0009999999999999</c:v>
                </c:pt>
                <c:pt idx="3">
                  <c:v>#N/A</c:v>
                </c:pt>
                <c:pt idx="4">
                  <c:v>0</c:v>
                </c:pt>
                <c:pt idx="5">
                  <c:v>#N/A</c:v>
                </c:pt>
                <c:pt idx="6">
                  <c:v>2.0009999999999999</c:v>
                </c:pt>
                <c:pt idx="7">
                  <c:v>3.0010000000000003</c:v>
                </c:pt>
                <c:pt idx="8">
                  <c:v>3.5010000000000003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C6-4C58-8657-ECBAF8C6693F}"/>
            </c:ext>
          </c:extLst>
        </c:ser>
        <c:ser>
          <c:idx val="8"/>
          <c:order val="8"/>
          <c:tx>
            <c:v>Stage Values</c:v>
          </c:tx>
          <c:spPr>
            <a:ln>
              <a:noFill/>
            </a:ln>
          </c:spPr>
          <c:marker>
            <c:symbol val="none"/>
          </c:marker>
          <c:xVal>
            <c:numRef>
              <c:f>XS_Designer_Calculations!$AJ$4:$AJ$104</c:f>
              <c:numCache>
                <c:formatCode>General</c:formatCode>
                <c:ptCount val="101"/>
                <c:pt idx="0">
                  <c:v>-21.901250000000001</c:v>
                </c:pt>
                <c:pt idx="1">
                  <c:v>-21.901250000000001</c:v>
                </c:pt>
                <c:pt idx="2">
                  <c:v>-10.80125</c:v>
                </c:pt>
                <c:pt idx="3">
                  <c:v>-10.80125</c:v>
                </c:pt>
                <c:pt idx="4">
                  <c:v>-2.5006249999999999</c:v>
                </c:pt>
                <c:pt idx="5">
                  <c:v>-2.5006249999999999</c:v>
                </c:pt>
                <c:pt idx="6">
                  <c:v>-2.5006249999999999</c:v>
                </c:pt>
                <c:pt idx="7">
                  <c:v>-2.5006249999999999</c:v>
                </c:pt>
                <c:pt idx="8">
                  <c:v>-2.5006249999999999</c:v>
                </c:pt>
                <c:pt idx="9">
                  <c:v>2.5006249999999999</c:v>
                </c:pt>
                <c:pt idx="10">
                  <c:v>2.5006249999999999</c:v>
                </c:pt>
                <c:pt idx="11">
                  <c:v>2.5006249999999999</c:v>
                </c:pt>
                <c:pt idx="12">
                  <c:v>2.5006249999999999</c:v>
                </c:pt>
                <c:pt idx="13">
                  <c:v>2.5006249999999999</c:v>
                </c:pt>
                <c:pt idx="14">
                  <c:v>10.80125</c:v>
                </c:pt>
                <c:pt idx="15">
                  <c:v>10.80125</c:v>
                </c:pt>
                <c:pt idx="16">
                  <c:v>21.901250000000001</c:v>
                </c:pt>
                <c:pt idx="17">
                  <c:v>21.901250000000001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xVal>
          <c:yVal>
            <c:numRef>
              <c:f>XS_Designer_Calculations!$X$4:$X$104</c:f>
              <c:numCache>
                <c:formatCode>General</c:formatCode>
                <c:ptCount val="101"/>
                <c:pt idx="0">
                  <c:v>4.5010000000000003</c:v>
                </c:pt>
                <c:pt idx="1">
                  <c:v>4.5010000000000003</c:v>
                </c:pt>
                <c:pt idx="2">
                  <c:v>4.5010000000000003</c:v>
                </c:pt>
                <c:pt idx="3">
                  <c:v>4.5010000000000003</c:v>
                </c:pt>
                <c:pt idx="4">
                  <c:v>4.5010000000000003</c:v>
                </c:pt>
                <c:pt idx="5">
                  <c:v>4.5010000000000003</c:v>
                </c:pt>
                <c:pt idx="6">
                  <c:v>4.5010000000000003</c:v>
                </c:pt>
                <c:pt idx="7">
                  <c:v>4.5010000000000003</c:v>
                </c:pt>
                <c:pt idx="8">
                  <c:v>4.5010000000000003</c:v>
                </c:pt>
                <c:pt idx="9">
                  <c:v>4.5010000000000003</c:v>
                </c:pt>
                <c:pt idx="10">
                  <c:v>4.5010000000000003</c:v>
                </c:pt>
                <c:pt idx="11">
                  <c:v>4.5010000000000003</c:v>
                </c:pt>
                <c:pt idx="12">
                  <c:v>4.5010000000000003</c:v>
                </c:pt>
                <c:pt idx="13">
                  <c:v>4.5010000000000003</c:v>
                </c:pt>
                <c:pt idx="14">
                  <c:v>4.5010000000000003</c:v>
                </c:pt>
                <c:pt idx="15">
                  <c:v>4.5010000000000003</c:v>
                </c:pt>
                <c:pt idx="16">
                  <c:v>4.5010000000000003</c:v>
                </c:pt>
                <c:pt idx="17">
                  <c:v>4.5010000000000003</c:v>
                </c:pt>
                <c:pt idx="18">
                  <c:v>4.5010000000000003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6C6-4C58-8657-ECBAF8C6693F}"/>
            </c:ext>
          </c:extLst>
        </c:ser>
        <c:ser>
          <c:idx val="9"/>
          <c:order val="9"/>
          <c:tx>
            <c:v>Stage Line</c:v>
          </c:tx>
          <c:spPr>
            <a:ln w="15875">
              <a:solidFill>
                <a:schemeClr val="lt1">
                  <a:lumMod val="50000"/>
                </a:schemeClr>
              </a:solidFill>
              <a:prstDash val="sysDash"/>
            </a:ln>
          </c:spPr>
          <c:marker>
            <c:symbol val="plus"/>
            <c:size val="7"/>
            <c:spPr>
              <a:noFill/>
              <a:ln>
                <a:solidFill>
                  <a:schemeClr val="accent4"/>
                </a:solidFill>
              </a:ln>
            </c:spPr>
          </c:marker>
          <c:xVal>
            <c:numRef>
              <c:f>XS_Designer_Calculations!$AI$4:$AI$104</c:f>
              <c:numCache>
                <c:formatCode>General</c:formatCode>
                <c:ptCount val="101"/>
                <c:pt idx="0">
                  <c:v>-27.201250000000002</c:v>
                </c:pt>
                <c:pt idx="1">
                  <c:v>-16.60125</c:v>
                </c:pt>
                <c:pt idx="2">
                  <c:v>-16.60125</c:v>
                </c:pt>
                <c:pt idx="3">
                  <c:v>-5.0012499999999998</c:v>
                </c:pt>
                <c:pt idx="4">
                  <c:v>-5.0012499999999998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5.0012499999999998</c:v>
                </c:pt>
                <c:pt idx="11">
                  <c:v>5.0012499999999998</c:v>
                </c:pt>
                <c:pt idx="12">
                  <c:v>5.0012499999999998</c:v>
                </c:pt>
                <c:pt idx="13">
                  <c:v>5.0012499999999998</c:v>
                </c:pt>
                <c:pt idx="14">
                  <c:v>5.0012499999999998</c:v>
                </c:pt>
                <c:pt idx="15">
                  <c:v>16.60125</c:v>
                </c:pt>
                <c:pt idx="16">
                  <c:v>16.60125</c:v>
                </c:pt>
                <c:pt idx="17">
                  <c:v>27.201250000000002</c:v>
                </c:pt>
                <c:pt idx="18">
                  <c:v>27.201250000000002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xVal>
          <c:yVal>
            <c:numRef>
              <c:f>XS_Designer_Calculations!$X$4:$X$104</c:f>
              <c:numCache>
                <c:formatCode>General</c:formatCode>
                <c:ptCount val="101"/>
                <c:pt idx="0">
                  <c:v>4.5010000000000003</c:v>
                </c:pt>
                <c:pt idx="1">
                  <c:v>4.5010000000000003</c:v>
                </c:pt>
                <c:pt idx="2">
                  <c:v>4.5010000000000003</c:v>
                </c:pt>
                <c:pt idx="3">
                  <c:v>4.5010000000000003</c:v>
                </c:pt>
                <c:pt idx="4">
                  <c:v>4.5010000000000003</c:v>
                </c:pt>
                <c:pt idx="5">
                  <c:v>4.5010000000000003</c:v>
                </c:pt>
                <c:pt idx="6">
                  <c:v>4.5010000000000003</c:v>
                </c:pt>
                <c:pt idx="7">
                  <c:v>4.5010000000000003</c:v>
                </c:pt>
                <c:pt idx="8">
                  <c:v>4.5010000000000003</c:v>
                </c:pt>
                <c:pt idx="9">
                  <c:v>4.5010000000000003</c:v>
                </c:pt>
                <c:pt idx="10">
                  <c:v>4.5010000000000003</c:v>
                </c:pt>
                <c:pt idx="11">
                  <c:v>4.5010000000000003</c:v>
                </c:pt>
                <c:pt idx="12">
                  <c:v>4.5010000000000003</c:v>
                </c:pt>
                <c:pt idx="13">
                  <c:v>4.5010000000000003</c:v>
                </c:pt>
                <c:pt idx="14">
                  <c:v>4.5010000000000003</c:v>
                </c:pt>
                <c:pt idx="15">
                  <c:v>4.5010000000000003</c:v>
                </c:pt>
                <c:pt idx="16">
                  <c:v>4.5010000000000003</c:v>
                </c:pt>
                <c:pt idx="17">
                  <c:v>4.5010000000000003</c:v>
                </c:pt>
                <c:pt idx="18">
                  <c:v>4.5010000000000003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6C6-4C58-8657-ECBAF8C6693F}"/>
            </c:ext>
          </c:extLst>
        </c:ser>
        <c:ser>
          <c:idx val="11"/>
          <c:order val="11"/>
          <c:tx>
            <c:v>Shear</c:v>
          </c:tx>
          <c:spPr>
            <a:ln>
              <a:solidFill>
                <a:schemeClr val="accent6">
                  <a:alpha val="50000"/>
                </a:schemeClr>
              </a:solidFill>
            </a:ln>
          </c:spPr>
          <c:marker>
            <c:symbol val="none"/>
          </c:marker>
          <c:xVal>
            <c:numRef>
              <c:f>XS_Designer_Summary!$AK$3:$AK$204</c:f>
              <c:numCache>
                <c:formatCode>0.00</c:formatCode>
                <c:ptCount val="202"/>
                <c:pt idx="0">
                  <c:v>-27.201250000000002</c:v>
                </c:pt>
                <c:pt idx="1">
                  <c:v>-26.929237500000003</c:v>
                </c:pt>
                <c:pt idx="2">
                  <c:v>-26.657225000000004</c:v>
                </c:pt>
                <c:pt idx="3">
                  <c:v>-26.385212500000005</c:v>
                </c:pt>
                <c:pt idx="4">
                  <c:v>-26.113200000000006</c:v>
                </c:pt>
                <c:pt idx="5">
                  <c:v>-25.841187500000007</c:v>
                </c:pt>
                <c:pt idx="6">
                  <c:v>-25.569175000000008</c:v>
                </c:pt>
                <c:pt idx="7">
                  <c:v>-25.29716250000001</c:v>
                </c:pt>
                <c:pt idx="8">
                  <c:v>-25.025150000000011</c:v>
                </c:pt>
                <c:pt idx="9">
                  <c:v>-24.753137500000012</c:v>
                </c:pt>
                <c:pt idx="10">
                  <c:v>-24.481125000000013</c:v>
                </c:pt>
                <c:pt idx="11">
                  <c:v>-24.209112500000014</c:v>
                </c:pt>
                <c:pt idx="12">
                  <c:v>-23.937100000000015</c:v>
                </c:pt>
                <c:pt idx="13">
                  <c:v>-23.665087500000016</c:v>
                </c:pt>
                <c:pt idx="14">
                  <c:v>-23.393075000000017</c:v>
                </c:pt>
                <c:pt idx="15">
                  <c:v>-23.121062500000019</c:v>
                </c:pt>
                <c:pt idx="16">
                  <c:v>-22.84905000000002</c:v>
                </c:pt>
                <c:pt idx="17">
                  <c:v>-22.577037500000021</c:v>
                </c:pt>
                <c:pt idx="18">
                  <c:v>-22.305025000000022</c:v>
                </c:pt>
                <c:pt idx="19">
                  <c:v>-22.033012500000023</c:v>
                </c:pt>
                <c:pt idx="20">
                  <c:v>-21.761000000000024</c:v>
                </c:pt>
                <c:pt idx="21">
                  <c:v>-21.488987500000025</c:v>
                </c:pt>
                <c:pt idx="22">
                  <c:v>-21.216975000000026</c:v>
                </c:pt>
                <c:pt idx="23">
                  <c:v>-20.944962500000027</c:v>
                </c:pt>
                <c:pt idx="24">
                  <c:v>-20.672950000000029</c:v>
                </c:pt>
                <c:pt idx="25">
                  <c:v>-20.40093750000003</c:v>
                </c:pt>
                <c:pt idx="26">
                  <c:v>-20.128925000000031</c:v>
                </c:pt>
                <c:pt idx="27">
                  <c:v>-19.856912500000032</c:v>
                </c:pt>
                <c:pt idx="28">
                  <c:v>-19.584900000000033</c:v>
                </c:pt>
                <c:pt idx="29">
                  <c:v>-19.312887500000034</c:v>
                </c:pt>
                <c:pt idx="30">
                  <c:v>-19.040875000000035</c:v>
                </c:pt>
                <c:pt idx="31">
                  <c:v>-18.768862500000036</c:v>
                </c:pt>
                <c:pt idx="32">
                  <c:v>-18.496850000000038</c:v>
                </c:pt>
                <c:pt idx="33">
                  <c:v>-18.224837500000039</c:v>
                </c:pt>
                <c:pt idx="34">
                  <c:v>-17.95282500000004</c:v>
                </c:pt>
                <c:pt idx="35">
                  <c:v>-17.680812500000041</c:v>
                </c:pt>
                <c:pt idx="36">
                  <c:v>-17.408800000000042</c:v>
                </c:pt>
                <c:pt idx="37">
                  <c:v>-17.136787500000043</c:v>
                </c:pt>
                <c:pt idx="38">
                  <c:v>-16.864775000000044</c:v>
                </c:pt>
                <c:pt idx="39">
                  <c:v>-16.592762500000045</c:v>
                </c:pt>
                <c:pt idx="40">
                  <c:v>-16.320750000000046</c:v>
                </c:pt>
                <c:pt idx="41">
                  <c:v>-16.048737500000048</c:v>
                </c:pt>
                <c:pt idx="42">
                  <c:v>-15.776725000000047</c:v>
                </c:pt>
                <c:pt idx="43">
                  <c:v>-15.504712500000046</c:v>
                </c:pt>
                <c:pt idx="44">
                  <c:v>-15.232700000000046</c:v>
                </c:pt>
                <c:pt idx="45">
                  <c:v>-14.960687500000045</c:v>
                </c:pt>
                <c:pt idx="46">
                  <c:v>-14.688675000000044</c:v>
                </c:pt>
                <c:pt idx="47">
                  <c:v>-14.416662500000044</c:v>
                </c:pt>
                <c:pt idx="48">
                  <c:v>-14.144650000000043</c:v>
                </c:pt>
                <c:pt idx="49">
                  <c:v>-13.872637500000042</c:v>
                </c:pt>
                <c:pt idx="50">
                  <c:v>-13.600625000000042</c:v>
                </c:pt>
                <c:pt idx="51">
                  <c:v>-13.328612500000041</c:v>
                </c:pt>
                <c:pt idx="52">
                  <c:v>-13.05660000000004</c:v>
                </c:pt>
                <c:pt idx="53">
                  <c:v>-12.78458750000004</c:v>
                </c:pt>
                <c:pt idx="54">
                  <c:v>-12.512575000000039</c:v>
                </c:pt>
                <c:pt idx="55">
                  <c:v>-12.240562500000038</c:v>
                </c:pt>
                <c:pt idx="56">
                  <c:v>-11.968550000000038</c:v>
                </c:pt>
                <c:pt idx="57">
                  <c:v>-11.696537500000037</c:v>
                </c:pt>
                <c:pt idx="58">
                  <c:v>-11.424525000000036</c:v>
                </c:pt>
                <c:pt idx="59">
                  <c:v>-11.152512500000036</c:v>
                </c:pt>
                <c:pt idx="60">
                  <c:v>-10.880500000000035</c:v>
                </c:pt>
                <c:pt idx="61">
                  <c:v>-10.608487500000034</c:v>
                </c:pt>
                <c:pt idx="62">
                  <c:v>-10.336475000000034</c:v>
                </c:pt>
                <c:pt idx="63">
                  <c:v>-10.064462500000033</c:v>
                </c:pt>
                <c:pt idx="64">
                  <c:v>-9.7924500000000325</c:v>
                </c:pt>
                <c:pt idx="65">
                  <c:v>-9.5204375000000319</c:v>
                </c:pt>
                <c:pt idx="66">
                  <c:v>-9.2484250000000312</c:v>
                </c:pt>
                <c:pt idx="67">
                  <c:v>-8.9764125000000305</c:v>
                </c:pt>
                <c:pt idx="68">
                  <c:v>-8.7044000000000299</c:v>
                </c:pt>
                <c:pt idx="69">
                  <c:v>-8.4323875000000292</c:v>
                </c:pt>
                <c:pt idx="70">
                  <c:v>-8.1603750000000286</c:v>
                </c:pt>
                <c:pt idx="71">
                  <c:v>-7.8883625000000288</c:v>
                </c:pt>
                <c:pt idx="72">
                  <c:v>-7.616350000000029</c:v>
                </c:pt>
                <c:pt idx="73">
                  <c:v>-7.3443375000000293</c:v>
                </c:pt>
                <c:pt idx="74">
                  <c:v>-7.0723250000000295</c:v>
                </c:pt>
                <c:pt idx="75">
                  <c:v>-6.8003125000000297</c:v>
                </c:pt>
                <c:pt idx="76">
                  <c:v>-6.52830000000003</c:v>
                </c:pt>
                <c:pt idx="77">
                  <c:v>-6.2562875000000302</c:v>
                </c:pt>
                <c:pt idx="78">
                  <c:v>-5.9842750000000304</c:v>
                </c:pt>
                <c:pt idx="79">
                  <c:v>-5.7122625000000307</c:v>
                </c:pt>
                <c:pt idx="80">
                  <c:v>-5.4402500000000309</c:v>
                </c:pt>
                <c:pt idx="81">
                  <c:v>-5.1682375000000311</c:v>
                </c:pt>
                <c:pt idx="82">
                  <c:v>-4.8962250000000314</c:v>
                </c:pt>
                <c:pt idx="83">
                  <c:v>-4.6242125000000316</c:v>
                </c:pt>
                <c:pt idx="84">
                  <c:v>-4.3522000000000318</c:v>
                </c:pt>
                <c:pt idx="85">
                  <c:v>-4.0801875000000321</c:v>
                </c:pt>
                <c:pt idx="86">
                  <c:v>-3.8081750000000323</c:v>
                </c:pt>
                <c:pt idx="87">
                  <c:v>-3.5361625000000325</c:v>
                </c:pt>
                <c:pt idx="88">
                  <c:v>-3.2641500000000327</c:v>
                </c:pt>
                <c:pt idx="89">
                  <c:v>-2.992137500000033</c:v>
                </c:pt>
                <c:pt idx="90">
                  <c:v>-2.7201250000000332</c:v>
                </c:pt>
                <c:pt idx="91">
                  <c:v>-2.4481125000000334</c:v>
                </c:pt>
                <c:pt idx="92">
                  <c:v>-2.1761000000000337</c:v>
                </c:pt>
                <c:pt idx="93">
                  <c:v>-1.9040875000000337</c:v>
                </c:pt>
                <c:pt idx="94">
                  <c:v>-1.6320750000000337</c:v>
                </c:pt>
                <c:pt idx="95">
                  <c:v>-1.3600625000000337</c:v>
                </c:pt>
                <c:pt idx="96">
                  <c:v>-1.0880500000000337</c:v>
                </c:pt>
                <c:pt idx="97">
                  <c:v>-0.81603750000003372</c:v>
                </c:pt>
                <c:pt idx="98">
                  <c:v>-0.54402500000003373</c:v>
                </c:pt>
                <c:pt idx="99">
                  <c:v>-0.27201250000003374</c:v>
                </c:pt>
                <c:pt idx="100">
                  <c:v>-3.3750779948604759E-14</c:v>
                </c:pt>
                <c:pt idx="101">
                  <c:v>0.27201249999996624</c:v>
                </c:pt>
                <c:pt idx="102">
                  <c:v>0.54402499999996623</c:v>
                </c:pt>
                <c:pt idx="103">
                  <c:v>0.81603749999996622</c:v>
                </c:pt>
                <c:pt idx="104">
                  <c:v>1.0880499999999662</c:v>
                </c:pt>
                <c:pt idx="105">
                  <c:v>1.3600624999999662</c:v>
                </c:pt>
                <c:pt idx="106">
                  <c:v>1.6320749999999662</c:v>
                </c:pt>
                <c:pt idx="107">
                  <c:v>1.9040874999999662</c:v>
                </c:pt>
                <c:pt idx="108">
                  <c:v>2.1760999999999662</c:v>
                </c:pt>
                <c:pt idx="109">
                  <c:v>2.4481124999999659</c:v>
                </c:pt>
                <c:pt idx="110">
                  <c:v>2.7201249999999657</c:v>
                </c:pt>
                <c:pt idx="111">
                  <c:v>2.9921374999999655</c:v>
                </c:pt>
                <c:pt idx="112">
                  <c:v>3.2641499999999652</c:v>
                </c:pt>
                <c:pt idx="113">
                  <c:v>3.536162499999965</c:v>
                </c:pt>
                <c:pt idx="114">
                  <c:v>3.8081749999999648</c:v>
                </c:pt>
                <c:pt idx="115">
                  <c:v>4.0801874999999646</c:v>
                </c:pt>
                <c:pt idx="116">
                  <c:v>4.3521999999999643</c:v>
                </c:pt>
                <c:pt idx="117">
                  <c:v>4.6242124999999641</c:v>
                </c:pt>
                <c:pt idx="118">
                  <c:v>4.8962249999999639</c:v>
                </c:pt>
                <c:pt idx="119">
                  <c:v>5.1682374999999636</c:v>
                </c:pt>
                <c:pt idx="120">
                  <c:v>5.4402499999999634</c:v>
                </c:pt>
                <c:pt idx="121">
                  <c:v>5.7122624999999632</c:v>
                </c:pt>
                <c:pt idx="122">
                  <c:v>5.9842749999999629</c:v>
                </c:pt>
                <c:pt idx="123">
                  <c:v>6.2562874999999627</c:v>
                </c:pt>
                <c:pt idx="124">
                  <c:v>6.5282999999999625</c:v>
                </c:pt>
                <c:pt idx="125">
                  <c:v>6.8003124999999622</c:v>
                </c:pt>
                <c:pt idx="126">
                  <c:v>7.072324999999962</c:v>
                </c:pt>
                <c:pt idx="127">
                  <c:v>7.3443374999999618</c:v>
                </c:pt>
                <c:pt idx="128">
                  <c:v>7.6163499999999615</c:v>
                </c:pt>
                <c:pt idx="129">
                  <c:v>7.8883624999999613</c:v>
                </c:pt>
                <c:pt idx="130">
                  <c:v>8.1603749999999611</c:v>
                </c:pt>
                <c:pt idx="131">
                  <c:v>8.4323874999999617</c:v>
                </c:pt>
                <c:pt idx="132">
                  <c:v>8.7043999999999624</c:v>
                </c:pt>
                <c:pt idx="133">
                  <c:v>8.976412499999963</c:v>
                </c:pt>
                <c:pt idx="134">
                  <c:v>9.2484249999999637</c:v>
                </c:pt>
                <c:pt idx="135">
                  <c:v>9.5204374999999644</c:v>
                </c:pt>
                <c:pt idx="136">
                  <c:v>9.792449999999965</c:v>
                </c:pt>
                <c:pt idx="137">
                  <c:v>10.064462499999966</c:v>
                </c:pt>
                <c:pt idx="138">
                  <c:v>10.336474999999966</c:v>
                </c:pt>
                <c:pt idx="139">
                  <c:v>10.608487499999967</c:v>
                </c:pt>
                <c:pt idx="140">
                  <c:v>10.880499999999968</c:v>
                </c:pt>
                <c:pt idx="141">
                  <c:v>11.152512499999968</c:v>
                </c:pt>
                <c:pt idx="142">
                  <c:v>11.424524999999969</c:v>
                </c:pt>
                <c:pt idx="143">
                  <c:v>11.69653749999997</c:v>
                </c:pt>
                <c:pt idx="144">
                  <c:v>11.96854999999997</c:v>
                </c:pt>
                <c:pt idx="145">
                  <c:v>12.240562499999971</c:v>
                </c:pt>
                <c:pt idx="146">
                  <c:v>12.512574999999972</c:v>
                </c:pt>
                <c:pt idx="147">
                  <c:v>12.784587499999972</c:v>
                </c:pt>
                <c:pt idx="148">
                  <c:v>13.056599999999973</c:v>
                </c:pt>
                <c:pt idx="149">
                  <c:v>13.328612499999974</c:v>
                </c:pt>
                <c:pt idx="150">
                  <c:v>13.600624999999974</c:v>
                </c:pt>
                <c:pt idx="151">
                  <c:v>13.872637499999975</c:v>
                </c:pt>
                <c:pt idx="152">
                  <c:v>14.144649999999976</c:v>
                </c:pt>
                <c:pt idx="153">
                  <c:v>14.416662499999976</c:v>
                </c:pt>
                <c:pt idx="154">
                  <c:v>14.688674999999977</c:v>
                </c:pt>
                <c:pt idx="155">
                  <c:v>14.960687499999977</c:v>
                </c:pt>
                <c:pt idx="156">
                  <c:v>15.232699999999978</c:v>
                </c:pt>
                <c:pt idx="157">
                  <c:v>15.504712499999979</c:v>
                </c:pt>
                <c:pt idx="158">
                  <c:v>15.776724999999979</c:v>
                </c:pt>
                <c:pt idx="159">
                  <c:v>16.04873749999998</c:v>
                </c:pt>
                <c:pt idx="160">
                  <c:v>16.320749999999979</c:v>
                </c:pt>
                <c:pt idx="161">
                  <c:v>16.592762499999978</c:v>
                </c:pt>
                <c:pt idx="162">
                  <c:v>16.864774999999977</c:v>
                </c:pt>
                <c:pt idx="163">
                  <c:v>17.136787499999976</c:v>
                </c:pt>
                <c:pt idx="164">
                  <c:v>17.408799999999975</c:v>
                </c:pt>
                <c:pt idx="165">
                  <c:v>17.680812499999973</c:v>
                </c:pt>
                <c:pt idx="166">
                  <c:v>17.952824999999972</c:v>
                </c:pt>
                <c:pt idx="167">
                  <c:v>18.224837499999971</c:v>
                </c:pt>
                <c:pt idx="168">
                  <c:v>18.49684999999997</c:v>
                </c:pt>
                <c:pt idx="169">
                  <c:v>18.768862499999969</c:v>
                </c:pt>
                <c:pt idx="170">
                  <c:v>19.040874999999968</c:v>
                </c:pt>
                <c:pt idx="171">
                  <c:v>19.312887499999967</c:v>
                </c:pt>
                <c:pt idx="172">
                  <c:v>19.584899999999966</c:v>
                </c:pt>
                <c:pt idx="173">
                  <c:v>19.856912499999964</c:v>
                </c:pt>
                <c:pt idx="174">
                  <c:v>20.128924999999963</c:v>
                </c:pt>
                <c:pt idx="175">
                  <c:v>20.400937499999962</c:v>
                </c:pt>
                <c:pt idx="176">
                  <c:v>20.672949999999961</c:v>
                </c:pt>
                <c:pt idx="177">
                  <c:v>20.94496249999996</c:v>
                </c:pt>
                <c:pt idx="178">
                  <c:v>21.216974999999959</c:v>
                </c:pt>
                <c:pt idx="179">
                  <c:v>21.488987499999958</c:v>
                </c:pt>
                <c:pt idx="180">
                  <c:v>21.760999999999957</c:v>
                </c:pt>
                <c:pt idx="181">
                  <c:v>22.033012499999955</c:v>
                </c:pt>
                <c:pt idx="182">
                  <c:v>22.305024999999954</c:v>
                </c:pt>
                <c:pt idx="183">
                  <c:v>22.577037499999953</c:v>
                </c:pt>
                <c:pt idx="184">
                  <c:v>22.849049999999952</c:v>
                </c:pt>
                <c:pt idx="185">
                  <c:v>23.121062499999951</c:v>
                </c:pt>
                <c:pt idx="186">
                  <c:v>23.39307499999995</c:v>
                </c:pt>
                <c:pt idx="187">
                  <c:v>23.665087499999949</c:v>
                </c:pt>
                <c:pt idx="188">
                  <c:v>23.937099999999948</c:v>
                </c:pt>
                <c:pt idx="189">
                  <c:v>24.209112499999947</c:v>
                </c:pt>
                <c:pt idx="190">
                  <c:v>24.481124999999945</c:v>
                </c:pt>
                <c:pt idx="191">
                  <c:v>24.753137499999944</c:v>
                </c:pt>
                <c:pt idx="192">
                  <c:v>25.025149999999943</c:v>
                </c:pt>
                <c:pt idx="193">
                  <c:v>25.297162499999942</c:v>
                </c:pt>
                <c:pt idx="194">
                  <c:v>25.569174999999941</c:v>
                </c:pt>
                <c:pt idx="195">
                  <c:v>25.84118749999994</c:v>
                </c:pt>
                <c:pt idx="196">
                  <c:v>26.113199999999939</c:v>
                </c:pt>
                <c:pt idx="197">
                  <c:v>26.385212499999938</c:v>
                </c:pt>
                <c:pt idx="198">
                  <c:v>26.657224999999936</c:v>
                </c:pt>
                <c:pt idx="199">
                  <c:v>26.929237499999935</c:v>
                </c:pt>
                <c:pt idx="200">
                  <c:v>27.201249999999934</c:v>
                </c:pt>
                <c:pt idx="201">
                  <c:v>27.201250000000002</c:v>
                </c:pt>
              </c:numCache>
            </c:numRef>
          </c:xVal>
          <c:yVal>
            <c:numRef>
              <c:f>XS_Designer_Summary!$AW$3:$AW$204</c:f>
              <c:numCache>
                <c:formatCode>0.00</c:formatCode>
                <c:ptCount val="202"/>
                <c:pt idx="0">
                  <c:v>0</c:v>
                </c:pt>
                <c:pt idx="1">
                  <c:v>0.87457980691027193</c:v>
                </c:pt>
                <c:pt idx="2">
                  <c:v>0.95048796431333349</c:v>
                </c:pt>
                <c:pt idx="3">
                  <c:v>1.1074079684795937</c:v>
                </c:pt>
                <c:pt idx="4">
                  <c:v>1.1267441796944431</c:v>
                </c:pt>
                <c:pt idx="5">
                  <c:v>1.1301382169548584</c:v>
                </c:pt>
                <c:pt idx="6">
                  <c:v>1.1335322542152735</c:v>
                </c:pt>
                <c:pt idx="7">
                  <c:v>1.1369262914756886</c:v>
                </c:pt>
                <c:pt idx="8">
                  <c:v>1.1403203287361035</c:v>
                </c:pt>
                <c:pt idx="9">
                  <c:v>1.1437143659965185</c:v>
                </c:pt>
                <c:pt idx="10">
                  <c:v>1.1471084032569334</c:v>
                </c:pt>
                <c:pt idx="11">
                  <c:v>1.1505024405173487</c:v>
                </c:pt>
                <c:pt idx="12">
                  <c:v>1.1538964777777638</c:v>
                </c:pt>
                <c:pt idx="13">
                  <c:v>1.1572905150381789</c:v>
                </c:pt>
                <c:pt idx="14">
                  <c:v>1.160684552298594</c:v>
                </c:pt>
                <c:pt idx="15">
                  <c:v>1.1640785895590093</c:v>
                </c:pt>
                <c:pt idx="16">
                  <c:v>1.1674726268194242</c:v>
                </c:pt>
                <c:pt idx="17">
                  <c:v>1.1708666640798393</c:v>
                </c:pt>
                <c:pt idx="18">
                  <c:v>1.1742607013402542</c:v>
                </c:pt>
                <c:pt idx="19">
                  <c:v>1.1776547386006695</c:v>
                </c:pt>
                <c:pt idx="20">
                  <c:v>1.1810487758610846</c:v>
                </c:pt>
                <c:pt idx="21">
                  <c:v>1.1844428131214999</c:v>
                </c:pt>
                <c:pt idx="22">
                  <c:v>1.187836850381915</c:v>
                </c:pt>
                <c:pt idx="23">
                  <c:v>1.1912308876423299</c:v>
                </c:pt>
                <c:pt idx="24">
                  <c:v>1.194624924902745</c:v>
                </c:pt>
                <c:pt idx="25">
                  <c:v>1.1980189621631598</c:v>
                </c:pt>
                <c:pt idx="26">
                  <c:v>1.2014129994235749</c:v>
                </c:pt>
                <c:pt idx="27">
                  <c:v>1.2048070366839898</c:v>
                </c:pt>
                <c:pt idx="28">
                  <c:v>1.2082010739444053</c:v>
                </c:pt>
                <c:pt idx="29">
                  <c:v>1.2115951112048204</c:v>
                </c:pt>
                <c:pt idx="30">
                  <c:v>1.2149891484652355</c:v>
                </c:pt>
                <c:pt idx="31">
                  <c:v>1.2183831857256506</c:v>
                </c:pt>
                <c:pt idx="32">
                  <c:v>1.2217772229860657</c:v>
                </c:pt>
                <c:pt idx="33">
                  <c:v>1.2251712602464806</c:v>
                </c:pt>
                <c:pt idx="34">
                  <c:v>1.2285652975068957</c:v>
                </c:pt>
                <c:pt idx="35">
                  <c:v>1.2319593347673108</c:v>
                </c:pt>
                <c:pt idx="36">
                  <c:v>1.2353533720277261</c:v>
                </c:pt>
                <c:pt idx="37">
                  <c:v>1.2387474092881412</c:v>
                </c:pt>
                <c:pt idx="38">
                  <c:v>1.2421414465485563</c:v>
                </c:pt>
                <c:pt idx="39">
                  <c:v>1.2462935241571826</c:v>
                </c:pt>
                <c:pt idx="40">
                  <c:v>1.1560096231467207</c:v>
                </c:pt>
                <c:pt idx="41">
                  <c:v>1.2319177805497825</c:v>
                </c:pt>
                <c:pt idx="42">
                  <c:v>1.3078259379528359</c:v>
                </c:pt>
                <c:pt idx="43">
                  <c:v>1.3837340953558981</c:v>
                </c:pt>
                <c:pt idx="44">
                  <c:v>1.459642252758959</c:v>
                </c:pt>
                <c:pt idx="45">
                  <c:v>1.5724872932283456</c:v>
                </c:pt>
                <c:pt idx="46">
                  <c:v>1.7484299269762067</c:v>
                </c:pt>
                <c:pt idx="47">
                  <c:v>1.7518239642366218</c:v>
                </c:pt>
                <c:pt idx="48">
                  <c:v>1.7552180014970367</c:v>
                </c:pt>
                <c:pt idx="49">
                  <c:v>1.7586120387574522</c:v>
                </c:pt>
                <c:pt idx="50">
                  <c:v>1.7620060760178666</c:v>
                </c:pt>
                <c:pt idx="51">
                  <c:v>1.7654001132782819</c:v>
                </c:pt>
                <c:pt idx="52">
                  <c:v>1.7687941505386968</c:v>
                </c:pt>
                <c:pt idx="53">
                  <c:v>1.7721881877991121</c:v>
                </c:pt>
                <c:pt idx="54">
                  <c:v>1.7755822250595277</c:v>
                </c:pt>
                <c:pt idx="55">
                  <c:v>1.7789762623199423</c:v>
                </c:pt>
                <c:pt idx="56">
                  <c:v>1.7823702995803574</c:v>
                </c:pt>
                <c:pt idx="57">
                  <c:v>1.7857643368407727</c:v>
                </c:pt>
                <c:pt idx="58">
                  <c:v>1.7891583741011878</c:v>
                </c:pt>
                <c:pt idx="59">
                  <c:v>1.7925524113616027</c:v>
                </c:pt>
                <c:pt idx="60">
                  <c:v>1.7959464486220174</c:v>
                </c:pt>
                <c:pt idx="61">
                  <c:v>1.7993404858824331</c:v>
                </c:pt>
                <c:pt idx="62">
                  <c:v>1.8027345231428482</c:v>
                </c:pt>
                <c:pt idx="63">
                  <c:v>1.8061285604032631</c:v>
                </c:pt>
                <c:pt idx="64">
                  <c:v>1.8095225976636784</c:v>
                </c:pt>
                <c:pt idx="65">
                  <c:v>1.8129166349240933</c:v>
                </c:pt>
                <c:pt idx="66">
                  <c:v>1.8163106721845086</c:v>
                </c:pt>
                <c:pt idx="67">
                  <c:v>1.8197047094449232</c:v>
                </c:pt>
                <c:pt idx="68">
                  <c:v>1.8230987467053381</c:v>
                </c:pt>
                <c:pt idx="69">
                  <c:v>1.8264927839657541</c:v>
                </c:pt>
                <c:pt idx="70">
                  <c:v>1.8298868212261687</c:v>
                </c:pt>
                <c:pt idx="71">
                  <c:v>1.8332808584865898</c:v>
                </c:pt>
                <c:pt idx="72">
                  <c:v>1.8366748957470049</c:v>
                </c:pt>
                <c:pt idx="73">
                  <c:v>1.8400689330074198</c:v>
                </c:pt>
                <c:pt idx="74">
                  <c:v>1.8434629702678351</c:v>
                </c:pt>
                <c:pt idx="75">
                  <c:v>1.84685700752825</c:v>
                </c:pt>
                <c:pt idx="76">
                  <c:v>1.8502510447886653</c:v>
                </c:pt>
                <c:pt idx="77">
                  <c:v>1.8536450820490806</c:v>
                </c:pt>
                <c:pt idx="78">
                  <c:v>1.8570391193094955</c:v>
                </c:pt>
                <c:pt idx="79">
                  <c:v>1.8604331565699108</c:v>
                </c:pt>
                <c:pt idx="80">
                  <c:v>1.8638271938303257</c:v>
                </c:pt>
                <c:pt idx="81">
                  <c:v>1.867221231090741</c:v>
                </c:pt>
                <c:pt idx="82">
                  <c:v>1.8481606027870936</c:v>
                </c:pt>
                <c:pt idx="83">
                  <c:v>1.7410720689954289</c:v>
                </c:pt>
                <c:pt idx="84">
                  <c:v>1.8169802263984909</c:v>
                </c:pt>
                <c:pt idx="85">
                  <c:v>1.8928883838015522</c:v>
                </c:pt>
                <c:pt idx="86">
                  <c:v>1.9687965412046147</c:v>
                </c:pt>
                <c:pt idx="87">
                  <c:v>2.0447046986076756</c:v>
                </c:pt>
                <c:pt idx="88">
                  <c:v>2.1206128560107378</c:v>
                </c:pt>
                <c:pt idx="89">
                  <c:v>2.1965210134138009</c:v>
                </c:pt>
                <c:pt idx="90">
                  <c:v>2.2724291708168605</c:v>
                </c:pt>
                <c:pt idx="91">
                  <c:v>2.3483373282199218</c:v>
                </c:pt>
                <c:pt idx="92">
                  <c:v>2.4242454856229871</c:v>
                </c:pt>
                <c:pt idx="93">
                  <c:v>2.5786701085647343</c:v>
                </c:pt>
                <c:pt idx="94">
                  <c:v>2.7588430500845949</c:v>
                </c:pt>
                <c:pt idx="95">
                  <c:v>2.8000100284286358</c:v>
                </c:pt>
                <c:pt idx="96">
                  <c:v>2.8411770067726798</c:v>
                </c:pt>
                <c:pt idx="97">
                  <c:v>2.8823439851167212</c:v>
                </c:pt>
                <c:pt idx="98">
                  <c:v>2.9235109634607612</c:v>
                </c:pt>
                <c:pt idx="99">
                  <c:v>2.9647427075767627</c:v>
                </c:pt>
                <c:pt idx="100">
                  <c:v>3.0041741336838292</c:v>
                </c:pt>
                <c:pt idx="101">
                  <c:v>2.9647427075767743</c:v>
                </c:pt>
                <c:pt idx="102">
                  <c:v>2.9235109634607723</c:v>
                </c:pt>
                <c:pt idx="103">
                  <c:v>2.8823439851167318</c:v>
                </c:pt>
                <c:pt idx="104">
                  <c:v>2.8411770067726896</c:v>
                </c:pt>
                <c:pt idx="105">
                  <c:v>2.800010028428646</c:v>
                </c:pt>
                <c:pt idx="106">
                  <c:v>2.7588430500846055</c:v>
                </c:pt>
                <c:pt idx="107">
                  <c:v>2.5786701085648041</c:v>
                </c:pt>
                <c:pt idx="108">
                  <c:v>2.4242454856230018</c:v>
                </c:pt>
                <c:pt idx="109">
                  <c:v>2.3483373282199436</c:v>
                </c:pt>
                <c:pt idx="110">
                  <c:v>2.2724291708168791</c:v>
                </c:pt>
                <c:pt idx="111">
                  <c:v>2.19652101341382</c:v>
                </c:pt>
                <c:pt idx="112">
                  <c:v>2.1206128560107569</c:v>
                </c:pt>
                <c:pt idx="113">
                  <c:v>2.0447046986076951</c:v>
                </c:pt>
                <c:pt idx="114">
                  <c:v>1.9687965412046333</c:v>
                </c:pt>
                <c:pt idx="115">
                  <c:v>1.8928883838015713</c:v>
                </c:pt>
                <c:pt idx="116">
                  <c:v>1.81698022639851</c:v>
                </c:pt>
                <c:pt idx="117">
                  <c:v>1.7410720689954469</c:v>
                </c:pt>
                <c:pt idx="118">
                  <c:v>1.8481606027870614</c:v>
                </c:pt>
                <c:pt idx="119">
                  <c:v>1.8672212310907415</c:v>
                </c:pt>
                <c:pt idx="120">
                  <c:v>1.8638271938303268</c:v>
                </c:pt>
                <c:pt idx="121">
                  <c:v>1.8604331565699113</c:v>
                </c:pt>
                <c:pt idx="122">
                  <c:v>1.8570391193094966</c:v>
                </c:pt>
                <c:pt idx="123">
                  <c:v>1.8536450820490813</c:v>
                </c:pt>
                <c:pt idx="124">
                  <c:v>1.8502510447886662</c:v>
                </c:pt>
                <c:pt idx="125">
                  <c:v>1.8468570075282511</c:v>
                </c:pt>
                <c:pt idx="126">
                  <c:v>1.8434629702678356</c:v>
                </c:pt>
                <c:pt idx="127">
                  <c:v>1.8400689330074209</c:v>
                </c:pt>
                <c:pt idx="128">
                  <c:v>1.8366748957470058</c:v>
                </c:pt>
                <c:pt idx="129">
                  <c:v>1.8332808584865905</c:v>
                </c:pt>
                <c:pt idx="130">
                  <c:v>1.8298868212261699</c:v>
                </c:pt>
                <c:pt idx="131">
                  <c:v>1.8264927839657543</c:v>
                </c:pt>
                <c:pt idx="132">
                  <c:v>1.8230987467053397</c:v>
                </c:pt>
                <c:pt idx="133">
                  <c:v>1.8197047094449244</c:v>
                </c:pt>
                <c:pt idx="134">
                  <c:v>1.816310672184509</c:v>
                </c:pt>
                <c:pt idx="135">
                  <c:v>1.8129166349240942</c:v>
                </c:pt>
                <c:pt idx="136">
                  <c:v>1.8095225976636788</c:v>
                </c:pt>
                <c:pt idx="137">
                  <c:v>1.8061285604032642</c:v>
                </c:pt>
                <c:pt idx="138">
                  <c:v>1.8027345231428491</c:v>
                </c:pt>
                <c:pt idx="139">
                  <c:v>1.799340485882434</c:v>
                </c:pt>
                <c:pt idx="140">
                  <c:v>1.7959464486220187</c:v>
                </c:pt>
                <c:pt idx="141">
                  <c:v>1.7925524113616031</c:v>
                </c:pt>
                <c:pt idx="142">
                  <c:v>1.7891583741011885</c:v>
                </c:pt>
                <c:pt idx="143">
                  <c:v>1.7857643368407734</c:v>
                </c:pt>
                <c:pt idx="144">
                  <c:v>1.7823702995803581</c:v>
                </c:pt>
                <c:pt idx="145">
                  <c:v>1.7789762623199434</c:v>
                </c:pt>
                <c:pt idx="146">
                  <c:v>1.7755822250595281</c:v>
                </c:pt>
                <c:pt idx="147">
                  <c:v>1.7721881877991135</c:v>
                </c:pt>
                <c:pt idx="148">
                  <c:v>1.7687941505386979</c:v>
                </c:pt>
                <c:pt idx="149">
                  <c:v>1.7654001132782824</c:v>
                </c:pt>
                <c:pt idx="150">
                  <c:v>1.7620060760178677</c:v>
                </c:pt>
                <c:pt idx="151">
                  <c:v>1.7586120387574524</c:v>
                </c:pt>
                <c:pt idx="152">
                  <c:v>1.7552180014970375</c:v>
                </c:pt>
                <c:pt idx="153">
                  <c:v>1.7518239642366227</c:v>
                </c:pt>
                <c:pt idx="154">
                  <c:v>1.7484299269762074</c:v>
                </c:pt>
                <c:pt idx="155">
                  <c:v>1.5724872932284228</c:v>
                </c:pt>
                <c:pt idx="156">
                  <c:v>1.4596422527589779</c:v>
                </c:pt>
                <c:pt idx="157">
                  <c:v>1.3837340953559161</c:v>
                </c:pt>
                <c:pt idx="158">
                  <c:v>1.3078259379528552</c:v>
                </c:pt>
                <c:pt idx="159">
                  <c:v>1.2319177805498012</c:v>
                </c:pt>
                <c:pt idx="160">
                  <c:v>1.1560096231467394</c:v>
                </c:pt>
                <c:pt idx="161">
                  <c:v>1.2462935241571882</c:v>
                </c:pt>
                <c:pt idx="162">
                  <c:v>1.2421414465485572</c:v>
                </c:pt>
                <c:pt idx="163">
                  <c:v>1.2387474092881421</c:v>
                </c:pt>
                <c:pt idx="164">
                  <c:v>1.2353533720277272</c:v>
                </c:pt>
                <c:pt idx="165">
                  <c:v>1.2319593347673117</c:v>
                </c:pt>
                <c:pt idx="166">
                  <c:v>1.2285652975068968</c:v>
                </c:pt>
                <c:pt idx="167">
                  <c:v>1.2251712602464815</c:v>
                </c:pt>
                <c:pt idx="168">
                  <c:v>1.2217772229860664</c:v>
                </c:pt>
                <c:pt idx="169">
                  <c:v>1.2183831857256513</c:v>
                </c:pt>
                <c:pt idx="170">
                  <c:v>1.2149891484652364</c:v>
                </c:pt>
                <c:pt idx="171">
                  <c:v>1.2115951112048213</c:v>
                </c:pt>
                <c:pt idx="172">
                  <c:v>1.2082010739444062</c:v>
                </c:pt>
                <c:pt idx="173">
                  <c:v>1.2048070366839911</c:v>
                </c:pt>
                <c:pt idx="174">
                  <c:v>1.201412999423576</c:v>
                </c:pt>
                <c:pt idx="175">
                  <c:v>1.1980189621631609</c:v>
                </c:pt>
                <c:pt idx="176">
                  <c:v>1.1946249249027456</c:v>
                </c:pt>
                <c:pt idx="177">
                  <c:v>1.1912308876423305</c:v>
                </c:pt>
                <c:pt idx="178">
                  <c:v>1.1878368503819157</c:v>
                </c:pt>
                <c:pt idx="179">
                  <c:v>1.1844428131215006</c:v>
                </c:pt>
                <c:pt idx="180">
                  <c:v>1.1810487758610853</c:v>
                </c:pt>
                <c:pt idx="181">
                  <c:v>1.1776547386006702</c:v>
                </c:pt>
                <c:pt idx="182">
                  <c:v>1.1742607013402553</c:v>
                </c:pt>
                <c:pt idx="183">
                  <c:v>1.1708666640798402</c:v>
                </c:pt>
                <c:pt idx="184">
                  <c:v>1.1674726268194251</c:v>
                </c:pt>
                <c:pt idx="185">
                  <c:v>1.16407858955901</c:v>
                </c:pt>
                <c:pt idx="186">
                  <c:v>1.1606845522985949</c:v>
                </c:pt>
                <c:pt idx="187">
                  <c:v>1.1572905150381798</c:v>
                </c:pt>
                <c:pt idx="188">
                  <c:v>1.1538964777777649</c:v>
                </c:pt>
                <c:pt idx="189">
                  <c:v>1.1505024405173496</c:v>
                </c:pt>
                <c:pt idx="190">
                  <c:v>1.1471084032569345</c:v>
                </c:pt>
                <c:pt idx="191">
                  <c:v>1.1437143659965192</c:v>
                </c:pt>
                <c:pt idx="192">
                  <c:v>1.1403203287361043</c:v>
                </c:pt>
                <c:pt idx="193">
                  <c:v>1.1369262914756892</c:v>
                </c:pt>
                <c:pt idx="194">
                  <c:v>1.1335322542152744</c:v>
                </c:pt>
                <c:pt idx="195">
                  <c:v>1.1301382169548591</c:v>
                </c:pt>
                <c:pt idx="196">
                  <c:v>1.1267441796944437</c:v>
                </c:pt>
                <c:pt idx="197">
                  <c:v>1.1074079684796199</c:v>
                </c:pt>
                <c:pt idx="198">
                  <c:v>0.95048796431335236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6C6-4C58-8657-ECBAF8C66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856608"/>
        <c:axId val="1"/>
      </c:scatterChart>
      <c:scatterChart>
        <c:scatterStyle val="lineMarker"/>
        <c:varyColors val="0"/>
        <c:ser>
          <c:idx val="10"/>
          <c:order val="10"/>
          <c:tx>
            <c:v>Velocity</c:v>
          </c:tx>
          <c:spPr>
            <a:ln>
              <a:solidFill>
                <a:srgbClr val="0070C0">
                  <a:alpha val="50000"/>
                </a:srgbClr>
              </a:solidFill>
            </a:ln>
          </c:spPr>
          <c:marker>
            <c:symbol val="none"/>
          </c:marker>
          <c:xVal>
            <c:numRef>
              <c:f>XS_Designer_Summary!$AK$3:$AK$204</c:f>
              <c:numCache>
                <c:formatCode>0.00</c:formatCode>
                <c:ptCount val="202"/>
                <c:pt idx="0">
                  <c:v>-27.201250000000002</c:v>
                </c:pt>
                <c:pt idx="1">
                  <c:v>-26.929237500000003</c:v>
                </c:pt>
                <c:pt idx="2">
                  <c:v>-26.657225000000004</c:v>
                </c:pt>
                <c:pt idx="3">
                  <c:v>-26.385212500000005</c:v>
                </c:pt>
                <c:pt idx="4">
                  <c:v>-26.113200000000006</c:v>
                </c:pt>
                <c:pt idx="5">
                  <c:v>-25.841187500000007</c:v>
                </c:pt>
                <c:pt idx="6">
                  <c:v>-25.569175000000008</c:v>
                </c:pt>
                <c:pt idx="7">
                  <c:v>-25.29716250000001</c:v>
                </c:pt>
                <c:pt idx="8">
                  <c:v>-25.025150000000011</c:v>
                </c:pt>
                <c:pt idx="9">
                  <c:v>-24.753137500000012</c:v>
                </c:pt>
                <c:pt idx="10">
                  <c:v>-24.481125000000013</c:v>
                </c:pt>
                <c:pt idx="11">
                  <c:v>-24.209112500000014</c:v>
                </c:pt>
                <c:pt idx="12">
                  <c:v>-23.937100000000015</c:v>
                </c:pt>
                <c:pt idx="13">
                  <c:v>-23.665087500000016</c:v>
                </c:pt>
                <c:pt idx="14">
                  <c:v>-23.393075000000017</c:v>
                </c:pt>
                <c:pt idx="15">
                  <c:v>-23.121062500000019</c:v>
                </c:pt>
                <c:pt idx="16">
                  <c:v>-22.84905000000002</c:v>
                </c:pt>
                <c:pt idx="17">
                  <c:v>-22.577037500000021</c:v>
                </c:pt>
                <c:pt idx="18">
                  <c:v>-22.305025000000022</c:v>
                </c:pt>
                <c:pt idx="19">
                  <c:v>-22.033012500000023</c:v>
                </c:pt>
                <c:pt idx="20">
                  <c:v>-21.761000000000024</c:v>
                </c:pt>
                <c:pt idx="21">
                  <c:v>-21.488987500000025</c:v>
                </c:pt>
                <c:pt idx="22">
                  <c:v>-21.216975000000026</c:v>
                </c:pt>
                <c:pt idx="23">
                  <c:v>-20.944962500000027</c:v>
                </c:pt>
                <c:pt idx="24">
                  <c:v>-20.672950000000029</c:v>
                </c:pt>
                <c:pt idx="25">
                  <c:v>-20.40093750000003</c:v>
                </c:pt>
                <c:pt idx="26">
                  <c:v>-20.128925000000031</c:v>
                </c:pt>
                <c:pt idx="27">
                  <c:v>-19.856912500000032</c:v>
                </c:pt>
                <c:pt idx="28">
                  <c:v>-19.584900000000033</c:v>
                </c:pt>
                <c:pt idx="29">
                  <c:v>-19.312887500000034</c:v>
                </c:pt>
                <c:pt idx="30">
                  <c:v>-19.040875000000035</c:v>
                </c:pt>
                <c:pt idx="31">
                  <c:v>-18.768862500000036</c:v>
                </c:pt>
                <c:pt idx="32">
                  <c:v>-18.496850000000038</c:v>
                </c:pt>
                <c:pt idx="33">
                  <c:v>-18.224837500000039</c:v>
                </c:pt>
                <c:pt idx="34">
                  <c:v>-17.95282500000004</c:v>
                </c:pt>
                <c:pt idx="35">
                  <c:v>-17.680812500000041</c:v>
                </c:pt>
                <c:pt idx="36">
                  <c:v>-17.408800000000042</c:v>
                </c:pt>
                <c:pt idx="37">
                  <c:v>-17.136787500000043</c:v>
                </c:pt>
                <c:pt idx="38">
                  <c:v>-16.864775000000044</c:v>
                </c:pt>
                <c:pt idx="39">
                  <c:v>-16.592762500000045</c:v>
                </c:pt>
                <c:pt idx="40">
                  <c:v>-16.320750000000046</c:v>
                </c:pt>
                <c:pt idx="41">
                  <c:v>-16.048737500000048</c:v>
                </c:pt>
                <c:pt idx="42">
                  <c:v>-15.776725000000047</c:v>
                </c:pt>
                <c:pt idx="43">
                  <c:v>-15.504712500000046</c:v>
                </c:pt>
                <c:pt idx="44">
                  <c:v>-15.232700000000046</c:v>
                </c:pt>
                <c:pt idx="45">
                  <c:v>-14.960687500000045</c:v>
                </c:pt>
                <c:pt idx="46">
                  <c:v>-14.688675000000044</c:v>
                </c:pt>
                <c:pt idx="47">
                  <c:v>-14.416662500000044</c:v>
                </c:pt>
                <c:pt idx="48">
                  <c:v>-14.144650000000043</c:v>
                </c:pt>
                <c:pt idx="49">
                  <c:v>-13.872637500000042</c:v>
                </c:pt>
                <c:pt idx="50">
                  <c:v>-13.600625000000042</c:v>
                </c:pt>
                <c:pt idx="51">
                  <c:v>-13.328612500000041</c:v>
                </c:pt>
                <c:pt idx="52">
                  <c:v>-13.05660000000004</c:v>
                </c:pt>
                <c:pt idx="53">
                  <c:v>-12.78458750000004</c:v>
                </c:pt>
                <c:pt idx="54">
                  <c:v>-12.512575000000039</c:v>
                </c:pt>
                <c:pt idx="55">
                  <c:v>-12.240562500000038</c:v>
                </c:pt>
                <c:pt idx="56">
                  <c:v>-11.968550000000038</c:v>
                </c:pt>
                <c:pt idx="57">
                  <c:v>-11.696537500000037</c:v>
                </c:pt>
                <c:pt idx="58">
                  <c:v>-11.424525000000036</c:v>
                </c:pt>
                <c:pt idx="59">
                  <c:v>-11.152512500000036</c:v>
                </c:pt>
                <c:pt idx="60">
                  <c:v>-10.880500000000035</c:v>
                </c:pt>
                <c:pt idx="61">
                  <c:v>-10.608487500000034</c:v>
                </c:pt>
                <c:pt idx="62">
                  <c:v>-10.336475000000034</c:v>
                </c:pt>
                <c:pt idx="63">
                  <c:v>-10.064462500000033</c:v>
                </c:pt>
                <c:pt idx="64">
                  <c:v>-9.7924500000000325</c:v>
                </c:pt>
                <c:pt idx="65">
                  <c:v>-9.5204375000000319</c:v>
                </c:pt>
                <c:pt idx="66">
                  <c:v>-9.2484250000000312</c:v>
                </c:pt>
                <c:pt idx="67">
                  <c:v>-8.9764125000000305</c:v>
                </c:pt>
                <c:pt idx="68">
                  <c:v>-8.7044000000000299</c:v>
                </c:pt>
                <c:pt idx="69">
                  <c:v>-8.4323875000000292</c:v>
                </c:pt>
                <c:pt idx="70">
                  <c:v>-8.1603750000000286</c:v>
                </c:pt>
                <c:pt idx="71">
                  <c:v>-7.8883625000000288</c:v>
                </c:pt>
                <c:pt idx="72">
                  <c:v>-7.616350000000029</c:v>
                </c:pt>
                <c:pt idx="73">
                  <c:v>-7.3443375000000293</c:v>
                </c:pt>
                <c:pt idx="74">
                  <c:v>-7.0723250000000295</c:v>
                </c:pt>
                <c:pt idx="75">
                  <c:v>-6.8003125000000297</c:v>
                </c:pt>
                <c:pt idx="76">
                  <c:v>-6.52830000000003</c:v>
                </c:pt>
                <c:pt idx="77">
                  <c:v>-6.2562875000000302</c:v>
                </c:pt>
                <c:pt idx="78">
                  <c:v>-5.9842750000000304</c:v>
                </c:pt>
                <c:pt idx="79">
                  <c:v>-5.7122625000000307</c:v>
                </c:pt>
                <c:pt idx="80">
                  <c:v>-5.4402500000000309</c:v>
                </c:pt>
                <c:pt idx="81">
                  <c:v>-5.1682375000000311</c:v>
                </c:pt>
                <c:pt idx="82">
                  <c:v>-4.8962250000000314</c:v>
                </c:pt>
                <c:pt idx="83">
                  <c:v>-4.6242125000000316</c:v>
                </c:pt>
                <c:pt idx="84">
                  <c:v>-4.3522000000000318</c:v>
                </c:pt>
                <c:pt idx="85">
                  <c:v>-4.0801875000000321</c:v>
                </c:pt>
                <c:pt idx="86">
                  <c:v>-3.8081750000000323</c:v>
                </c:pt>
                <c:pt idx="87">
                  <c:v>-3.5361625000000325</c:v>
                </c:pt>
                <c:pt idx="88">
                  <c:v>-3.2641500000000327</c:v>
                </c:pt>
                <c:pt idx="89">
                  <c:v>-2.992137500000033</c:v>
                </c:pt>
                <c:pt idx="90">
                  <c:v>-2.7201250000000332</c:v>
                </c:pt>
                <c:pt idx="91">
                  <c:v>-2.4481125000000334</c:v>
                </c:pt>
                <c:pt idx="92">
                  <c:v>-2.1761000000000337</c:v>
                </c:pt>
                <c:pt idx="93">
                  <c:v>-1.9040875000000337</c:v>
                </c:pt>
                <c:pt idx="94">
                  <c:v>-1.6320750000000337</c:v>
                </c:pt>
                <c:pt idx="95">
                  <c:v>-1.3600625000000337</c:v>
                </c:pt>
                <c:pt idx="96">
                  <c:v>-1.0880500000000337</c:v>
                </c:pt>
                <c:pt idx="97">
                  <c:v>-0.81603750000003372</c:v>
                </c:pt>
                <c:pt idx="98">
                  <c:v>-0.54402500000003373</c:v>
                </c:pt>
                <c:pt idx="99">
                  <c:v>-0.27201250000003374</c:v>
                </c:pt>
                <c:pt idx="100">
                  <c:v>-3.3750779948604759E-14</c:v>
                </c:pt>
                <c:pt idx="101">
                  <c:v>0.27201249999996624</c:v>
                </c:pt>
                <c:pt idx="102">
                  <c:v>0.54402499999996623</c:v>
                </c:pt>
                <c:pt idx="103">
                  <c:v>0.81603749999996622</c:v>
                </c:pt>
                <c:pt idx="104">
                  <c:v>1.0880499999999662</c:v>
                </c:pt>
                <c:pt idx="105">
                  <c:v>1.3600624999999662</c:v>
                </c:pt>
                <c:pt idx="106">
                  <c:v>1.6320749999999662</c:v>
                </c:pt>
                <c:pt idx="107">
                  <c:v>1.9040874999999662</c:v>
                </c:pt>
                <c:pt idx="108">
                  <c:v>2.1760999999999662</c:v>
                </c:pt>
                <c:pt idx="109">
                  <c:v>2.4481124999999659</c:v>
                </c:pt>
                <c:pt idx="110">
                  <c:v>2.7201249999999657</c:v>
                </c:pt>
                <c:pt idx="111">
                  <c:v>2.9921374999999655</c:v>
                </c:pt>
                <c:pt idx="112">
                  <c:v>3.2641499999999652</c:v>
                </c:pt>
                <c:pt idx="113">
                  <c:v>3.536162499999965</c:v>
                </c:pt>
                <c:pt idx="114">
                  <c:v>3.8081749999999648</c:v>
                </c:pt>
                <c:pt idx="115">
                  <c:v>4.0801874999999646</c:v>
                </c:pt>
                <c:pt idx="116">
                  <c:v>4.3521999999999643</c:v>
                </c:pt>
                <c:pt idx="117">
                  <c:v>4.6242124999999641</c:v>
                </c:pt>
                <c:pt idx="118">
                  <c:v>4.8962249999999639</c:v>
                </c:pt>
                <c:pt idx="119">
                  <c:v>5.1682374999999636</c:v>
                </c:pt>
                <c:pt idx="120">
                  <c:v>5.4402499999999634</c:v>
                </c:pt>
                <c:pt idx="121">
                  <c:v>5.7122624999999632</c:v>
                </c:pt>
                <c:pt idx="122">
                  <c:v>5.9842749999999629</c:v>
                </c:pt>
                <c:pt idx="123">
                  <c:v>6.2562874999999627</c:v>
                </c:pt>
                <c:pt idx="124">
                  <c:v>6.5282999999999625</c:v>
                </c:pt>
                <c:pt idx="125">
                  <c:v>6.8003124999999622</c:v>
                </c:pt>
                <c:pt idx="126">
                  <c:v>7.072324999999962</c:v>
                </c:pt>
                <c:pt idx="127">
                  <c:v>7.3443374999999618</c:v>
                </c:pt>
                <c:pt idx="128">
                  <c:v>7.6163499999999615</c:v>
                </c:pt>
                <c:pt idx="129">
                  <c:v>7.8883624999999613</c:v>
                </c:pt>
                <c:pt idx="130">
                  <c:v>8.1603749999999611</c:v>
                </c:pt>
                <c:pt idx="131">
                  <c:v>8.4323874999999617</c:v>
                </c:pt>
                <c:pt idx="132">
                  <c:v>8.7043999999999624</c:v>
                </c:pt>
                <c:pt idx="133">
                  <c:v>8.976412499999963</c:v>
                </c:pt>
                <c:pt idx="134">
                  <c:v>9.2484249999999637</c:v>
                </c:pt>
                <c:pt idx="135">
                  <c:v>9.5204374999999644</c:v>
                </c:pt>
                <c:pt idx="136">
                  <c:v>9.792449999999965</c:v>
                </c:pt>
                <c:pt idx="137">
                  <c:v>10.064462499999966</c:v>
                </c:pt>
                <c:pt idx="138">
                  <c:v>10.336474999999966</c:v>
                </c:pt>
                <c:pt idx="139">
                  <c:v>10.608487499999967</c:v>
                </c:pt>
                <c:pt idx="140">
                  <c:v>10.880499999999968</c:v>
                </c:pt>
                <c:pt idx="141">
                  <c:v>11.152512499999968</c:v>
                </c:pt>
                <c:pt idx="142">
                  <c:v>11.424524999999969</c:v>
                </c:pt>
                <c:pt idx="143">
                  <c:v>11.69653749999997</c:v>
                </c:pt>
                <c:pt idx="144">
                  <c:v>11.96854999999997</c:v>
                </c:pt>
                <c:pt idx="145">
                  <c:v>12.240562499999971</c:v>
                </c:pt>
                <c:pt idx="146">
                  <c:v>12.512574999999972</c:v>
                </c:pt>
                <c:pt idx="147">
                  <c:v>12.784587499999972</c:v>
                </c:pt>
                <c:pt idx="148">
                  <c:v>13.056599999999973</c:v>
                </c:pt>
                <c:pt idx="149">
                  <c:v>13.328612499999974</c:v>
                </c:pt>
                <c:pt idx="150">
                  <c:v>13.600624999999974</c:v>
                </c:pt>
                <c:pt idx="151">
                  <c:v>13.872637499999975</c:v>
                </c:pt>
                <c:pt idx="152">
                  <c:v>14.144649999999976</c:v>
                </c:pt>
                <c:pt idx="153">
                  <c:v>14.416662499999976</c:v>
                </c:pt>
                <c:pt idx="154">
                  <c:v>14.688674999999977</c:v>
                </c:pt>
                <c:pt idx="155">
                  <c:v>14.960687499999977</c:v>
                </c:pt>
                <c:pt idx="156">
                  <c:v>15.232699999999978</c:v>
                </c:pt>
                <c:pt idx="157">
                  <c:v>15.504712499999979</c:v>
                </c:pt>
                <c:pt idx="158">
                  <c:v>15.776724999999979</c:v>
                </c:pt>
                <c:pt idx="159">
                  <c:v>16.04873749999998</c:v>
                </c:pt>
                <c:pt idx="160">
                  <c:v>16.320749999999979</c:v>
                </c:pt>
                <c:pt idx="161">
                  <c:v>16.592762499999978</c:v>
                </c:pt>
                <c:pt idx="162">
                  <c:v>16.864774999999977</c:v>
                </c:pt>
                <c:pt idx="163">
                  <c:v>17.136787499999976</c:v>
                </c:pt>
                <c:pt idx="164">
                  <c:v>17.408799999999975</c:v>
                </c:pt>
                <c:pt idx="165">
                  <c:v>17.680812499999973</c:v>
                </c:pt>
                <c:pt idx="166">
                  <c:v>17.952824999999972</c:v>
                </c:pt>
                <c:pt idx="167">
                  <c:v>18.224837499999971</c:v>
                </c:pt>
                <c:pt idx="168">
                  <c:v>18.49684999999997</c:v>
                </c:pt>
                <c:pt idx="169">
                  <c:v>18.768862499999969</c:v>
                </c:pt>
                <c:pt idx="170">
                  <c:v>19.040874999999968</c:v>
                </c:pt>
                <c:pt idx="171">
                  <c:v>19.312887499999967</c:v>
                </c:pt>
                <c:pt idx="172">
                  <c:v>19.584899999999966</c:v>
                </c:pt>
                <c:pt idx="173">
                  <c:v>19.856912499999964</c:v>
                </c:pt>
                <c:pt idx="174">
                  <c:v>20.128924999999963</c:v>
                </c:pt>
                <c:pt idx="175">
                  <c:v>20.400937499999962</c:v>
                </c:pt>
                <c:pt idx="176">
                  <c:v>20.672949999999961</c:v>
                </c:pt>
                <c:pt idx="177">
                  <c:v>20.94496249999996</c:v>
                </c:pt>
                <c:pt idx="178">
                  <c:v>21.216974999999959</c:v>
                </c:pt>
                <c:pt idx="179">
                  <c:v>21.488987499999958</c:v>
                </c:pt>
                <c:pt idx="180">
                  <c:v>21.760999999999957</c:v>
                </c:pt>
                <c:pt idx="181">
                  <c:v>22.033012499999955</c:v>
                </c:pt>
                <c:pt idx="182">
                  <c:v>22.305024999999954</c:v>
                </c:pt>
                <c:pt idx="183">
                  <c:v>22.577037499999953</c:v>
                </c:pt>
                <c:pt idx="184">
                  <c:v>22.849049999999952</c:v>
                </c:pt>
                <c:pt idx="185">
                  <c:v>23.121062499999951</c:v>
                </c:pt>
                <c:pt idx="186">
                  <c:v>23.39307499999995</c:v>
                </c:pt>
                <c:pt idx="187">
                  <c:v>23.665087499999949</c:v>
                </c:pt>
                <c:pt idx="188">
                  <c:v>23.937099999999948</c:v>
                </c:pt>
                <c:pt idx="189">
                  <c:v>24.209112499999947</c:v>
                </c:pt>
                <c:pt idx="190">
                  <c:v>24.481124999999945</c:v>
                </c:pt>
                <c:pt idx="191">
                  <c:v>24.753137499999944</c:v>
                </c:pt>
                <c:pt idx="192">
                  <c:v>25.025149999999943</c:v>
                </c:pt>
                <c:pt idx="193">
                  <c:v>25.297162499999942</c:v>
                </c:pt>
                <c:pt idx="194">
                  <c:v>25.569174999999941</c:v>
                </c:pt>
                <c:pt idx="195">
                  <c:v>25.84118749999994</c:v>
                </c:pt>
                <c:pt idx="196">
                  <c:v>26.113199999999939</c:v>
                </c:pt>
                <c:pt idx="197">
                  <c:v>26.385212499999938</c:v>
                </c:pt>
                <c:pt idx="198">
                  <c:v>26.657224999999936</c:v>
                </c:pt>
                <c:pt idx="199">
                  <c:v>26.929237499999935</c:v>
                </c:pt>
                <c:pt idx="200">
                  <c:v>27.201249999999934</c:v>
                </c:pt>
                <c:pt idx="201">
                  <c:v>27.201250000000002</c:v>
                </c:pt>
              </c:numCache>
            </c:numRef>
          </c:xVal>
          <c:yVal>
            <c:numRef>
              <c:f>XS_Designer_Summary!$AV$3:$AV$204</c:f>
              <c:numCache>
                <c:formatCode>0.00</c:formatCode>
                <c:ptCount val="202"/>
                <c:pt idx="0">
                  <c:v>0</c:v>
                </c:pt>
                <c:pt idx="1">
                  <c:v>1.8610671646083261</c:v>
                </c:pt>
                <c:pt idx="2">
                  <c:v>1.9672527643729956</c:v>
                </c:pt>
                <c:pt idx="3">
                  <c:v>2.1782155082770629</c:v>
                </c:pt>
                <c:pt idx="4">
                  <c:v>2.2034978539563879</c:v>
                </c:pt>
                <c:pt idx="5">
                  <c:v>2.2079206290776918</c:v>
                </c:pt>
                <c:pt idx="6">
                  <c:v>2.2123389789058212</c:v>
                </c:pt>
                <c:pt idx="7">
                  <c:v>2.2167529210990455</c:v>
                </c:pt>
                <c:pt idx="8">
                  <c:v>2.2211624731926913</c:v>
                </c:pt>
                <c:pt idx="9">
                  <c:v>2.2255676526003629</c:v>
                </c:pt>
                <c:pt idx="10">
                  <c:v>2.2299684766151495</c:v>
                </c:pt>
                <c:pt idx="11">
                  <c:v>2.2343649624108104</c:v>
                </c:pt>
                <c:pt idx="12">
                  <c:v>2.2387571270429447</c:v>
                </c:pt>
                <c:pt idx="13">
                  <c:v>2.2431449874501554</c:v>
                </c:pt>
                <c:pt idx="14">
                  <c:v>2.2475285604551885</c:v>
                </c:pt>
                <c:pt idx="15">
                  <c:v>2.2519078627660627</c:v>
                </c:pt>
                <c:pt idx="16">
                  <c:v>2.2562829109771845</c:v>
                </c:pt>
                <c:pt idx="17">
                  <c:v>2.2606537215704479</c:v>
                </c:pt>
                <c:pt idx="18">
                  <c:v>2.2650203109163214</c:v>
                </c:pt>
                <c:pt idx="19">
                  <c:v>2.2693826952749214</c:v>
                </c:pt>
                <c:pt idx="20">
                  <c:v>2.27374089079707</c:v>
                </c:pt>
                <c:pt idx="21">
                  <c:v>2.2780949135253441</c:v>
                </c:pt>
                <c:pt idx="22">
                  <c:v>2.282444779395107</c:v>
                </c:pt>
                <c:pt idx="23">
                  <c:v>2.2867905042355297</c:v>
                </c:pt>
                <c:pt idx="24">
                  <c:v>2.2911321037705981</c:v>
                </c:pt>
                <c:pt idx="25">
                  <c:v>2.2954695936201115</c:v>
                </c:pt>
                <c:pt idx="26">
                  <c:v>2.2998029893006624</c:v>
                </c:pt>
                <c:pt idx="27">
                  <c:v>2.304132306226609</c:v>
                </c:pt>
                <c:pt idx="28">
                  <c:v>2.3084575597110364</c:v>
                </c:pt>
                <c:pt idx="29">
                  <c:v>2.3127787649667031</c:v>
                </c:pt>
                <c:pt idx="30">
                  <c:v>2.3170959371069753</c:v>
                </c:pt>
                <c:pt idx="31">
                  <c:v>2.3214090911467586</c:v>
                </c:pt>
                <c:pt idx="32">
                  <c:v>2.325718242003405</c:v>
                </c:pt>
                <c:pt idx="33">
                  <c:v>2.3300234044976174</c:v>
                </c:pt>
                <c:pt idx="34">
                  <c:v>2.3343245933543448</c:v>
                </c:pt>
                <c:pt idx="35">
                  <c:v>2.3386218232036593</c:v>
                </c:pt>
                <c:pt idx="36">
                  <c:v>2.3429151085816327</c:v>
                </c:pt>
                <c:pt idx="37">
                  <c:v>2.3472044639311886</c:v>
                </c:pt>
                <c:pt idx="38">
                  <c:v>2.35148990360296</c:v>
                </c:pt>
                <c:pt idx="39">
                  <c:v>2.3567271693259153</c:v>
                </c:pt>
                <c:pt idx="40">
                  <c:v>2.241489536512562</c:v>
                </c:pt>
                <c:pt idx="41">
                  <c:v>2.338569234808606</c:v>
                </c:pt>
                <c:pt idx="42">
                  <c:v>2.4336738779033542</c:v>
                </c:pt>
                <c:pt idx="43">
                  <c:v>2.5269550173585333</c:v>
                </c:pt>
                <c:pt idx="44">
                  <c:v>2.6185449535509324</c:v>
                </c:pt>
                <c:pt idx="45">
                  <c:v>2.7518231050914714</c:v>
                </c:pt>
                <c:pt idx="46">
                  <c:v>2.9534383099992922</c:v>
                </c:pt>
                <c:pt idx="47">
                  <c:v>2.9572592006551659</c:v>
                </c:pt>
                <c:pt idx="48">
                  <c:v>2.9610776245357688</c:v>
                </c:pt>
                <c:pt idx="49">
                  <c:v>2.9648935879990117</c:v>
                </c:pt>
                <c:pt idx="50">
                  <c:v>2.968707097374184</c:v>
                </c:pt>
                <c:pt idx="51">
                  <c:v>2.9725181589621368</c:v>
                </c:pt>
                <c:pt idx="52">
                  <c:v>2.9763267790354644</c:v>
                </c:pt>
                <c:pt idx="53">
                  <c:v>2.9801329638386864</c:v>
                </c:pt>
                <c:pt idx="54">
                  <c:v>2.983936719588427</c:v>
                </c:pt>
                <c:pt idx="55">
                  <c:v>2.9877380524735901</c:v>
                </c:pt>
                <c:pt idx="56">
                  <c:v>2.9915369686555389</c:v>
                </c:pt>
                <c:pt idx="57">
                  <c:v>2.9953334742682691</c:v>
                </c:pt>
                <c:pt idx="58">
                  <c:v>2.9991275754185795</c:v>
                </c:pt>
                <c:pt idx="59">
                  <c:v>3.0029192781862504</c:v>
                </c:pt>
                <c:pt idx="60">
                  <c:v>3.0067085886242086</c:v>
                </c:pt>
                <c:pt idx="61">
                  <c:v>3.0104955127586983</c:v>
                </c:pt>
                <c:pt idx="62">
                  <c:v>3.0142800565894481</c:v>
                </c:pt>
                <c:pt idx="63">
                  <c:v>3.0180622260898393</c:v>
                </c:pt>
                <c:pt idx="64">
                  <c:v>3.0218420272070698</c:v>
                </c:pt>
                <c:pt idx="65">
                  <c:v>3.0256194658623143</c:v>
                </c:pt>
                <c:pt idx="66">
                  <c:v>3.0293945479508939</c:v>
                </c:pt>
                <c:pt idx="67">
                  <c:v>3.0331672793424316</c:v>
                </c:pt>
                <c:pt idx="68">
                  <c:v>3.0369376658810121</c:v>
                </c:pt>
                <c:pt idx="69">
                  <c:v>3.0407057133853437</c:v>
                </c:pt>
                <c:pt idx="70">
                  <c:v>3.0444714276489129</c:v>
                </c:pt>
                <c:pt idx="71">
                  <c:v>3.048234814440145</c:v>
                </c:pt>
                <c:pt idx="72">
                  <c:v>3.051995879502539</c:v>
                </c:pt>
                <c:pt idx="73">
                  <c:v>3.0557546285548507</c:v>
                </c:pt>
                <c:pt idx="74">
                  <c:v>3.0595110672912322</c:v>
                </c:pt>
                <c:pt idx="75">
                  <c:v>3.063265201381371</c:v>
                </c:pt>
                <c:pt idx="76">
                  <c:v>3.0670170364706593</c:v>
                </c:pt>
                <c:pt idx="77">
                  <c:v>3.0707665781803266</c:v>
                </c:pt>
                <c:pt idx="78">
                  <c:v>3.0745138321075998</c:v>
                </c:pt>
                <c:pt idx="79">
                  <c:v>3.0782588038258365</c:v>
                </c:pt>
                <c:pt idx="80">
                  <c:v>3.0820014988846833</c:v>
                </c:pt>
                <c:pt idx="81">
                  <c:v>3.0857419228102105</c:v>
                </c:pt>
                <c:pt idx="82">
                  <c:v>7.6617662316710309</c:v>
                </c:pt>
                <c:pt idx="83">
                  <c:v>7.3628664628451252</c:v>
                </c:pt>
                <c:pt idx="84">
                  <c:v>7.5753474862209176</c:v>
                </c:pt>
                <c:pt idx="85">
                  <c:v>7.7848890792224328</c:v>
                </c:pt>
                <c:pt idx="86">
                  <c:v>7.9916474494195064</c:v>
                </c:pt>
                <c:pt idx="87">
                  <c:v>8.195764831236561</c:v>
                </c:pt>
                <c:pt idx="88">
                  <c:v>8.3973712059674561</c:v>
                </c:pt>
                <c:pt idx="89">
                  <c:v>8.5965857563045418</c:v>
                </c:pt>
                <c:pt idx="90">
                  <c:v>8.7935181040896797</c:v>
                </c:pt>
                <c:pt idx="91">
                  <c:v>8.9882693697345832</c:v>
                </c:pt>
                <c:pt idx="92">
                  <c:v>9.1809330839196281</c:v>
                </c:pt>
                <c:pt idx="93">
                  <c:v>9.5667909127193944</c:v>
                </c:pt>
                <c:pt idx="94">
                  <c:v>10.007380692196982</c:v>
                </c:pt>
                <c:pt idx="95">
                  <c:v>10.106687004430841</c:v>
                </c:pt>
                <c:pt idx="96">
                  <c:v>10.205507805242922</c:v>
                </c:pt>
                <c:pt idx="97">
                  <c:v>10.303852452375267</c:v>
                </c:pt>
                <c:pt idx="98">
                  <c:v>10.401729992426985</c:v>
                </c:pt>
                <c:pt idx="99">
                  <c:v>10.499302083103112</c:v>
                </c:pt>
                <c:pt idx="100">
                  <c:v>10.592191565599071</c:v>
                </c:pt>
                <c:pt idx="101">
                  <c:v>10.499302083103142</c:v>
                </c:pt>
                <c:pt idx="102">
                  <c:v>10.401729992427009</c:v>
                </c:pt>
                <c:pt idx="103">
                  <c:v>10.303852452375294</c:v>
                </c:pt>
                <c:pt idx="104">
                  <c:v>10.205507805242947</c:v>
                </c:pt>
                <c:pt idx="105">
                  <c:v>10.106687004430869</c:v>
                </c:pt>
                <c:pt idx="106">
                  <c:v>10.007380692197009</c:v>
                </c:pt>
                <c:pt idx="107">
                  <c:v>9.5667909127195685</c:v>
                </c:pt>
                <c:pt idx="108">
                  <c:v>9.1809330839196654</c:v>
                </c:pt>
                <c:pt idx="109">
                  <c:v>8.9882693697346401</c:v>
                </c:pt>
                <c:pt idx="110">
                  <c:v>8.7935181040897294</c:v>
                </c:pt>
                <c:pt idx="111">
                  <c:v>8.5965857563045898</c:v>
                </c:pt>
                <c:pt idx="112">
                  <c:v>8.3973712059675059</c:v>
                </c:pt>
                <c:pt idx="113">
                  <c:v>8.1957648312366107</c:v>
                </c:pt>
                <c:pt idx="114">
                  <c:v>7.9916474494195562</c:v>
                </c:pt>
                <c:pt idx="115">
                  <c:v>7.7848890792224843</c:v>
                </c:pt>
                <c:pt idx="116">
                  <c:v>7.5753474862209709</c:v>
                </c:pt>
                <c:pt idx="117">
                  <c:v>7.3628664628451759</c:v>
                </c:pt>
                <c:pt idx="118">
                  <c:v>7.661766231670943</c:v>
                </c:pt>
                <c:pt idx="119">
                  <c:v>3.085741922810211</c:v>
                </c:pt>
                <c:pt idx="120">
                  <c:v>3.0820014988846838</c:v>
                </c:pt>
                <c:pt idx="121">
                  <c:v>3.0782588038258374</c:v>
                </c:pt>
                <c:pt idx="122">
                  <c:v>3.0745138321075998</c:v>
                </c:pt>
                <c:pt idx="123">
                  <c:v>3.0707665781803275</c:v>
                </c:pt>
                <c:pt idx="124">
                  <c:v>3.0670170364706602</c:v>
                </c:pt>
                <c:pt idx="125">
                  <c:v>3.0632652013813728</c:v>
                </c:pt>
                <c:pt idx="126">
                  <c:v>3.0595110672912322</c:v>
                </c:pt>
                <c:pt idx="127">
                  <c:v>3.0557546285548525</c:v>
                </c:pt>
                <c:pt idx="128">
                  <c:v>3.0519958795025399</c:v>
                </c:pt>
                <c:pt idx="129">
                  <c:v>3.0482348144401463</c:v>
                </c:pt>
                <c:pt idx="130">
                  <c:v>3.0444714276489133</c:v>
                </c:pt>
                <c:pt idx="131">
                  <c:v>3.040705713385345</c:v>
                </c:pt>
                <c:pt idx="132">
                  <c:v>3.0369376658810134</c:v>
                </c:pt>
                <c:pt idx="133">
                  <c:v>3.0331672793424325</c:v>
                </c:pt>
                <c:pt idx="134">
                  <c:v>3.0293945479508948</c:v>
                </c:pt>
                <c:pt idx="135">
                  <c:v>3.0256194658623152</c:v>
                </c:pt>
                <c:pt idx="136">
                  <c:v>3.0218420272070703</c:v>
                </c:pt>
                <c:pt idx="137">
                  <c:v>3.0180622260898402</c:v>
                </c:pt>
                <c:pt idx="138">
                  <c:v>3.0142800565894499</c:v>
                </c:pt>
                <c:pt idx="139">
                  <c:v>3.0104955127586992</c:v>
                </c:pt>
                <c:pt idx="140">
                  <c:v>3.0067085886242091</c:v>
                </c:pt>
                <c:pt idx="141">
                  <c:v>3.0029192781862508</c:v>
                </c:pt>
                <c:pt idx="142">
                  <c:v>2.99912757541858</c:v>
                </c:pt>
                <c:pt idx="143">
                  <c:v>2.9953334742682691</c:v>
                </c:pt>
                <c:pt idx="144">
                  <c:v>2.9915369686555398</c:v>
                </c:pt>
                <c:pt idx="145">
                  <c:v>2.9877380524735915</c:v>
                </c:pt>
                <c:pt idx="146">
                  <c:v>2.9839367195884279</c:v>
                </c:pt>
                <c:pt idx="147">
                  <c:v>2.9801329638386878</c:v>
                </c:pt>
                <c:pt idx="148">
                  <c:v>2.9763267790354662</c:v>
                </c:pt>
                <c:pt idx="149">
                  <c:v>2.9725181589621372</c:v>
                </c:pt>
                <c:pt idx="150">
                  <c:v>2.9687070973741854</c:v>
                </c:pt>
                <c:pt idx="151">
                  <c:v>2.9648935879990121</c:v>
                </c:pt>
                <c:pt idx="152">
                  <c:v>2.9610776245357697</c:v>
                </c:pt>
                <c:pt idx="153">
                  <c:v>2.9572592006551668</c:v>
                </c:pt>
                <c:pt idx="154">
                  <c:v>2.9534383099992931</c:v>
                </c:pt>
                <c:pt idx="155">
                  <c:v>2.7518231050915616</c:v>
                </c:pt>
                <c:pt idx="156">
                  <c:v>2.6185449535509551</c:v>
                </c:pt>
                <c:pt idx="157">
                  <c:v>2.5269550173585547</c:v>
                </c:pt>
                <c:pt idx="158">
                  <c:v>2.4336738779033782</c:v>
                </c:pt>
                <c:pt idx="159">
                  <c:v>2.3385692348086295</c:v>
                </c:pt>
                <c:pt idx="160">
                  <c:v>2.2414895365125864</c:v>
                </c:pt>
                <c:pt idx="161">
                  <c:v>2.3567271693259224</c:v>
                </c:pt>
                <c:pt idx="162">
                  <c:v>2.3514899036029613</c:v>
                </c:pt>
                <c:pt idx="163">
                  <c:v>2.3472044639311891</c:v>
                </c:pt>
                <c:pt idx="164">
                  <c:v>2.342915108581634</c:v>
                </c:pt>
                <c:pt idx="165">
                  <c:v>2.3386218232036611</c:v>
                </c:pt>
                <c:pt idx="166">
                  <c:v>2.3343245933543457</c:v>
                </c:pt>
                <c:pt idx="167">
                  <c:v>2.3300234044976182</c:v>
                </c:pt>
                <c:pt idx="168">
                  <c:v>2.3257182420034055</c:v>
                </c:pt>
                <c:pt idx="169">
                  <c:v>2.3214090911467595</c:v>
                </c:pt>
                <c:pt idx="170">
                  <c:v>2.3170959371069761</c:v>
                </c:pt>
                <c:pt idx="171">
                  <c:v>2.3127787649667031</c:v>
                </c:pt>
                <c:pt idx="172">
                  <c:v>2.3084575597110373</c:v>
                </c:pt>
                <c:pt idx="173">
                  <c:v>2.3041323062266099</c:v>
                </c:pt>
                <c:pt idx="174">
                  <c:v>2.2998029893006637</c:v>
                </c:pt>
                <c:pt idx="175">
                  <c:v>2.2954695936201133</c:v>
                </c:pt>
                <c:pt idx="176">
                  <c:v>2.2911321037706003</c:v>
                </c:pt>
                <c:pt idx="177">
                  <c:v>2.2867905042355305</c:v>
                </c:pt>
                <c:pt idx="178">
                  <c:v>2.2824447793951079</c:v>
                </c:pt>
                <c:pt idx="179">
                  <c:v>2.278094913525345</c:v>
                </c:pt>
                <c:pt idx="180">
                  <c:v>2.2737408907970709</c:v>
                </c:pt>
                <c:pt idx="181">
                  <c:v>2.2693826952749223</c:v>
                </c:pt>
                <c:pt idx="182">
                  <c:v>2.2650203109163227</c:v>
                </c:pt>
                <c:pt idx="183">
                  <c:v>2.2606537215704487</c:v>
                </c:pt>
                <c:pt idx="184">
                  <c:v>2.2562829109771854</c:v>
                </c:pt>
                <c:pt idx="185">
                  <c:v>2.2519078627660631</c:v>
                </c:pt>
                <c:pt idx="186">
                  <c:v>2.2475285604551893</c:v>
                </c:pt>
                <c:pt idx="187">
                  <c:v>2.2431449874501568</c:v>
                </c:pt>
                <c:pt idx="188">
                  <c:v>2.2387571270429465</c:v>
                </c:pt>
                <c:pt idx="189">
                  <c:v>2.2343649624108113</c:v>
                </c:pt>
                <c:pt idx="190">
                  <c:v>2.2299684766151509</c:v>
                </c:pt>
                <c:pt idx="191">
                  <c:v>2.2255676526003634</c:v>
                </c:pt>
                <c:pt idx="192">
                  <c:v>2.2211624731926913</c:v>
                </c:pt>
                <c:pt idx="193">
                  <c:v>2.2167529210990464</c:v>
                </c:pt>
                <c:pt idx="194">
                  <c:v>2.2123389789058225</c:v>
                </c:pt>
                <c:pt idx="195">
                  <c:v>2.2079206290776923</c:v>
                </c:pt>
                <c:pt idx="196">
                  <c:v>2.2034978539563879</c:v>
                </c:pt>
                <c:pt idx="197">
                  <c:v>2.1782155082770975</c:v>
                </c:pt>
                <c:pt idx="198">
                  <c:v>1.967252764373022</c:v>
                </c:pt>
                <c:pt idx="199">
                  <c:v>1.8610671646083532</c:v>
                </c:pt>
                <c:pt idx="200">
                  <c:v>0</c:v>
                </c:pt>
                <c:pt idx="2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6C6-4C58-8657-ECBAF8C6693F}"/>
            </c:ext>
          </c:extLst>
        </c:ser>
        <c:ser>
          <c:idx val="12"/>
          <c:order val="12"/>
          <c:tx>
            <c:v>D50 Mobilized by Shear</c:v>
          </c:tx>
          <c:spPr>
            <a:ln>
              <a:solidFill>
                <a:schemeClr val="accent6">
                  <a:lumMod val="50000"/>
                  <a:alpha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XS_Designer_Summary!$AK$3:$AK$204</c:f>
              <c:numCache>
                <c:formatCode>0.00</c:formatCode>
                <c:ptCount val="202"/>
                <c:pt idx="0">
                  <c:v>-27.201250000000002</c:v>
                </c:pt>
                <c:pt idx="1">
                  <c:v>-26.929237500000003</c:v>
                </c:pt>
                <c:pt idx="2">
                  <c:v>-26.657225000000004</c:v>
                </c:pt>
                <c:pt idx="3">
                  <c:v>-26.385212500000005</c:v>
                </c:pt>
                <c:pt idx="4">
                  <c:v>-26.113200000000006</c:v>
                </c:pt>
                <c:pt idx="5">
                  <c:v>-25.841187500000007</c:v>
                </c:pt>
                <c:pt idx="6">
                  <c:v>-25.569175000000008</c:v>
                </c:pt>
                <c:pt idx="7">
                  <c:v>-25.29716250000001</c:v>
                </c:pt>
                <c:pt idx="8">
                  <c:v>-25.025150000000011</c:v>
                </c:pt>
                <c:pt idx="9">
                  <c:v>-24.753137500000012</c:v>
                </c:pt>
                <c:pt idx="10">
                  <c:v>-24.481125000000013</c:v>
                </c:pt>
                <c:pt idx="11">
                  <c:v>-24.209112500000014</c:v>
                </c:pt>
                <c:pt idx="12">
                  <c:v>-23.937100000000015</c:v>
                </c:pt>
                <c:pt idx="13">
                  <c:v>-23.665087500000016</c:v>
                </c:pt>
                <c:pt idx="14">
                  <c:v>-23.393075000000017</c:v>
                </c:pt>
                <c:pt idx="15">
                  <c:v>-23.121062500000019</c:v>
                </c:pt>
                <c:pt idx="16">
                  <c:v>-22.84905000000002</c:v>
                </c:pt>
                <c:pt idx="17">
                  <c:v>-22.577037500000021</c:v>
                </c:pt>
                <c:pt idx="18">
                  <c:v>-22.305025000000022</c:v>
                </c:pt>
                <c:pt idx="19">
                  <c:v>-22.033012500000023</c:v>
                </c:pt>
                <c:pt idx="20">
                  <c:v>-21.761000000000024</c:v>
                </c:pt>
                <c:pt idx="21">
                  <c:v>-21.488987500000025</c:v>
                </c:pt>
                <c:pt idx="22">
                  <c:v>-21.216975000000026</c:v>
                </c:pt>
                <c:pt idx="23">
                  <c:v>-20.944962500000027</c:v>
                </c:pt>
                <c:pt idx="24">
                  <c:v>-20.672950000000029</c:v>
                </c:pt>
                <c:pt idx="25">
                  <c:v>-20.40093750000003</c:v>
                </c:pt>
                <c:pt idx="26">
                  <c:v>-20.128925000000031</c:v>
                </c:pt>
                <c:pt idx="27">
                  <c:v>-19.856912500000032</c:v>
                </c:pt>
                <c:pt idx="28">
                  <c:v>-19.584900000000033</c:v>
                </c:pt>
                <c:pt idx="29">
                  <c:v>-19.312887500000034</c:v>
                </c:pt>
                <c:pt idx="30">
                  <c:v>-19.040875000000035</c:v>
                </c:pt>
                <c:pt idx="31">
                  <c:v>-18.768862500000036</c:v>
                </c:pt>
                <c:pt idx="32">
                  <c:v>-18.496850000000038</c:v>
                </c:pt>
                <c:pt idx="33">
                  <c:v>-18.224837500000039</c:v>
                </c:pt>
                <c:pt idx="34">
                  <c:v>-17.95282500000004</c:v>
                </c:pt>
                <c:pt idx="35">
                  <c:v>-17.680812500000041</c:v>
                </c:pt>
                <c:pt idx="36">
                  <c:v>-17.408800000000042</c:v>
                </c:pt>
                <c:pt idx="37">
                  <c:v>-17.136787500000043</c:v>
                </c:pt>
                <c:pt idx="38">
                  <c:v>-16.864775000000044</c:v>
                </c:pt>
                <c:pt idx="39">
                  <c:v>-16.592762500000045</c:v>
                </c:pt>
                <c:pt idx="40">
                  <c:v>-16.320750000000046</c:v>
                </c:pt>
                <c:pt idx="41">
                  <c:v>-16.048737500000048</c:v>
                </c:pt>
                <c:pt idx="42">
                  <c:v>-15.776725000000047</c:v>
                </c:pt>
                <c:pt idx="43">
                  <c:v>-15.504712500000046</c:v>
                </c:pt>
                <c:pt idx="44">
                  <c:v>-15.232700000000046</c:v>
                </c:pt>
                <c:pt idx="45">
                  <c:v>-14.960687500000045</c:v>
                </c:pt>
                <c:pt idx="46">
                  <c:v>-14.688675000000044</c:v>
                </c:pt>
                <c:pt idx="47">
                  <c:v>-14.416662500000044</c:v>
                </c:pt>
                <c:pt idx="48">
                  <c:v>-14.144650000000043</c:v>
                </c:pt>
                <c:pt idx="49">
                  <c:v>-13.872637500000042</c:v>
                </c:pt>
                <c:pt idx="50">
                  <c:v>-13.600625000000042</c:v>
                </c:pt>
                <c:pt idx="51">
                  <c:v>-13.328612500000041</c:v>
                </c:pt>
                <c:pt idx="52">
                  <c:v>-13.05660000000004</c:v>
                </c:pt>
                <c:pt idx="53">
                  <c:v>-12.78458750000004</c:v>
                </c:pt>
                <c:pt idx="54">
                  <c:v>-12.512575000000039</c:v>
                </c:pt>
                <c:pt idx="55">
                  <c:v>-12.240562500000038</c:v>
                </c:pt>
                <c:pt idx="56">
                  <c:v>-11.968550000000038</c:v>
                </c:pt>
                <c:pt idx="57">
                  <c:v>-11.696537500000037</c:v>
                </c:pt>
                <c:pt idx="58">
                  <c:v>-11.424525000000036</c:v>
                </c:pt>
                <c:pt idx="59">
                  <c:v>-11.152512500000036</c:v>
                </c:pt>
                <c:pt idx="60">
                  <c:v>-10.880500000000035</c:v>
                </c:pt>
                <c:pt idx="61">
                  <c:v>-10.608487500000034</c:v>
                </c:pt>
                <c:pt idx="62">
                  <c:v>-10.336475000000034</c:v>
                </c:pt>
                <c:pt idx="63">
                  <c:v>-10.064462500000033</c:v>
                </c:pt>
                <c:pt idx="64">
                  <c:v>-9.7924500000000325</c:v>
                </c:pt>
                <c:pt idx="65">
                  <c:v>-9.5204375000000319</c:v>
                </c:pt>
                <c:pt idx="66">
                  <c:v>-9.2484250000000312</c:v>
                </c:pt>
                <c:pt idx="67">
                  <c:v>-8.9764125000000305</c:v>
                </c:pt>
                <c:pt idx="68">
                  <c:v>-8.7044000000000299</c:v>
                </c:pt>
                <c:pt idx="69">
                  <c:v>-8.4323875000000292</c:v>
                </c:pt>
                <c:pt idx="70">
                  <c:v>-8.1603750000000286</c:v>
                </c:pt>
                <c:pt idx="71">
                  <c:v>-7.8883625000000288</c:v>
                </c:pt>
                <c:pt idx="72">
                  <c:v>-7.616350000000029</c:v>
                </c:pt>
                <c:pt idx="73">
                  <c:v>-7.3443375000000293</c:v>
                </c:pt>
                <c:pt idx="74">
                  <c:v>-7.0723250000000295</c:v>
                </c:pt>
                <c:pt idx="75">
                  <c:v>-6.8003125000000297</c:v>
                </c:pt>
                <c:pt idx="76">
                  <c:v>-6.52830000000003</c:v>
                </c:pt>
                <c:pt idx="77">
                  <c:v>-6.2562875000000302</c:v>
                </c:pt>
                <c:pt idx="78">
                  <c:v>-5.9842750000000304</c:v>
                </c:pt>
                <c:pt idx="79">
                  <c:v>-5.7122625000000307</c:v>
                </c:pt>
                <c:pt idx="80">
                  <c:v>-5.4402500000000309</c:v>
                </c:pt>
                <c:pt idx="81">
                  <c:v>-5.1682375000000311</c:v>
                </c:pt>
                <c:pt idx="82">
                  <c:v>-4.8962250000000314</c:v>
                </c:pt>
                <c:pt idx="83">
                  <c:v>-4.6242125000000316</c:v>
                </c:pt>
                <c:pt idx="84">
                  <c:v>-4.3522000000000318</c:v>
                </c:pt>
                <c:pt idx="85">
                  <c:v>-4.0801875000000321</c:v>
                </c:pt>
                <c:pt idx="86">
                  <c:v>-3.8081750000000323</c:v>
                </c:pt>
                <c:pt idx="87">
                  <c:v>-3.5361625000000325</c:v>
                </c:pt>
                <c:pt idx="88">
                  <c:v>-3.2641500000000327</c:v>
                </c:pt>
                <c:pt idx="89">
                  <c:v>-2.992137500000033</c:v>
                </c:pt>
                <c:pt idx="90">
                  <c:v>-2.7201250000000332</c:v>
                </c:pt>
                <c:pt idx="91">
                  <c:v>-2.4481125000000334</c:v>
                </c:pt>
                <c:pt idx="92">
                  <c:v>-2.1761000000000337</c:v>
                </c:pt>
                <c:pt idx="93">
                  <c:v>-1.9040875000000337</c:v>
                </c:pt>
                <c:pt idx="94">
                  <c:v>-1.6320750000000337</c:v>
                </c:pt>
                <c:pt idx="95">
                  <c:v>-1.3600625000000337</c:v>
                </c:pt>
                <c:pt idx="96">
                  <c:v>-1.0880500000000337</c:v>
                </c:pt>
                <c:pt idx="97">
                  <c:v>-0.81603750000003372</c:v>
                </c:pt>
                <c:pt idx="98">
                  <c:v>-0.54402500000003373</c:v>
                </c:pt>
                <c:pt idx="99">
                  <c:v>-0.27201250000003374</c:v>
                </c:pt>
                <c:pt idx="100">
                  <c:v>-3.3750779948604759E-14</c:v>
                </c:pt>
                <c:pt idx="101">
                  <c:v>0.27201249999996624</c:v>
                </c:pt>
                <c:pt idx="102">
                  <c:v>0.54402499999996623</c:v>
                </c:pt>
                <c:pt idx="103">
                  <c:v>0.81603749999996622</c:v>
                </c:pt>
                <c:pt idx="104">
                  <c:v>1.0880499999999662</c:v>
                </c:pt>
                <c:pt idx="105">
                  <c:v>1.3600624999999662</c:v>
                </c:pt>
                <c:pt idx="106">
                  <c:v>1.6320749999999662</c:v>
                </c:pt>
                <c:pt idx="107">
                  <c:v>1.9040874999999662</c:v>
                </c:pt>
                <c:pt idx="108">
                  <c:v>2.1760999999999662</c:v>
                </c:pt>
                <c:pt idx="109">
                  <c:v>2.4481124999999659</c:v>
                </c:pt>
                <c:pt idx="110">
                  <c:v>2.7201249999999657</c:v>
                </c:pt>
                <c:pt idx="111">
                  <c:v>2.9921374999999655</c:v>
                </c:pt>
                <c:pt idx="112">
                  <c:v>3.2641499999999652</c:v>
                </c:pt>
                <c:pt idx="113">
                  <c:v>3.536162499999965</c:v>
                </c:pt>
                <c:pt idx="114">
                  <c:v>3.8081749999999648</c:v>
                </c:pt>
                <c:pt idx="115">
                  <c:v>4.0801874999999646</c:v>
                </c:pt>
                <c:pt idx="116">
                  <c:v>4.3521999999999643</c:v>
                </c:pt>
                <c:pt idx="117">
                  <c:v>4.6242124999999641</c:v>
                </c:pt>
                <c:pt idx="118">
                  <c:v>4.8962249999999639</c:v>
                </c:pt>
                <c:pt idx="119">
                  <c:v>5.1682374999999636</c:v>
                </c:pt>
                <c:pt idx="120">
                  <c:v>5.4402499999999634</c:v>
                </c:pt>
                <c:pt idx="121">
                  <c:v>5.7122624999999632</c:v>
                </c:pt>
                <c:pt idx="122">
                  <c:v>5.9842749999999629</c:v>
                </c:pt>
                <c:pt idx="123">
                  <c:v>6.2562874999999627</c:v>
                </c:pt>
                <c:pt idx="124">
                  <c:v>6.5282999999999625</c:v>
                </c:pt>
                <c:pt idx="125">
                  <c:v>6.8003124999999622</c:v>
                </c:pt>
                <c:pt idx="126">
                  <c:v>7.072324999999962</c:v>
                </c:pt>
                <c:pt idx="127">
                  <c:v>7.3443374999999618</c:v>
                </c:pt>
                <c:pt idx="128">
                  <c:v>7.6163499999999615</c:v>
                </c:pt>
                <c:pt idx="129">
                  <c:v>7.8883624999999613</c:v>
                </c:pt>
                <c:pt idx="130">
                  <c:v>8.1603749999999611</c:v>
                </c:pt>
                <c:pt idx="131">
                  <c:v>8.4323874999999617</c:v>
                </c:pt>
                <c:pt idx="132">
                  <c:v>8.7043999999999624</c:v>
                </c:pt>
                <c:pt idx="133">
                  <c:v>8.976412499999963</c:v>
                </c:pt>
                <c:pt idx="134">
                  <c:v>9.2484249999999637</c:v>
                </c:pt>
                <c:pt idx="135">
                  <c:v>9.5204374999999644</c:v>
                </c:pt>
                <c:pt idx="136">
                  <c:v>9.792449999999965</c:v>
                </c:pt>
                <c:pt idx="137">
                  <c:v>10.064462499999966</c:v>
                </c:pt>
                <c:pt idx="138">
                  <c:v>10.336474999999966</c:v>
                </c:pt>
                <c:pt idx="139">
                  <c:v>10.608487499999967</c:v>
                </c:pt>
                <c:pt idx="140">
                  <c:v>10.880499999999968</c:v>
                </c:pt>
                <c:pt idx="141">
                  <c:v>11.152512499999968</c:v>
                </c:pt>
                <c:pt idx="142">
                  <c:v>11.424524999999969</c:v>
                </c:pt>
                <c:pt idx="143">
                  <c:v>11.69653749999997</c:v>
                </c:pt>
                <c:pt idx="144">
                  <c:v>11.96854999999997</c:v>
                </c:pt>
                <c:pt idx="145">
                  <c:v>12.240562499999971</c:v>
                </c:pt>
                <c:pt idx="146">
                  <c:v>12.512574999999972</c:v>
                </c:pt>
                <c:pt idx="147">
                  <c:v>12.784587499999972</c:v>
                </c:pt>
                <c:pt idx="148">
                  <c:v>13.056599999999973</c:v>
                </c:pt>
                <c:pt idx="149">
                  <c:v>13.328612499999974</c:v>
                </c:pt>
                <c:pt idx="150">
                  <c:v>13.600624999999974</c:v>
                </c:pt>
                <c:pt idx="151">
                  <c:v>13.872637499999975</c:v>
                </c:pt>
                <c:pt idx="152">
                  <c:v>14.144649999999976</c:v>
                </c:pt>
                <c:pt idx="153">
                  <c:v>14.416662499999976</c:v>
                </c:pt>
                <c:pt idx="154">
                  <c:v>14.688674999999977</c:v>
                </c:pt>
                <c:pt idx="155">
                  <c:v>14.960687499999977</c:v>
                </c:pt>
                <c:pt idx="156">
                  <c:v>15.232699999999978</c:v>
                </c:pt>
                <c:pt idx="157">
                  <c:v>15.504712499999979</c:v>
                </c:pt>
                <c:pt idx="158">
                  <c:v>15.776724999999979</c:v>
                </c:pt>
                <c:pt idx="159">
                  <c:v>16.04873749999998</c:v>
                </c:pt>
                <c:pt idx="160">
                  <c:v>16.320749999999979</c:v>
                </c:pt>
                <c:pt idx="161">
                  <c:v>16.592762499999978</c:v>
                </c:pt>
                <c:pt idx="162">
                  <c:v>16.864774999999977</c:v>
                </c:pt>
                <c:pt idx="163">
                  <c:v>17.136787499999976</c:v>
                </c:pt>
                <c:pt idx="164">
                  <c:v>17.408799999999975</c:v>
                </c:pt>
                <c:pt idx="165">
                  <c:v>17.680812499999973</c:v>
                </c:pt>
                <c:pt idx="166">
                  <c:v>17.952824999999972</c:v>
                </c:pt>
                <c:pt idx="167">
                  <c:v>18.224837499999971</c:v>
                </c:pt>
                <c:pt idx="168">
                  <c:v>18.49684999999997</c:v>
                </c:pt>
                <c:pt idx="169">
                  <c:v>18.768862499999969</c:v>
                </c:pt>
                <c:pt idx="170">
                  <c:v>19.040874999999968</c:v>
                </c:pt>
                <c:pt idx="171">
                  <c:v>19.312887499999967</c:v>
                </c:pt>
                <c:pt idx="172">
                  <c:v>19.584899999999966</c:v>
                </c:pt>
                <c:pt idx="173">
                  <c:v>19.856912499999964</c:v>
                </c:pt>
                <c:pt idx="174">
                  <c:v>20.128924999999963</c:v>
                </c:pt>
                <c:pt idx="175">
                  <c:v>20.400937499999962</c:v>
                </c:pt>
                <c:pt idx="176">
                  <c:v>20.672949999999961</c:v>
                </c:pt>
                <c:pt idx="177">
                  <c:v>20.94496249999996</c:v>
                </c:pt>
                <c:pt idx="178">
                  <c:v>21.216974999999959</c:v>
                </c:pt>
                <c:pt idx="179">
                  <c:v>21.488987499999958</c:v>
                </c:pt>
                <c:pt idx="180">
                  <c:v>21.760999999999957</c:v>
                </c:pt>
                <c:pt idx="181">
                  <c:v>22.033012499999955</c:v>
                </c:pt>
                <c:pt idx="182">
                  <c:v>22.305024999999954</c:v>
                </c:pt>
                <c:pt idx="183">
                  <c:v>22.577037499999953</c:v>
                </c:pt>
                <c:pt idx="184">
                  <c:v>22.849049999999952</c:v>
                </c:pt>
                <c:pt idx="185">
                  <c:v>23.121062499999951</c:v>
                </c:pt>
                <c:pt idx="186">
                  <c:v>23.39307499999995</c:v>
                </c:pt>
                <c:pt idx="187">
                  <c:v>23.665087499999949</c:v>
                </c:pt>
                <c:pt idx="188">
                  <c:v>23.937099999999948</c:v>
                </c:pt>
                <c:pt idx="189">
                  <c:v>24.209112499999947</c:v>
                </c:pt>
                <c:pt idx="190">
                  <c:v>24.481124999999945</c:v>
                </c:pt>
                <c:pt idx="191">
                  <c:v>24.753137499999944</c:v>
                </c:pt>
                <c:pt idx="192">
                  <c:v>25.025149999999943</c:v>
                </c:pt>
                <c:pt idx="193">
                  <c:v>25.297162499999942</c:v>
                </c:pt>
                <c:pt idx="194">
                  <c:v>25.569174999999941</c:v>
                </c:pt>
                <c:pt idx="195">
                  <c:v>25.84118749999994</c:v>
                </c:pt>
                <c:pt idx="196">
                  <c:v>26.113199999999939</c:v>
                </c:pt>
                <c:pt idx="197">
                  <c:v>26.385212499999938</c:v>
                </c:pt>
                <c:pt idx="198">
                  <c:v>26.657224999999936</c:v>
                </c:pt>
                <c:pt idx="199">
                  <c:v>26.929237499999935</c:v>
                </c:pt>
                <c:pt idx="200">
                  <c:v>27.201249999999934</c:v>
                </c:pt>
                <c:pt idx="201">
                  <c:v>27.201250000000002</c:v>
                </c:pt>
              </c:numCache>
            </c:numRef>
          </c:xVal>
          <c:yVal>
            <c:numRef>
              <c:f>XS_Designer_Summary!$BF$3:$BF$204</c:f>
              <c:numCache>
                <c:formatCode>0.00</c:formatCode>
                <c:ptCount val="202"/>
                <c:pt idx="0">
                  <c:v>2.8631191077072975</c:v>
                </c:pt>
                <c:pt idx="1">
                  <c:v>3.1343056573472845</c:v>
                </c:pt>
                <c:pt idx="2">
                  <c:v>3.4064423916477322</c:v>
                </c:pt>
                <c:pt idx="3">
                  <c:v>3.4712201569398298</c:v>
                </c:pt>
                <c:pt idx="4">
                  <c:v>3.4821326314446348</c:v>
                </c:pt>
                <c:pt idx="5">
                  <c:v>3.49304648454945</c:v>
                </c:pt>
                <c:pt idx="6">
                  <c:v>3.5039617122936293</c:v>
                </c:pt>
                <c:pt idx="7">
                  <c:v>3.514878310739717</c:v>
                </c:pt>
                <c:pt idx="8">
                  <c:v>3.5257962759732373</c:v>
                </c:pt>
                <c:pt idx="9">
                  <c:v>3.5367156041024943</c:v>
                </c:pt>
                <c:pt idx="10">
                  <c:v>3.5476362912583763</c:v>
                </c:pt>
                <c:pt idx="11">
                  <c:v>3.5585583335941506</c:v>
                </c:pt>
                <c:pt idx="12">
                  <c:v>3.5694817272852744</c:v>
                </c:pt>
                <c:pt idx="13">
                  <c:v>3.5804064685292016</c:v>
                </c:pt>
                <c:pt idx="14">
                  <c:v>3.5913325535451883</c:v>
                </c:pt>
                <c:pt idx="15">
                  <c:v>3.602259978574109</c:v>
                </c:pt>
                <c:pt idx="16">
                  <c:v>3.6131887398782694</c:v>
                </c:pt>
                <c:pt idx="17">
                  <c:v>3.624118833741218</c:v>
                </c:pt>
                <c:pt idx="18">
                  <c:v>3.6350502564675717</c:v>
                </c:pt>
                <c:pt idx="19">
                  <c:v>3.6459830043828299</c:v>
                </c:pt>
                <c:pt idx="20">
                  <c:v>3.6569170738332</c:v>
                </c:pt>
                <c:pt idx="21">
                  <c:v>3.6678524611854169</c:v>
                </c:pt>
                <c:pt idx="22">
                  <c:v>3.6787891628265776</c:v>
                </c:pt>
                <c:pt idx="23">
                  <c:v>3.6897271751639606</c:v>
                </c:pt>
                <c:pt idx="24">
                  <c:v>3.7006664946248646</c:v>
                </c:pt>
                <c:pt idx="25">
                  <c:v>3.7116071176564289</c:v>
                </c:pt>
                <c:pt idx="26">
                  <c:v>3.7225490407254807</c:v>
                </c:pt>
                <c:pt idx="27">
                  <c:v>3.7334922603183593</c:v>
                </c:pt>
                <c:pt idx="28">
                  <c:v>3.7444367729407637</c:v>
                </c:pt>
                <c:pt idx="29">
                  <c:v>3.7553825751175829</c:v>
                </c:pt>
                <c:pt idx="30">
                  <c:v>3.7663296633927428</c:v>
                </c:pt>
                <c:pt idx="31">
                  <c:v>3.7772780343290471</c:v>
                </c:pt>
                <c:pt idx="32">
                  <c:v>3.7882276845080227</c:v>
                </c:pt>
                <c:pt idx="33">
                  <c:v>3.7991786105297676</c:v>
                </c:pt>
                <c:pt idx="34">
                  <c:v>3.8101308090127932</c:v>
                </c:pt>
                <c:pt idx="35">
                  <c:v>3.8210842765938806</c:v>
                </c:pt>
                <c:pt idx="36">
                  <c:v>3.8320390099279296</c:v>
                </c:pt>
                <c:pt idx="37">
                  <c:v>3.8429950056878068</c:v>
                </c:pt>
                <c:pt idx="38">
                  <c:v>3.8539522605642098</c:v>
                </c:pt>
                <c:pt idx="39">
                  <c:v>3.8731180109508889</c:v>
                </c:pt>
                <c:pt idx="40">
                  <c:v>4.1475023358168173</c:v>
                </c:pt>
                <c:pt idx="41">
                  <c:v>4.4226207908007966</c:v>
                </c:pt>
                <c:pt idx="42">
                  <c:v>4.6984312307439362</c:v>
                </c:pt>
                <c:pt idx="43">
                  <c:v>4.974896178485527</c:v>
                </c:pt>
                <c:pt idx="44">
                  <c:v>5.2519820852348031</c:v>
                </c:pt>
                <c:pt idx="45">
                  <c:v>5.4898727223536365</c:v>
                </c:pt>
                <c:pt idx="46">
                  <c:v>5.5009884477158009</c:v>
                </c:pt>
                <c:pt idx="47">
                  <c:v>5.5121050785021843</c:v>
                </c:pt>
                <c:pt idx="48">
                  <c:v>5.5232226130338189</c:v>
                </c:pt>
                <c:pt idx="49">
                  <c:v>5.5343410496380931</c:v>
                </c:pt>
                <c:pt idx="50">
                  <c:v>5.5454603866487098</c:v>
                </c:pt>
                <c:pt idx="51">
                  <c:v>5.5565806224056464</c:v>
                </c:pt>
                <c:pt idx="52">
                  <c:v>5.5677017552551291</c:v>
                </c:pt>
                <c:pt idx="53">
                  <c:v>5.5788237835495851</c:v>
                </c:pt>
                <c:pt idx="54">
                  <c:v>5.5899467056476215</c:v>
                </c:pt>
                <c:pt idx="55">
                  <c:v>5.6010705199139785</c:v>
                </c:pt>
                <c:pt idx="56">
                  <c:v>5.6121952247194988</c:v>
                </c:pt>
                <c:pt idx="57">
                  <c:v>5.6233208184411003</c:v>
                </c:pt>
                <c:pt idx="58">
                  <c:v>5.6344472994617236</c:v>
                </c:pt>
                <c:pt idx="59">
                  <c:v>5.6455746661703241</c:v>
                </c:pt>
                <c:pt idx="60">
                  <c:v>5.6567029169618124</c:v>
                </c:pt>
                <c:pt idx="61">
                  <c:v>5.6678320502370401</c:v>
                </c:pt>
                <c:pt idx="62">
                  <c:v>5.6789620644027599</c:v>
                </c:pt>
                <c:pt idx="63">
                  <c:v>5.6900929578715882</c:v>
                </c:pt>
                <c:pt idx="64">
                  <c:v>5.7012247290619777</c:v>
                </c:pt>
                <c:pt idx="65">
                  <c:v>5.7123573763981881</c:v>
                </c:pt>
                <c:pt idx="66">
                  <c:v>5.7234908983102448</c:v>
                </c:pt>
                <c:pt idx="67">
                  <c:v>5.7346252932339201</c:v>
                </c:pt>
                <c:pt idx="68">
                  <c:v>5.7457605596106829</c:v>
                </c:pt>
                <c:pt idx="69">
                  <c:v>5.7568966958876846</c:v>
                </c:pt>
                <c:pt idx="70">
                  <c:v>5.7680337005177238</c:v>
                </c:pt>
                <c:pt idx="71">
                  <c:v>5.7791715719592078</c:v>
                </c:pt>
                <c:pt idx="72">
                  <c:v>5.7903103086761307</c:v>
                </c:pt>
                <c:pt idx="73">
                  <c:v>5.8014499091380358</c:v>
                </c:pt>
                <c:pt idx="74">
                  <c:v>5.8125903718199918</c:v>
                </c:pt>
                <c:pt idx="75">
                  <c:v>5.8237316952025591</c:v>
                </c:pt>
                <c:pt idx="76">
                  <c:v>5.834873877771761</c:v>
                </c:pt>
                <c:pt idx="77">
                  <c:v>5.8460169180190551</c:v>
                </c:pt>
                <c:pt idx="78">
                  <c:v>5.8571608144412979</c:v>
                </c:pt>
                <c:pt idx="79">
                  <c:v>5.8683055655407212</c:v>
                </c:pt>
                <c:pt idx="80">
                  <c:v>5.8794511698249092</c:v>
                </c:pt>
                <c:pt idx="81">
                  <c:v>5.8905976258067563</c:v>
                </c:pt>
                <c:pt idx="82">
                  <c:v>6.005081468346666</c:v>
                </c:pt>
                <c:pt idx="83">
                  <c:v>6.2842271899670079</c:v>
                </c:pt>
                <c:pt idx="84">
                  <c:v>6.5638737582524609</c:v>
                </c:pt>
                <c:pt idx="85">
                  <c:v>6.8440015101254232</c:v>
                </c:pt>
                <c:pt idx="86">
                  <c:v>7.1245922985711001</c:v>
                </c:pt>
                <c:pt idx="87">
                  <c:v>7.4056293226954164</c:v>
                </c:pt>
                <c:pt idx="88">
                  <c:v>7.6870969823473878</c:v>
                </c:pt>
                <c:pt idx="89">
                  <c:v>7.9689807530139749</c:v>
                </c:pt>
                <c:pt idx="90">
                  <c:v>8.2512670775660908</c:v>
                </c:pt>
                <c:pt idx="91">
                  <c:v>8.5339432721055424</c:v>
                </c:pt>
                <c:pt idx="92">
                  <c:v>8.8169974436850733</c:v>
                </c:pt>
                <c:pt idx="93">
                  <c:v>9.0497731935462493</c:v>
                </c:pt>
                <c:pt idx="94">
                  <c:v>9.1915862541659319</c:v>
                </c:pt>
                <c:pt idx="95">
                  <c:v>9.3334875638179042</c:v>
                </c:pt>
                <c:pt idx="96">
                  <c:v>9.4754758881242385</c:v>
                </c:pt>
                <c:pt idx="97">
                  <c:v>9.6175500274889529</c:v>
                </c:pt>
                <c:pt idx="98">
                  <c:v>9.7597088156383247</c:v>
                </c:pt>
                <c:pt idx="99">
                  <c:v>9.9018911936925083</c:v>
                </c:pt>
                <c:pt idx="100">
                  <c:v>10.045715127288284</c:v>
                </c:pt>
                <c:pt idx="101">
                  <c:v>9.9018911936925438</c:v>
                </c:pt>
                <c:pt idx="102">
                  <c:v>9.7597088156383585</c:v>
                </c:pt>
                <c:pt idx="103">
                  <c:v>9.6175500274889902</c:v>
                </c:pt>
                <c:pt idx="104">
                  <c:v>9.4754758881242722</c:v>
                </c:pt>
                <c:pt idx="105">
                  <c:v>9.3334875638179398</c:v>
                </c:pt>
                <c:pt idx="106">
                  <c:v>9.1915862541659674</c:v>
                </c:pt>
                <c:pt idx="107">
                  <c:v>9.0497731935462866</c:v>
                </c:pt>
                <c:pt idx="108">
                  <c:v>8.8169974436851444</c:v>
                </c:pt>
                <c:pt idx="109">
                  <c:v>8.5339432721056099</c:v>
                </c:pt>
                <c:pt idx="110">
                  <c:v>8.2512670775661601</c:v>
                </c:pt>
                <c:pt idx="111">
                  <c:v>7.9689807530140468</c:v>
                </c:pt>
                <c:pt idx="112">
                  <c:v>7.6870969823474553</c:v>
                </c:pt>
                <c:pt idx="113">
                  <c:v>7.4056293226954848</c:v>
                </c:pt>
                <c:pt idx="114">
                  <c:v>7.124592298571172</c:v>
                </c:pt>
                <c:pt idx="115">
                  <c:v>6.8440015101254943</c:v>
                </c:pt>
                <c:pt idx="116">
                  <c:v>6.5638737582525311</c:v>
                </c:pt>
                <c:pt idx="117">
                  <c:v>6.2842271899670772</c:v>
                </c:pt>
                <c:pt idx="118">
                  <c:v>6.0050814683467353</c:v>
                </c:pt>
                <c:pt idx="119">
                  <c:v>5.8905976258067598</c:v>
                </c:pt>
                <c:pt idx="120">
                  <c:v>5.8794511698249128</c:v>
                </c:pt>
                <c:pt idx="121">
                  <c:v>5.8683055655407248</c:v>
                </c:pt>
                <c:pt idx="122">
                  <c:v>5.8571608144412997</c:v>
                </c:pt>
                <c:pt idx="123">
                  <c:v>5.8460169180190578</c:v>
                </c:pt>
                <c:pt idx="124">
                  <c:v>5.8348738777717637</c:v>
                </c:pt>
                <c:pt idx="125">
                  <c:v>5.8237316952025617</c:v>
                </c:pt>
                <c:pt idx="126">
                  <c:v>5.8125903718199936</c:v>
                </c:pt>
                <c:pt idx="127">
                  <c:v>5.8014499091380394</c:v>
                </c:pt>
                <c:pt idx="128">
                  <c:v>5.7903103086761334</c:v>
                </c:pt>
                <c:pt idx="129">
                  <c:v>5.7791715719592105</c:v>
                </c:pt>
                <c:pt idx="130">
                  <c:v>5.7680337005177265</c:v>
                </c:pt>
                <c:pt idx="131">
                  <c:v>5.7568966958876882</c:v>
                </c:pt>
                <c:pt idx="132">
                  <c:v>5.7457605596106855</c:v>
                </c:pt>
                <c:pt idx="133">
                  <c:v>5.7346252932339237</c:v>
                </c:pt>
                <c:pt idx="134">
                  <c:v>5.7234908983102493</c:v>
                </c:pt>
                <c:pt idx="135">
                  <c:v>5.7123573763981907</c:v>
                </c:pt>
                <c:pt idx="136">
                  <c:v>5.7012247290619813</c:v>
                </c:pt>
                <c:pt idx="137">
                  <c:v>5.69009295787159</c:v>
                </c:pt>
                <c:pt idx="138">
                  <c:v>5.6789620644027625</c:v>
                </c:pt>
                <c:pt idx="139">
                  <c:v>5.6678320502370445</c:v>
                </c:pt>
                <c:pt idx="140">
                  <c:v>5.656702916961815</c:v>
                </c:pt>
                <c:pt idx="141">
                  <c:v>5.6455746661703259</c:v>
                </c:pt>
                <c:pt idx="142">
                  <c:v>5.6344472994617272</c:v>
                </c:pt>
                <c:pt idx="143">
                  <c:v>5.6233208184411021</c:v>
                </c:pt>
                <c:pt idx="144">
                  <c:v>5.6121952247195033</c:v>
                </c:pt>
                <c:pt idx="145">
                  <c:v>5.6010705199139803</c:v>
                </c:pt>
                <c:pt idx="146">
                  <c:v>5.5899467056476251</c:v>
                </c:pt>
                <c:pt idx="147">
                  <c:v>5.5788237835495886</c:v>
                </c:pt>
                <c:pt idx="148">
                  <c:v>5.5677017552551309</c:v>
                </c:pt>
                <c:pt idx="149">
                  <c:v>5.5565806224056482</c:v>
                </c:pt>
                <c:pt idx="150">
                  <c:v>5.5454603866487115</c:v>
                </c:pt>
                <c:pt idx="151">
                  <c:v>5.5343410496380958</c:v>
                </c:pt>
                <c:pt idx="152">
                  <c:v>5.5232226130338207</c:v>
                </c:pt>
                <c:pt idx="153">
                  <c:v>5.5121050785021861</c:v>
                </c:pt>
                <c:pt idx="154">
                  <c:v>5.5009884477158035</c:v>
                </c:pt>
                <c:pt idx="155">
                  <c:v>5.4898727223536401</c:v>
                </c:pt>
                <c:pt idx="156">
                  <c:v>5.2519820852348706</c:v>
                </c:pt>
                <c:pt idx="157">
                  <c:v>4.9748961784855963</c:v>
                </c:pt>
                <c:pt idx="158">
                  <c:v>4.6984312307440028</c:v>
                </c:pt>
                <c:pt idx="159">
                  <c:v>4.422620790800865</c:v>
                </c:pt>
                <c:pt idx="160">
                  <c:v>4.1475023358168865</c:v>
                </c:pt>
                <c:pt idx="161">
                  <c:v>3.8731180109509564</c:v>
                </c:pt>
                <c:pt idx="162">
                  <c:v>3.8539522605642129</c:v>
                </c:pt>
                <c:pt idx="163">
                  <c:v>3.8429950056878099</c:v>
                </c:pt>
                <c:pt idx="164">
                  <c:v>3.8320390099279318</c:v>
                </c:pt>
                <c:pt idx="165">
                  <c:v>3.8210842765938842</c:v>
                </c:pt>
                <c:pt idx="166">
                  <c:v>3.8101308090127959</c:v>
                </c:pt>
                <c:pt idx="167">
                  <c:v>3.7991786105297702</c:v>
                </c:pt>
                <c:pt idx="168">
                  <c:v>3.7882276845080263</c:v>
                </c:pt>
                <c:pt idx="169">
                  <c:v>3.7772780343290497</c:v>
                </c:pt>
                <c:pt idx="170">
                  <c:v>3.766329663392745</c:v>
                </c:pt>
                <c:pt idx="171">
                  <c:v>3.7553825751175856</c:v>
                </c:pt>
                <c:pt idx="172">
                  <c:v>3.7444367729407659</c:v>
                </c:pt>
                <c:pt idx="173">
                  <c:v>3.733492260318362</c:v>
                </c:pt>
                <c:pt idx="174">
                  <c:v>3.7225490407254824</c:v>
                </c:pt>
                <c:pt idx="175">
                  <c:v>3.7116071176564316</c:v>
                </c:pt>
                <c:pt idx="176">
                  <c:v>3.7006664946248669</c:v>
                </c:pt>
                <c:pt idx="177">
                  <c:v>3.6897271751639646</c:v>
                </c:pt>
                <c:pt idx="178">
                  <c:v>3.6787891628265812</c:v>
                </c:pt>
                <c:pt idx="179">
                  <c:v>3.6678524611854195</c:v>
                </c:pt>
                <c:pt idx="180">
                  <c:v>3.6569170738332026</c:v>
                </c:pt>
                <c:pt idx="181">
                  <c:v>3.6459830043828325</c:v>
                </c:pt>
                <c:pt idx="182">
                  <c:v>3.635050256467574</c:v>
                </c:pt>
                <c:pt idx="183">
                  <c:v>3.6241188337412211</c:v>
                </c:pt>
                <c:pt idx="184">
                  <c:v>3.6131887398782725</c:v>
                </c:pt>
                <c:pt idx="185">
                  <c:v>3.6022599785741121</c:v>
                </c:pt>
                <c:pt idx="186">
                  <c:v>3.5913325535451919</c:v>
                </c:pt>
                <c:pt idx="187">
                  <c:v>3.5804064685292043</c:v>
                </c:pt>
                <c:pt idx="188">
                  <c:v>3.5694817272852788</c:v>
                </c:pt>
                <c:pt idx="189">
                  <c:v>3.5585583335941533</c:v>
                </c:pt>
                <c:pt idx="190">
                  <c:v>3.547636291258379</c:v>
                </c:pt>
                <c:pt idx="191">
                  <c:v>3.5367156041024974</c:v>
                </c:pt>
                <c:pt idx="192">
                  <c:v>3.52579627597324</c:v>
                </c:pt>
                <c:pt idx="193">
                  <c:v>3.5148783107397192</c:v>
                </c:pt>
                <c:pt idx="194">
                  <c:v>3.5039617122936324</c:v>
                </c:pt>
                <c:pt idx="195">
                  <c:v>3.4930464845494522</c:v>
                </c:pt>
                <c:pt idx="196">
                  <c:v>3.482132631444637</c:v>
                </c:pt>
                <c:pt idx="197">
                  <c:v>3.471220156939832</c:v>
                </c:pt>
                <c:pt idx="198">
                  <c:v>3.4064423916477988</c:v>
                </c:pt>
                <c:pt idx="199">
                  <c:v>3.1343056573473524</c:v>
                </c:pt>
                <c:pt idx="200">
                  <c:v>2.863119107707365</c:v>
                </c:pt>
                <c:pt idx="2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6C6-4C58-8657-ECBAF8C66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754856608"/>
        <c:scaling>
          <c:orientation val="minMax"/>
          <c:max val="40"/>
          <c:min val="-40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/>
                  <a:t>Station (ft)</a:t>
                </a:r>
              </a:p>
            </c:rich>
          </c:tx>
          <c:overlay val="0"/>
        </c:title>
        <c:numFmt formatCode="#,##0.0" sourceLinked="0"/>
        <c:majorTickMark val="none"/>
        <c:minorTickMark val="none"/>
        <c:tickLblPos val="nextTo"/>
        <c:spPr>
          <a:ln>
            <a:solidFill>
              <a:schemeClr val="dk1">
                <a:lumMod val="25000"/>
                <a:lumOff val="75000"/>
              </a:schemeClr>
            </a:solidFill>
          </a:ln>
        </c:spPr>
        <c:txPr>
          <a:bodyPr/>
          <a:lstStyle/>
          <a:p>
            <a:pPr>
              <a:defRPr sz="900">
                <a:solidFill>
                  <a:schemeClr val="dk1">
                    <a:lumMod val="65001"/>
                    <a:lumOff val="34999"/>
                  </a:schemeClr>
                </a:solidFill>
                <a:latin typeface="+mn-lt"/>
              </a:defRPr>
            </a:pPr>
            <a:endParaRPr lang="en-US"/>
          </a:p>
        </c:txPr>
        <c:crossAx val="1"/>
        <c:crosses val="autoZero"/>
        <c:crossBetween val="midCat"/>
        <c:majorUnit val="4"/>
      </c:valAx>
      <c:valAx>
        <c:axId val="1"/>
        <c:scaling>
          <c:orientation val="minMax"/>
        </c:scaling>
        <c:delete val="0"/>
        <c:axPos val="r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/>
                  <a:t>Elevation (ft)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chemeClr val="dk1">
                <a:lumMod val="25000"/>
                <a:lumOff val="75000"/>
              </a:schemeClr>
            </a:solidFill>
          </a:ln>
        </c:spPr>
        <c:txPr>
          <a:bodyPr/>
          <a:lstStyle/>
          <a:p>
            <a:pPr>
              <a:defRPr sz="900">
                <a:solidFill>
                  <a:schemeClr val="dk1">
                    <a:lumMod val="65001"/>
                    <a:lumOff val="34999"/>
                  </a:schemeClr>
                </a:solidFill>
                <a:latin typeface="+mn-lt"/>
              </a:defRPr>
            </a:pPr>
            <a:endParaRPr lang="en-US"/>
          </a:p>
        </c:txPr>
        <c:crossAx val="754856608"/>
        <c:crosses val="max"/>
        <c:crossBetween val="midCat"/>
      </c:valAx>
      <c:valAx>
        <c:axId val="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/>
                  <a:t>Ft/s or lb/ft^2 or D50 Mobilized (in)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low"/>
        <c:crossAx val="3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overlay val="0"/>
      <c:txPr>
        <a:bodyPr/>
        <a:lstStyle/>
        <a:p>
          <a:pPr>
            <a:defRPr sz="1800"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 Stage Channel with IB</c:v>
          </c:tx>
          <c:xVal>
            <c:numRef>
              <c:f>#REF!</c:f>
            </c:numRef>
          </c:xVal>
          <c:yVal>
            <c:numRef>
              <c:f>#REF!</c:f>
            </c:numRef>
          </c:yVal>
          <c:smooth val="0"/>
          <c:extLst>
            <c:ext xmlns:c16="http://schemas.microsoft.com/office/drawing/2014/chart" uri="{C3380CC4-5D6E-409C-BE32-E72D297353CC}">
              <c16:uniqueId val="{00000000-ADE4-4781-A37E-48BB2D982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859888"/>
        <c:axId val="1"/>
      </c:scatterChart>
      <c:valAx>
        <c:axId val="754859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/>
                  <a:t>Distance (ft)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/>
                  <a:t>Elevation (ft)</a:t>
                </a:r>
              </a:p>
            </c:rich>
          </c:tx>
          <c:overlay val="0"/>
        </c:title>
        <c:majorTickMark val="none"/>
        <c:minorTickMark val="none"/>
        <c:tickLblPos val="nextTo"/>
        <c:crossAx val="75485988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pPr>
              <a:defRPr/>
            </a:pPr>
            <a:r>
              <a:rPr lang="en-US" sz="1800" b="1"/>
              <a:t>3 Stage Channel without IB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 Stage Channel with IB</c:v>
          </c:tx>
          <c:xVal>
            <c:numRef>
              <c:f>#REF!</c:f>
            </c:numRef>
          </c:xVal>
          <c:yVal>
            <c:numRef>
              <c:f>#REF!</c:f>
            </c:numRef>
          </c:yVal>
          <c:smooth val="0"/>
          <c:extLst>
            <c:ext xmlns:c16="http://schemas.microsoft.com/office/drawing/2014/chart" uri="{C3380CC4-5D6E-409C-BE32-E72D297353CC}">
              <c16:uniqueId val="{00000000-C012-47F0-9B12-7D52F3A2C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862512"/>
        <c:axId val="1"/>
      </c:scatterChart>
      <c:valAx>
        <c:axId val="754862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/>
                  <a:t>Distance (ft)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/>
                  <a:t>Elevation (ft)</a:t>
                </a:r>
              </a:p>
            </c:rich>
          </c:tx>
          <c:overlay val="0"/>
        </c:title>
        <c:majorTickMark val="none"/>
        <c:minorTickMark val="none"/>
        <c:tickLblPos val="nextTo"/>
        <c:crossAx val="754862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overlay val="0"/>
      <c:txPr>
        <a:bodyPr/>
        <a:lstStyle/>
        <a:p>
          <a:pPr>
            <a:defRPr sz="1800"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 Stage Channel with IB</c:v>
          </c:tx>
          <c:xVal>
            <c:numRef>
              <c:f>XS_Designer!$C$247:$C$265</c:f>
              <c:numCache>
                <c:formatCode>0.00</c:formatCode>
                <c:ptCount val="19"/>
                <c:pt idx="0">
                  <c:v>-27.201000000000001</c:v>
                </c:pt>
                <c:pt idx="1">
                  <c:v>-26.600999999999999</c:v>
                </c:pt>
                <c:pt idx="2">
                  <c:v>-16.600999999999999</c:v>
                </c:pt>
                <c:pt idx="3">
                  <c:v>-15.000999999999999</c:v>
                </c:pt>
                <c:pt idx="4">
                  <c:v>-5.0009999999999994</c:v>
                </c:pt>
                <c:pt idx="5">
                  <c:v>-4.0009999999999994</c:v>
                </c:pt>
                <c:pt idx="6">
                  <c:v>-2.0009999999999999</c:v>
                </c:pt>
                <c:pt idx="7">
                  <c:v>-1.0009999999999999</c:v>
                </c:pt>
                <c:pt idx="8">
                  <c:v>-1E-3</c:v>
                </c:pt>
                <c:pt idx="9">
                  <c:v>0</c:v>
                </c:pt>
                <c:pt idx="10">
                  <c:v>1E-3</c:v>
                </c:pt>
                <c:pt idx="11">
                  <c:v>1.0009999999999999</c:v>
                </c:pt>
                <c:pt idx="12">
                  <c:v>2.0009999999999999</c:v>
                </c:pt>
                <c:pt idx="13">
                  <c:v>4.0009999999999994</c:v>
                </c:pt>
                <c:pt idx="14">
                  <c:v>5.0009999999999994</c:v>
                </c:pt>
                <c:pt idx="15">
                  <c:v>15.000999999999999</c:v>
                </c:pt>
                <c:pt idx="16">
                  <c:v>16.600999999999999</c:v>
                </c:pt>
                <c:pt idx="17">
                  <c:v>26.600999999999999</c:v>
                </c:pt>
                <c:pt idx="18">
                  <c:v>27.201000000000001</c:v>
                </c:pt>
              </c:numCache>
            </c:numRef>
          </c:xVal>
          <c:yVal>
            <c:numRef>
              <c:f>XS_Designer!$E$247:$E$265</c:f>
              <c:numCache>
                <c:formatCode>0.00</c:formatCode>
                <c:ptCount val="19"/>
                <c:pt idx="0">
                  <c:v>3.5</c:v>
                </c:pt>
                <c:pt idx="1">
                  <c:v>3.2</c:v>
                </c:pt>
                <c:pt idx="2">
                  <c:v>3</c:v>
                </c:pt>
                <c:pt idx="3">
                  <c:v>2.2000000000000002</c:v>
                </c:pt>
                <c:pt idx="4">
                  <c:v>2</c:v>
                </c:pt>
                <c:pt idx="5">
                  <c:v>1.5</c:v>
                </c:pt>
                <c:pt idx="6">
                  <c:v>1.0009999999999999</c:v>
                </c:pt>
                <c:pt idx="7">
                  <c:v>0.5</c:v>
                </c:pt>
                <c:pt idx="8">
                  <c:v>1E-3</c:v>
                </c:pt>
                <c:pt idx="9">
                  <c:v>0</c:v>
                </c:pt>
                <c:pt idx="10">
                  <c:v>1E-3</c:v>
                </c:pt>
                <c:pt idx="11">
                  <c:v>0.5</c:v>
                </c:pt>
                <c:pt idx="12">
                  <c:v>1.0009999999999999</c:v>
                </c:pt>
                <c:pt idx="13">
                  <c:v>1.5</c:v>
                </c:pt>
                <c:pt idx="14">
                  <c:v>2</c:v>
                </c:pt>
                <c:pt idx="15">
                  <c:v>2.2000000000000002</c:v>
                </c:pt>
                <c:pt idx="16">
                  <c:v>3</c:v>
                </c:pt>
                <c:pt idx="17">
                  <c:v>3.2</c:v>
                </c:pt>
                <c:pt idx="18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2A-4072-BF7C-66AEACF81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761544"/>
        <c:axId val="1"/>
      </c:scatterChart>
      <c:valAx>
        <c:axId val="759761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/>
                  <a:t>Distance (ft)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/>
                  <a:t>Elevation (ft)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7597615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pPr>
              <a:defRPr/>
            </a:pPr>
            <a:r>
              <a:rPr lang="en-US" sz="1800" b="1"/>
              <a:t>3 Stage Channel without IB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 Stage Channel with IB</c:v>
          </c:tx>
          <c:xVal>
            <c:numRef>
              <c:f>XS_Designer!$E$301:$E$319</c:f>
              <c:numCache>
                <c:formatCode>0.00000</c:formatCode>
                <c:ptCount val="19"/>
                <c:pt idx="0">
                  <c:v>-27.201250000000002</c:v>
                </c:pt>
                <c:pt idx="1">
                  <c:v>-26.60125</c:v>
                </c:pt>
                <c:pt idx="2">
                  <c:v>-16.60125</c:v>
                </c:pt>
                <c:pt idx="3">
                  <c:v>-15.001249999999999</c:v>
                </c:pt>
                <c:pt idx="4">
                  <c:v>-5.0012499999999998</c:v>
                </c:pt>
                <c:pt idx="5">
                  <c:v>-2.0012499999999998</c:v>
                </c:pt>
                <c:pt idx="6">
                  <c:v>-1.00125</c:v>
                </c:pt>
                <c:pt idx="7">
                  <c:v>-0.50124999999999997</c:v>
                </c:pt>
                <c:pt idx="8">
                  <c:v>-1E-3</c:v>
                </c:pt>
                <c:pt idx="9">
                  <c:v>0</c:v>
                </c:pt>
                <c:pt idx="10">
                  <c:v>1E-3</c:v>
                </c:pt>
                <c:pt idx="11">
                  <c:v>0.50124999999999997</c:v>
                </c:pt>
                <c:pt idx="12">
                  <c:v>1.00125</c:v>
                </c:pt>
                <c:pt idx="13">
                  <c:v>2.0012499999999998</c:v>
                </c:pt>
                <c:pt idx="14">
                  <c:v>5.0012499999999998</c:v>
                </c:pt>
                <c:pt idx="15">
                  <c:v>15.001249999999999</c:v>
                </c:pt>
                <c:pt idx="16">
                  <c:v>16.60125</c:v>
                </c:pt>
                <c:pt idx="17">
                  <c:v>26.60125</c:v>
                </c:pt>
                <c:pt idx="18">
                  <c:v>27.201250000000002</c:v>
                </c:pt>
              </c:numCache>
            </c:numRef>
          </c:xVal>
          <c:yVal>
            <c:numRef>
              <c:f>XS_Designer!$G$301:$G$319</c:f>
              <c:numCache>
                <c:formatCode>0.00000</c:formatCode>
                <c:ptCount val="19"/>
                <c:pt idx="0">
                  <c:v>3.5010000000000003</c:v>
                </c:pt>
                <c:pt idx="1">
                  <c:v>3.2010000000000005</c:v>
                </c:pt>
                <c:pt idx="2">
                  <c:v>3.0010000000000003</c:v>
                </c:pt>
                <c:pt idx="3">
                  <c:v>2.2010000000000001</c:v>
                </c:pt>
                <c:pt idx="4">
                  <c:v>2.0009999999999999</c:v>
                </c:pt>
                <c:pt idx="5">
                  <c:v>0.501</c:v>
                </c:pt>
                <c:pt idx="6">
                  <c:v>0.251</c:v>
                </c:pt>
                <c:pt idx="7">
                  <c:v>0.126</c:v>
                </c:pt>
                <c:pt idx="8">
                  <c:v>1E-3</c:v>
                </c:pt>
                <c:pt idx="9">
                  <c:v>0</c:v>
                </c:pt>
                <c:pt idx="10">
                  <c:v>1E-3</c:v>
                </c:pt>
                <c:pt idx="11">
                  <c:v>0.126</c:v>
                </c:pt>
                <c:pt idx="12">
                  <c:v>0.251</c:v>
                </c:pt>
                <c:pt idx="13">
                  <c:v>0.501</c:v>
                </c:pt>
                <c:pt idx="14">
                  <c:v>2.0009999999999999</c:v>
                </c:pt>
                <c:pt idx="15">
                  <c:v>2.2010000000000001</c:v>
                </c:pt>
                <c:pt idx="16">
                  <c:v>3.0010000000000003</c:v>
                </c:pt>
                <c:pt idx="17">
                  <c:v>3.2010000000000005</c:v>
                </c:pt>
                <c:pt idx="18">
                  <c:v>3.5010000000000003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6F-470E-9076-C50A6C378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764168"/>
        <c:axId val="1"/>
      </c:scatterChart>
      <c:valAx>
        <c:axId val="759764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/>
                  <a:t>Distance (ft)</a:t>
                </a:r>
              </a:p>
            </c:rich>
          </c:tx>
          <c:overlay val="0"/>
        </c:title>
        <c:numFmt formatCode="0.00000" sourceLinked="1"/>
        <c:majorTickMark val="none"/>
        <c:minorTickMark val="none"/>
        <c:tickLblPos val="nextTo"/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/>
                  <a:t>Elevation (ft)</a:t>
                </a:r>
              </a:p>
            </c:rich>
          </c:tx>
          <c:overlay val="0"/>
        </c:title>
        <c:numFmt formatCode="0.00000" sourceLinked="1"/>
        <c:majorTickMark val="none"/>
        <c:minorTickMark val="none"/>
        <c:tickLblPos val="nextTo"/>
        <c:crossAx val="7597641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pPr>
              <a:defRPr/>
            </a:pPr>
            <a:r>
              <a:rPr lang="en-US" sz="850" b="1"/>
              <a:t>Pebble Count: Particle Size Analysis</a:t>
            </a:r>
          </a:p>
        </c:rich>
      </c:tx>
      <c:layout>
        <c:manualLayout>
          <c:xMode val="edge"/>
          <c:yMode val="edge"/>
          <c:x val="0.27888473482799381"/>
          <c:y val="1.7647083658778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956185955578035"/>
          <c:y val="8.5294240139935862E-2"/>
          <c:w val="0.78286928737130324"/>
          <c:h val="0.78235406473182545"/>
        </c:manualLayout>
      </c:layout>
      <c:scatterChart>
        <c:scatterStyle val="lineMarker"/>
        <c:varyColors val="0"/>
        <c:ser>
          <c:idx val="0"/>
          <c:order val="0"/>
          <c:tx>
            <c:v>Sieve Analysis</c:v>
          </c:tx>
          <c:spPr>
            <a:ln w="12700">
              <a:solidFill>
                <a:schemeClr val="dk1"/>
              </a:solidFill>
            </a:ln>
          </c:spPr>
          <c:marker>
            <c:symbol val="diamond"/>
            <c:size val="5"/>
            <c:spPr>
              <a:solidFill>
                <a:schemeClr val="dk1"/>
              </a:solidFill>
              <a:ln>
                <a:solidFill>
                  <a:schemeClr val="dk1"/>
                </a:solidFill>
              </a:ln>
            </c:spPr>
          </c:marker>
          <c:xVal>
            <c:numRef>
              <c:f>XS_Designer!$AY$133:$AY$156</c:f>
              <c:numCache>
                <c:formatCode>General</c:formatCode>
                <c:ptCount val="24"/>
                <c:pt idx="0">
                  <c:v>6.2E-2</c:v>
                </c:pt>
                <c:pt idx="1">
                  <c:v>0.125</c:v>
                </c:pt>
                <c:pt idx="2">
                  <c:v>0.25</c:v>
                </c:pt>
                <c:pt idx="3" formatCode="0.0">
                  <c:v>0.5</c:v>
                </c:pt>
                <c:pt idx="4" formatCode="0.0">
                  <c:v>1</c:v>
                </c:pt>
                <c:pt idx="5" formatCode="0.0">
                  <c:v>2</c:v>
                </c:pt>
                <c:pt idx="6" formatCode="0.0">
                  <c:v>4</c:v>
                </c:pt>
                <c:pt idx="7" formatCode="0.0">
                  <c:v>5.7</c:v>
                </c:pt>
                <c:pt idx="8" formatCode="0.0">
                  <c:v>8</c:v>
                </c:pt>
                <c:pt idx="9">
                  <c:v>11.03</c:v>
                </c:pt>
                <c:pt idx="10" formatCode="0.0">
                  <c:v>16</c:v>
                </c:pt>
                <c:pt idx="11" formatCode="0.0">
                  <c:v>22.6</c:v>
                </c:pt>
                <c:pt idx="12" formatCode="0.0">
                  <c:v>32</c:v>
                </c:pt>
                <c:pt idx="13">
                  <c:v>45</c:v>
                </c:pt>
                <c:pt idx="14">
                  <c:v>64</c:v>
                </c:pt>
                <c:pt idx="15">
                  <c:v>90</c:v>
                </c:pt>
                <c:pt idx="16">
                  <c:v>128</c:v>
                </c:pt>
                <c:pt idx="17">
                  <c:v>180</c:v>
                </c:pt>
                <c:pt idx="18">
                  <c:v>256</c:v>
                </c:pt>
                <c:pt idx="19">
                  <c:v>362</c:v>
                </c:pt>
                <c:pt idx="20">
                  <c:v>512</c:v>
                </c:pt>
                <c:pt idx="21">
                  <c:v>1024</c:v>
                </c:pt>
                <c:pt idx="22">
                  <c:v>2048</c:v>
                </c:pt>
              </c:numCache>
            </c:numRef>
          </c:xVal>
          <c:yVal>
            <c:numRef>
              <c:f>XS_Designer!$BB$133:$BB$156</c:f>
              <c:numCache>
                <c:formatCode>0%</c:formatCode>
                <c:ptCount val="24"/>
                <c:pt idx="0">
                  <c:v>4.5454545454545452E-3</c:v>
                </c:pt>
                <c:pt idx="1">
                  <c:v>9.0909090909090905E-3</c:v>
                </c:pt>
                <c:pt idx="2">
                  <c:v>1.3636363636363636E-2</c:v>
                </c:pt>
                <c:pt idx="3">
                  <c:v>2.2727272727272728E-2</c:v>
                </c:pt>
                <c:pt idx="4">
                  <c:v>4.5454545454545456E-2</c:v>
                </c:pt>
                <c:pt idx="5">
                  <c:v>0.1409090909090909</c:v>
                </c:pt>
                <c:pt idx="6">
                  <c:v>0.18181818181818182</c:v>
                </c:pt>
                <c:pt idx="7">
                  <c:v>0.18181818181818182</c:v>
                </c:pt>
                <c:pt idx="8">
                  <c:v>0.18181818181818182</c:v>
                </c:pt>
                <c:pt idx="9">
                  <c:v>0.21363636363636362</c:v>
                </c:pt>
                <c:pt idx="10">
                  <c:v>0.24545454545454545</c:v>
                </c:pt>
                <c:pt idx="11">
                  <c:v>0.27727272727272728</c:v>
                </c:pt>
                <c:pt idx="12">
                  <c:v>0.30909090909090908</c:v>
                </c:pt>
                <c:pt idx="13">
                  <c:v>0.40454545454545454</c:v>
                </c:pt>
                <c:pt idx="14">
                  <c:v>0.4681818181818182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66-4073-ABDE-83CCEA8E2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767776"/>
        <c:axId val="1"/>
      </c:scatterChart>
      <c:scatterChart>
        <c:scatterStyle val="lineMarker"/>
        <c:varyColors val="0"/>
        <c:ser>
          <c:idx val="1"/>
          <c:order val="1"/>
          <c:tx>
            <c:v>Particle Count</c:v>
          </c:tx>
          <c:spPr>
            <a:ln w="12700">
              <a:solidFill>
                <a:schemeClr val="dk1"/>
              </a:solidFill>
              <a:prstDash val="dash"/>
            </a:ln>
          </c:spPr>
          <c:marker>
            <c:symbol val="x"/>
            <c:size val="7"/>
            <c:spPr>
              <a:solidFill>
                <a:schemeClr val="lt1"/>
              </a:solidFill>
              <a:ln>
                <a:solidFill>
                  <a:schemeClr val="dk1"/>
                </a:solidFill>
              </a:ln>
            </c:spPr>
          </c:marker>
          <c:xVal>
            <c:numRef>
              <c:f>XS_Designer!$AY$133:$AY$156</c:f>
              <c:numCache>
                <c:formatCode>General</c:formatCode>
                <c:ptCount val="24"/>
                <c:pt idx="0">
                  <c:v>6.2E-2</c:v>
                </c:pt>
                <c:pt idx="1">
                  <c:v>0.125</c:v>
                </c:pt>
                <c:pt idx="2">
                  <c:v>0.25</c:v>
                </c:pt>
                <c:pt idx="3" formatCode="0.0">
                  <c:v>0.5</c:v>
                </c:pt>
                <c:pt idx="4" formatCode="0.0">
                  <c:v>1</c:v>
                </c:pt>
                <c:pt idx="5" formatCode="0.0">
                  <c:v>2</c:v>
                </c:pt>
                <c:pt idx="6" formatCode="0.0">
                  <c:v>4</c:v>
                </c:pt>
                <c:pt idx="7" formatCode="0.0">
                  <c:v>5.7</c:v>
                </c:pt>
                <c:pt idx="8" formatCode="0.0">
                  <c:v>8</c:v>
                </c:pt>
                <c:pt idx="9">
                  <c:v>11.03</c:v>
                </c:pt>
                <c:pt idx="10" formatCode="0.0">
                  <c:v>16</c:v>
                </c:pt>
                <c:pt idx="11" formatCode="0.0">
                  <c:v>22.6</c:v>
                </c:pt>
                <c:pt idx="12" formatCode="0.0">
                  <c:v>32</c:v>
                </c:pt>
                <c:pt idx="13">
                  <c:v>45</c:v>
                </c:pt>
                <c:pt idx="14">
                  <c:v>64</c:v>
                </c:pt>
                <c:pt idx="15">
                  <c:v>90</c:v>
                </c:pt>
                <c:pt idx="16">
                  <c:v>128</c:v>
                </c:pt>
                <c:pt idx="17">
                  <c:v>180</c:v>
                </c:pt>
                <c:pt idx="18">
                  <c:v>256</c:v>
                </c:pt>
                <c:pt idx="19">
                  <c:v>362</c:v>
                </c:pt>
                <c:pt idx="20">
                  <c:v>512</c:v>
                </c:pt>
                <c:pt idx="21">
                  <c:v>1024</c:v>
                </c:pt>
                <c:pt idx="22">
                  <c:v>2048</c:v>
                </c:pt>
              </c:numCache>
            </c:numRef>
          </c:xVal>
          <c:yVal>
            <c:numRef>
              <c:f>XS_Designer!$AZ$133:$AZ$156</c:f>
              <c:numCache>
                <c:formatCode>0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10</c:v>
                </c:pt>
                <c:pt idx="4">
                  <c:v>25</c:v>
                </c:pt>
                <c:pt idx="5">
                  <c:v>105</c:v>
                </c:pt>
                <c:pt idx="6">
                  <c:v>45</c:v>
                </c:pt>
                <c:pt idx="7">
                  <c:v>0</c:v>
                </c:pt>
                <c:pt idx="8">
                  <c:v>0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  <c:pt idx="13">
                  <c:v>105</c:v>
                </c:pt>
                <c:pt idx="14">
                  <c:v>70</c:v>
                </c:pt>
                <c:pt idx="15">
                  <c:v>35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550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66-4073-ABDE-83CCEA8E2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759767776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</a:ln>
          </c:spPr>
        </c:majorGridlines>
        <c:minorGridlines>
          <c:spPr>
            <a:ln w="3175">
              <a:solidFill>
                <a:srgbClr val="000000"/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800" b="1"/>
                  <a:t>Particle Size (mm)</a:t>
                </a:r>
              </a:p>
            </c:rich>
          </c:tx>
          <c:layout>
            <c:manualLayout>
              <c:xMode val="edge"/>
              <c:yMode val="edge"/>
              <c:x val="0.39641473823405665"/>
              <c:y val="0.92647175135279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ysDash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800" b="1"/>
                  <a:t>Percent Finer (%)</a:t>
                </a:r>
              </a:p>
            </c:rich>
          </c:tx>
          <c:layout>
            <c:manualLayout>
              <c:xMode val="edge"/>
              <c:yMode val="edge"/>
              <c:x val="1.1952154835607381E-2"/>
              <c:y val="0.3323535496400751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759767776"/>
        <c:crossesAt val="0.01"/>
        <c:crossBetween val="midCat"/>
      </c:valAx>
      <c:valAx>
        <c:axId val="4"/>
        <c:scaling>
          <c:orientation val="minMax"/>
        </c:scaling>
        <c:delete val="1"/>
        <c:axPos val="l"/>
        <c:numFmt formatCode="0" sourceLinked="1"/>
        <c:majorTickMark val="out"/>
        <c:minorTickMark val="none"/>
        <c:tickLblPos val="nextTo"/>
        <c:crossAx val="3"/>
        <c:crosses val="autoZero"/>
        <c:crossBetween val="midCat"/>
      </c:valAx>
      <c:valAx>
        <c:axId val="3"/>
        <c:scaling>
          <c:orientation val="minMax"/>
          <c:max val="5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 sz="800" b="1"/>
                  <a:t>Particle Count</a:t>
                </a:r>
              </a:p>
            </c:rich>
          </c:tx>
          <c:layout>
            <c:manualLayout>
              <c:xMode val="edge"/>
              <c:yMode val="edge"/>
              <c:x val="0.93625581535132529"/>
              <c:y val="0.358824315861321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"/>
        <c:crosses val="max"/>
        <c:crossBetween val="midCat"/>
      </c:valAx>
      <c:spPr>
        <a:noFill/>
        <a:ln w="12700">
          <a:solidFill>
            <a:srgbClr val="808080"/>
          </a:solidFill>
        </a:ln>
      </c:spPr>
    </c:plotArea>
    <c:legend>
      <c:legendPos val="r"/>
      <c:layout>
        <c:manualLayout>
          <c:xMode val="edge"/>
          <c:yMode val="edge"/>
          <c:x val="0.12592590811644727"/>
          <c:y val="0.10526327640680304"/>
          <c:w val="0.21185181623289456"/>
          <c:h val="0.110275625734450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</a:ln>
      </c:spPr>
      <c:txPr>
        <a:bodyPr/>
        <a:lstStyle/>
        <a:p>
          <a:pPr>
            <a:defRPr sz="675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800">
          <a:solidFill>
            <a:srgbClr val="000000"/>
          </a:solidFill>
          <a:latin typeface="Arial"/>
        </a:defRPr>
      </a:pPr>
      <a:endParaRPr lang="en-US"/>
    </a:p>
  </c:txPr>
  <c:printSettings>
    <c:headerFooter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10" Type="http://schemas.openxmlformats.org/officeDocument/2006/relationships/chart" Target="../charts/chart6.xml"/><Relationship Id="rId4" Type="http://schemas.openxmlformats.org/officeDocument/2006/relationships/chart" Target="../charts/chart4.xml"/><Relationship Id="rId9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jpeg"/><Relationship Id="rId13" Type="http://schemas.openxmlformats.org/officeDocument/2006/relationships/image" Target="../media/image26.jpeg"/><Relationship Id="rId3" Type="http://schemas.openxmlformats.org/officeDocument/2006/relationships/image" Target="../media/image18.png"/><Relationship Id="rId7" Type="http://schemas.openxmlformats.org/officeDocument/2006/relationships/image" Target="../media/image9.png"/><Relationship Id="rId12" Type="http://schemas.openxmlformats.org/officeDocument/2006/relationships/image" Target="../media/image25.png"/><Relationship Id="rId2" Type="http://schemas.openxmlformats.org/officeDocument/2006/relationships/image" Target="../media/image17.jpeg"/><Relationship Id="rId1" Type="http://schemas.openxmlformats.org/officeDocument/2006/relationships/image" Target="../media/image16.jpeg"/><Relationship Id="rId6" Type="http://schemas.openxmlformats.org/officeDocument/2006/relationships/image" Target="../media/image8.png"/><Relationship Id="rId11" Type="http://schemas.openxmlformats.org/officeDocument/2006/relationships/image" Target="../media/image24.png"/><Relationship Id="rId5" Type="http://schemas.openxmlformats.org/officeDocument/2006/relationships/image" Target="../media/image20.png"/><Relationship Id="rId10" Type="http://schemas.openxmlformats.org/officeDocument/2006/relationships/image" Target="../media/image23.png"/><Relationship Id="rId4" Type="http://schemas.openxmlformats.org/officeDocument/2006/relationships/image" Target="../media/image19.png"/><Relationship Id="rId9" Type="http://schemas.openxmlformats.org/officeDocument/2006/relationships/image" Target="../media/image2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38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176892</xdr:colOff>
      <xdr:row>5</xdr:row>
      <xdr:rowOff>81642</xdr:rowOff>
    </xdr:from>
    <xdr:to>
      <xdr:col>23</xdr:col>
      <xdr:colOff>1034141</xdr:colOff>
      <xdr:row>25</xdr:row>
      <xdr:rowOff>95249</xdr:rowOff>
    </xdr:to>
    <xdr:graphicFrame macro="">
      <xdr:nvGraphicFramePr>
        <xdr:cNvPr id="2" name="XS Designer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228599</xdr:colOff>
      <xdr:row>225</xdr:row>
      <xdr:rowOff>36059</xdr:rowOff>
    </xdr:from>
    <xdr:to>
      <xdr:col>31</xdr:col>
      <xdr:colOff>297995</xdr:colOff>
      <xdr:row>242</xdr:row>
      <xdr:rowOff>155122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653145</xdr:colOff>
      <xdr:row>277</xdr:row>
      <xdr:rowOff>122664</xdr:rowOff>
    </xdr:from>
    <xdr:to>
      <xdr:col>29</xdr:col>
      <xdr:colOff>272144</xdr:colOff>
      <xdr:row>308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228599</xdr:colOff>
      <xdr:row>225</xdr:row>
      <xdr:rowOff>36059</xdr:rowOff>
    </xdr:from>
    <xdr:to>
      <xdr:col>31</xdr:col>
      <xdr:colOff>297995</xdr:colOff>
      <xdr:row>242</xdr:row>
      <xdr:rowOff>155122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653145</xdr:colOff>
      <xdr:row>277</xdr:row>
      <xdr:rowOff>122664</xdr:rowOff>
    </xdr:from>
    <xdr:to>
      <xdr:col>29</xdr:col>
      <xdr:colOff>272144</xdr:colOff>
      <xdr:row>308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74</xdr:col>
      <xdr:colOff>54427</xdr:colOff>
      <xdr:row>20</xdr:row>
      <xdr:rowOff>81643</xdr:rowOff>
    </xdr:from>
    <xdr:to>
      <xdr:col>86</xdr:col>
      <xdr:colOff>11508</xdr:colOff>
      <xdr:row>56</xdr:row>
      <xdr:rowOff>183231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7294945" y="3975463"/>
          <a:ext cx="7977775" cy="682968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76</xdr:col>
      <xdr:colOff>6123</xdr:colOff>
      <xdr:row>3</xdr:row>
      <xdr:rowOff>111277</xdr:rowOff>
    </xdr:from>
    <xdr:to>
      <xdr:col>83</xdr:col>
      <xdr:colOff>57489</xdr:colOff>
      <xdr:row>20</xdr:row>
      <xdr:rowOff>50463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8534930" y="777392"/>
          <a:ext cx="4851338" cy="316689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66</xdr:col>
      <xdr:colOff>394607</xdr:colOff>
      <xdr:row>4</xdr:row>
      <xdr:rowOff>40821</xdr:rowOff>
    </xdr:from>
    <xdr:to>
      <xdr:col>73</xdr:col>
      <xdr:colOff>363838</xdr:colOff>
      <xdr:row>28</xdr:row>
      <xdr:rowOff>105083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9260393" y="896801"/>
          <a:ext cx="7315378" cy="462229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50</xdr:col>
      <xdr:colOff>95250</xdr:colOff>
      <xdr:row>57</xdr:row>
      <xdr:rowOff>163286</xdr:rowOff>
    </xdr:from>
    <xdr:to>
      <xdr:col>55</xdr:col>
      <xdr:colOff>375063</xdr:colOff>
      <xdr:row>72</xdr:row>
      <xdr:rowOff>185085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9800933" y="11156406"/>
          <a:ext cx="6264646" cy="2806819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47</xdr:col>
      <xdr:colOff>38100</xdr:colOff>
      <xdr:row>158</xdr:row>
      <xdr:rowOff>9525</xdr:rowOff>
    </xdr:from>
    <xdr:to>
      <xdr:col>57</xdr:col>
      <xdr:colOff>66675</xdr:colOff>
      <xdr:row>180</xdr:row>
      <xdr:rowOff>114300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519793</xdr:colOff>
      <xdr:row>22</xdr:row>
      <xdr:rowOff>40821</xdr:rowOff>
    </xdr:from>
    <xdr:to>
      <xdr:col>13</xdr:col>
      <xdr:colOff>77919</xdr:colOff>
      <xdr:row>53</xdr:row>
      <xdr:rowOff>82007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90757" y="4408986"/>
          <a:ext cx="6985536" cy="594224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15</xdr:col>
      <xdr:colOff>581025</xdr:colOff>
      <xdr:row>28</xdr:row>
      <xdr:rowOff>169686</xdr:rowOff>
    </xdr:from>
    <xdr:to>
      <xdr:col>19</xdr:col>
      <xdr:colOff>156517</xdr:colOff>
      <xdr:row>33</xdr:row>
      <xdr:rowOff>78065</xdr:rowOff>
    </xdr:to>
    <xdr:pic>
      <xdr:nvPicPr>
        <xdr:cNvPr id="5" name="Picture 4" descr="http://www.professorpatel.com/uploads/7/6/5/6/7656897/2081876.jpg?570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7688" y="5692281"/>
          <a:ext cx="3970564" cy="85770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15</xdr:col>
      <xdr:colOff>387003</xdr:colOff>
      <xdr:row>34</xdr:row>
      <xdr:rowOff>133350</xdr:rowOff>
    </xdr:from>
    <xdr:to>
      <xdr:col>22</xdr:col>
      <xdr:colOff>648707</xdr:colOff>
      <xdr:row>51</xdr:row>
      <xdr:rowOff>9441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73666" y="6795135"/>
          <a:ext cx="7211759" cy="3103796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503464</xdr:colOff>
      <xdr:row>0</xdr:row>
      <xdr:rowOff>27214</xdr:rowOff>
    </xdr:from>
    <xdr:to>
      <xdr:col>29</xdr:col>
      <xdr:colOff>347699</xdr:colOff>
      <xdr:row>30</xdr:row>
      <xdr:rowOff>187736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0599" y="27214"/>
          <a:ext cx="8862259" cy="583170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224151</xdr:colOff>
      <xdr:row>0</xdr:row>
      <xdr:rowOff>0</xdr:rowOff>
    </xdr:from>
    <xdr:to>
      <xdr:col>43</xdr:col>
      <xdr:colOff>8565</xdr:colOff>
      <xdr:row>46</xdr:row>
      <xdr:rowOff>111435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327598" y="0"/>
          <a:ext cx="7514149" cy="85232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14</xdr:col>
      <xdr:colOff>512110</xdr:colOff>
      <xdr:row>33</xdr:row>
      <xdr:rowOff>5355</xdr:rowOff>
    </xdr:from>
    <xdr:to>
      <xdr:col>26</xdr:col>
      <xdr:colOff>368432</xdr:colOff>
      <xdr:row>69</xdr:row>
      <xdr:rowOff>86036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65100" y="6246135"/>
          <a:ext cx="7586057" cy="604904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14</xdr:col>
      <xdr:colOff>612320</xdr:colOff>
      <xdr:row>69</xdr:row>
      <xdr:rowOff>163284</xdr:rowOff>
    </xdr:from>
    <xdr:to>
      <xdr:col>26</xdr:col>
      <xdr:colOff>308707</xdr:colOff>
      <xdr:row>104</xdr:row>
      <xdr:rowOff>98616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65310" y="12372429"/>
          <a:ext cx="7426122" cy="571383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27</xdr:col>
      <xdr:colOff>598714</xdr:colOff>
      <xdr:row>47</xdr:row>
      <xdr:rowOff>95249</xdr:rowOff>
    </xdr:from>
    <xdr:to>
      <xdr:col>38</xdr:col>
      <xdr:colOff>339679</xdr:colOff>
      <xdr:row>114</xdr:row>
      <xdr:rowOff>20974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25583" y="8672194"/>
          <a:ext cx="6826555" cy="1098742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15</xdr:col>
      <xdr:colOff>0</xdr:colOff>
      <xdr:row>121</xdr:row>
      <xdr:rowOff>0</xdr:rowOff>
    </xdr:from>
    <xdr:to>
      <xdr:col>24</xdr:col>
      <xdr:colOff>181800</xdr:colOff>
      <xdr:row>175</xdr:row>
      <xdr:rowOff>90927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797135" y="20794345"/>
          <a:ext cx="5979101" cy="900632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25</xdr:col>
      <xdr:colOff>68035</xdr:colOff>
      <xdr:row>120</xdr:row>
      <xdr:rowOff>108857</xdr:rowOff>
    </xdr:from>
    <xdr:to>
      <xdr:col>34</xdr:col>
      <xdr:colOff>3252</xdr:colOff>
      <xdr:row>175</xdr:row>
      <xdr:rowOff>152144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06615" y="20738102"/>
          <a:ext cx="5732518" cy="912378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530678</xdr:colOff>
      <xdr:row>69</xdr:row>
      <xdr:rowOff>136071</xdr:rowOff>
    </xdr:from>
    <xdr:to>
      <xdr:col>12</xdr:col>
      <xdr:colOff>219081</xdr:colOff>
      <xdr:row>124</xdr:row>
      <xdr:rowOff>77771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18967" y="12345216"/>
          <a:ext cx="6264815" cy="90222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412297</xdr:colOff>
      <xdr:row>134</xdr:row>
      <xdr:rowOff>171449</xdr:rowOff>
    </xdr:from>
    <xdr:to>
      <xdr:col>32</xdr:col>
      <xdr:colOff>277416</xdr:colOff>
      <xdr:row>162</xdr:row>
      <xdr:rowOff>101576</xdr:rowOff>
    </xdr:to>
    <xdr:pic>
      <xdr:nvPicPr>
        <xdr:cNvPr id="2" name="Picture 1" descr="https://image.slidesharecdn.com/rc101day1-110824093903-phpapp02/95/rc101-day1-78-728.jpg?cb=1314179109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37814" y="26907489"/>
          <a:ext cx="7555358" cy="537080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14</xdr:col>
      <xdr:colOff>140955</xdr:colOff>
      <xdr:row>128</xdr:row>
      <xdr:rowOff>24810</xdr:rowOff>
    </xdr:from>
    <xdr:to>
      <xdr:col>20</xdr:col>
      <xdr:colOff>231321</xdr:colOff>
      <xdr:row>166</xdr:row>
      <xdr:rowOff>61211</xdr:rowOff>
    </xdr:to>
    <xdr:pic>
      <xdr:nvPicPr>
        <xdr:cNvPr id="3" name="Picture 2" descr="https://wildlandhydrology.com/i/photos/books/ShearStress.jp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16441" y="25621660"/>
          <a:ext cx="5240397" cy="737573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22</xdr:col>
      <xdr:colOff>196870</xdr:colOff>
      <xdr:row>170</xdr:row>
      <xdr:rowOff>57037</xdr:rowOff>
    </xdr:from>
    <xdr:to>
      <xdr:col>32</xdr:col>
      <xdr:colOff>226519</xdr:colOff>
      <xdr:row>199</xdr:row>
      <xdr:rowOff>180795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408971" y="33752677"/>
          <a:ext cx="6433304" cy="5878128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212911</xdr:colOff>
      <xdr:row>171</xdr:row>
      <xdr:rowOff>156882</xdr:rowOff>
    </xdr:from>
    <xdr:to>
      <xdr:col>43</xdr:col>
      <xdr:colOff>140503</xdr:colOff>
      <xdr:row>177</xdr:row>
      <xdr:rowOff>188027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185375" y="34119857"/>
          <a:ext cx="7647098" cy="121732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281608</xdr:colOff>
      <xdr:row>178</xdr:row>
      <xdr:rowOff>140317</xdr:rowOff>
    </xdr:from>
    <xdr:to>
      <xdr:col>42</xdr:col>
      <xdr:colOff>102942</xdr:colOff>
      <xdr:row>190</xdr:row>
      <xdr:rowOff>52910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254072" y="35479337"/>
          <a:ext cx="6897547" cy="219097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22</xdr:col>
      <xdr:colOff>113660</xdr:colOff>
      <xdr:row>200</xdr:row>
      <xdr:rowOff>161034</xdr:rowOff>
    </xdr:from>
    <xdr:to>
      <xdr:col>36</xdr:col>
      <xdr:colOff>421021</xdr:colOff>
      <xdr:row>231</xdr:row>
      <xdr:rowOff>104613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325761" y="39800909"/>
          <a:ext cx="9284184" cy="583002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35</xdr:col>
      <xdr:colOff>246563</xdr:colOff>
      <xdr:row>193</xdr:row>
      <xdr:rowOff>157290</xdr:rowOff>
    </xdr:from>
    <xdr:to>
      <xdr:col>47</xdr:col>
      <xdr:colOff>369967</xdr:colOff>
      <xdr:row>238</xdr:row>
      <xdr:rowOff>31144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7792196" y="38344285"/>
          <a:ext cx="7842910" cy="854223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30</xdr:col>
      <xdr:colOff>269742</xdr:colOff>
      <xdr:row>89</xdr:row>
      <xdr:rowOff>78442</xdr:rowOff>
    </xdr:from>
    <xdr:to>
      <xdr:col>45</xdr:col>
      <xdr:colOff>330175</xdr:colOff>
      <xdr:row>124</xdr:row>
      <xdr:rowOff>177864</xdr:rowOff>
    </xdr:to>
    <xdr:pic>
      <xdr:nvPicPr>
        <xdr:cNvPr id="12" name="Picture 11" descr="http://slideplayer.com/slide/3877048/13/images/5/Smooth+Transitional+Rough+Motion+No+Motion+(Miller+et+al.,+1977).jp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598914" y="17942262"/>
          <a:ext cx="9709815" cy="707299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45</xdr:col>
      <xdr:colOff>560075</xdr:colOff>
      <xdr:row>85</xdr:row>
      <xdr:rowOff>49626</xdr:rowOff>
    </xdr:from>
    <xdr:to>
      <xdr:col>53</xdr:col>
      <xdr:colOff>428609</xdr:colOff>
      <xdr:row>98</xdr:row>
      <xdr:rowOff>29307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4538629" y="17143191"/>
          <a:ext cx="5014871" cy="266255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14</xdr:col>
      <xdr:colOff>193701</xdr:colOff>
      <xdr:row>24</xdr:row>
      <xdr:rowOff>37620</xdr:rowOff>
    </xdr:from>
    <xdr:to>
      <xdr:col>23</xdr:col>
      <xdr:colOff>146155</xdr:colOff>
      <xdr:row>37</xdr:row>
      <xdr:rowOff>91916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969187" y="4863620"/>
          <a:ext cx="6918990" cy="252254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23</xdr:col>
      <xdr:colOff>198104</xdr:colOff>
      <xdr:row>39</xdr:row>
      <xdr:rowOff>80843</xdr:rowOff>
    </xdr:from>
    <xdr:to>
      <xdr:col>36</xdr:col>
      <xdr:colOff>300836</xdr:colOff>
      <xdr:row>90</xdr:row>
      <xdr:rowOff>181713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940126" y="7754818"/>
          <a:ext cx="8549635" cy="105580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38</xdr:col>
      <xdr:colOff>260459</xdr:colOff>
      <xdr:row>39</xdr:row>
      <xdr:rowOff>142875</xdr:rowOff>
    </xdr:from>
    <xdr:to>
      <xdr:col>49</xdr:col>
      <xdr:colOff>137498</xdr:colOff>
      <xdr:row>70</xdr:row>
      <xdr:rowOff>59010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9735968" y="7816850"/>
          <a:ext cx="6953252" cy="63220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29</xdr:col>
      <xdr:colOff>329044</xdr:colOff>
      <xdr:row>86</xdr:row>
      <xdr:rowOff>69271</xdr:rowOff>
    </xdr:from>
    <xdr:to>
      <xdr:col>45</xdr:col>
      <xdr:colOff>554181</xdr:colOff>
      <xdr:row>125</xdr:row>
      <xdr:rowOff>176052</xdr:rowOff>
    </xdr:to>
    <xdr:pic>
      <xdr:nvPicPr>
        <xdr:cNvPr id="22" name="Picture 21" descr="http://apo.sdsu.edu/cive530_lecture_17_sediment_figure_15-06.jp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4014924" y="17353336"/>
          <a:ext cx="10517811" cy="7849971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38100</xdr:colOff>
      <xdr:row>0</xdr:row>
      <xdr:rowOff>0</xdr:rowOff>
    </xdr:from>
    <xdr:to>
      <xdr:col>18</xdr:col>
      <xdr:colOff>352738</xdr:colOff>
      <xdr:row>41</xdr:row>
      <xdr:rowOff>157697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23690" y="0"/>
          <a:ext cx="5707040" cy="692679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18</xdr:col>
      <xdr:colOff>228662</xdr:colOff>
      <xdr:row>29</xdr:row>
      <xdr:rowOff>43528</xdr:rowOff>
    </xdr:from>
    <xdr:to>
      <xdr:col>27</xdr:col>
      <xdr:colOff>55042</xdr:colOff>
      <xdr:row>44</xdr:row>
      <xdr:rowOff>76467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06654" y="4831428"/>
          <a:ext cx="5623681" cy="250943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14</xdr:col>
      <xdr:colOff>268942</xdr:colOff>
      <xdr:row>45</xdr:row>
      <xdr:rowOff>89648</xdr:rowOff>
    </xdr:from>
    <xdr:to>
      <xdr:col>21</xdr:col>
      <xdr:colOff>261690</xdr:colOff>
      <xdr:row>86</xdr:row>
      <xdr:rowOff>57245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70356" y="7519148"/>
          <a:ext cx="4501760" cy="708340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10</xdr:col>
      <xdr:colOff>526679</xdr:colOff>
      <xdr:row>93</xdr:row>
      <xdr:rowOff>123265</xdr:rowOff>
    </xdr:from>
    <xdr:to>
      <xdr:col>17</xdr:col>
      <xdr:colOff>231935</xdr:colOff>
      <xdr:row>103</xdr:row>
      <xdr:rowOff>159476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68124" y="15824275"/>
          <a:ext cx="5097658" cy="168721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17</xdr:col>
      <xdr:colOff>134470</xdr:colOff>
      <xdr:row>88</xdr:row>
      <xdr:rowOff>56030</xdr:rowOff>
    </xdr:from>
    <xdr:to>
      <xdr:col>28</xdr:col>
      <xdr:colOff>382938</xdr:colOff>
      <xdr:row>122</xdr:row>
      <xdr:rowOff>79427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68317" y="14931540"/>
          <a:ext cx="7334058" cy="563679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29</xdr:col>
      <xdr:colOff>22411</xdr:colOff>
      <xdr:row>89</xdr:row>
      <xdr:rowOff>56030</xdr:rowOff>
    </xdr:from>
    <xdr:to>
      <xdr:col>41</xdr:col>
      <xdr:colOff>322905</xdr:colOff>
      <xdr:row>124</xdr:row>
      <xdr:rowOff>5083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585993" y="15096640"/>
          <a:ext cx="8030229" cy="572755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11</xdr:col>
      <xdr:colOff>784412</xdr:colOff>
      <xdr:row>130</xdr:row>
      <xdr:rowOff>67234</xdr:rowOff>
    </xdr:from>
    <xdr:to>
      <xdr:col>23</xdr:col>
      <xdr:colOff>492651</xdr:colOff>
      <xdr:row>172</xdr:row>
      <xdr:rowOff>151719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870002" y="21876944"/>
          <a:ext cx="8321364" cy="701868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34</xdr:col>
      <xdr:colOff>557891</xdr:colOff>
      <xdr:row>0</xdr:row>
      <xdr:rowOff>0</xdr:rowOff>
    </xdr:from>
    <xdr:to>
      <xdr:col>41</xdr:col>
      <xdr:colOff>333985</xdr:colOff>
      <xdr:row>20</xdr:row>
      <xdr:rowOff>12870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3342196" y="0"/>
          <a:ext cx="4285106" cy="331487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34</xdr:col>
      <xdr:colOff>190499</xdr:colOff>
      <xdr:row>20</xdr:row>
      <xdr:rowOff>107620</xdr:rowOff>
    </xdr:from>
    <xdr:to>
      <xdr:col>46</xdr:col>
      <xdr:colOff>135911</xdr:colOff>
      <xdr:row>71</xdr:row>
      <xdr:rowOff>24462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974804" y="3409620"/>
          <a:ext cx="7675147" cy="868365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41</xdr:col>
      <xdr:colOff>397079</xdr:colOff>
      <xdr:row>2</xdr:row>
      <xdr:rowOff>69273</xdr:rowOff>
    </xdr:from>
    <xdr:to>
      <xdr:col>47</xdr:col>
      <xdr:colOff>265023</xdr:colOff>
      <xdr:row>51</xdr:row>
      <xdr:rowOff>116580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7690396" y="399473"/>
          <a:ext cx="3732811" cy="821150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34</xdr:col>
      <xdr:colOff>0</xdr:colOff>
      <xdr:row>76</xdr:row>
      <xdr:rowOff>6062</xdr:rowOff>
    </xdr:from>
    <xdr:to>
      <xdr:col>44</xdr:col>
      <xdr:colOff>225137</xdr:colOff>
      <xdr:row>91</xdr:row>
      <xdr:rowOff>83993</xdr:rowOff>
    </xdr:to>
    <xdr:pic>
      <xdr:nvPicPr>
        <xdr:cNvPr id="12" name="Picture 15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784305" y="12900372"/>
          <a:ext cx="6666582" cy="255443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45</xdr:col>
      <xdr:colOff>104775</xdr:colOff>
      <xdr:row>75</xdr:row>
      <xdr:rowOff>0</xdr:rowOff>
    </xdr:from>
    <xdr:to>
      <xdr:col>54</xdr:col>
      <xdr:colOff>135948</xdr:colOff>
      <xdr:row>92</xdr:row>
      <xdr:rowOff>45893</xdr:rowOff>
    </xdr:to>
    <xdr:pic>
      <xdr:nvPicPr>
        <xdr:cNvPr id="13" name="Picture 16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9974670" y="12729210"/>
          <a:ext cx="5828474" cy="285259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G37"/>
  <sheetViews>
    <sheetView showRowColHeaders="0" workbookViewId="0">
      <selection activeCell="D9" sqref="D9"/>
    </sheetView>
  </sheetViews>
  <sheetFormatPr defaultRowHeight="12.75"/>
  <cols>
    <col min="1" max="1" width="16.28515625" customWidth="1"/>
    <col min="2" max="2" width="14.7109375" customWidth="1"/>
    <col min="3" max="3" width="15" customWidth="1"/>
    <col min="4" max="4" width="16.140625" customWidth="1"/>
    <col min="5" max="6" width="9.42578125" bestFit="1" customWidth="1"/>
  </cols>
  <sheetData>
    <row r="1" spans="1:7" ht="16.5" thickBot="1">
      <c r="A1" s="362" t="s">
        <v>703</v>
      </c>
      <c r="B1" s="362"/>
      <c r="C1" s="362"/>
      <c r="D1" s="362"/>
      <c r="E1" s="362"/>
      <c r="F1" s="362"/>
      <c r="G1" s="25"/>
    </row>
    <row r="2" spans="1:7" ht="15.75" thickBot="1">
      <c r="A2" s="255"/>
      <c r="B2" s="98" t="str">
        <f>XS_Designer!L28</f>
        <v>XS Average</v>
      </c>
      <c r="C2" s="98" t="str">
        <f>XS_Designer!M28</f>
        <v>IB/Low Flow</v>
      </c>
      <c r="D2" s="98" t="str">
        <f>XS_Designer!N28</f>
        <v>Main Channel</v>
      </c>
      <c r="E2" s="98" t="str">
        <f>XS_Designer!O28</f>
        <v>LOB</v>
      </c>
      <c r="F2" s="98" t="str">
        <f>XS_Designer!P28</f>
        <v>ROB</v>
      </c>
      <c r="G2" s="25"/>
    </row>
    <row r="3" spans="1:7" ht="14.25">
      <c r="A3" s="355" t="str">
        <f>XS_Designer!K29</f>
        <v>Q (cfs)</v>
      </c>
      <c r="B3" s="123">
        <f>XS_Designer!L29</f>
        <v>649.08944244948236</v>
      </c>
      <c r="C3" s="123">
        <f>XS_Designer!M29</f>
        <v>0</v>
      </c>
      <c r="D3" s="123">
        <f>XS_Designer!N29</f>
        <v>377.46162575473238</v>
      </c>
      <c r="E3" s="123">
        <f>XS_Designer!O29</f>
        <v>138.73788542014822</v>
      </c>
      <c r="F3" s="331">
        <f>XS_Designer!P29</f>
        <v>132.88993127460182</v>
      </c>
      <c r="G3" s="25"/>
    </row>
    <row r="4" spans="1:7" ht="14.25">
      <c r="A4" s="114" t="str">
        <f>XS_Designer!K30</f>
        <v>n composite</v>
      </c>
      <c r="B4" s="105">
        <f>XS_Designer!L30</f>
        <v>9.0339674729418673E-2</v>
      </c>
      <c r="C4" s="105">
        <f>XS_Designer!M30</f>
        <v>0</v>
      </c>
      <c r="D4" s="105">
        <f>XS_Designer!N30</f>
        <v>4.0000000000000029E-2</v>
      </c>
      <c r="E4" s="105">
        <f>XS_Designer!O30</f>
        <v>0.10000000000000002</v>
      </c>
      <c r="F4" s="248">
        <f>XS_Designer!P30</f>
        <v>0.10000000000000002</v>
      </c>
      <c r="G4" s="25"/>
    </row>
    <row r="5" spans="1:7" ht="14.25">
      <c r="A5" s="114" t="str">
        <f>XS_Designer!K31</f>
        <v>V avg (ft/s)</v>
      </c>
      <c r="B5" s="35">
        <f>XS_Designer!L31</f>
        <v>4.412030789844966</v>
      </c>
      <c r="C5" s="35">
        <f>XS_Designer!M31</f>
        <v>0</v>
      </c>
      <c r="D5" s="35">
        <f>XS_Designer!N31</f>
        <v>9.0949201521201708</v>
      </c>
      <c r="E5" s="35">
        <f>XS_Designer!O31</f>
        <v>2.6272233537497911</v>
      </c>
      <c r="F5" s="101">
        <f>XS_Designer!P31</f>
        <v>2.5164830058173568</v>
      </c>
      <c r="G5" s="25"/>
    </row>
    <row r="6" spans="1:7" ht="14.25">
      <c r="A6" s="114" t="str">
        <f>XS_Designer!K32</f>
        <v>V max (ft/s)</v>
      </c>
      <c r="B6" s="35">
        <f>XS_Designer!L32</f>
        <v>10.592191565599071</v>
      </c>
      <c r="C6" s="35">
        <f>XS_Designer!M32</f>
        <v>0</v>
      </c>
      <c r="D6" s="35">
        <f>XS_Designer!N32</f>
        <v>10.592191565599071</v>
      </c>
      <c r="E6" s="35">
        <f>XS_Designer!O32</f>
        <v>3.0857419228102105</v>
      </c>
      <c r="F6" s="101">
        <f>XS_Designer!P32</f>
        <v>3.085741922810211</v>
      </c>
      <c r="G6" s="25"/>
    </row>
    <row r="7" spans="1:7" ht="14.25">
      <c r="A7" s="363"/>
      <c r="B7" s="364"/>
      <c r="C7" s="364"/>
      <c r="D7" s="364"/>
      <c r="E7" s="364"/>
      <c r="F7" s="365"/>
      <c r="G7" s="25"/>
    </row>
    <row r="8" spans="1:7" ht="14.25">
      <c r="A8" s="114" t="str">
        <f>XS_Designer!K34</f>
        <v>Wp</v>
      </c>
      <c r="B8" s="35">
        <f>XS_Designer!L34</f>
        <v>57.260971814281405</v>
      </c>
      <c r="C8" s="35">
        <f>XS_Designer!M34</f>
        <v>0</v>
      </c>
      <c r="D8" s="35">
        <f>XS_Designer!N34</f>
        <v>10.834623063621894</v>
      </c>
      <c r="E8" s="35">
        <f>XS_Designer!O34</f>
        <v>22.463674375329752</v>
      </c>
      <c r="F8" s="101">
        <f>XS_Designer!P34</f>
        <v>23.962674375329751</v>
      </c>
      <c r="G8" s="25"/>
    </row>
    <row r="9" spans="1:7" ht="14.25">
      <c r="A9" s="114" t="str">
        <f>XS_Designer!K35</f>
        <v>Area (ft^2)</v>
      </c>
      <c r="B9" s="35">
        <f>XS_Designer!L35</f>
        <v>147.11806725</v>
      </c>
      <c r="C9" s="35">
        <f>XS_Designer!M35</f>
        <v>0</v>
      </c>
      <c r="D9" s="35">
        <f>XS_Designer!N35</f>
        <v>41.502467249999995</v>
      </c>
      <c r="E9" s="35">
        <f>XS_Designer!O35</f>
        <v>52.8078</v>
      </c>
      <c r="F9" s="101">
        <f>XS_Designer!P35</f>
        <v>52.8078</v>
      </c>
      <c r="G9" s="25"/>
    </row>
    <row r="10" spans="1:7" ht="14.25">
      <c r="A10" s="114" t="str">
        <f>XS_Designer!K36</f>
        <v>R (ft)</v>
      </c>
      <c r="B10" s="35">
        <f>XS_Designer!L36</f>
        <v>2.5692555083968629</v>
      </c>
      <c r="C10" s="35">
        <f>XS_Designer!M36</f>
        <v>0</v>
      </c>
      <c r="D10" s="35">
        <f>XS_Designer!N36</f>
        <v>3.8305409432606679</v>
      </c>
      <c r="E10" s="35">
        <f>XS_Designer!O36</f>
        <v>2.3508086485617432</v>
      </c>
      <c r="F10" s="101">
        <f>XS_Designer!P36</f>
        <v>2.2037523513805755</v>
      </c>
      <c r="G10" s="25"/>
    </row>
    <row r="11" spans="1:7" ht="14.25">
      <c r="A11" s="114" t="str">
        <f>XS_Designer!K37</f>
        <v>Wtop (ft)</v>
      </c>
      <c r="B11" s="35">
        <f>XS_Designer!L37</f>
        <v>54.402500000000003</v>
      </c>
      <c r="C11" s="35">
        <f>XS_Designer!M37</f>
        <v>0</v>
      </c>
      <c r="D11" s="35">
        <f>XS_Designer!N37</f>
        <v>10.002500000000001</v>
      </c>
      <c r="E11" s="35">
        <f>XS_Designer!O37</f>
        <v>22.200000000000003</v>
      </c>
      <c r="F11" s="101">
        <f>XS_Designer!P37</f>
        <v>22.200000000000003</v>
      </c>
      <c r="G11" s="25"/>
    </row>
    <row r="12" spans="1:7" ht="14.25">
      <c r="A12" s="114" t="str">
        <f>XS_Designer!K38</f>
        <v>Dmean(ft)</v>
      </c>
      <c r="B12" s="35">
        <f>XS_Designer!L38</f>
        <v>2.7042519599283117</v>
      </c>
      <c r="C12" s="35">
        <f>XS_Designer!M38</f>
        <v>0</v>
      </c>
      <c r="D12" s="35">
        <f>XS_Designer!N38</f>
        <v>4.1492094226443381</v>
      </c>
      <c r="E12" s="35">
        <f>XS_Designer!O38</f>
        <v>2.3787297297297294</v>
      </c>
      <c r="F12" s="101">
        <f>XS_Designer!P38</f>
        <v>2.3787297297297294</v>
      </c>
      <c r="G12" s="25"/>
    </row>
    <row r="13" spans="1:7" ht="14.25">
      <c r="A13" s="114" t="str">
        <f>XS_Designer!K39</f>
        <v>Dmax(ft)</v>
      </c>
      <c r="B13" s="35">
        <f>XS_Designer!L39</f>
        <v>5</v>
      </c>
      <c r="C13" s="35">
        <f>XS_Designer!M39</f>
        <v>0</v>
      </c>
      <c r="D13" s="35">
        <f>XS_Designer!N39</f>
        <v>5</v>
      </c>
      <c r="E13" s="35">
        <f>XS_Designer!O39</f>
        <v>2.9990000000000001</v>
      </c>
      <c r="F13" s="101">
        <f>XS_Designer!P39</f>
        <v>2.9990000000000001</v>
      </c>
      <c r="G13" s="25"/>
    </row>
    <row r="14" spans="1:7" ht="14.25">
      <c r="A14" s="363"/>
      <c r="B14" s="364"/>
      <c r="C14" s="364"/>
      <c r="D14" s="364"/>
      <c r="E14" s="364"/>
      <c r="F14" s="365"/>
      <c r="G14" s="25"/>
    </row>
    <row r="15" spans="1:7" ht="14.25">
      <c r="A15" s="114" t="str">
        <f>XS_Designer!K41</f>
        <v>T avg (lb/ft^2)</v>
      </c>
      <c r="B15" s="35">
        <f>XS_Designer!L41</f>
        <v>1.6032154372396425</v>
      </c>
      <c r="C15" s="35">
        <f>XS_Designer!M41</f>
        <v>0</v>
      </c>
      <c r="D15" s="35">
        <f>XS_Designer!N41</f>
        <v>2.3902575485946569</v>
      </c>
      <c r="E15" s="35">
        <f>XS_Designer!O41</f>
        <v>1.4669045967025278</v>
      </c>
      <c r="F15" s="101">
        <f>XS_Designer!P41</f>
        <v>1.3751414672614792</v>
      </c>
      <c r="G15" s="25"/>
    </row>
    <row r="16" spans="1:7" ht="14.25">
      <c r="A16" s="114" t="str">
        <f>XS_Designer!K42</f>
        <v>T max (lb/ft^2)</v>
      </c>
      <c r="B16" s="35">
        <f>XS_Designer!L42</f>
        <v>3.0041741336838292</v>
      </c>
      <c r="C16" s="35">
        <f>XS_Designer!M42</f>
        <v>0</v>
      </c>
      <c r="D16" s="35">
        <f>XS_Designer!N42</f>
        <v>3.0041741336838292</v>
      </c>
      <c r="E16" s="35">
        <f>XS_Designer!O42</f>
        <v>1.867221231090741</v>
      </c>
      <c r="F16" s="101">
        <f>XS_Designer!P42</f>
        <v>1.8672212310907415</v>
      </c>
      <c r="G16" s="25"/>
    </row>
    <row r="17" spans="1:7" ht="14.25">
      <c r="A17" s="114" t="str">
        <f>XS_Designer!K43</f>
        <v>Str Pwr (lb/ft s)</v>
      </c>
      <c r="B17" s="35">
        <f>XS_Designer!L43</f>
        <v>405.03181208847701</v>
      </c>
      <c r="C17" s="35">
        <f>XS_Designer!M43</f>
        <v>0</v>
      </c>
      <c r="D17" s="35">
        <f>XS_Designer!N43</f>
        <v>235.53605447095302</v>
      </c>
      <c r="E17" s="35">
        <f>XS_Designer!O43</f>
        <v>86.572440502172483</v>
      </c>
      <c r="F17" s="101">
        <f>XS_Designer!P43</f>
        <v>82.923317115351537</v>
      </c>
      <c r="G17" s="25"/>
    </row>
    <row r="18" spans="1:7" ht="14.25">
      <c r="A18" s="363"/>
      <c r="B18" s="364"/>
      <c r="C18" s="364"/>
      <c r="D18" s="364"/>
      <c r="E18" s="364"/>
      <c r="F18" s="365"/>
      <c r="G18" s="25"/>
    </row>
    <row r="19" spans="1:7" ht="14.25">
      <c r="A19" s="114" t="str">
        <f>XS_Designer!K45</f>
        <v>Froude</v>
      </c>
      <c r="B19" s="35">
        <f>XS_Designer!L45</f>
        <v>0.47281040147708076</v>
      </c>
      <c r="C19" s="35">
        <f>XS_Designer!M45</f>
        <v>0</v>
      </c>
      <c r="D19" s="35">
        <f>XS_Designer!N45</f>
        <v>0.78684334682725399</v>
      </c>
      <c r="E19" s="35">
        <f>XS_Designer!O45</f>
        <v>0.30019019978951667</v>
      </c>
      <c r="F19" s="101">
        <f>XS_Designer!P45</f>
        <v>0.28753685338744905</v>
      </c>
      <c r="G19" s="25"/>
    </row>
    <row r="20" spans="1:7" ht="14.25">
      <c r="A20" s="114" t="str">
        <f>XS_Designer!K46</f>
        <v>V head (ft)</v>
      </c>
      <c r="B20" s="35">
        <f>XS_Designer!L46</f>
        <v>0.30226732438726694</v>
      </c>
      <c r="C20" s="35">
        <f>XS_Designer!M46</f>
        <v>0</v>
      </c>
      <c r="D20" s="35">
        <f>XS_Designer!N46</f>
        <v>1.2844343567304592</v>
      </c>
      <c r="E20" s="35">
        <f>XS_Designer!O46</f>
        <v>0.10717861103242701</v>
      </c>
      <c r="F20" s="101">
        <f>XS_Designer!P46</f>
        <v>9.8333644698254008E-2</v>
      </c>
      <c r="G20" s="25"/>
    </row>
    <row r="21" spans="1:7" ht="15" thickBot="1">
      <c r="A21" s="286" t="str">
        <f>XS_Designer!K47</f>
        <v>Sp. Energy (ft)</v>
      </c>
      <c r="B21" s="119">
        <f>XS_Designer!L47</f>
        <v>5.3022673243872669</v>
      </c>
      <c r="C21" s="119">
        <f>XS_Designer!M47</f>
        <v>0</v>
      </c>
      <c r="D21" s="119">
        <f>XS_Designer!N47</f>
        <v>6.2844343567304595</v>
      </c>
      <c r="E21" s="119">
        <f>XS_Designer!O47</f>
        <v>5.1071786110324267</v>
      </c>
      <c r="F21" s="251">
        <f>XS_Designer!P47</f>
        <v>5.0983336446982541</v>
      </c>
      <c r="G21" s="25"/>
    </row>
    <row r="22" spans="1:7" ht="15">
      <c r="A22" s="86"/>
      <c r="B22" s="86"/>
      <c r="C22" s="86"/>
      <c r="D22" s="86"/>
      <c r="E22" s="86"/>
      <c r="F22" s="86"/>
      <c r="G22" s="25"/>
    </row>
    <row r="23" spans="1:7" ht="15">
      <c r="A23" s="86"/>
      <c r="B23" s="86"/>
      <c r="C23" s="86"/>
      <c r="D23" s="86"/>
      <c r="E23" s="86"/>
      <c r="F23" s="86"/>
      <c r="G23" s="25"/>
    </row>
    <row r="24" spans="1:7" ht="15">
      <c r="A24" s="86"/>
      <c r="B24" s="86"/>
      <c r="C24" s="86"/>
      <c r="D24" s="86"/>
      <c r="E24" s="86"/>
      <c r="F24" s="86"/>
      <c r="G24" s="25"/>
    </row>
    <row r="25" spans="1:7" ht="15">
      <c r="A25" s="86"/>
      <c r="B25" s="86"/>
      <c r="C25" s="86"/>
      <c r="D25" s="86"/>
      <c r="E25" s="86"/>
      <c r="F25" s="86"/>
      <c r="G25" s="25"/>
    </row>
    <row r="26" spans="1:7" ht="15">
      <c r="A26" s="86"/>
      <c r="B26" s="86"/>
      <c r="C26" s="86"/>
      <c r="D26" s="86"/>
      <c r="E26" s="86"/>
      <c r="F26" s="86"/>
      <c r="G26" s="25"/>
    </row>
    <row r="27" spans="1:7" ht="15">
      <c r="A27" s="86"/>
      <c r="B27" s="86"/>
      <c r="C27" s="86"/>
      <c r="D27" s="86"/>
      <c r="E27" s="86"/>
      <c r="F27" s="86"/>
      <c r="G27" s="25"/>
    </row>
    <row r="28" spans="1:7" ht="15">
      <c r="A28" s="86"/>
      <c r="B28" s="86"/>
      <c r="C28" s="86"/>
      <c r="D28" s="86"/>
      <c r="E28" s="86"/>
      <c r="F28" s="86"/>
      <c r="G28" s="25"/>
    </row>
    <row r="29" spans="1:7">
      <c r="A29" s="25"/>
      <c r="B29" s="25"/>
      <c r="C29" s="25"/>
      <c r="D29" s="25"/>
      <c r="E29" s="25"/>
      <c r="F29" s="25"/>
      <c r="G29" s="25"/>
    </row>
    <row r="30" spans="1:7">
      <c r="A30" s="25"/>
      <c r="B30" s="25"/>
      <c r="C30" s="25"/>
      <c r="D30" s="25"/>
      <c r="E30" s="25"/>
      <c r="F30" s="25"/>
      <c r="G30" s="25"/>
    </row>
    <row r="31" spans="1:7">
      <c r="A31" s="25"/>
      <c r="B31" s="25"/>
      <c r="C31" s="25"/>
      <c r="D31" s="25"/>
      <c r="E31" s="25"/>
      <c r="F31" s="25"/>
      <c r="G31" s="25"/>
    </row>
    <row r="32" spans="1:7">
      <c r="A32" s="25"/>
      <c r="B32" s="25"/>
      <c r="C32" s="25"/>
      <c r="D32" s="25"/>
      <c r="E32" s="25"/>
      <c r="F32" s="25"/>
      <c r="G32" s="25"/>
    </row>
    <row r="33" spans="1:7">
      <c r="A33" s="25"/>
      <c r="B33" s="25"/>
      <c r="C33" s="25"/>
      <c r="D33" s="25"/>
      <c r="E33" s="25"/>
      <c r="F33" s="25"/>
      <c r="G33" s="25"/>
    </row>
    <row r="34" spans="1:7">
      <c r="A34" s="25"/>
      <c r="B34" s="25"/>
      <c r="C34" s="25"/>
      <c r="D34" s="25"/>
      <c r="E34" s="25"/>
      <c r="F34" s="25"/>
      <c r="G34" s="25"/>
    </row>
    <row r="35" spans="1:7">
      <c r="A35" s="25"/>
      <c r="B35" s="25"/>
      <c r="C35" s="25"/>
      <c r="D35" s="25"/>
      <c r="E35" s="25"/>
      <c r="F35" s="25"/>
      <c r="G35" s="25"/>
    </row>
    <row r="36" spans="1:7">
      <c r="A36" s="25"/>
      <c r="B36" s="25"/>
      <c r="C36" s="25"/>
      <c r="D36" s="25"/>
      <c r="E36" s="25"/>
      <c r="F36" s="25"/>
      <c r="G36" s="25"/>
    </row>
    <row r="37" spans="1:7">
      <c r="A37" s="25"/>
      <c r="B37" s="25"/>
      <c r="C37" s="25"/>
      <c r="D37" s="25"/>
      <c r="E37" s="25"/>
      <c r="F37" s="25"/>
      <c r="G37" s="25"/>
    </row>
  </sheetData>
  <mergeCells count="4">
    <mergeCell ref="A1:F1"/>
    <mergeCell ref="A7:F7"/>
    <mergeCell ref="A14:F14"/>
    <mergeCell ref="A18:F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H40"/>
  <sheetViews>
    <sheetView showRowColHeaders="0" workbookViewId="0">
      <selection activeCell="D33" sqref="D33"/>
    </sheetView>
  </sheetViews>
  <sheetFormatPr defaultRowHeight="12.75"/>
  <cols>
    <col min="1" max="1" width="17.7109375" bestFit="1" customWidth="1"/>
    <col min="2" max="2" width="12.85546875" bestFit="1" customWidth="1"/>
    <col min="3" max="3" width="13.28515625" bestFit="1" customWidth="1"/>
    <col min="4" max="4" width="15" bestFit="1" customWidth="1"/>
    <col min="5" max="6" width="11.42578125" bestFit="1" customWidth="1"/>
  </cols>
  <sheetData>
    <row r="1" spans="1:8" ht="16.5" thickBot="1">
      <c r="A1" s="362" t="s">
        <v>142</v>
      </c>
      <c r="B1" s="362"/>
      <c r="C1" s="362"/>
      <c r="D1" s="362"/>
      <c r="E1" s="362"/>
      <c r="F1" s="362"/>
      <c r="G1" s="25"/>
      <c r="H1" s="25"/>
    </row>
    <row r="2" spans="1:8" ht="15.75" thickBot="1">
      <c r="A2" s="339"/>
      <c r="B2" s="103" t="str">
        <f>XS_Designer!L87</f>
        <v>XS Average</v>
      </c>
      <c r="C2" s="103" t="str">
        <f>XS_Designer!M87</f>
        <v>IB/Low Flow</v>
      </c>
      <c r="D2" s="103" t="str">
        <f>XS_Designer!N87</f>
        <v>Main Channel</v>
      </c>
      <c r="E2" s="103" t="str">
        <f>XS_Designer!O87</f>
        <v>LOB</v>
      </c>
      <c r="F2" s="329" t="str">
        <f>XS_Designer!P87</f>
        <v>ROB</v>
      </c>
      <c r="G2" s="25"/>
      <c r="H2" s="25"/>
    </row>
    <row r="3" spans="1:8">
      <c r="A3" s="312"/>
      <c r="B3" s="120"/>
      <c r="C3" s="120"/>
      <c r="D3" s="120"/>
      <c r="E3" s="120"/>
      <c r="F3" s="247"/>
      <c r="G3" s="25"/>
      <c r="H3" s="25"/>
    </row>
    <row r="4" spans="1:8" ht="15.75" thickBot="1">
      <c r="A4" s="366" t="s">
        <v>203</v>
      </c>
      <c r="B4" s="367"/>
      <c r="C4" s="367"/>
      <c r="D4" s="367"/>
      <c r="E4" s="367"/>
      <c r="F4" s="368"/>
      <c r="G4" s="25"/>
      <c r="H4" s="25"/>
    </row>
    <row r="5" spans="1:8" ht="13.5" thickBot="1">
      <c r="A5" s="131"/>
      <c r="B5" s="34">
        <f>XS_Designer!L41</f>
        <v>1.6032154372396425</v>
      </c>
      <c r="C5" s="34">
        <f>XS_Designer!M41</f>
        <v>0</v>
      </c>
      <c r="D5" s="34">
        <f>XS_Designer!N41</f>
        <v>2.3902575485946569</v>
      </c>
      <c r="E5" s="34">
        <f>XS_Designer!O41</f>
        <v>1.4669045967025278</v>
      </c>
      <c r="F5" s="125">
        <f>XS_Designer!P41</f>
        <v>1.3751414672614792</v>
      </c>
      <c r="G5" s="257"/>
      <c r="H5" s="25"/>
    </row>
    <row r="6" spans="1:8">
      <c r="A6" s="99"/>
      <c r="B6" s="369" t="s">
        <v>454</v>
      </c>
      <c r="C6" s="369"/>
      <c r="D6" s="369"/>
      <c r="E6" s="369"/>
      <c r="F6" s="370"/>
      <c r="G6" s="257"/>
      <c r="H6" s="25"/>
    </row>
    <row r="7" spans="1:8">
      <c r="A7" s="104" t="str">
        <f>XS_Designer!K88</f>
        <v>Andrews 1983</v>
      </c>
      <c r="B7" s="51">
        <f>XS_Designer!L88</f>
        <v>8.9988493208557685</v>
      </c>
      <c r="C7" s="51">
        <f>XS_Designer!M88</f>
        <v>0</v>
      </c>
      <c r="D7" s="51">
        <f>XS_Designer!N88</f>
        <v>13.416517217970274</v>
      </c>
      <c r="E7" s="51">
        <f>XS_Designer!O88</f>
        <v>8.2337364818073393</v>
      </c>
      <c r="F7" s="156">
        <f>XS_Designer!P88</f>
        <v>7.7186699749179413</v>
      </c>
      <c r="G7" s="257"/>
      <c r="H7" s="25"/>
    </row>
    <row r="8" spans="1:8">
      <c r="A8" s="104" t="str">
        <f>XS_Designer!K89</f>
        <v>Shields 1936</v>
      </c>
      <c r="B8" s="51">
        <f>XS_Designer!L89</f>
        <v>3.1142491010871067</v>
      </c>
      <c r="C8" s="51">
        <f>XS_Designer!M89</f>
        <v>0</v>
      </c>
      <c r="D8" s="51">
        <f>XS_Designer!N89</f>
        <v>4.6430799312250528</v>
      </c>
      <c r="E8" s="51">
        <f>XS_Designer!O89</f>
        <v>2.8494650285596892</v>
      </c>
      <c r="F8" s="156">
        <f>XS_Designer!P89</f>
        <v>2.6712149713703952</v>
      </c>
      <c r="G8" s="257"/>
      <c r="H8" s="25"/>
    </row>
    <row r="9" spans="1:8">
      <c r="A9" s="104" t="str">
        <f>XS_Designer!K90</f>
        <v>Leo, Wol, Mill 1964</v>
      </c>
      <c r="B9" s="51">
        <f>XS_Designer!L90</f>
        <v>5.2947718042527976</v>
      </c>
      <c r="C9" s="51">
        <f>XS_Designer!M90</f>
        <v>0</v>
      </c>
      <c r="D9" s="51">
        <f>XS_Designer!N90</f>
        <v>8.2713045968418175</v>
      </c>
      <c r="E9" s="51">
        <f>XS_Designer!O90</f>
        <v>4.632396327304896</v>
      </c>
      <c r="F9" s="156">
        <f>XS_Designer!P90</f>
        <v>4.632396327304896</v>
      </c>
      <c r="G9" s="257"/>
      <c r="H9" s="25"/>
    </row>
    <row r="10" spans="1:8">
      <c r="A10" s="104" t="str">
        <f>XS_Designer!K91</f>
        <v>Rosgen CO</v>
      </c>
      <c r="B10" s="51">
        <f>XS_Designer!L91</f>
        <v>8.7941970578674198</v>
      </c>
      <c r="C10" s="51">
        <f>XS_Designer!M91</f>
        <v>0</v>
      </c>
      <c r="D10" s="51">
        <f>XS_Designer!N91</f>
        <v>12.048667810479236</v>
      </c>
      <c r="E10" s="51">
        <f>XS_Designer!O91</f>
        <v>8.0025304109899746</v>
      </c>
      <c r="F10" s="156">
        <f>XS_Designer!P91</f>
        <v>8.0025304109899746</v>
      </c>
      <c r="G10" s="257"/>
      <c r="H10" s="25"/>
    </row>
    <row r="11" spans="1:8">
      <c r="A11" s="104" t="str">
        <f>XS_Designer!K92</f>
        <v>USFWS 2008</v>
      </c>
      <c r="B11" s="51">
        <f>XS_Designer!L92</f>
        <v>5.2576521759291248</v>
      </c>
      <c r="C11" s="51">
        <f>XS_Designer!M92</f>
        <v>0</v>
      </c>
      <c r="D11" s="51">
        <f>XS_Designer!N92</f>
        <v>7.7221021481223042</v>
      </c>
      <c r="E11" s="51">
        <f>XS_Designer!O92</f>
        <v>4.8318748384018573</v>
      </c>
      <c r="F11" s="156">
        <f>XS_Designer!P92</f>
        <v>4.5452456841641844</v>
      </c>
      <c r="G11" s="257"/>
      <c r="H11" s="25"/>
    </row>
    <row r="12" spans="1:8" ht="13.5" thickBot="1">
      <c r="A12" s="113" t="str">
        <f>XS_Designer!K93</f>
        <v>Fishenich 2001</v>
      </c>
      <c r="B12" s="63">
        <f>XS_Designer!L93</f>
        <v>5.3225482413738829</v>
      </c>
      <c r="C12" s="63">
        <f>XS_Designer!M93</f>
        <v>1.5E-3</v>
      </c>
      <c r="D12" s="63">
        <f>XS_Designer!N93</f>
        <v>7.7820548393583033</v>
      </c>
      <c r="E12" s="63">
        <f>XS_Designer!O93</f>
        <v>4.8965768646953993</v>
      </c>
      <c r="F12" s="189">
        <f>XS_Designer!P93</f>
        <v>4.6098170851921223</v>
      </c>
      <c r="G12" s="257"/>
      <c r="H12" s="25"/>
    </row>
    <row r="13" spans="1:8">
      <c r="A13" s="137"/>
      <c r="B13" s="24"/>
      <c r="C13" s="24"/>
      <c r="D13" s="24"/>
      <c r="E13" s="24"/>
      <c r="F13" s="76"/>
      <c r="G13" s="25"/>
      <c r="H13" s="25"/>
    </row>
    <row r="14" spans="1:8" ht="15.75" thickBot="1">
      <c r="A14" s="366" t="s">
        <v>455</v>
      </c>
      <c r="B14" s="367"/>
      <c r="C14" s="367"/>
      <c r="D14" s="367"/>
      <c r="E14" s="367"/>
      <c r="F14" s="368"/>
      <c r="G14" s="25"/>
      <c r="H14" s="25"/>
    </row>
    <row r="15" spans="1:8" ht="13.5" thickBot="1">
      <c r="A15" s="131"/>
      <c r="B15" s="34">
        <f>XS_Designer!L31</f>
        <v>4.412030789844966</v>
      </c>
      <c r="C15" s="34">
        <f>XS_Designer!M31</f>
        <v>0</v>
      </c>
      <c r="D15" s="34">
        <f>XS_Designer!N31</f>
        <v>9.0949201521201708</v>
      </c>
      <c r="E15" s="34">
        <f>XS_Designer!O31</f>
        <v>2.6272233537497911</v>
      </c>
      <c r="F15" s="125">
        <f>XS_Designer!P31</f>
        <v>2.5164830058173568</v>
      </c>
      <c r="G15" s="25"/>
      <c r="H15" s="25"/>
    </row>
    <row r="16" spans="1:8">
      <c r="A16" s="99"/>
      <c r="B16" s="369" t="s">
        <v>143</v>
      </c>
      <c r="C16" s="369"/>
      <c r="D16" s="369"/>
      <c r="E16" s="369"/>
      <c r="F16" s="370"/>
      <c r="G16" s="25"/>
      <c r="H16" s="25"/>
    </row>
    <row r="17" spans="1:8">
      <c r="A17" s="104" t="str">
        <f>XS_Designer!K96</f>
        <v>NRCS Handbook</v>
      </c>
      <c r="B17" s="51" t="str">
        <f>XS_Designer!L96</f>
        <v>Coarse Gravel</v>
      </c>
      <c r="C17" s="69" t="str">
        <f>XS_Designer!M96</f>
        <v>Fine Sand</v>
      </c>
      <c r="D17" s="69" t="str">
        <f>XS_Designer!N96</f>
        <v>Cobbles</v>
      </c>
      <c r="E17" s="69" t="str">
        <f>XS_Designer!O96</f>
        <v>Fine Gravel</v>
      </c>
      <c r="F17" s="209" t="str">
        <f>XS_Designer!P96</f>
        <v>Fine Gravel</v>
      </c>
      <c r="G17" s="25"/>
      <c r="H17" s="25"/>
    </row>
    <row r="18" spans="1:8">
      <c r="A18" s="104" t="str">
        <f>XS_Designer!K97</f>
        <v>Fishenich 2001</v>
      </c>
      <c r="B18" s="69" t="str">
        <f>XS_Designer!L97</f>
        <v>2" Gravel</v>
      </c>
      <c r="C18" s="69" t="str">
        <f>XS_Designer!M97</f>
        <v>Fine Sand</v>
      </c>
      <c r="D18" s="69" t="str">
        <f>XS_Designer!N97</f>
        <v>12" Gravel</v>
      </c>
      <c r="E18" s="69" t="str">
        <f>XS_Designer!O97</f>
        <v>1" Gravel</v>
      </c>
      <c r="F18" s="209" t="str">
        <f>XS_Designer!P97</f>
        <v>1" Gravel</v>
      </c>
      <c r="G18" s="25"/>
      <c r="H18" s="25"/>
    </row>
    <row r="19" spans="1:8" ht="13.5" thickBot="1">
      <c r="A19" s="113" t="str">
        <f>XS_Designer!K98</f>
        <v>VDOT</v>
      </c>
      <c r="B19" s="67" t="str">
        <f>XS_Designer!L98</f>
        <v>Coarse Gravel</v>
      </c>
      <c r="C19" s="67" t="str">
        <f>XS_Designer!M98</f>
        <v>Fine Sand</v>
      </c>
      <c r="D19" s="67" t="str">
        <f>XS_Designer!N98</f>
        <v>Cobbles</v>
      </c>
      <c r="E19" s="67" t="str">
        <f>XS_Designer!O98</f>
        <v>Fine Gravel</v>
      </c>
      <c r="F19" s="163" t="str">
        <f>XS_Designer!P98</f>
        <v>Fine Gravel</v>
      </c>
      <c r="G19" s="25"/>
      <c r="H19" s="25"/>
    </row>
    <row r="20" spans="1:8">
      <c r="A20" s="137"/>
      <c r="B20" s="24"/>
      <c r="C20" s="24"/>
      <c r="D20" s="24"/>
      <c r="E20" s="24"/>
      <c r="F20" s="76"/>
      <c r="G20" s="25"/>
      <c r="H20" s="25"/>
    </row>
    <row r="21" spans="1:8" ht="15.75" thickBot="1">
      <c r="A21" s="366" t="s">
        <v>144</v>
      </c>
      <c r="B21" s="367"/>
      <c r="C21" s="367"/>
      <c r="D21" s="367"/>
      <c r="E21" s="367"/>
      <c r="F21" s="368"/>
      <c r="G21" s="25"/>
      <c r="H21" s="25"/>
    </row>
    <row r="22" spans="1:8" ht="13.5" thickBot="1">
      <c r="A22" s="131"/>
      <c r="B22" s="34">
        <f>XS_Designer!L32</f>
        <v>10.592191565599071</v>
      </c>
      <c r="C22" s="34">
        <f>XS_Designer!M32</f>
        <v>0</v>
      </c>
      <c r="D22" s="34">
        <f>XS_Designer!N32</f>
        <v>10.592191565599071</v>
      </c>
      <c r="E22" s="34">
        <f>XS_Designer!O32</f>
        <v>3.0857419228102105</v>
      </c>
      <c r="F22" s="125">
        <f>XS_Designer!P32</f>
        <v>3.085741922810211</v>
      </c>
      <c r="G22" s="25"/>
      <c r="H22" s="25"/>
    </row>
    <row r="23" spans="1:8">
      <c r="A23" s="99"/>
      <c r="B23" s="369" t="s">
        <v>998</v>
      </c>
      <c r="C23" s="369"/>
      <c r="D23" s="369"/>
      <c r="E23" s="369"/>
      <c r="F23" s="370"/>
      <c r="G23" s="25"/>
      <c r="H23" s="25"/>
    </row>
    <row r="24" spans="1:8">
      <c r="A24" s="104" t="str">
        <f>XS_Designer!K101</f>
        <v>NRCS Handbook</v>
      </c>
      <c r="B24" s="51" t="str">
        <f>XS_Designer!L101</f>
        <v>12" Gravel</v>
      </c>
      <c r="C24" s="69" t="str">
        <f>XS_Designer!M101</f>
        <v>Fine Sand</v>
      </c>
      <c r="D24" s="69" t="str">
        <f>XS_Designer!N101</f>
        <v>12" Gravel</v>
      </c>
      <c r="E24" s="69" t="str">
        <f>XS_Designer!O101</f>
        <v>1" Gravel</v>
      </c>
      <c r="F24" s="209" t="str">
        <f>XS_Designer!P101</f>
        <v>1" Gravel</v>
      </c>
      <c r="G24" s="25"/>
      <c r="H24" s="25"/>
    </row>
    <row r="25" spans="1:8">
      <c r="A25" s="104" t="str">
        <f>XS_Designer!K102</f>
        <v>Fishenich 2001</v>
      </c>
      <c r="B25" s="69" t="str">
        <f>XS_Designer!L102</f>
        <v>12" Gravel</v>
      </c>
      <c r="C25" s="69" t="str">
        <f>XS_Designer!M102</f>
        <v>Fine Sand</v>
      </c>
      <c r="D25" s="69" t="str">
        <f>XS_Designer!N102</f>
        <v>12" Gravel</v>
      </c>
      <c r="E25" s="69" t="str">
        <f>XS_Designer!O102</f>
        <v>1" Gravel</v>
      </c>
      <c r="F25" s="209" t="str">
        <f>XS_Designer!P102</f>
        <v>1" Gravel</v>
      </c>
      <c r="G25" s="25"/>
      <c r="H25" s="25"/>
    </row>
    <row r="26" spans="1:8" ht="13.5" thickBot="1">
      <c r="A26" s="113" t="str">
        <f>XS_Designer!K103</f>
        <v>VDOT</v>
      </c>
      <c r="B26" s="67" t="str">
        <f>XS_Designer!L103</f>
        <v>Cobbles</v>
      </c>
      <c r="C26" s="67" t="str">
        <f>XS_Designer!M103</f>
        <v>Fine Sand</v>
      </c>
      <c r="D26" s="67" t="str">
        <f>XS_Designer!N103</f>
        <v>Cobbles</v>
      </c>
      <c r="E26" s="67" t="str">
        <f>XS_Designer!O103</f>
        <v>Fine Gravel</v>
      </c>
      <c r="F26" s="163" t="str">
        <f>XS_Designer!P103</f>
        <v>Fine Gravel</v>
      </c>
      <c r="G26" s="25"/>
      <c r="H26" s="25"/>
    </row>
    <row r="27" spans="1:8">
      <c r="A27" s="137"/>
      <c r="B27" s="24"/>
      <c r="C27" s="24"/>
      <c r="D27" s="24"/>
      <c r="E27" s="24"/>
      <c r="F27" s="76"/>
      <c r="G27" s="25"/>
      <c r="H27" s="25"/>
    </row>
    <row r="28" spans="1:8" ht="15.75" thickBot="1">
      <c r="A28" s="366" t="s">
        <v>999</v>
      </c>
      <c r="B28" s="367"/>
      <c r="C28" s="367"/>
      <c r="D28" s="367"/>
      <c r="E28" s="367"/>
      <c r="F28" s="368"/>
      <c r="G28" s="25"/>
      <c r="H28" s="25"/>
    </row>
    <row r="29" spans="1:8" ht="13.5" thickBot="1">
      <c r="A29" s="131"/>
      <c r="B29" s="34">
        <f>XS_Designer!L42</f>
        <v>3.0041741336838292</v>
      </c>
      <c r="C29" s="34">
        <f>XS_Designer!M42</f>
        <v>0</v>
      </c>
      <c r="D29" s="34">
        <f>XS_Designer!N42</f>
        <v>3.0041741336838292</v>
      </c>
      <c r="E29" s="34">
        <f>XS_Designer!O42</f>
        <v>1.867221231090741</v>
      </c>
      <c r="F29" s="125">
        <f>XS_Designer!P42</f>
        <v>1.8672212310907415</v>
      </c>
      <c r="G29" s="25"/>
      <c r="H29" s="25"/>
    </row>
    <row r="30" spans="1:8">
      <c r="A30" s="99"/>
      <c r="B30" s="369" t="s">
        <v>264</v>
      </c>
      <c r="C30" s="369"/>
      <c r="D30" s="369"/>
      <c r="E30" s="369"/>
      <c r="F30" s="370"/>
      <c r="G30" s="25"/>
      <c r="H30" s="25"/>
    </row>
    <row r="31" spans="1:8">
      <c r="A31" s="104" t="str">
        <f>XS_Designer!K110</f>
        <v>Andrews 1983</v>
      </c>
      <c r="B31" s="51">
        <f>XS_Designer!L110</f>
        <v>10.522157206350277</v>
      </c>
      <c r="C31" s="51">
        <f>XS_Designer!M110</f>
        <v>0</v>
      </c>
      <c r="D31" s="51">
        <f>XS_Designer!N110</f>
        <v>10.522157206350277</v>
      </c>
      <c r="E31" s="51">
        <f>XS_Designer!O110</f>
        <v>6.5399655473631153</v>
      </c>
      <c r="F31" s="156">
        <f>XS_Designer!P110</f>
        <v>6.5399655473631171</v>
      </c>
      <c r="G31" s="25"/>
      <c r="H31" s="25"/>
    </row>
    <row r="32" spans="1:8">
      <c r="A32" s="104" t="str">
        <f>XS_Designer!K111</f>
        <v>Shields 1936</v>
      </c>
      <c r="B32" s="51">
        <f>XS_Designer!L111</f>
        <v>5.8356140902949294</v>
      </c>
      <c r="C32" s="51">
        <f>XS_Designer!M111</f>
        <v>0</v>
      </c>
      <c r="D32" s="51">
        <f>XS_Designer!N111</f>
        <v>5.8356140902949294</v>
      </c>
      <c r="E32" s="51">
        <f>XS_Designer!O111</f>
        <v>3.6270808684746338</v>
      </c>
      <c r="F32" s="156">
        <f>XS_Designer!P111</f>
        <v>3.6270808684746343</v>
      </c>
      <c r="G32" s="25"/>
      <c r="H32" s="25"/>
    </row>
    <row r="33" spans="1:8">
      <c r="A33" s="104" t="str">
        <f>XS_Designer!K112</f>
        <v>Leo, Wol, Mill 1964</v>
      </c>
      <c r="B33" s="51">
        <f>XS_Designer!L112</f>
        <v>10.045715127288357</v>
      </c>
      <c r="C33" s="51">
        <f>XS_Designer!M112</f>
        <v>0</v>
      </c>
      <c r="D33" s="51">
        <f>XS_Designer!N112</f>
        <v>10.045715127288357</v>
      </c>
      <c r="E33" s="51">
        <f>XS_Designer!O112</f>
        <v>5.8974408165083503</v>
      </c>
      <c r="F33" s="156">
        <f>XS_Designer!P112</f>
        <v>5.8974408165083503</v>
      </c>
      <c r="G33" s="25"/>
      <c r="H33" s="25"/>
    </row>
    <row r="34" spans="1:8">
      <c r="A34" s="104" t="str">
        <f>XS_Designer!K113</f>
        <v>Rosgen CO</v>
      </c>
      <c r="B34" s="51">
        <f>XS_Designer!L113</f>
        <v>13.820315260092515</v>
      </c>
      <c r="C34" s="51">
        <f>XS_Designer!M113</f>
        <v>0</v>
      </c>
      <c r="D34" s="51">
        <f>XS_Designer!N113</f>
        <v>13.820315260092515</v>
      </c>
      <c r="E34" s="51">
        <f>XS_Designer!O113</f>
        <v>9.4894644328636861</v>
      </c>
      <c r="F34" s="156">
        <f>XS_Designer!P113</f>
        <v>9.4894644328636861</v>
      </c>
      <c r="G34" s="25"/>
      <c r="H34" s="25"/>
    </row>
    <row r="35" spans="1:8">
      <c r="A35" s="104" t="str">
        <f>XS_Designer!K114</f>
        <v>USFWS 2008</v>
      </c>
      <c r="B35" s="51">
        <f>XS_Designer!L114</f>
        <v>9.7137885449510879</v>
      </c>
      <c r="C35" s="51">
        <f>XS_Designer!M114</f>
        <v>0</v>
      </c>
      <c r="D35" s="51">
        <f>XS_Designer!N114</f>
        <v>9.7137885449510879</v>
      </c>
      <c r="E35" s="51">
        <f>XS_Designer!O114</f>
        <v>6.0822944681691666</v>
      </c>
      <c r="F35" s="156">
        <f>XS_Designer!P114</f>
        <v>6.0822944681691684</v>
      </c>
      <c r="G35" s="25"/>
      <c r="H35" s="25"/>
    </row>
    <row r="36" spans="1:8" ht="13.5" thickBot="1">
      <c r="A36" s="113" t="str">
        <f>XS_Designer!K115</f>
        <v>Fishenich 2001</v>
      </c>
      <c r="B36" s="63">
        <f>XS_Designer!L115</f>
        <v>9.7005441677619668</v>
      </c>
      <c r="C36" s="63">
        <f>XS_Designer!M115</f>
        <v>1.5E-3</v>
      </c>
      <c r="D36" s="63">
        <f>XS_Designer!N115</f>
        <v>9.7005441677619668</v>
      </c>
      <c r="E36" s="63">
        <f>XS_Designer!O115</f>
        <v>6.1475663471585662</v>
      </c>
      <c r="F36" s="189">
        <f>XS_Designer!P115</f>
        <v>6.147566347158568</v>
      </c>
      <c r="G36" s="25"/>
      <c r="H36" s="25"/>
    </row>
    <row r="37" spans="1:8">
      <c r="A37" s="25"/>
      <c r="B37" s="25"/>
      <c r="C37" s="25"/>
      <c r="D37" s="25"/>
      <c r="E37" s="25"/>
      <c r="F37" s="25"/>
      <c r="G37" s="25"/>
      <c r="H37" s="25"/>
    </row>
    <row r="38" spans="1:8">
      <c r="A38" s="25"/>
      <c r="B38" s="25"/>
      <c r="C38" s="25"/>
      <c r="D38" s="25"/>
      <c r="E38" s="25"/>
      <c r="F38" s="25"/>
      <c r="G38" s="25"/>
      <c r="H38" s="25"/>
    </row>
    <row r="39" spans="1:8">
      <c r="A39" s="25"/>
      <c r="B39" s="25"/>
      <c r="C39" s="25"/>
      <c r="D39" s="25"/>
      <c r="E39" s="25"/>
      <c r="F39" s="25"/>
      <c r="G39" s="25"/>
      <c r="H39" s="25"/>
    </row>
    <row r="40" spans="1:8">
      <c r="A40" s="25"/>
      <c r="B40" s="25"/>
      <c r="C40" s="25"/>
      <c r="D40" s="25"/>
      <c r="E40" s="25"/>
      <c r="F40" s="25"/>
      <c r="G40" s="25"/>
      <c r="H40" s="25"/>
    </row>
  </sheetData>
  <mergeCells count="9">
    <mergeCell ref="A21:F21"/>
    <mergeCell ref="B23:F23"/>
    <mergeCell ref="A28:F28"/>
    <mergeCell ref="B30:F30"/>
    <mergeCell ref="A1:F1"/>
    <mergeCell ref="A4:F4"/>
    <mergeCell ref="B6:F6"/>
    <mergeCell ref="A14:F14"/>
    <mergeCell ref="B16:F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V44"/>
  <sheetViews>
    <sheetView workbookViewId="0">
      <selection activeCell="P31" sqref="P31"/>
    </sheetView>
  </sheetViews>
  <sheetFormatPr defaultRowHeight="12.75"/>
  <cols>
    <col min="1" max="1" width="10.5703125" bestFit="1" customWidth="1"/>
    <col min="2" max="2" width="12.5703125" bestFit="1" customWidth="1"/>
    <col min="3" max="3" width="12.5703125" customWidth="1"/>
    <col min="4" max="4" width="15" bestFit="1" customWidth="1"/>
    <col min="9" max="9" width="13.7109375" bestFit="1" customWidth="1"/>
    <col min="10" max="10" width="21.5703125" bestFit="1" customWidth="1"/>
    <col min="14" max="14" width="19.42578125" customWidth="1"/>
    <col min="15" max="15" width="31.85546875" bestFit="1" customWidth="1"/>
    <col min="16" max="16" width="10" bestFit="1" customWidth="1"/>
    <col min="18" max="18" width="31.85546875" bestFit="1" customWidth="1"/>
    <col min="19" max="19" width="11.28515625" bestFit="1" customWidth="1"/>
    <col min="20" max="20" width="31.85546875" bestFit="1" customWidth="1"/>
  </cols>
  <sheetData>
    <row r="1" spans="1:22" ht="15">
      <c r="A1" s="202" t="s">
        <v>1</v>
      </c>
      <c r="B1" s="202" t="s">
        <v>207</v>
      </c>
      <c r="C1" s="71" t="s">
        <v>145</v>
      </c>
      <c r="D1" s="85" t="s">
        <v>587</v>
      </c>
      <c r="E1" s="43"/>
      <c r="F1" s="43" t="s">
        <v>317</v>
      </c>
      <c r="G1" s="43"/>
      <c r="H1" s="43"/>
      <c r="I1" s="43"/>
    </row>
    <row r="2" spans="1:22">
      <c r="A2" s="144">
        <f>IF(XS_Designer!F5="","",XS_Designer!F5)</f>
        <v>-27.201250000000002</v>
      </c>
      <c r="B2" s="144">
        <f>IF(XS_Designer!G5="","",XS_Designer!G5)</f>
        <v>3.5010000000000003</v>
      </c>
      <c r="C2" s="289">
        <v>0.1</v>
      </c>
      <c r="D2" s="144" t="str">
        <f>IF(XS_Designer!H5=0,"",XS_Designer!H5)</f>
        <v>Left 3rd Stage</v>
      </c>
      <c r="E2" s="43"/>
      <c r="F2" s="85" t="s">
        <v>463</v>
      </c>
      <c r="G2" s="85" t="s">
        <v>4</v>
      </c>
      <c r="H2" s="43"/>
      <c r="I2" s="71"/>
      <c r="J2" s="71"/>
      <c r="L2" s="2"/>
      <c r="N2" s="383" t="s">
        <v>615</v>
      </c>
      <c r="O2" s="383"/>
      <c r="P2" s="383"/>
      <c r="R2" t="s">
        <v>816</v>
      </c>
      <c r="S2" t="s">
        <v>654</v>
      </c>
      <c r="T2" t="s">
        <v>1000</v>
      </c>
    </row>
    <row r="3" spans="1:22">
      <c r="A3" s="144">
        <f>IF(XS_Designer!F6="","",XS_Designer!F6)</f>
        <v>-26.60125</v>
      </c>
      <c r="B3" s="144">
        <f>IF(XS_Designer!G6="","",XS_Designer!G6)</f>
        <v>3.2010000000000005</v>
      </c>
      <c r="C3" s="289" t="s">
        <v>8</v>
      </c>
      <c r="D3" s="144" t="str">
        <f>IF(XS_Designer!H6=0,"",XS_Designer!H6)</f>
        <v/>
      </c>
      <c r="E3" s="43"/>
      <c r="F3" s="85">
        <v>-50</v>
      </c>
      <c r="G3" s="85">
        <v>90</v>
      </c>
      <c r="H3" s="43"/>
      <c r="I3" s="71"/>
      <c r="J3" s="71"/>
      <c r="L3" s="2"/>
      <c r="N3" s="3" t="s">
        <v>41</v>
      </c>
      <c r="O3" s="3" t="s">
        <v>353</v>
      </c>
      <c r="P3" s="3" t="s">
        <v>182</v>
      </c>
    </row>
    <row r="4" spans="1:22">
      <c r="A4" s="144">
        <f>IF(XS_Designer!F7="","",XS_Designer!F7)</f>
        <v>-16.60125</v>
      </c>
      <c r="B4" s="144">
        <f>IF(XS_Designer!G7="","",XS_Designer!G7)</f>
        <v>3.0010000000000003</v>
      </c>
      <c r="C4" s="289">
        <v>0.1</v>
      </c>
      <c r="D4" s="144" t="str">
        <f>IF(XS_Designer!H7=0,"",XS_Designer!H7)</f>
        <v>Left 2nd Stage</v>
      </c>
      <c r="E4" s="43"/>
      <c r="F4" s="43"/>
      <c r="G4" s="43"/>
      <c r="H4" s="43"/>
      <c r="I4" s="71"/>
      <c r="J4" s="71"/>
      <c r="L4" s="43"/>
      <c r="N4" s="3">
        <v>3</v>
      </c>
      <c r="O4" s="3" t="s">
        <v>846</v>
      </c>
      <c r="P4" s="3" t="s">
        <v>1006</v>
      </c>
    </row>
    <row r="5" spans="1:22">
      <c r="A5" s="144">
        <f>IF(XS_Designer!F8="","",XS_Designer!F8)</f>
        <v>-15.001249999999999</v>
      </c>
      <c r="B5" s="144">
        <f>IF(XS_Designer!G8="","",XS_Designer!G8)</f>
        <v>2.2010000000000001</v>
      </c>
      <c r="C5" s="289" t="s">
        <v>8</v>
      </c>
      <c r="D5" s="144" t="str">
        <f>IF(XS_Designer!H8=0,"",XS_Designer!H8)</f>
        <v/>
      </c>
      <c r="E5" s="43"/>
      <c r="F5" s="43"/>
      <c r="G5" s="43"/>
      <c r="H5" s="43"/>
      <c r="I5" s="71"/>
      <c r="J5" s="71"/>
      <c r="N5" s="380"/>
      <c r="O5" s="381"/>
      <c r="P5" s="382"/>
    </row>
    <row r="6" spans="1:22">
      <c r="A6" s="144">
        <f>IF(XS_Designer!F9="","",XS_Designer!F9)</f>
        <v>-5.0012499999999998</v>
      </c>
      <c r="B6" s="144">
        <f>IF(XS_Designer!G9="","",XS_Designer!G9)</f>
        <v>2.0009999999999999</v>
      </c>
      <c r="C6" s="289">
        <v>0.04</v>
      </c>
      <c r="D6" s="144" t="str">
        <f>IF(XS_Designer!H9=0,"",XS_Designer!H9)</f>
        <v>Left Bankfull</v>
      </c>
      <c r="E6" s="43"/>
      <c r="F6" s="85" t="s">
        <v>953</v>
      </c>
      <c r="G6" s="43"/>
      <c r="H6" s="43"/>
      <c r="I6" s="2"/>
      <c r="J6" s="71"/>
      <c r="N6" s="377" t="s">
        <v>182</v>
      </c>
      <c r="O6" s="3" t="s">
        <v>33</v>
      </c>
      <c r="P6" s="3">
        <v>4</v>
      </c>
    </row>
    <row r="7" spans="1:22">
      <c r="A7" s="144">
        <f>IF(XS_Designer!F10="","",XS_Designer!F10)</f>
        <v>-2.0012499999999998</v>
      </c>
      <c r="B7" s="144">
        <f>IF(XS_Designer!G10="","",XS_Designer!G10)</f>
        <v>0.501</v>
      </c>
      <c r="C7" s="289" t="s">
        <v>8</v>
      </c>
      <c r="D7" s="144" t="str">
        <f>IF(XS_Designer!H10=0,"",XS_Designer!H10)</f>
        <v/>
      </c>
      <c r="E7" s="43"/>
      <c r="F7" s="85">
        <v>0.01</v>
      </c>
      <c r="G7" s="43"/>
      <c r="H7" s="43"/>
      <c r="I7" s="71"/>
      <c r="J7" s="71"/>
      <c r="N7" s="379"/>
      <c r="O7" s="3" t="s">
        <v>237</v>
      </c>
      <c r="P7" s="3">
        <v>1</v>
      </c>
    </row>
    <row r="8" spans="1:22">
      <c r="A8" s="144">
        <f>IF(XS_Designer!F11="","",XS_Designer!F11)</f>
        <v>-1.00125</v>
      </c>
      <c r="B8" s="144">
        <f>IF(XS_Designer!G11="","",XS_Designer!G11)</f>
        <v>0.251</v>
      </c>
      <c r="C8" s="289" t="s">
        <v>8</v>
      </c>
      <c r="D8" s="144" t="str">
        <f>IF(XS_Designer!H11=0,"",XS_Designer!H11)</f>
        <v/>
      </c>
      <c r="E8" s="43"/>
      <c r="F8" s="43"/>
      <c r="G8" s="43"/>
      <c r="H8" s="43"/>
      <c r="I8" s="71"/>
      <c r="J8" s="71"/>
      <c r="N8" s="380"/>
      <c r="O8" s="381"/>
      <c r="P8" s="382"/>
    </row>
    <row r="9" spans="1:22">
      <c r="A9" s="144">
        <f>IF(XS_Designer!F12="","",XS_Designer!F12)</f>
        <v>-0.50124999999999997</v>
      </c>
      <c r="B9" s="144">
        <f>IF(XS_Designer!G12="","",XS_Designer!G12)</f>
        <v>0.126</v>
      </c>
      <c r="C9" s="289" t="s">
        <v>8</v>
      </c>
      <c r="D9" s="144" t="str">
        <f>IF(XS_Designer!H12=0,"",XS_Designer!H12)</f>
        <v/>
      </c>
      <c r="E9" s="43"/>
      <c r="F9" s="85" t="s">
        <v>862</v>
      </c>
      <c r="G9" s="43"/>
      <c r="H9" s="43"/>
      <c r="I9" s="2"/>
      <c r="J9" s="71"/>
      <c r="N9" s="377" t="s">
        <v>42</v>
      </c>
      <c r="O9" s="3" t="s">
        <v>121</v>
      </c>
      <c r="P9" s="3">
        <v>10</v>
      </c>
      <c r="R9" t="s">
        <v>204</v>
      </c>
      <c r="S9" t="s">
        <v>388</v>
      </c>
      <c r="T9" t="s">
        <v>204</v>
      </c>
      <c r="U9" t="s">
        <v>945</v>
      </c>
      <c r="V9" t="str">
        <f t="shared" ref="V9:V40" si="0">CONCATENATE("WorkbookView1.ActiveWorkbook.Worksheets(",CHAR(34),"Data",CHAR(34),").Range(",CHAR(34),"P8",CHAR(34),").Value","=",U9,".",R9)</f>
        <v>WorkbookView1.ActiveWorkbook.Worksheets("Data").Range("P8").Value=mystage1properties.Width</v>
      </c>
    </row>
    <row r="10" spans="1:22">
      <c r="A10" s="144">
        <f>IF(XS_Designer!F13="","",XS_Designer!F13)</f>
        <v>-1E-3</v>
      </c>
      <c r="B10" s="144">
        <f>IF(XS_Designer!G13="","",XS_Designer!G13)</f>
        <v>1E-3</v>
      </c>
      <c r="C10" s="289" t="s">
        <v>8</v>
      </c>
      <c r="D10" s="144" t="str">
        <f>IF(XS_Designer!H13=0,"",XS_Designer!H13)</f>
        <v/>
      </c>
      <c r="E10" s="43"/>
      <c r="F10" s="85">
        <v>5</v>
      </c>
      <c r="G10" s="43"/>
      <c r="H10" s="43"/>
      <c r="I10" s="71"/>
      <c r="J10" s="71"/>
      <c r="N10" s="378"/>
      <c r="O10" s="3" t="s">
        <v>860</v>
      </c>
      <c r="P10" s="3">
        <v>2</v>
      </c>
      <c r="R10" t="s">
        <v>952</v>
      </c>
      <c r="S10" t="s">
        <v>388</v>
      </c>
      <c r="T10" t="s">
        <v>952</v>
      </c>
      <c r="U10" t="s">
        <v>945</v>
      </c>
      <c r="V10" t="str">
        <f t="shared" si="0"/>
        <v>WorkbookView1.ActiveWorkbook.Worksheets("Data").Range("P8").Value=mystage1properties.Depth</v>
      </c>
    </row>
    <row r="11" spans="1:22">
      <c r="A11" s="144">
        <f>IF(XS_Designer!F14="","",XS_Designer!F14)</f>
        <v>0</v>
      </c>
      <c r="B11" s="144">
        <f>IF(XS_Designer!G14="","",XS_Designer!G14)</f>
        <v>0</v>
      </c>
      <c r="C11" s="289" t="s">
        <v>8</v>
      </c>
      <c r="D11" s="144" t="str">
        <f>IF(XS_Designer!H14=0,"",XS_Designer!H14)</f>
        <v>Thalweg</v>
      </c>
      <c r="E11" s="43"/>
      <c r="F11" s="43"/>
      <c r="G11" s="43"/>
      <c r="H11" s="43"/>
      <c r="I11" s="71"/>
      <c r="J11" s="71"/>
      <c r="N11" s="378"/>
      <c r="O11" s="3" t="s">
        <v>432</v>
      </c>
      <c r="P11" s="3">
        <v>2</v>
      </c>
      <c r="R11" t="s">
        <v>938</v>
      </c>
      <c r="S11" t="s">
        <v>388</v>
      </c>
      <c r="T11" t="s">
        <v>938</v>
      </c>
      <c r="U11" t="s">
        <v>945</v>
      </c>
      <c r="V11" t="str">
        <f t="shared" si="0"/>
        <v>WorkbookView1.ActiveWorkbook.Worksheets("Data").Range("P8").Value=mystage1properties.mbanks</v>
      </c>
    </row>
    <row r="12" spans="1:22">
      <c r="A12" s="144">
        <f>IF(XS_Designer!F15="","",XS_Designer!F15)</f>
        <v>1E-3</v>
      </c>
      <c r="B12" s="144">
        <f>IF(XS_Designer!G15="","",XS_Designer!G15)</f>
        <v>1E-3</v>
      </c>
      <c r="C12" s="289" t="s">
        <v>8</v>
      </c>
      <c r="D12" s="144" t="str">
        <f>IF(XS_Designer!H15=0,"",XS_Designer!H15)</f>
        <v/>
      </c>
      <c r="E12" s="43"/>
      <c r="F12" s="43"/>
      <c r="G12" s="43"/>
      <c r="H12" s="43"/>
      <c r="I12" s="43"/>
      <c r="N12" s="378"/>
      <c r="O12" s="3" t="s">
        <v>915</v>
      </c>
      <c r="P12" s="3">
        <v>0.5</v>
      </c>
      <c r="R12" t="s">
        <v>1001</v>
      </c>
      <c r="S12" t="s">
        <v>388</v>
      </c>
      <c r="T12" t="s">
        <v>1001</v>
      </c>
      <c r="U12" t="s">
        <v>945</v>
      </c>
      <c r="V12" t="str">
        <f t="shared" si="0"/>
        <v>WorkbookView1.ActiveWorkbook.Worksheets("Data").Range("P8").Value=mystage1properties.ybed</v>
      </c>
    </row>
    <row r="13" spans="1:22">
      <c r="A13" s="144">
        <f>IF(XS_Designer!F16="","",XS_Designer!F16)</f>
        <v>0.50124999999999997</v>
      </c>
      <c r="B13" s="144">
        <f>IF(XS_Designer!G16="","",XS_Designer!G16)</f>
        <v>0.126</v>
      </c>
      <c r="C13" s="289" t="s">
        <v>8</v>
      </c>
      <c r="D13" s="144" t="str">
        <f>IF(XS_Designer!H16=0,"",XS_Designer!H16)</f>
        <v/>
      </c>
      <c r="E13" s="43"/>
      <c r="I13" s="43"/>
      <c r="J13" s="85" t="s">
        <v>514</v>
      </c>
      <c r="N13" s="378"/>
      <c r="O13" s="3" t="s">
        <v>861</v>
      </c>
      <c r="P13" s="3">
        <v>0</v>
      </c>
      <c r="R13" t="s">
        <v>146</v>
      </c>
      <c r="S13" t="s">
        <v>388</v>
      </c>
      <c r="T13" t="s">
        <v>146</v>
      </c>
      <c r="U13" t="s">
        <v>945</v>
      </c>
      <c r="V13" t="str">
        <f t="shared" si="0"/>
        <v>WorkbookView1.ActiveWorkbook.Worksheets("Data").Range("P8").Value=mystage1properties.thalweg_shift</v>
      </c>
    </row>
    <row r="14" spans="1:22">
      <c r="A14" s="144">
        <f>IF(XS_Designer!F17="","",XS_Designer!F17)</f>
        <v>1.00125</v>
      </c>
      <c r="B14" s="144">
        <f>IF(XS_Designer!G17="","",XS_Designer!G17)</f>
        <v>0.251</v>
      </c>
      <c r="C14" s="289" t="s">
        <v>8</v>
      </c>
      <c r="D14" s="144" t="str">
        <f>IF(XS_Designer!H17=0,"",XS_Designer!H17)</f>
        <v/>
      </c>
      <c r="E14" s="43"/>
      <c r="I14" s="43"/>
      <c r="J14" s="85" t="s">
        <v>653</v>
      </c>
      <c r="N14" s="378"/>
      <c r="O14" s="3" t="s">
        <v>847</v>
      </c>
      <c r="P14" s="3">
        <v>3</v>
      </c>
      <c r="R14" t="s">
        <v>873</v>
      </c>
      <c r="S14" t="s">
        <v>388</v>
      </c>
      <c r="T14" t="s">
        <v>847</v>
      </c>
      <c r="U14" t="s">
        <v>945</v>
      </c>
      <c r="V14" t="str">
        <f t="shared" si="0"/>
        <v>WorkbookView1.ActiveWorkbook.Worksheets("Data").Range("P8").Value=mystage1properties.Mtieout_L</v>
      </c>
    </row>
    <row r="15" spans="1:22">
      <c r="A15" s="144">
        <f>IF(XS_Designer!F18="","",XS_Designer!F18)</f>
        <v>2.0012499999999998</v>
      </c>
      <c r="B15" s="144">
        <f>IF(XS_Designer!G18="","",XS_Designer!G18)</f>
        <v>0.501</v>
      </c>
      <c r="C15" s="289" t="s">
        <v>8</v>
      </c>
      <c r="D15" s="144" t="str">
        <f>IF(XS_Designer!H18=0,"",XS_Designer!H18)</f>
        <v/>
      </c>
      <c r="E15" s="43"/>
      <c r="I15" s="43"/>
      <c r="N15" s="378"/>
      <c r="O15" s="3" t="s">
        <v>424</v>
      </c>
      <c r="P15" s="3">
        <v>3</v>
      </c>
      <c r="R15" t="s">
        <v>456</v>
      </c>
      <c r="S15" t="s">
        <v>388</v>
      </c>
      <c r="T15" t="s">
        <v>424</v>
      </c>
      <c r="U15" t="s">
        <v>945</v>
      </c>
      <c r="V15" t="str">
        <f t="shared" si="0"/>
        <v>WorkbookView1.ActiveWorkbook.Worksheets("Data").Range("P8").Value=mystage1properties.Mtieout_R</v>
      </c>
    </row>
    <row r="16" spans="1:22">
      <c r="A16" s="144">
        <f>IF(XS_Designer!F19="","",XS_Designer!F19)</f>
        <v>5.0012499999999998</v>
      </c>
      <c r="B16" s="144">
        <f>IF(XS_Designer!G19="","",XS_Designer!G19)</f>
        <v>2.0009999999999999</v>
      </c>
      <c r="C16" s="289">
        <v>0.1</v>
      </c>
      <c r="D16" s="144" t="str">
        <f>IF(XS_Designer!H19=0,"",XS_Designer!H19)</f>
        <v>Right Bankfull</v>
      </c>
      <c r="E16" s="43"/>
      <c r="I16" s="43"/>
      <c r="N16" s="379"/>
      <c r="O16" s="3" t="s">
        <v>918</v>
      </c>
      <c r="P16" s="3">
        <v>0</v>
      </c>
      <c r="R16" t="s">
        <v>918</v>
      </c>
      <c r="S16" t="s">
        <v>388</v>
      </c>
      <c r="T16" t="s">
        <v>918</v>
      </c>
      <c r="U16" t="s">
        <v>945</v>
      </c>
      <c r="V16" t="str">
        <f t="shared" si="0"/>
        <v>WorkbookView1.ActiveWorkbook.Worksheets("Data").Range("P8").Value=mystage1properties.Roundness</v>
      </c>
    </row>
    <row r="17" spans="1:22">
      <c r="A17" s="144">
        <f>IF(XS_Designer!F20="","",XS_Designer!F20)</f>
        <v>15.001249999999999</v>
      </c>
      <c r="B17" s="144">
        <f>IF(XS_Designer!G20="","",XS_Designer!G20)</f>
        <v>2.2010000000000001</v>
      </c>
      <c r="C17" s="289" t="s">
        <v>8</v>
      </c>
      <c r="D17" s="144" t="str">
        <f>IF(XS_Designer!H20=0,"",XS_Designer!H20)</f>
        <v/>
      </c>
      <c r="E17" s="43"/>
      <c r="I17" s="43"/>
      <c r="J17" s="375" t="s">
        <v>387</v>
      </c>
      <c r="K17" s="375"/>
      <c r="L17" s="375"/>
      <c r="N17" s="380"/>
      <c r="O17" s="381"/>
      <c r="P17" s="382"/>
      <c r="R17" t="s">
        <v>852</v>
      </c>
      <c r="S17" t="s">
        <v>388</v>
      </c>
      <c r="T17" t="s">
        <v>852</v>
      </c>
      <c r="U17" t="s">
        <v>313</v>
      </c>
      <c r="V17" t="str">
        <f t="shared" si="0"/>
        <v>WorkbookView1.ActiveWorkbook.Worksheets("Data").Range("P8").Value=mystage2properties.D2stg</v>
      </c>
    </row>
    <row r="18" spans="1:22">
      <c r="A18" s="144">
        <f>IF(XS_Designer!F21="","",XS_Designer!F21)</f>
        <v>16.60125</v>
      </c>
      <c r="B18" s="144">
        <f>IF(XS_Designer!G21="","",XS_Designer!G21)</f>
        <v>3.0010000000000003</v>
      </c>
      <c r="C18" s="289">
        <v>0.1</v>
      </c>
      <c r="D18" s="144" t="str">
        <f>IF(XS_Designer!H21=0,"",XS_Designer!H21)</f>
        <v>Right 2nd Stage</v>
      </c>
      <c r="E18" s="43"/>
      <c r="I18" s="43"/>
      <c r="J18" s="3" t="s">
        <v>704</v>
      </c>
      <c r="K18" s="3" t="s">
        <v>265</v>
      </c>
      <c r="L18" s="3" t="s">
        <v>937</v>
      </c>
      <c r="N18" s="377" t="s">
        <v>299</v>
      </c>
      <c r="O18" s="3" t="s">
        <v>852</v>
      </c>
      <c r="P18" s="3">
        <v>1</v>
      </c>
      <c r="R18" t="s">
        <v>939</v>
      </c>
      <c r="S18" t="s">
        <v>388</v>
      </c>
      <c r="T18" t="s">
        <v>913</v>
      </c>
      <c r="U18" t="s">
        <v>313</v>
      </c>
      <c r="V18" t="str">
        <f t="shared" si="0"/>
        <v>WorkbookView1.ActiveWorkbook.Worksheets("Data").Range("P8").Value=mystage2properties.Mbanks_2stg</v>
      </c>
    </row>
    <row r="19" spans="1:22">
      <c r="A19" s="144">
        <f>IF(XS_Designer!F22="","",XS_Designer!F22)</f>
        <v>26.60125</v>
      </c>
      <c r="B19" s="144">
        <f>IF(XS_Designer!G22="","",XS_Designer!G22)</f>
        <v>3.2010000000000005</v>
      </c>
      <c r="C19" s="289" t="s">
        <v>8</v>
      </c>
      <c r="D19" s="144" t="str">
        <f>IF(XS_Designer!H22=0,"",XS_Designer!H22)</f>
        <v/>
      </c>
      <c r="E19" s="43"/>
      <c r="I19" s="43"/>
      <c r="J19" s="3">
        <v>100</v>
      </c>
      <c r="K19" s="22">
        <v>80</v>
      </c>
      <c r="L19" s="22">
        <v>200</v>
      </c>
      <c r="N19" s="378"/>
      <c r="O19" s="3" t="s">
        <v>913</v>
      </c>
      <c r="P19" s="3">
        <v>2</v>
      </c>
      <c r="R19" t="s">
        <v>147</v>
      </c>
      <c r="S19" t="s">
        <v>388</v>
      </c>
      <c r="T19" t="s">
        <v>31</v>
      </c>
      <c r="U19" t="s">
        <v>313</v>
      </c>
      <c r="V19" t="str">
        <f t="shared" si="0"/>
        <v>WorkbookView1.ActiveWorkbook.Worksheets("Data").Range("P8").Value=mystage2properties.Wbench_L</v>
      </c>
    </row>
    <row r="20" spans="1:22">
      <c r="A20" s="144">
        <f>IF(XS_Designer!F23="","",XS_Designer!F23)</f>
        <v>27.201250000000002</v>
      </c>
      <c r="B20" s="144">
        <f>IF(XS_Designer!G23="","",XS_Designer!G23)</f>
        <v>3.5010000000000003</v>
      </c>
      <c r="C20" s="289" t="s">
        <v>8</v>
      </c>
      <c r="D20" s="144" t="str">
        <f>IF(XS_Designer!H23=0,"",XS_Designer!H23)</f>
        <v>Right 3rd Stage</v>
      </c>
      <c r="E20" s="43"/>
      <c r="I20" s="43"/>
      <c r="N20" s="378"/>
      <c r="O20" s="3" t="s">
        <v>31</v>
      </c>
      <c r="P20" s="3">
        <v>10</v>
      </c>
      <c r="R20" t="s">
        <v>636</v>
      </c>
      <c r="S20" t="s">
        <v>388</v>
      </c>
      <c r="T20" t="s">
        <v>608</v>
      </c>
      <c r="U20" t="s">
        <v>313</v>
      </c>
      <c r="V20" t="str">
        <f t="shared" si="0"/>
        <v>WorkbookView1.ActiveWorkbook.Worksheets("Data").Range("P8").Value=mystage2properties.Wbench_R</v>
      </c>
    </row>
    <row r="21" spans="1:22">
      <c r="E21" s="43"/>
      <c r="F21" s="43"/>
      <c r="G21" s="43"/>
      <c r="H21" s="43"/>
      <c r="I21" s="43"/>
      <c r="J21" s="3" t="s">
        <v>722</v>
      </c>
      <c r="N21" s="378"/>
      <c r="O21" s="3" t="s">
        <v>608</v>
      </c>
      <c r="P21" s="3">
        <v>10</v>
      </c>
      <c r="R21" t="s">
        <v>758</v>
      </c>
      <c r="S21" t="s">
        <v>388</v>
      </c>
      <c r="T21" t="s">
        <v>339</v>
      </c>
      <c r="U21" t="s">
        <v>313</v>
      </c>
      <c r="V21" t="str">
        <f t="shared" si="0"/>
        <v>WorkbookView1.ActiveWorkbook.Worksheets("Data").Range("P8").Value=mystage2properties.Ybench_L</v>
      </c>
    </row>
    <row r="22" spans="1:22">
      <c r="E22" s="43"/>
      <c r="F22" s="43"/>
      <c r="G22" s="43"/>
      <c r="H22" s="43"/>
      <c r="I22" s="43"/>
      <c r="J22" s="3">
        <v>0.06</v>
      </c>
      <c r="N22" s="378"/>
      <c r="O22" s="3" t="s">
        <v>339</v>
      </c>
      <c r="P22" s="3">
        <v>0.2</v>
      </c>
      <c r="R22" t="s">
        <v>266</v>
      </c>
      <c r="S22" t="s">
        <v>388</v>
      </c>
      <c r="T22" t="s">
        <v>908</v>
      </c>
      <c r="U22" t="s">
        <v>313</v>
      </c>
      <c r="V22" t="str">
        <f t="shared" si="0"/>
        <v>WorkbookView1.ActiveWorkbook.Worksheets("Data").Range("P8").Value=mystage2properties.Ybench_R</v>
      </c>
    </row>
    <row r="23" spans="1:22">
      <c r="E23" s="43"/>
      <c r="F23" s="43"/>
      <c r="G23" s="43"/>
      <c r="H23" s="43"/>
      <c r="I23" s="43"/>
      <c r="J23" s="2"/>
      <c r="N23" s="378"/>
      <c r="O23" s="3" t="s">
        <v>908</v>
      </c>
      <c r="P23" s="3">
        <v>0.2</v>
      </c>
      <c r="R23" t="s">
        <v>390</v>
      </c>
      <c r="S23" t="s">
        <v>388</v>
      </c>
      <c r="T23" t="s">
        <v>847</v>
      </c>
      <c r="U23" t="s">
        <v>313</v>
      </c>
      <c r="V23" t="str">
        <f t="shared" si="0"/>
        <v>WorkbookView1.ActiveWorkbook.Worksheets("Data").Range("P8").Value=mystage2properties.Mtieout_2stg_L</v>
      </c>
    </row>
    <row r="24" spans="1:22">
      <c r="E24" s="43"/>
      <c r="F24" s="43"/>
      <c r="G24" s="43"/>
      <c r="H24" s="43"/>
      <c r="I24" s="43"/>
      <c r="N24" s="378"/>
      <c r="O24" s="3" t="s">
        <v>847</v>
      </c>
      <c r="P24" s="3">
        <v>3</v>
      </c>
      <c r="R24" t="s">
        <v>941</v>
      </c>
      <c r="S24" t="s">
        <v>388</v>
      </c>
      <c r="T24" t="s">
        <v>424</v>
      </c>
      <c r="U24" t="s">
        <v>313</v>
      </c>
      <c r="V24" t="str">
        <f t="shared" si="0"/>
        <v>WorkbookView1.ActiveWorkbook.Worksheets("Data").Range("P8").Value=mystage2properties.Mtieout_2stg_R</v>
      </c>
    </row>
    <row r="25" spans="1:22">
      <c r="N25" s="379"/>
      <c r="O25" s="3" t="s">
        <v>424</v>
      </c>
      <c r="P25" s="3">
        <v>3</v>
      </c>
      <c r="R25" t="s">
        <v>733</v>
      </c>
      <c r="S25" t="s">
        <v>388</v>
      </c>
      <c r="T25" t="s">
        <v>733</v>
      </c>
      <c r="U25" t="s">
        <v>708</v>
      </c>
      <c r="V25" t="str">
        <f t="shared" si="0"/>
        <v>WorkbookView1.ActiveWorkbook.Worksheets("Data").Range("P8").Value=mystage3properties.D3stg</v>
      </c>
    </row>
    <row r="26" spans="1:22">
      <c r="N26" s="380"/>
      <c r="O26" s="381"/>
      <c r="P26" s="382"/>
      <c r="R26" t="s">
        <v>874</v>
      </c>
      <c r="S26" t="s">
        <v>388</v>
      </c>
      <c r="T26" t="s">
        <v>791</v>
      </c>
      <c r="U26" t="s">
        <v>708</v>
      </c>
      <c r="V26" t="str">
        <f t="shared" si="0"/>
        <v>WorkbookView1.ActiveWorkbook.Worksheets("Data").Range("P8").Value=mystage3properties.Mbanks_3stg</v>
      </c>
    </row>
    <row r="27" spans="1:22">
      <c r="N27" s="377" t="s">
        <v>567</v>
      </c>
      <c r="O27" s="3" t="s">
        <v>733</v>
      </c>
      <c r="P27" s="3">
        <v>0.5</v>
      </c>
      <c r="R27" t="s">
        <v>389</v>
      </c>
      <c r="S27" t="s">
        <v>388</v>
      </c>
      <c r="T27" t="s">
        <v>336</v>
      </c>
      <c r="U27" t="s">
        <v>708</v>
      </c>
      <c r="V27" t="str">
        <f t="shared" si="0"/>
        <v>WorkbookView1.ActiveWorkbook.Worksheets("Data").Range("P8").Value=mystage3properties.W3rdstage_L</v>
      </c>
    </row>
    <row r="28" spans="1:22">
      <c r="N28" s="378"/>
      <c r="O28" s="3" t="s">
        <v>791</v>
      </c>
      <c r="P28" s="3">
        <v>2</v>
      </c>
      <c r="R28" t="s">
        <v>940</v>
      </c>
      <c r="S28" t="s">
        <v>388</v>
      </c>
      <c r="T28" t="s">
        <v>910</v>
      </c>
      <c r="U28" t="s">
        <v>708</v>
      </c>
      <c r="V28" t="str">
        <f t="shared" si="0"/>
        <v>WorkbookView1.ActiveWorkbook.Worksheets("Data").Range("P8").Value=mystage3properties.W3rdstage_R</v>
      </c>
    </row>
    <row r="29" spans="1:22">
      <c r="N29" s="378"/>
      <c r="O29" s="3" t="s">
        <v>336</v>
      </c>
      <c r="P29" s="3">
        <v>10</v>
      </c>
      <c r="R29" t="s">
        <v>71</v>
      </c>
      <c r="S29" t="s">
        <v>388</v>
      </c>
      <c r="T29" t="s">
        <v>70</v>
      </c>
      <c r="U29" t="s">
        <v>708</v>
      </c>
      <c r="V29" t="str">
        <f t="shared" si="0"/>
        <v>WorkbookView1.ActiveWorkbook.Worksheets("Data").Range("P8").Value=mystage3properties.y3rdStage_L</v>
      </c>
    </row>
    <row r="30" spans="1:22">
      <c r="N30" s="378"/>
      <c r="O30" s="3" t="s">
        <v>910</v>
      </c>
      <c r="P30" s="3">
        <v>10</v>
      </c>
      <c r="R30" t="s">
        <v>637</v>
      </c>
      <c r="S30" t="s">
        <v>388</v>
      </c>
      <c r="T30" t="s">
        <v>588</v>
      </c>
      <c r="U30" t="s">
        <v>708</v>
      </c>
      <c r="V30" t="str">
        <f t="shared" si="0"/>
        <v>WorkbookView1.ActiveWorkbook.Worksheets("Data").Range("P8").Value=mystage3properties.y3rdStage_R</v>
      </c>
    </row>
    <row r="31" spans="1:22">
      <c r="N31" s="378"/>
      <c r="O31" s="3" t="s">
        <v>28</v>
      </c>
      <c r="P31" s="3">
        <v>0.2</v>
      </c>
      <c r="R31" t="s">
        <v>205</v>
      </c>
      <c r="S31" t="s">
        <v>388</v>
      </c>
      <c r="T31" t="s">
        <v>847</v>
      </c>
      <c r="U31" t="s">
        <v>708</v>
      </c>
      <c r="V31" t="str">
        <f t="shared" si="0"/>
        <v>WorkbookView1.ActiveWorkbook.Worksheets("Data").Range("P8").Value=mystage3properties.Mtieout_3stg_L</v>
      </c>
    </row>
    <row r="32" spans="1:22">
      <c r="N32" s="378"/>
      <c r="O32" s="3" t="s">
        <v>603</v>
      </c>
      <c r="P32" s="3">
        <v>0.2</v>
      </c>
      <c r="R32" t="s">
        <v>759</v>
      </c>
      <c r="S32" t="s">
        <v>388</v>
      </c>
      <c r="T32" t="s">
        <v>424</v>
      </c>
      <c r="U32" t="s">
        <v>708</v>
      </c>
      <c r="V32" t="str">
        <f t="shared" si="0"/>
        <v>WorkbookView1.ActiveWorkbook.Worksheets("Data").Range("P8").Value=mystage3properties.Mtieout_3stg_R</v>
      </c>
    </row>
    <row r="33" spans="14:22">
      <c r="N33" s="378"/>
      <c r="O33" s="3" t="s">
        <v>847</v>
      </c>
      <c r="P33" s="3">
        <v>3</v>
      </c>
      <c r="R33" t="s">
        <v>354</v>
      </c>
      <c r="S33" t="s">
        <v>388</v>
      </c>
      <c r="T33" t="s">
        <v>354</v>
      </c>
      <c r="U33" t="s">
        <v>822</v>
      </c>
      <c r="V33" t="str">
        <f t="shared" si="0"/>
        <v>WorkbookView1.ActiveWorkbook.Worksheets("Data").Range("P8").Value=myadvancedxsproperties.Left_BKF_Height_Multiplier</v>
      </c>
    </row>
    <row r="34" spans="14:22">
      <c r="N34" s="379"/>
      <c r="O34" s="3" t="s">
        <v>424</v>
      </c>
      <c r="P34" s="3">
        <v>3</v>
      </c>
      <c r="R34" t="s">
        <v>355</v>
      </c>
      <c r="S34" t="s">
        <v>388</v>
      </c>
      <c r="T34" t="s">
        <v>355</v>
      </c>
      <c r="U34" t="s">
        <v>822</v>
      </c>
      <c r="V34" t="str">
        <f t="shared" si="0"/>
        <v>WorkbookView1.ActiveWorkbook.Worksheets("Data").Range("P8").Value=myadvancedxsproperties.Right_BKF_Height_Multiplier</v>
      </c>
    </row>
    <row r="35" spans="14:22">
      <c r="N35" s="371"/>
      <c r="O35" s="372"/>
      <c r="P35" s="373"/>
      <c r="R35" t="s">
        <v>356</v>
      </c>
      <c r="S35" t="s">
        <v>388</v>
      </c>
      <c r="T35" t="s">
        <v>356</v>
      </c>
      <c r="U35" t="s">
        <v>822</v>
      </c>
      <c r="V35" t="str">
        <f t="shared" si="0"/>
        <v>WorkbookView1.ActiveWorkbook.Worksheets("Data").Range("P8").Value=myadvancedxsproperties.Left_Mbanks_BKF_Multipler</v>
      </c>
    </row>
    <row r="36" spans="14:22">
      <c r="N36" s="374"/>
      <c r="O36" s="375"/>
      <c r="P36" s="376"/>
      <c r="R36" t="s">
        <v>43</v>
      </c>
      <c r="S36" t="s">
        <v>388</v>
      </c>
      <c r="T36" t="s">
        <v>43</v>
      </c>
      <c r="U36" t="s">
        <v>822</v>
      </c>
      <c r="V36" t="str">
        <f t="shared" si="0"/>
        <v>WorkbookView1.ActiveWorkbook.Worksheets("Data").Range("P8").Value=myadvancedxsproperties.Right_Mbanks_BKF_Multiplier</v>
      </c>
    </row>
    <row r="37" spans="14:22">
      <c r="N37" s="377" t="s">
        <v>500</v>
      </c>
      <c r="O37" s="3" t="s">
        <v>354</v>
      </c>
      <c r="P37" s="3">
        <v>1</v>
      </c>
      <c r="R37" t="s">
        <v>692</v>
      </c>
      <c r="S37" t="s">
        <v>388</v>
      </c>
      <c r="T37" t="s">
        <v>692</v>
      </c>
      <c r="U37" t="s">
        <v>822</v>
      </c>
      <c r="V37" t="str">
        <f t="shared" si="0"/>
        <v>WorkbookView1.ActiveWorkbook.Worksheets("Data").Range("P8").Value=myadvancedxsproperties.Left_BKF_Bottom_Slope_Multiplier</v>
      </c>
    </row>
    <row r="38" spans="14:22">
      <c r="N38" s="378"/>
      <c r="O38" s="3" t="s">
        <v>355</v>
      </c>
      <c r="P38" s="3">
        <v>1</v>
      </c>
      <c r="R38" t="s">
        <v>300</v>
      </c>
      <c r="S38" t="s">
        <v>388</v>
      </c>
      <c r="T38" t="s">
        <v>300</v>
      </c>
      <c r="U38" t="s">
        <v>822</v>
      </c>
      <c r="V38" t="str">
        <f t="shared" si="0"/>
        <v>WorkbookView1.ActiveWorkbook.Worksheets("Data").Range("P8").Value=myadvancedxsproperties.Right_BKF_Bottom_Slope_Multiplier</v>
      </c>
    </row>
    <row r="39" spans="14:22">
      <c r="N39" s="378"/>
      <c r="O39" s="3" t="s">
        <v>356</v>
      </c>
      <c r="P39" s="3">
        <v>1</v>
      </c>
      <c r="R39" t="s">
        <v>44</v>
      </c>
      <c r="S39" t="s">
        <v>388</v>
      </c>
      <c r="T39" t="s">
        <v>44</v>
      </c>
      <c r="U39" t="s">
        <v>822</v>
      </c>
      <c r="V39" t="str">
        <f t="shared" si="0"/>
        <v>WorkbookView1.ActiveWorkbook.Worksheets("Data").Range("P8").Value=myadvancedxsproperties.Y_datum</v>
      </c>
    </row>
    <row r="40" spans="14:22">
      <c r="N40" s="378"/>
      <c r="O40" s="3" t="s">
        <v>43</v>
      </c>
      <c r="P40" s="3">
        <v>1</v>
      </c>
      <c r="R40" t="s">
        <v>437</v>
      </c>
      <c r="S40" t="s">
        <v>388</v>
      </c>
      <c r="T40" t="s">
        <v>437</v>
      </c>
      <c r="U40" t="s">
        <v>822</v>
      </c>
      <c r="V40" t="str">
        <f t="shared" si="0"/>
        <v>WorkbookView1.ActiveWorkbook.Worksheets("Data").Range("P8").Value=myadvancedxsproperties.X_datum</v>
      </c>
    </row>
    <row r="41" spans="14:22">
      <c r="N41" s="378"/>
      <c r="O41" s="3" t="s">
        <v>692</v>
      </c>
      <c r="P41" s="3">
        <v>1</v>
      </c>
    </row>
    <row r="42" spans="14:22">
      <c r="N42" s="378"/>
      <c r="O42" s="3" t="s">
        <v>300</v>
      </c>
      <c r="P42" s="3">
        <v>1</v>
      </c>
    </row>
    <row r="43" spans="14:22">
      <c r="N43" s="378"/>
      <c r="O43" s="3" t="s">
        <v>44</v>
      </c>
      <c r="P43" s="3">
        <v>0</v>
      </c>
    </row>
    <row r="44" spans="14:22">
      <c r="N44" s="379"/>
      <c r="O44" s="3" t="s">
        <v>437</v>
      </c>
      <c r="P44" s="3">
        <v>0</v>
      </c>
    </row>
  </sheetData>
  <mergeCells count="12">
    <mergeCell ref="N2:P2"/>
    <mergeCell ref="N5:P5"/>
    <mergeCell ref="N6:N7"/>
    <mergeCell ref="N8:P8"/>
    <mergeCell ref="N9:N16"/>
    <mergeCell ref="N35:P36"/>
    <mergeCell ref="N37:N44"/>
    <mergeCell ref="J17:L17"/>
    <mergeCell ref="N17:P17"/>
    <mergeCell ref="N18:N25"/>
    <mergeCell ref="N26:P26"/>
    <mergeCell ref="N27:N3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autoPageBreaks="0"/>
  </sheetPr>
  <dimension ref="A1:GK507"/>
  <sheetViews>
    <sheetView topLeftCell="A247" zoomScale="70" workbookViewId="0">
      <selection activeCell="H240" sqref="H240"/>
    </sheetView>
  </sheetViews>
  <sheetFormatPr defaultColWidth="8.85546875" defaultRowHeight="15"/>
  <cols>
    <col min="1" max="1" width="8.85546875" style="1"/>
    <col min="2" max="2" width="19.140625" style="1" bestFit="1" customWidth="1"/>
    <col min="3" max="3" width="24.7109375" style="1" customWidth="1"/>
    <col min="4" max="4" width="11.5703125" style="1" customWidth="1"/>
    <col min="5" max="5" width="12.85546875" style="1" customWidth="1"/>
    <col min="6" max="6" width="14.42578125" style="1" customWidth="1"/>
    <col min="7" max="7" width="17.28515625" style="1" bestFit="1" customWidth="1"/>
    <col min="8" max="8" width="28.42578125" style="1" customWidth="1"/>
    <col min="9" max="9" width="11.28515625" style="1" customWidth="1"/>
    <col min="10" max="10" width="11.5703125" style="1" customWidth="1"/>
    <col min="11" max="11" width="20.140625" style="1" customWidth="1"/>
    <col min="12" max="12" width="19.42578125" style="1" customWidth="1"/>
    <col min="13" max="13" width="12.28515625" style="1" customWidth="1"/>
    <col min="14" max="14" width="16.28515625" style="1" bestFit="1" customWidth="1"/>
    <col min="15" max="15" width="12.140625" style="1" customWidth="1"/>
    <col min="16" max="16" width="15" style="1" bestFit="1" customWidth="1"/>
    <col min="17" max="17" width="17.7109375" style="1" customWidth="1"/>
    <col min="18" max="18" width="18.7109375" style="1" bestFit="1" customWidth="1"/>
    <col min="19" max="19" width="11.85546875" style="1" customWidth="1"/>
    <col min="20" max="20" width="16.5703125" style="1" bestFit="1" customWidth="1"/>
    <col min="21" max="21" width="19.7109375" style="1" customWidth="1"/>
    <col min="22" max="22" width="8" style="1" customWidth="1"/>
    <col min="23" max="23" width="21.140625" style="1" customWidth="1"/>
    <col min="24" max="24" width="18.85546875" style="1" customWidth="1"/>
    <col min="25" max="25" width="8.85546875" style="1"/>
    <col min="26" max="26" width="16" style="1" customWidth="1"/>
    <col min="27" max="27" width="18.28515625" style="1" customWidth="1"/>
    <col min="28" max="28" width="12.42578125" style="1" customWidth="1"/>
    <col min="29" max="29" width="9.7109375" style="1" customWidth="1"/>
    <col min="30" max="30" width="12.28515625" style="1" customWidth="1"/>
    <col min="31" max="31" width="8.85546875" style="1"/>
    <col min="32" max="32" width="15.7109375" style="1" customWidth="1"/>
    <col min="33" max="33" width="10.42578125" style="1" customWidth="1"/>
    <col min="34" max="34" width="18.28515625" style="1" bestFit="1" customWidth="1"/>
    <col min="35" max="35" width="12.5703125" style="1" customWidth="1"/>
    <col min="36" max="41" width="8.85546875" style="1"/>
    <col min="42" max="42" width="8.7109375" style="1" customWidth="1"/>
    <col min="43" max="46" width="8.85546875" style="1"/>
    <col min="47" max="47" width="14.42578125" style="1" customWidth="1"/>
    <col min="48" max="48" width="17.42578125" style="1" customWidth="1"/>
    <col min="49" max="49" width="15.140625" style="1" customWidth="1"/>
    <col min="50" max="50" width="11.7109375" style="1" bestFit="1" customWidth="1"/>
    <col min="51" max="51" width="18.140625" style="1" customWidth="1"/>
    <col min="52" max="52" width="18" style="1" customWidth="1"/>
    <col min="53" max="53" width="15.85546875" style="1" bestFit="1" customWidth="1"/>
    <col min="54" max="54" width="13.85546875" style="1" bestFit="1" customWidth="1"/>
    <col min="55" max="55" width="16.42578125" style="1" customWidth="1"/>
    <col min="56" max="56" width="17.28515625" style="1" bestFit="1" customWidth="1"/>
    <col min="57" max="57" width="13.85546875" style="1" bestFit="1" customWidth="1"/>
    <col min="58" max="58" width="15.5703125" style="1" customWidth="1"/>
    <col min="59" max="59" width="22.140625" style="1" customWidth="1"/>
    <col min="60" max="60" width="16.5703125" style="1" customWidth="1"/>
    <col min="61" max="61" width="14.7109375" style="1" customWidth="1"/>
    <col min="62" max="62" width="15.42578125" style="1" customWidth="1"/>
    <col min="63" max="63" width="16" style="1" customWidth="1"/>
    <col min="64" max="64" width="15.5703125" style="1" customWidth="1"/>
    <col min="65" max="65" width="16" style="1" bestFit="1" customWidth="1"/>
    <col min="66" max="66" width="18" style="1" customWidth="1"/>
    <col min="67" max="67" width="15.28515625" style="1" customWidth="1"/>
    <col min="68" max="68" width="15.140625" style="1" bestFit="1" customWidth="1"/>
    <col min="69" max="69" width="13.85546875" style="1" bestFit="1" customWidth="1"/>
    <col min="70" max="70" width="15.140625" style="1" bestFit="1" customWidth="1"/>
    <col min="71" max="71" width="19.28515625" style="1" bestFit="1" customWidth="1"/>
    <col min="72" max="72" width="14" style="1" customWidth="1"/>
    <col min="73" max="73" width="8.28515625" style="1" customWidth="1"/>
    <col min="74" max="74" width="14.140625" style="1" customWidth="1"/>
    <col min="75" max="76" width="8.85546875" style="1"/>
    <col min="77" max="77" width="6.5703125" style="1" customWidth="1"/>
    <col min="78" max="78" width="15.140625" style="1" bestFit="1" customWidth="1"/>
    <col min="79" max="86" width="8.85546875" style="1"/>
    <col min="87" max="87" width="14" style="1" customWidth="1"/>
    <col min="88" max="88" width="8.85546875" style="1"/>
    <col min="89" max="89" width="14.42578125" style="1" bestFit="1" customWidth="1"/>
    <col min="90" max="90" width="14.42578125" style="1" customWidth="1"/>
    <col min="91" max="91" width="15.5703125" style="1" customWidth="1"/>
    <col min="92" max="92" width="10" style="1" bestFit="1" customWidth="1"/>
    <col min="93" max="93" width="21" style="1" bestFit="1" customWidth="1"/>
    <col min="94" max="94" width="16.7109375" style="1" bestFit="1" customWidth="1"/>
    <col min="95" max="95" width="12.5703125" style="1" customWidth="1"/>
    <col min="96" max="96" width="23.42578125" style="1" bestFit="1" customWidth="1"/>
    <col min="97" max="97" width="15" style="1" bestFit="1" customWidth="1"/>
    <col min="98" max="98" width="8.85546875" style="1"/>
    <col min="99" max="99" width="7.28515625" style="1" bestFit="1" customWidth="1"/>
    <col min="100" max="100" width="11.140625" style="1" bestFit="1" customWidth="1"/>
    <col min="101" max="101" width="17.28515625" style="1" bestFit="1" customWidth="1"/>
    <col min="102" max="102" width="8.85546875" style="1"/>
    <col min="103" max="103" width="16.85546875" style="1" bestFit="1" customWidth="1"/>
    <col min="104" max="104" width="14.28515625" style="1" bestFit="1" customWidth="1"/>
    <col min="105" max="105" width="14.28515625" style="1" customWidth="1"/>
    <col min="106" max="118" width="8.85546875" style="1"/>
    <col min="119" max="119" width="10.7109375" style="1" customWidth="1"/>
    <col min="120" max="122" width="8.85546875" style="1"/>
    <col min="123" max="123" width="14" style="1" customWidth="1"/>
    <col min="124" max="130" width="8.85546875" style="1"/>
    <col min="131" max="131" width="12" style="1" bestFit="1" customWidth="1"/>
    <col min="132" max="133" width="12.42578125" style="1" customWidth="1"/>
    <col min="134" max="134" width="13.85546875" style="1" bestFit="1" customWidth="1"/>
    <col min="135" max="141" width="12.42578125" style="1" customWidth="1"/>
    <col min="142" max="142" width="14.5703125" style="1" customWidth="1"/>
    <col min="143" max="143" width="16.42578125" style="1" bestFit="1" customWidth="1"/>
    <col min="144" max="144" width="18.7109375" style="1" bestFit="1" customWidth="1"/>
    <col min="145" max="145" width="9.5703125" style="1" customWidth="1"/>
    <col min="146" max="146" width="10.85546875" style="1" customWidth="1"/>
    <col min="147" max="147" width="9.42578125" style="1" customWidth="1"/>
    <col min="148" max="148" width="10.85546875" style="1" bestFit="1" customWidth="1"/>
    <col min="149" max="149" width="14.28515625" style="1" bestFit="1" customWidth="1"/>
    <col min="150" max="150" width="14.140625" style="1" bestFit="1" customWidth="1"/>
    <col min="151" max="151" width="14.42578125" style="1" bestFit="1" customWidth="1"/>
    <col min="152" max="152" width="14.140625" style="1" bestFit="1" customWidth="1"/>
    <col min="153" max="153" width="18.5703125" style="1" bestFit="1" customWidth="1"/>
    <col min="154" max="154" width="17.7109375" style="1" customWidth="1"/>
    <col min="155" max="155" width="14.85546875" style="1" customWidth="1"/>
    <col min="156" max="156" width="15.7109375" style="1" bestFit="1" customWidth="1"/>
    <col min="157" max="157" width="15.28515625" style="1" bestFit="1" customWidth="1"/>
    <col min="158" max="158" width="14.28515625" style="1" customWidth="1"/>
    <col min="159" max="159" width="15.7109375" style="1" bestFit="1" customWidth="1"/>
    <col min="160" max="160" width="12.28515625" style="1" bestFit="1" customWidth="1"/>
    <col min="161" max="162" width="8.85546875" style="1" bestFit="1" customWidth="1"/>
    <col min="163" max="163" width="18.5703125" style="1" bestFit="1" customWidth="1"/>
    <col min="164" max="164" width="16" style="1" bestFit="1" customWidth="1"/>
    <col min="165" max="165" width="13.85546875" style="1" bestFit="1" customWidth="1"/>
    <col min="166" max="166" width="9.85546875" style="1" customWidth="1"/>
    <col min="167" max="167" width="6.85546875" style="1" bestFit="1" customWidth="1"/>
    <col min="168" max="168" width="10" style="1" bestFit="1" customWidth="1"/>
    <col min="169" max="169" width="13.140625" style="1" bestFit="1" customWidth="1"/>
    <col min="170" max="173" width="8.85546875" style="1"/>
    <col min="174" max="174" width="13.42578125" style="1" bestFit="1" customWidth="1"/>
    <col min="175" max="16384" width="8.85546875" style="1"/>
  </cols>
  <sheetData>
    <row r="1" spans="2:193" ht="22.5" customHeight="1" thickBot="1">
      <c r="B1" s="480" t="s">
        <v>615</v>
      </c>
      <c r="C1" s="481"/>
      <c r="D1" s="482"/>
      <c r="F1" s="480" t="s">
        <v>718</v>
      </c>
      <c r="G1" s="481"/>
      <c r="H1" s="481"/>
      <c r="I1" s="482"/>
      <c r="J1" s="21"/>
      <c r="K1" s="480" t="s">
        <v>155</v>
      </c>
      <c r="L1" s="481"/>
      <c r="M1" s="481"/>
      <c r="N1" s="481"/>
      <c r="O1" s="481"/>
      <c r="P1" s="481"/>
      <c r="Q1" s="481"/>
      <c r="R1" s="481"/>
      <c r="S1" s="481"/>
      <c r="T1" s="481"/>
      <c r="U1" s="481"/>
      <c r="V1" s="481"/>
      <c r="W1" s="482"/>
      <c r="AC1" s="483" t="s">
        <v>26</v>
      </c>
      <c r="AD1" s="483"/>
      <c r="EK1"/>
      <c r="FN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</row>
    <row r="2" spans="2:193">
      <c r="B2" s="129" t="s">
        <v>41</v>
      </c>
      <c r="C2" s="129" t="s">
        <v>353</v>
      </c>
      <c r="D2" s="129" t="s">
        <v>182</v>
      </c>
      <c r="Z2" s="5" t="s">
        <v>523</v>
      </c>
      <c r="AA2" s="5" t="s">
        <v>645</v>
      </c>
      <c r="AB2" s="5" t="s">
        <v>762</v>
      </c>
      <c r="AC2" s="253" t="s">
        <v>947</v>
      </c>
      <c r="AD2" s="324" t="s">
        <v>150</v>
      </c>
      <c r="AF2" s="6"/>
      <c r="AG2" s="6"/>
      <c r="AH2" s="5" t="s">
        <v>525</v>
      </c>
      <c r="AI2" s="30"/>
      <c r="AJ2" s="37" t="s">
        <v>524</v>
      </c>
      <c r="AU2"/>
      <c r="AV2" s="380" t="s">
        <v>927</v>
      </c>
      <c r="AW2" s="381"/>
      <c r="AX2" s="381"/>
      <c r="AY2" s="381"/>
      <c r="AZ2" s="381"/>
      <c r="BA2" s="381"/>
      <c r="BB2" s="381"/>
      <c r="BC2" s="381"/>
      <c r="BD2" s="382"/>
      <c r="BE2"/>
      <c r="BF2"/>
      <c r="BG2"/>
      <c r="BH2"/>
      <c r="BI2"/>
      <c r="BJ2"/>
      <c r="BK2"/>
      <c r="BL2"/>
      <c r="BM2"/>
      <c r="BN2"/>
      <c r="BO2" t="s">
        <v>308</v>
      </c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FN2"/>
      <c r="FO2" s="460"/>
      <c r="FP2" s="460"/>
      <c r="FQ2"/>
      <c r="FT2"/>
      <c r="FU2"/>
      <c r="FV2"/>
      <c r="FY2"/>
      <c r="FZ2"/>
      <c r="GA2"/>
      <c r="GB2"/>
      <c r="GC2"/>
      <c r="GD2"/>
      <c r="GE2"/>
      <c r="GF2"/>
      <c r="GG2"/>
      <c r="GH2"/>
      <c r="GI2"/>
      <c r="GJ2"/>
      <c r="GK2"/>
    </row>
    <row r="3" spans="2:193" ht="15" customHeight="1">
      <c r="B3" s="80">
        <f>Data!N4</f>
        <v>3</v>
      </c>
      <c r="C3" s="80" t="str">
        <f>Data!O4</f>
        <v>Riffle</v>
      </c>
      <c r="D3" s="80" t="str">
        <f>Data!P4</f>
        <v>No</v>
      </c>
      <c r="F3" s="70"/>
      <c r="G3" s="70"/>
      <c r="H3" s="70"/>
      <c r="I3" s="70"/>
      <c r="Q3" s="389" t="s">
        <v>317</v>
      </c>
      <c r="R3" s="390"/>
      <c r="S3" s="391"/>
      <c r="Z3" s="37">
        <v>1</v>
      </c>
      <c r="AA3" s="42">
        <v>100</v>
      </c>
      <c r="AB3" s="327">
        <v>1.7637920556248592</v>
      </c>
      <c r="AC3" s="266"/>
      <c r="AD3" s="295"/>
      <c r="AF3" s="157">
        <f t="shared" ref="AF3:AF11" si="0">INDEX(F5:H23,MATCH(AH3,H5:H23,0),1)</f>
        <v>-27.201250000000002</v>
      </c>
      <c r="AG3" s="157">
        <f t="shared" ref="AG3:AG11" si="1">INDEX(F5:H23,MATCH(AH3,H5:H23,0),2)</f>
        <v>3.5010000000000003</v>
      </c>
      <c r="AH3" s="8" t="s">
        <v>161</v>
      </c>
      <c r="AI3" s="30"/>
      <c r="AJ3" s="8" t="str">
        <f t="shared" ref="AJ3:AJ11" si="2">IF(ISNA(MATCH(AH3,$H$5:$H$104,0)),AH3,"")</f>
        <v/>
      </c>
      <c r="AO3" s="1" t="s">
        <v>509</v>
      </c>
      <c r="AV3" s="477" t="s">
        <v>698</v>
      </c>
      <c r="AW3" s="478"/>
      <c r="AX3" s="371"/>
      <c r="AY3" s="380" t="s">
        <v>923</v>
      </c>
      <c r="AZ3" s="381"/>
      <c r="BA3" s="382"/>
      <c r="BC3" s="389" t="s">
        <v>55</v>
      </c>
      <c r="BD3" s="391"/>
      <c r="CC3"/>
      <c r="EK3"/>
      <c r="FN3"/>
      <c r="FO3"/>
      <c r="FP3"/>
      <c r="FQ3"/>
      <c r="FT3"/>
      <c r="FU3"/>
      <c r="FV3"/>
      <c r="FY3"/>
      <c r="FZ3"/>
      <c r="GA3"/>
      <c r="GB3"/>
      <c r="GC3"/>
      <c r="GD3"/>
      <c r="GE3"/>
      <c r="GF3"/>
      <c r="GG3"/>
      <c r="GH3"/>
      <c r="GI3"/>
      <c r="GJ3"/>
      <c r="GK3"/>
    </row>
    <row r="4" spans="2:193">
      <c r="D4" s="11"/>
      <c r="F4" s="5" t="s">
        <v>1</v>
      </c>
      <c r="G4" s="5" t="s">
        <v>207</v>
      </c>
      <c r="H4" s="5" t="s">
        <v>213</v>
      </c>
      <c r="I4" s="5" t="s">
        <v>464</v>
      </c>
      <c r="J4" s="11"/>
      <c r="Q4" s="5" t="s">
        <v>463</v>
      </c>
      <c r="R4" s="5" t="s">
        <v>4</v>
      </c>
      <c r="S4" s="5" t="s">
        <v>862</v>
      </c>
      <c r="U4" s="5" t="s">
        <v>953</v>
      </c>
      <c r="W4" s="5" t="s">
        <v>805</v>
      </c>
      <c r="Z4" s="37" t="s">
        <v>522</v>
      </c>
      <c r="AA4" s="42">
        <v>200</v>
      </c>
      <c r="AB4" s="327">
        <v>2.3676215080531455</v>
      </c>
      <c r="AC4" s="266"/>
      <c r="AD4" s="295"/>
      <c r="AF4" s="157">
        <f t="shared" si="0"/>
        <v>-16.60125</v>
      </c>
      <c r="AG4" s="157">
        <f t="shared" si="1"/>
        <v>3.0010000000000003</v>
      </c>
      <c r="AH4" s="8" t="s">
        <v>832</v>
      </c>
      <c r="AI4" s="30"/>
      <c r="AJ4" s="8" t="str">
        <f t="shared" si="2"/>
        <v/>
      </c>
      <c r="AO4" s="1" t="s">
        <v>748</v>
      </c>
      <c r="AV4" s="3" t="s">
        <v>866</v>
      </c>
      <c r="AW4" s="89">
        <f>L29</f>
        <v>649.08944244948236</v>
      </c>
      <c r="AX4" s="479"/>
      <c r="AY4" s="3" t="s">
        <v>695</v>
      </c>
      <c r="AZ4" s="3" t="s">
        <v>803</v>
      </c>
      <c r="BA4" s="3" t="s">
        <v>127</v>
      </c>
      <c r="BC4" s="5" t="s">
        <v>252</v>
      </c>
      <c r="BD4" s="194">
        <f>XS_Designer_Bed_Mix!F3</f>
        <v>60.420807017721998</v>
      </c>
      <c r="CC4"/>
      <c r="EK4" s="2"/>
      <c r="FN4"/>
      <c r="FO4"/>
      <c r="FP4"/>
      <c r="FQ4"/>
      <c r="FT4"/>
      <c r="FU4"/>
      <c r="FV4"/>
      <c r="FY4"/>
      <c r="FZ4"/>
      <c r="GA4"/>
      <c r="GB4"/>
      <c r="GC4"/>
      <c r="GD4"/>
      <c r="GE4"/>
      <c r="GF4"/>
      <c r="GG4"/>
      <c r="GH4"/>
      <c r="GI4"/>
      <c r="GJ4"/>
      <c r="GK4"/>
    </row>
    <row r="5" spans="2:193">
      <c r="B5" s="470" t="s">
        <v>182</v>
      </c>
      <c r="C5" s="5" t="s">
        <v>33</v>
      </c>
      <c r="D5" s="80">
        <f>Data!P6</f>
        <v>4</v>
      </c>
      <c r="E5" s="11">
        <v>1</v>
      </c>
      <c r="F5" s="167">
        <f t="shared" ref="F5:H23" si="3">VLOOKUP(CONCATENATE($C$3," IB-",$D$3,IF(F$4="Station (ft)","_Station",IF(F$4="Elevation (ft)","_Elevation","_Description"))),summaryXS_newest,$X199,FALSE)</f>
        <v>-27.201250000000002</v>
      </c>
      <c r="G5" s="167">
        <f t="shared" si="3"/>
        <v>3.5010000000000003</v>
      </c>
      <c r="H5" s="311" t="str">
        <f t="shared" si="3"/>
        <v>Left 3rd Stage</v>
      </c>
      <c r="I5" s="37">
        <f>IF(IFERROR(INDEX(Data!C2:D20,MATCH(XS_Designer!H5,Data!D2:D20,0),1),"")=0,"",IFERROR(INDEX(Data!C2:D20,MATCH(XS_Designer!H5,Data!D2:D20,0),1),""))</f>
        <v>0.1</v>
      </c>
      <c r="J5" s="11"/>
      <c r="Q5" s="80">
        <f>Data!F3</f>
        <v>-50</v>
      </c>
      <c r="R5" s="80">
        <f>Data!G3</f>
        <v>90</v>
      </c>
      <c r="S5" s="260">
        <f>Data!F10</f>
        <v>5</v>
      </c>
      <c r="U5" s="239">
        <f>Data!F7</f>
        <v>0.01</v>
      </c>
      <c r="W5" s="80" t="str">
        <f>Data!J14</f>
        <v>Leo, Wol, Mill 1964</v>
      </c>
      <c r="Z5" s="37">
        <v>2</v>
      </c>
      <c r="AA5" s="42">
        <v>210</v>
      </c>
      <c r="AB5" s="327">
        <v>2.4034673511527003</v>
      </c>
      <c r="AC5" s="266"/>
      <c r="AD5" s="295"/>
      <c r="AF5" s="157">
        <f t="shared" si="0"/>
        <v>-5.0012499999999998</v>
      </c>
      <c r="AG5" s="157">
        <f t="shared" si="1"/>
        <v>2.0009999999999999</v>
      </c>
      <c r="AH5" s="8" t="s">
        <v>160</v>
      </c>
      <c r="AI5" s="30"/>
      <c r="AJ5" s="8" t="str">
        <f t="shared" si="2"/>
        <v/>
      </c>
      <c r="AO5" s="1" t="s">
        <v>581</v>
      </c>
      <c r="AV5" s="3" t="s">
        <v>949</v>
      </c>
      <c r="AW5" s="135">
        <f>U5</f>
        <v>0.01</v>
      </c>
      <c r="AX5" s="479"/>
      <c r="AY5" s="227" t="s">
        <v>573</v>
      </c>
      <c r="AZ5" s="3">
        <f t="shared" ref="AZ5:AZ17" si="4">IFERROR(VLOOKUP(AY5,$AV$92:$AX$102,3,FALSE),"")</f>
        <v>13.200000000000001</v>
      </c>
      <c r="BA5" s="227">
        <v>50</v>
      </c>
      <c r="BC5" s="6" t="s">
        <v>130</v>
      </c>
      <c r="BD5" s="194">
        <f>XS_Designer_Bed_Mix!F4</f>
        <v>155.83578771645273</v>
      </c>
      <c r="CC5"/>
      <c r="EK5" s="2"/>
      <c r="FN5"/>
      <c r="FO5"/>
      <c r="FP5"/>
      <c r="FQ5"/>
      <c r="FT5"/>
      <c r="FU5"/>
      <c r="FV5"/>
      <c r="FY5"/>
      <c r="FZ5"/>
      <c r="GA5"/>
      <c r="GB5"/>
      <c r="GC5"/>
      <c r="GD5"/>
      <c r="GE5"/>
      <c r="GF5"/>
      <c r="GG5"/>
      <c r="GH5"/>
      <c r="GI5"/>
      <c r="GJ5"/>
      <c r="GK5"/>
    </row>
    <row r="6" spans="2:193">
      <c r="B6" s="471"/>
      <c r="C6" s="5" t="s">
        <v>237</v>
      </c>
      <c r="D6" s="80">
        <f>Data!P7</f>
        <v>1</v>
      </c>
      <c r="E6" s="11">
        <v>2</v>
      </c>
      <c r="F6" s="167">
        <f t="shared" si="3"/>
        <v>-26.60125</v>
      </c>
      <c r="G6" s="167">
        <f t="shared" si="3"/>
        <v>3.2010000000000005</v>
      </c>
      <c r="H6" s="311">
        <f t="shared" si="3"/>
        <v>0</v>
      </c>
      <c r="I6" s="37" t="str">
        <f>IF(IFERROR(INDEX(Data!C3:D21,MATCH(XS_Designer!H6,Data!D3:D21,0),1),"")=0,"",IFERROR(INDEX(Data!C3:D21,MATCH(XS_Designer!H6,Data!D3:D21,0),1),""))</f>
        <v/>
      </c>
      <c r="J6" s="11"/>
      <c r="Z6" s="37">
        <v>5</v>
      </c>
      <c r="AA6" s="42">
        <v>220</v>
      </c>
      <c r="AB6" s="327"/>
      <c r="AC6" s="266"/>
      <c r="AD6" s="295"/>
      <c r="AF6" s="157" t="e">
        <f t="shared" si="0"/>
        <v>#N/A</v>
      </c>
      <c r="AG6" s="157" t="e">
        <f t="shared" si="1"/>
        <v>#N/A</v>
      </c>
      <c r="AH6" s="8" t="s">
        <v>466</v>
      </c>
      <c r="AI6" s="22"/>
      <c r="AJ6" s="8" t="str">
        <f t="shared" si="2"/>
        <v>Left Inner Berm</v>
      </c>
      <c r="AV6" s="22"/>
      <c r="AW6" s="22"/>
      <c r="AX6" s="479"/>
      <c r="AY6" s="227" t="s">
        <v>128</v>
      </c>
      <c r="AZ6" s="3">
        <f t="shared" si="4"/>
        <v>1</v>
      </c>
      <c r="BA6" s="227">
        <v>35</v>
      </c>
      <c r="BC6" s="6" t="s">
        <v>809</v>
      </c>
      <c r="BD6" s="194">
        <f>XS_Designer_Bed_Mix!F5</f>
        <v>0.10159999999999997</v>
      </c>
      <c r="CC6"/>
      <c r="EK6" s="2"/>
      <c r="FN6"/>
      <c r="FO6"/>
      <c r="FP6"/>
      <c r="FQ6"/>
      <c r="FT6"/>
      <c r="FU6"/>
      <c r="FV6"/>
      <c r="FY6"/>
      <c r="FZ6"/>
      <c r="GA6"/>
      <c r="GB6"/>
      <c r="GC6"/>
      <c r="GD6"/>
      <c r="GE6"/>
      <c r="GF6"/>
      <c r="GG6"/>
      <c r="GH6"/>
      <c r="GI6"/>
      <c r="GJ6"/>
      <c r="GK6"/>
    </row>
    <row r="7" spans="2:193">
      <c r="B7" s="323"/>
      <c r="D7" s="11"/>
      <c r="E7" s="11">
        <v>3</v>
      </c>
      <c r="F7" s="167">
        <f t="shared" si="3"/>
        <v>-16.60125</v>
      </c>
      <c r="G7" s="167">
        <f t="shared" si="3"/>
        <v>3.0010000000000003</v>
      </c>
      <c r="H7" s="311" t="str">
        <f t="shared" si="3"/>
        <v>Left 2nd Stage</v>
      </c>
      <c r="I7" s="37">
        <f>IF(IFERROR(INDEX(Data!C4:D22,MATCH(XS_Designer!H7,Data!D4:D22,0),1),"")=0,"",IFERROR(INDEX(Data!C4:D22,MATCH(XS_Designer!H7,Data!D4:D22,0),1),""))</f>
        <v>0.1</v>
      </c>
      <c r="J7" s="11"/>
      <c r="Z7" s="37">
        <v>10</v>
      </c>
      <c r="AA7" s="42">
        <v>300</v>
      </c>
      <c r="AB7" s="327"/>
      <c r="AC7" s="266"/>
      <c r="AD7" s="295"/>
      <c r="AF7" s="157">
        <f t="shared" si="0"/>
        <v>0</v>
      </c>
      <c r="AG7" s="157">
        <f t="shared" si="1"/>
        <v>0</v>
      </c>
      <c r="AH7" s="8" t="s">
        <v>716</v>
      </c>
      <c r="AI7" s="30"/>
      <c r="AJ7" s="8" t="str">
        <f t="shared" si="2"/>
        <v/>
      </c>
      <c r="AV7" s="5" t="s">
        <v>78</v>
      </c>
      <c r="AW7" s="89">
        <f t="shared" ref="AW7:AW12" si="5">L34</f>
        <v>57.260971814281405</v>
      </c>
      <c r="AX7" s="479"/>
      <c r="AY7" s="227" t="s">
        <v>368</v>
      </c>
      <c r="AZ7" s="3">
        <f t="shared" si="4"/>
        <v>0.06</v>
      </c>
      <c r="BA7" s="227">
        <v>10</v>
      </c>
      <c r="BC7" s="6" t="s">
        <v>623</v>
      </c>
      <c r="BD7" s="187">
        <f>XS_Designer_Bed_Mix!F6</f>
        <v>1.5100000000000009</v>
      </c>
      <c r="CC7"/>
      <c r="EK7" s="2"/>
      <c r="FN7"/>
      <c r="FO7"/>
      <c r="FP7"/>
      <c r="FQ7"/>
      <c r="FT7"/>
      <c r="FU7"/>
      <c r="FV7"/>
      <c r="FY7"/>
      <c r="FZ7"/>
      <c r="GA7"/>
      <c r="GB7"/>
      <c r="GC7"/>
      <c r="GD7"/>
      <c r="GE7"/>
      <c r="GF7"/>
      <c r="GG7"/>
      <c r="GH7"/>
      <c r="GI7"/>
      <c r="GJ7"/>
      <c r="GK7"/>
    </row>
    <row r="8" spans="2:193">
      <c r="B8" s="470" t="s">
        <v>42</v>
      </c>
      <c r="C8" s="30" t="s">
        <v>121</v>
      </c>
      <c r="D8" s="229">
        <f>Data!P9</f>
        <v>10</v>
      </c>
      <c r="E8" s="11">
        <v>4</v>
      </c>
      <c r="F8" s="167">
        <f t="shared" si="3"/>
        <v>-15.001249999999999</v>
      </c>
      <c r="G8" s="167">
        <f t="shared" si="3"/>
        <v>2.2010000000000001</v>
      </c>
      <c r="H8" s="311">
        <f t="shared" si="3"/>
        <v>0</v>
      </c>
      <c r="I8" s="37" t="str">
        <f>IF(IFERROR(INDEX(Data!C5:D23,MATCH(XS_Designer!H8,Data!D5:D23,0),1),"")=0,"",IFERROR(INDEX(Data!C5:D23,MATCH(XS_Designer!H8,Data!D5:D23,0),1),""))</f>
        <v/>
      </c>
      <c r="J8" s="11"/>
      <c r="Z8" s="37">
        <v>20</v>
      </c>
      <c r="AA8" s="42">
        <v>250</v>
      </c>
      <c r="AB8" s="327"/>
      <c r="AC8" s="266"/>
      <c r="AD8" s="295"/>
      <c r="AF8" s="157" t="e">
        <f t="shared" si="0"/>
        <v>#N/A</v>
      </c>
      <c r="AG8" s="157" t="e">
        <f t="shared" si="1"/>
        <v>#N/A</v>
      </c>
      <c r="AH8" s="8" t="s">
        <v>652</v>
      </c>
      <c r="AI8" s="30"/>
      <c r="AJ8" s="8" t="str">
        <f t="shared" si="2"/>
        <v>Right Inner Berm</v>
      </c>
      <c r="AV8" s="5" t="s">
        <v>885</v>
      </c>
      <c r="AW8" s="89">
        <f t="shared" si="5"/>
        <v>147.11806725</v>
      </c>
      <c r="AX8" s="479"/>
      <c r="AY8" s="227" t="s">
        <v>191</v>
      </c>
      <c r="AZ8" s="3">
        <f t="shared" si="4"/>
        <v>3.0000000000000001E-3</v>
      </c>
      <c r="BA8" s="227">
        <v>5</v>
      </c>
      <c r="BC8" s="6" t="s">
        <v>576</v>
      </c>
      <c r="BD8" s="187">
        <f>XS_Designer_Bed_Mix!F7</f>
        <v>8</v>
      </c>
      <c r="CC8"/>
      <c r="EK8" s="2"/>
      <c r="FN8"/>
      <c r="FO8"/>
      <c r="FP8"/>
      <c r="FQ8"/>
      <c r="FT8"/>
      <c r="FU8"/>
      <c r="FV8"/>
      <c r="FY8"/>
      <c r="FZ8"/>
      <c r="GA8"/>
      <c r="GB8"/>
      <c r="GC8"/>
      <c r="GD8"/>
      <c r="GE8"/>
      <c r="GF8"/>
      <c r="GG8"/>
      <c r="GH8"/>
      <c r="GI8"/>
      <c r="GJ8"/>
      <c r="GK8"/>
    </row>
    <row r="9" spans="2:193">
      <c r="B9" s="472"/>
      <c r="C9" s="30" t="s">
        <v>860</v>
      </c>
      <c r="D9" s="229">
        <f>Data!P10</f>
        <v>2</v>
      </c>
      <c r="E9" s="11">
        <v>5</v>
      </c>
      <c r="F9" s="167">
        <f t="shared" si="3"/>
        <v>-5.0012499999999998</v>
      </c>
      <c r="G9" s="167">
        <f t="shared" si="3"/>
        <v>2.0009999999999999</v>
      </c>
      <c r="H9" s="311" t="str">
        <f t="shared" si="3"/>
        <v>Left Bankfull</v>
      </c>
      <c r="I9" s="37">
        <f>IF(IFERROR(INDEX(Data!C6:D24,MATCH(XS_Designer!H9,Data!D6:D24,0),1),"")=0,"",IFERROR(INDEX(Data!C6:D24,MATCH(XS_Designer!H9,Data!D6:D24,0),1),""))</f>
        <v>0.04</v>
      </c>
      <c r="J9" s="11"/>
      <c r="Z9" s="37">
        <v>50</v>
      </c>
      <c r="AA9" s="42">
        <v>300</v>
      </c>
      <c r="AB9" s="327"/>
      <c r="AC9" s="266"/>
      <c r="AD9" s="295"/>
      <c r="AF9" s="157">
        <f t="shared" si="0"/>
        <v>5.0012499999999998</v>
      </c>
      <c r="AG9" s="157">
        <f t="shared" si="1"/>
        <v>2.0009999999999999</v>
      </c>
      <c r="AH9" s="8" t="s">
        <v>831</v>
      </c>
      <c r="AI9" s="30"/>
      <c r="AJ9" s="8" t="str">
        <f t="shared" si="2"/>
        <v/>
      </c>
      <c r="AV9" s="5" t="s">
        <v>648</v>
      </c>
      <c r="AW9" s="89">
        <f t="shared" si="5"/>
        <v>2.5692555083968629</v>
      </c>
      <c r="AX9" s="479"/>
      <c r="AY9" s="227"/>
      <c r="AZ9" s="3" t="str">
        <f t="shared" si="4"/>
        <v/>
      </c>
      <c r="BA9" s="227"/>
      <c r="BC9" s="6" t="s">
        <v>371</v>
      </c>
      <c r="BD9" s="187">
        <f>XS_Designer_Bed_Mix!F8</f>
        <v>20</v>
      </c>
      <c r="CC9"/>
      <c r="EK9" s="2"/>
      <c r="FN9"/>
      <c r="FO9"/>
      <c r="FP9"/>
      <c r="FQ9"/>
      <c r="FT9"/>
      <c r="FU9"/>
      <c r="FV9"/>
      <c r="FY9"/>
      <c r="FZ9"/>
      <c r="GA9"/>
      <c r="GB9"/>
      <c r="GC9"/>
      <c r="GD9"/>
      <c r="GE9"/>
      <c r="GF9"/>
      <c r="GG9"/>
      <c r="GH9"/>
      <c r="GI9"/>
      <c r="GJ9"/>
      <c r="GK9"/>
    </row>
    <row r="10" spans="2:193">
      <c r="B10" s="472"/>
      <c r="C10" s="30" t="s">
        <v>432</v>
      </c>
      <c r="D10" s="229">
        <f>Data!P11</f>
        <v>2</v>
      </c>
      <c r="E10" s="11">
        <v>6</v>
      </c>
      <c r="F10" s="167">
        <f t="shared" si="3"/>
        <v>-2.0012499999999998</v>
      </c>
      <c r="G10" s="167">
        <f t="shared" si="3"/>
        <v>0.501</v>
      </c>
      <c r="H10" s="311">
        <f t="shared" si="3"/>
        <v>0</v>
      </c>
      <c r="I10" s="37" t="str">
        <f>IF(IFERROR(INDEX(Data!C7:D25,MATCH(XS_Designer!H10,Data!D7:D25,0),1),"")=0,"",IFERROR(INDEX(Data!C7:D25,MATCH(XS_Designer!H10,Data!D7:D25,0),1),""))</f>
        <v/>
      </c>
      <c r="J10" s="11"/>
      <c r="Z10" s="37">
        <v>100</v>
      </c>
      <c r="AA10" s="42">
        <v>400</v>
      </c>
      <c r="AB10" s="327"/>
      <c r="AC10" s="266"/>
      <c r="AD10" s="295"/>
      <c r="AF10" s="157">
        <f t="shared" si="0"/>
        <v>16.60125</v>
      </c>
      <c r="AG10" s="157">
        <f t="shared" si="1"/>
        <v>3.0010000000000003</v>
      </c>
      <c r="AH10" s="8" t="s">
        <v>82</v>
      </c>
      <c r="AI10" s="30"/>
      <c r="AJ10" s="8" t="str">
        <f t="shared" si="2"/>
        <v/>
      </c>
      <c r="AV10" s="5" t="s">
        <v>826</v>
      </c>
      <c r="AW10" s="89">
        <f t="shared" si="5"/>
        <v>54.402500000000003</v>
      </c>
      <c r="AX10" s="479"/>
      <c r="AY10" s="227"/>
      <c r="AZ10" s="3" t="str">
        <f t="shared" si="4"/>
        <v/>
      </c>
      <c r="BA10" s="227"/>
      <c r="BC10" s="6" t="s">
        <v>989</v>
      </c>
      <c r="BD10" s="187">
        <f>XS_Designer_Bed_Mix!F9</f>
        <v>38.400000000000006</v>
      </c>
      <c r="CC10"/>
      <c r="EK10" s="2"/>
      <c r="FN10"/>
      <c r="FO10"/>
      <c r="FP10"/>
      <c r="FQ10"/>
      <c r="FT10"/>
      <c r="FU10"/>
      <c r="FV10"/>
      <c r="FY10"/>
      <c r="FZ10"/>
      <c r="GA10"/>
      <c r="GB10"/>
      <c r="GC10"/>
      <c r="GD10"/>
      <c r="GE10"/>
      <c r="GF10"/>
      <c r="GG10"/>
      <c r="GH10"/>
      <c r="GI10"/>
      <c r="GJ10"/>
      <c r="GK10"/>
    </row>
    <row r="11" spans="2:193">
      <c r="B11" s="472"/>
      <c r="C11" s="30" t="s">
        <v>915</v>
      </c>
      <c r="D11" s="229">
        <f>Data!P12</f>
        <v>0.5</v>
      </c>
      <c r="E11" s="11">
        <v>7</v>
      </c>
      <c r="F11" s="167">
        <f t="shared" si="3"/>
        <v>-1.00125</v>
      </c>
      <c r="G11" s="167">
        <f t="shared" si="3"/>
        <v>0.251</v>
      </c>
      <c r="H11" s="311">
        <f t="shared" si="3"/>
        <v>0</v>
      </c>
      <c r="I11" s="37" t="str">
        <f>IF(IFERROR(INDEX(Data!C8:D26,MATCH(XS_Designer!H11,Data!D8:D26,0),1),"")=0,"",IFERROR(INDEX(Data!C8:D26,MATCH(XS_Designer!H11,Data!D8:D26,0),1),""))</f>
        <v/>
      </c>
      <c r="J11" s="11"/>
      <c r="Z11" s="37">
        <v>500</v>
      </c>
      <c r="AA11" s="42">
        <v>500</v>
      </c>
      <c r="AB11" s="327"/>
      <c r="AC11" s="266"/>
      <c r="AD11" s="295"/>
      <c r="AF11" s="157">
        <f t="shared" si="0"/>
        <v>27.201250000000002</v>
      </c>
      <c r="AG11" s="157">
        <f t="shared" si="1"/>
        <v>3.5010000000000003</v>
      </c>
      <c r="AH11" s="8" t="s">
        <v>401</v>
      </c>
      <c r="AI11" s="30"/>
      <c r="AJ11" s="8" t="str">
        <f t="shared" si="2"/>
        <v/>
      </c>
      <c r="AO11" s="1" t="s">
        <v>448</v>
      </c>
      <c r="AV11" s="5" t="s">
        <v>273</v>
      </c>
      <c r="AW11" s="89">
        <f t="shared" si="5"/>
        <v>2.7042519599283117</v>
      </c>
      <c r="AX11" s="479"/>
      <c r="AY11" s="227"/>
      <c r="AZ11" s="3" t="str">
        <f t="shared" si="4"/>
        <v/>
      </c>
      <c r="BA11" s="227"/>
      <c r="BC11" s="6" t="s">
        <v>54</v>
      </c>
      <c r="BD11" s="187">
        <f>XS_Designer_Bed_Mix!F10</f>
        <v>199.64000000000001</v>
      </c>
      <c r="CC11"/>
      <c r="EK11" s="2"/>
      <c r="FN11"/>
      <c r="FO11"/>
      <c r="FP11"/>
      <c r="FQ11"/>
      <c r="FT11"/>
      <c r="FU11"/>
      <c r="FV11"/>
      <c r="FY11"/>
      <c r="FZ11"/>
      <c r="GA11"/>
      <c r="GB11"/>
      <c r="GC11"/>
      <c r="GD11"/>
      <c r="GE11"/>
      <c r="GF11"/>
      <c r="GG11"/>
      <c r="GH11"/>
      <c r="GI11"/>
      <c r="GJ11"/>
      <c r="GK11"/>
    </row>
    <row r="12" spans="2:193">
      <c r="B12" s="472"/>
      <c r="C12" s="30" t="s">
        <v>861</v>
      </c>
      <c r="D12" s="229">
        <f>Data!P13</f>
        <v>0</v>
      </c>
      <c r="E12" s="11">
        <v>8</v>
      </c>
      <c r="F12" s="167">
        <f t="shared" si="3"/>
        <v>-0.50124999999999997</v>
      </c>
      <c r="G12" s="167">
        <f t="shared" si="3"/>
        <v>0.126</v>
      </c>
      <c r="H12" s="311">
        <f t="shared" si="3"/>
        <v>0</v>
      </c>
      <c r="I12" s="37" t="str">
        <f>IF(IFERROR(INDEX(Data!C9:D27,MATCH(XS_Designer!H12,Data!D9:D27,0),1),"")=0,"",IFERROR(INDEX(Data!C9:D27,MATCH(XS_Designer!H12,Data!D9:D27,0),1),""))</f>
        <v/>
      </c>
      <c r="J12" s="11"/>
      <c r="Z12" s="314" t="s">
        <v>763</v>
      </c>
      <c r="AA12" s="11"/>
      <c r="AO12" s="1" t="s">
        <v>257</v>
      </c>
      <c r="AV12" s="5" t="s">
        <v>318</v>
      </c>
      <c r="AW12" s="89">
        <f t="shared" si="5"/>
        <v>5</v>
      </c>
      <c r="AX12" s="479"/>
      <c r="AY12" s="227"/>
      <c r="AZ12" s="3" t="str">
        <f t="shared" si="4"/>
        <v/>
      </c>
      <c r="BA12" s="227"/>
      <c r="BC12" s="6" t="s">
        <v>807</v>
      </c>
      <c r="BD12" s="187">
        <f>XS_Designer_Bed_Mix!F11</f>
        <v>335.28000000000003</v>
      </c>
      <c r="CC12"/>
      <c r="EK12" s="2"/>
      <c r="FN12"/>
      <c r="FO12"/>
      <c r="FP12"/>
      <c r="FS12"/>
      <c r="FT12"/>
      <c r="FU12"/>
      <c r="FX12"/>
      <c r="FY12"/>
      <c r="FZ12"/>
      <c r="GA12"/>
      <c r="GB12"/>
      <c r="GC12"/>
      <c r="GD12"/>
      <c r="GE12"/>
      <c r="GF12"/>
      <c r="GG12"/>
      <c r="GH12"/>
      <c r="GI12"/>
      <c r="GJ12"/>
    </row>
    <row r="13" spans="2:193">
      <c r="B13" s="472"/>
      <c r="C13" s="30" t="s">
        <v>847</v>
      </c>
      <c r="D13" s="229">
        <f>Data!P14</f>
        <v>3</v>
      </c>
      <c r="E13" s="11">
        <v>9</v>
      </c>
      <c r="F13" s="167">
        <f t="shared" si="3"/>
        <v>-1E-3</v>
      </c>
      <c r="G13" s="167">
        <f t="shared" si="3"/>
        <v>1E-3</v>
      </c>
      <c r="H13" s="311">
        <f t="shared" si="3"/>
        <v>0</v>
      </c>
      <c r="I13" s="37" t="str">
        <f>IF(IFERROR(INDEX(Data!C10:D28,MATCH(XS_Designer!H13,Data!D10:D28,0),1),"")=0,"",IFERROR(INDEX(Data!C10:D28,MATCH(XS_Designer!H13,Data!D10:D28,0),1),""))</f>
        <v/>
      </c>
      <c r="J13" s="11"/>
      <c r="Z13" s="11"/>
      <c r="AA13" s="11"/>
      <c r="AO13" s="1" t="s">
        <v>196</v>
      </c>
      <c r="AV13" s="22"/>
      <c r="AW13" s="22"/>
      <c r="AX13" s="479"/>
      <c r="AY13" s="227"/>
      <c r="AZ13" s="3" t="str">
        <f t="shared" si="4"/>
        <v/>
      </c>
      <c r="BA13" s="227"/>
      <c r="BC13" s="5" t="s">
        <v>372</v>
      </c>
      <c r="BD13" s="187">
        <f>XS_Designer_Bed_Mix!F12</f>
        <v>335.28000000000003</v>
      </c>
      <c r="CC13"/>
      <c r="EK13" s="2"/>
      <c r="FN13"/>
      <c r="FO13"/>
      <c r="FP13"/>
      <c r="FS13"/>
      <c r="FT13"/>
      <c r="FU13"/>
      <c r="FX13"/>
      <c r="FY13"/>
      <c r="FZ13"/>
      <c r="GA13"/>
      <c r="GB13"/>
      <c r="GC13"/>
      <c r="GD13"/>
      <c r="GE13"/>
      <c r="GF13"/>
      <c r="GG13"/>
      <c r="GH13"/>
      <c r="GI13"/>
      <c r="GJ13"/>
    </row>
    <row r="14" spans="2:193">
      <c r="B14" s="472"/>
      <c r="C14" s="30" t="s">
        <v>424</v>
      </c>
      <c r="D14" s="229">
        <f>Data!P15</f>
        <v>3</v>
      </c>
      <c r="E14" s="11">
        <v>10</v>
      </c>
      <c r="F14" s="167">
        <f t="shared" si="3"/>
        <v>0</v>
      </c>
      <c r="G14" s="167">
        <f t="shared" si="3"/>
        <v>0</v>
      </c>
      <c r="H14" s="311" t="str">
        <f t="shared" si="3"/>
        <v>Thalweg</v>
      </c>
      <c r="I14" s="37" t="str">
        <f>IF(IFERROR(INDEX(Data!C11:D29,MATCH(XS_Designer!H14,Data!D11:D29,0),1),"")=0,"",IFERROR(INDEX(Data!C11:D29,MATCH(XS_Designer!H14,Data!D11:D29,0),1),""))</f>
        <v/>
      </c>
      <c r="J14" s="11"/>
      <c r="AO14" s="1" t="s">
        <v>811</v>
      </c>
      <c r="AV14" s="3" t="s">
        <v>986</v>
      </c>
      <c r="AW14" s="89">
        <f t="shared" ref="AW14:AW15" si="6">L31</f>
        <v>4.412030789844966</v>
      </c>
      <c r="AX14" s="479"/>
      <c r="AY14" s="227"/>
      <c r="AZ14" s="3" t="str">
        <f t="shared" si="4"/>
        <v/>
      </c>
      <c r="BA14" s="227"/>
      <c r="BC14" s="6" t="s">
        <v>192</v>
      </c>
      <c r="BD14" s="187">
        <f>XS_Designer_Bed_Mix!F13</f>
        <v>335.28000000000003</v>
      </c>
      <c r="CC14"/>
      <c r="EK14" s="2"/>
      <c r="FN14"/>
      <c r="FO14"/>
      <c r="FP14"/>
      <c r="FS14"/>
      <c r="FT14"/>
      <c r="FU14"/>
      <c r="FX14"/>
      <c r="FY14"/>
      <c r="FZ14"/>
      <c r="GA14"/>
      <c r="GB14"/>
      <c r="GC14"/>
      <c r="GD14"/>
      <c r="GE14"/>
      <c r="GF14"/>
      <c r="GG14"/>
      <c r="GH14"/>
      <c r="GI14"/>
      <c r="GJ14"/>
    </row>
    <row r="15" spans="2:193">
      <c r="B15" s="471"/>
      <c r="C15" s="30" t="s">
        <v>918</v>
      </c>
      <c r="D15" s="229">
        <f>Data!P16</f>
        <v>0</v>
      </c>
      <c r="E15" s="11">
        <v>11</v>
      </c>
      <c r="F15" s="167">
        <f t="shared" si="3"/>
        <v>1E-3</v>
      </c>
      <c r="G15" s="167">
        <f t="shared" si="3"/>
        <v>1E-3</v>
      </c>
      <c r="H15" s="311">
        <f t="shared" si="3"/>
        <v>0</v>
      </c>
      <c r="I15" s="37" t="str">
        <f>IF(IFERROR(INDEX(Data!C12:D30,MATCH(XS_Designer!H15,Data!D12:D30,0),1),"")=0,"",IFERROR(INDEX(Data!C12:D30,MATCH(XS_Designer!H15,Data!D12:D30,0),1),""))</f>
        <v/>
      </c>
      <c r="J15" s="11"/>
      <c r="AV15" s="3" t="s">
        <v>694</v>
      </c>
      <c r="AW15" s="89">
        <f t="shared" si="6"/>
        <v>10.592191565599071</v>
      </c>
      <c r="AX15" s="479"/>
      <c r="AY15" s="227"/>
      <c r="AZ15" s="3" t="str">
        <f t="shared" si="4"/>
        <v/>
      </c>
      <c r="BA15" s="227"/>
      <c r="BC15" s="6" t="s">
        <v>506</v>
      </c>
      <c r="BD15" s="187">
        <f>XS_Designer_Bed_Mix!F14</f>
        <v>335.28000000000003</v>
      </c>
      <c r="CC15"/>
      <c r="EK15" s="2"/>
      <c r="FN15"/>
      <c r="FO15"/>
      <c r="FP15"/>
      <c r="FS15"/>
      <c r="FT15"/>
      <c r="FU15"/>
      <c r="FX15"/>
      <c r="FY15"/>
      <c r="FZ15"/>
      <c r="GA15"/>
      <c r="GB15"/>
      <c r="GC15"/>
      <c r="GD15"/>
      <c r="GE15"/>
      <c r="GF15"/>
      <c r="GG15"/>
      <c r="GH15"/>
      <c r="GI15"/>
      <c r="GJ15"/>
    </row>
    <row r="16" spans="2:193">
      <c r="D16" s="11"/>
      <c r="E16" s="11">
        <v>12</v>
      </c>
      <c r="F16" s="167">
        <f t="shared" si="3"/>
        <v>0.50124999999999997</v>
      </c>
      <c r="G16" s="167">
        <f t="shared" si="3"/>
        <v>0.126</v>
      </c>
      <c r="H16" s="311">
        <f t="shared" si="3"/>
        <v>0</v>
      </c>
      <c r="I16" s="37" t="str">
        <f>IF(IFERROR(INDEX(Data!C13:D31,MATCH(XS_Designer!H16,Data!D13:D31,0),1),"")=0,"",IFERROR(INDEX(Data!C13:D31,MATCH(XS_Designer!H16,Data!D13:D31,0),1),""))</f>
        <v/>
      </c>
      <c r="J16" s="11"/>
      <c r="AV16" s="22"/>
      <c r="AW16" s="22"/>
      <c r="AX16" s="479"/>
      <c r="AY16" s="227"/>
      <c r="AZ16" s="3" t="str">
        <f t="shared" si="4"/>
        <v/>
      </c>
      <c r="BA16" s="227"/>
      <c r="BC16" s="6" t="s">
        <v>309</v>
      </c>
      <c r="BD16" s="187">
        <f>XS_Designer_Bed_Mix!F15</f>
        <v>335.28000000000003</v>
      </c>
      <c r="CC16"/>
      <c r="EK16" s="2"/>
      <c r="FN16"/>
      <c r="FO16"/>
      <c r="FP16"/>
      <c r="FS16"/>
      <c r="FT16"/>
      <c r="FU16"/>
      <c r="FX16"/>
      <c r="FY16"/>
      <c r="FZ16"/>
      <c r="GA16"/>
      <c r="GB16"/>
      <c r="GC16"/>
      <c r="GD16"/>
      <c r="GE16"/>
      <c r="GF16"/>
      <c r="GG16"/>
      <c r="GH16"/>
      <c r="GI16"/>
      <c r="GJ16"/>
    </row>
    <row r="17" spans="2:191">
      <c r="B17" s="470" t="s">
        <v>299</v>
      </c>
      <c r="C17" s="30" t="s">
        <v>852</v>
      </c>
      <c r="D17" s="5">
        <f>Data!P18</f>
        <v>1</v>
      </c>
      <c r="E17" s="11">
        <v>13</v>
      </c>
      <c r="F17" s="167">
        <f t="shared" si="3"/>
        <v>1.00125</v>
      </c>
      <c r="G17" s="167">
        <f t="shared" si="3"/>
        <v>0.251</v>
      </c>
      <c r="H17" s="311">
        <f t="shared" si="3"/>
        <v>0</v>
      </c>
      <c r="I17" s="37" t="str">
        <f>IF(IFERROR(INDEX(Data!C14:D32,MATCH(XS_Designer!H17,Data!D14:D32,0),1),"")=0,"",IFERROR(INDEX(Data!C14:D32,MATCH(XS_Designer!H17,Data!D14:D32,0),1),""))</f>
        <v/>
      </c>
      <c r="J17" s="11"/>
      <c r="AA17" s="1" t="s">
        <v>289</v>
      </c>
      <c r="AV17" s="3" t="s">
        <v>619</v>
      </c>
      <c r="AW17" s="89">
        <f t="shared" ref="AW17:AW18" si="7">L41</f>
        <v>1.6032154372396425</v>
      </c>
      <c r="AX17" s="479"/>
      <c r="AY17" s="227"/>
      <c r="AZ17" s="3" t="str">
        <f t="shared" si="4"/>
        <v/>
      </c>
      <c r="BA17" s="227"/>
      <c r="CC17"/>
      <c r="EK17" s="2"/>
      <c r="FN17"/>
      <c r="FO17"/>
      <c r="FR17"/>
      <c r="FS17"/>
      <c r="FT17"/>
      <c r="FW17"/>
      <c r="FX17"/>
      <c r="FY17"/>
      <c r="FZ17"/>
      <c r="GA17"/>
      <c r="GB17"/>
      <c r="GC17"/>
      <c r="GD17"/>
      <c r="GE17"/>
      <c r="GF17"/>
      <c r="GG17"/>
      <c r="GH17"/>
      <c r="GI17"/>
    </row>
    <row r="18" spans="2:191">
      <c r="B18" s="472"/>
      <c r="C18" s="30" t="s">
        <v>913</v>
      </c>
      <c r="D18" s="5">
        <f>Data!P19</f>
        <v>2</v>
      </c>
      <c r="E18" s="11">
        <v>14</v>
      </c>
      <c r="F18" s="167">
        <f t="shared" si="3"/>
        <v>2.0012499999999998</v>
      </c>
      <c r="G18" s="167">
        <f t="shared" si="3"/>
        <v>0.501</v>
      </c>
      <c r="H18" s="311">
        <f t="shared" si="3"/>
        <v>0</v>
      </c>
      <c r="I18" s="37" t="str">
        <f>IF(IFERROR(INDEX(Data!C15:D33,MATCH(XS_Designer!H18,Data!D15:D33,0),1),"")=0,"",IFERROR(INDEX(Data!C15:D33,MATCH(XS_Designer!H18,Data!D15:D33,0),1),""))</f>
        <v/>
      </c>
      <c r="J18" s="11"/>
      <c r="AA18" s="1" t="s">
        <v>906</v>
      </c>
      <c r="AU18"/>
      <c r="AV18" s="3" t="s">
        <v>864</v>
      </c>
      <c r="AW18" s="89">
        <f t="shared" si="7"/>
        <v>3.0041741336838292</v>
      </c>
      <c r="AX18" s="479"/>
      <c r="AY18"/>
      <c r="BB18"/>
      <c r="BC18"/>
      <c r="BD18"/>
      <c r="BE18"/>
      <c r="BF18"/>
      <c r="BG18"/>
      <c r="BH18"/>
      <c r="BI18"/>
      <c r="BJ18"/>
      <c r="BK18"/>
      <c r="BL18"/>
      <c r="BM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EK18" s="2"/>
      <c r="FN18"/>
      <c r="FO18"/>
      <c r="FR18"/>
      <c r="FS18"/>
      <c r="FT18"/>
      <c r="FW18"/>
      <c r="FX18"/>
      <c r="FY18"/>
      <c r="FZ18"/>
      <c r="GA18"/>
      <c r="GB18"/>
      <c r="GC18"/>
      <c r="GD18"/>
      <c r="GE18"/>
      <c r="GF18"/>
      <c r="GG18"/>
      <c r="GH18"/>
      <c r="GI18"/>
    </row>
    <row r="19" spans="2:191" ht="15.75" thickBot="1">
      <c r="B19" s="472"/>
      <c r="C19" s="30" t="s">
        <v>31</v>
      </c>
      <c r="D19" s="5">
        <f>Data!P20</f>
        <v>10</v>
      </c>
      <c r="E19" s="11">
        <v>15</v>
      </c>
      <c r="F19" s="167">
        <f t="shared" si="3"/>
        <v>5.0012499999999998</v>
      </c>
      <c r="G19" s="167">
        <f t="shared" si="3"/>
        <v>2.0009999999999999</v>
      </c>
      <c r="H19" s="311" t="str">
        <f t="shared" si="3"/>
        <v>Right Bankfull</v>
      </c>
      <c r="I19" s="37">
        <f>IF(IFERROR(INDEX(Data!C16:D34,MATCH(XS_Designer!H19,Data!D16:D34,0),1),"")=0,"",IFERROR(INDEX(Data!C16:D34,MATCH(XS_Designer!H19,Data!D16:D34,0),1),""))</f>
        <v>0.1</v>
      </c>
      <c r="J19" s="11"/>
      <c r="AA19" s="1" t="s">
        <v>602</v>
      </c>
      <c r="AU19"/>
      <c r="CC19"/>
      <c r="EK19" s="2"/>
      <c r="FO19"/>
      <c r="FP19"/>
      <c r="FQ19"/>
      <c r="FT19"/>
      <c r="FU19"/>
      <c r="FV19"/>
      <c r="FW19"/>
      <c r="FX19"/>
      <c r="FY19"/>
      <c r="FZ19"/>
      <c r="GA19"/>
      <c r="GB19"/>
      <c r="GC19"/>
      <c r="GD19"/>
      <c r="GE19"/>
      <c r="GF19"/>
    </row>
    <row r="20" spans="2:191">
      <c r="B20" s="472"/>
      <c r="C20" s="30" t="s">
        <v>608</v>
      </c>
      <c r="D20" s="5">
        <f>Data!P21</f>
        <v>10</v>
      </c>
      <c r="E20" s="11">
        <v>16</v>
      </c>
      <c r="F20" s="167">
        <f t="shared" si="3"/>
        <v>15.001249999999999</v>
      </c>
      <c r="G20" s="167">
        <f t="shared" si="3"/>
        <v>2.2010000000000001</v>
      </c>
      <c r="H20" s="311">
        <f t="shared" si="3"/>
        <v>0</v>
      </c>
      <c r="I20" s="37" t="str">
        <f>IF(IFERROR(INDEX(Data!C17:D35,MATCH(XS_Designer!H20,Data!D17:D35,0),1),"")=0,"",IFERROR(INDEX(Data!C17:D35,MATCH(XS_Designer!H20,Data!D17:D35,0),1),""))</f>
        <v/>
      </c>
      <c r="J20" s="11"/>
      <c r="AV20" s="473" t="s">
        <v>373</v>
      </c>
      <c r="AW20" s="474"/>
      <c r="AX20" s="474"/>
      <c r="AY20" s="474"/>
      <c r="AZ20" s="474"/>
      <c r="BA20" s="474"/>
      <c r="BB20" s="474"/>
      <c r="BC20" s="475"/>
      <c r="BD20" s="52"/>
      <c r="BE20" s="52"/>
      <c r="BF20" s="52"/>
      <c r="BG20" s="52"/>
      <c r="BH20" s="52"/>
      <c r="BI20" s="52"/>
      <c r="BJ20" s="52"/>
      <c r="BK20" s="52"/>
      <c r="BL20" s="52"/>
      <c r="BM20" s="52"/>
      <c r="EK20" s="2"/>
      <c r="FO20"/>
      <c r="FP20"/>
      <c r="FQ20"/>
      <c r="FT20"/>
      <c r="FU20"/>
      <c r="FV20"/>
      <c r="FW20"/>
      <c r="FX20"/>
      <c r="FY20"/>
      <c r="FZ20"/>
      <c r="GA20"/>
      <c r="GB20"/>
      <c r="GC20"/>
      <c r="GD20"/>
      <c r="GE20"/>
      <c r="GF20"/>
    </row>
    <row r="21" spans="2:191">
      <c r="B21" s="472"/>
      <c r="C21" s="30" t="s">
        <v>339</v>
      </c>
      <c r="D21" s="5">
        <f>Data!P22</f>
        <v>0.2</v>
      </c>
      <c r="E21" s="11">
        <v>17</v>
      </c>
      <c r="F21" s="167">
        <f t="shared" si="3"/>
        <v>16.60125</v>
      </c>
      <c r="G21" s="167">
        <f t="shared" si="3"/>
        <v>3.0010000000000003</v>
      </c>
      <c r="H21" s="311" t="str">
        <f t="shared" si="3"/>
        <v>Right 2nd Stage</v>
      </c>
      <c r="I21" s="37">
        <f>IF(IFERROR(INDEX(Data!C18:D36,MATCH(XS_Designer!H21,Data!D18:D36,0),1),"")=0,"",IFERROR(INDEX(Data!C18:D36,MATCH(XS_Designer!H21,Data!D18:D36,0),1),""))</f>
        <v>0.1</v>
      </c>
      <c r="J21" s="11"/>
      <c r="AE21" s="249"/>
      <c r="AV21" s="476" t="s">
        <v>580</v>
      </c>
      <c r="AW21" s="391"/>
      <c r="AX21" s="171"/>
      <c r="AY21" s="299" t="s">
        <v>60</v>
      </c>
      <c r="AZ21" s="3" t="s">
        <v>48</v>
      </c>
      <c r="BA21" s="3" t="s">
        <v>189</v>
      </c>
      <c r="BB21" s="3" t="s">
        <v>364</v>
      </c>
      <c r="BC21" s="211" t="s">
        <v>363</v>
      </c>
      <c r="BD21"/>
      <c r="BE21"/>
      <c r="BF21"/>
      <c r="BG21" s="460"/>
      <c r="BH21" s="460"/>
      <c r="BI21" s="460"/>
      <c r="BJ21"/>
      <c r="BK21" s="460"/>
      <c r="BL21" s="460"/>
      <c r="BM21" s="460"/>
      <c r="EK21" s="2"/>
      <c r="FO21"/>
      <c r="FP21"/>
      <c r="FQ21"/>
      <c r="FT21"/>
      <c r="FU21"/>
      <c r="FV21"/>
      <c r="FW21"/>
      <c r="FX21"/>
      <c r="FY21"/>
      <c r="FZ21"/>
      <c r="GA21"/>
      <c r="GB21"/>
      <c r="GC21"/>
      <c r="GD21"/>
      <c r="GE21"/>
      <c r="GF21"/>
    </row>
    <row r="22" spans="2:191">
      <c r="B22" s="472"/>
      <c r="C22" s="30" t="s">
        <v>908</v>
      </c>
      <c r="D22" s="5">
        <f>Data!P23</f>
        <v>0.2</v>
      </c>
      <c r="E22" s="11">
        <v>18</v>
      </c>
      <c r="F22" s="167">
        <f t="shared" si="3"/>
        <v>26.60125</v>
      </c>
      <c r="G22" s="167">
        <f t="shared" si="3"/>
        <v>3.2010000000000005</v>
      </c>
      <c r="H22" s="311">
        <f t="shared" si="3"/>
        <v>0</v>
      </c>
      <c r="I22" s="37" t="str">
        <f>IF(IFERROR(INDEX(Data!C19:D37,MATCH(XS_Designer!H22,Data!D19:D37,0),1),"")=0,"",IFERROR(INDEX(Data!C19:D37,MATCH(XS_Designer!H22,Data!D19:D37,0),1),""))</f>
        <v/>
      </c>
      <c r="J22" s="11"/>
      <c r="AV22" s="301"/>
      <c r="AW22" s="5"/>
      <c r="AX22" s="153"/>
      <c r="AY22" s="299" t="s">
        <v>992</v>
      </c>
      <c r="AZ22" s="267" t="s">
        <v>765</v>
      </c>
      <c r="BA22" s="159" t="s">
        <v>765</v>
      </c>
      <c r="BB22" s="159" t="s">
        <v>696</v>
      </c>
      <c r="BC22" s="234" t="s">
        <v>891</v>
      </c>
      <c r="BD22" s="2"/>
      <c r="BE22" s="2"/>
      <c r="BF22"/>
      <c r="BG22" s="2"/>
      <c r="BH22" s="2"/>
      <c r="BI22" s="2"/>
      <c r="BJ22"/>
      <c r="BK22" s="2"/>
      <c r="BL22" s="2"/>
      <c r="BM22" s="2"/>
      <c r="EK22" s="2"/>
      <c r="FO22"/>
      <c r="FP22"/>
      <c r="FQ22"/>
      <c r="FT22"/>
      <c r="FU22"/>
      <c r="FV22"/>
      <c r="FW22"/>
      <c r="FX22"/>
      <c r="FY22"/>
      <c r="FZ22"/>
      <c r="GA22"/>
      <c r="GB22"/>
      <c r="GC22"/>
      <c r="GD22"/>
      <c r="GE22"/>
      <c r="GF22"/>
    </row>
    <row r="23" spans="2:191">
      <c r="B23" s="472"/>
      <c r="C23" s="30" t="s">
        <v>847</v>
      </c>
      <c r="D23" s="5">
        <f>Data!P24</f>
        <v>3</v>
      </c>
      <c r="E23" s="11">
        <v>19</v>
      </c>
      <c r="F23" s="167">
        <f t="shared" si="3"/>
        <v>27.201250000000002</v>
      </c>
      <c r="G23" s="167">
        <f t="shared" si="3"/>
        <v>3.5010000000000003</v>
      </c>
      <c r="H23" s="311" t="str">
        <f t="shared" si="3"/>
        <v>Right 3rd Stage</v>
      </c>
      <c r="I23" s="37" t="str">
        <f>IF(IFERROR(INDEX(Data!C20:D38,MATCH(XS_Designer!H23,Data!D20:D38,0),1),"")=0,"",IFERROR(INDEX(Data!C20:D38,MATCH(XS_Designer!H23,Data!D20:D38,0),1),""))</f>
        <v/>
      </c>
      <c r="J23" s="11"/>
      <c r="Z23" s="171"/>
      <c r="AA23" s="461" t="s">
        <v>184</v>
      </c>
      <c r="AB23" s="462"/>
      <c r="AC23" s="462"/>
      <c r="AD23" s="462"/>
      <c r="AE23" s="463"/>
      <c r="AV23" s="301"/>
      <c r="AW23" s="5"/>
      <c r="AX23" s="153"/>
      <c r="AY23" s="299" t="s">
        <v>132</v>
      </c>
      <c r="AZ23" s="14">
        <f>IFERROR(VLOOKUP($AZ$22,AV$106:AW$111,2,FALSE),"")</f>
        <v>5.3225482413738829</v>
      </c>
      <c r="BA23" s="14" t="str">
        <f>IFERROR(VLOOKUP(BA22,AZ$106:BA$111,2,FALSE),"")</f>
        <v>2" Gravel</v>
      </c>
      <c r="BB23" s="14">
        <f>IFERROR(VLOOKUP(BB22,$BD$106:$BE$107,2,FALSE),"")</f>
        <v>8.9548332163699484</v>
      </c>
      <c r="BC23" s="244" t="str">
        <f>IFERROR(VLOOKUP(BC22,$BH$106:$BI$107,2,FALSE),"")</f>
        <v>12" Gravel</v>
      </c>
      <c r="BD23" s="2"/>
      <c r="BE23" s="2"/>
      <c r="BF23"/>
      <c r="BG23" s="2"/>
      <c r="BH23" s="2"/>
      <c r="BI23" s="2"/>
      <c r="BJ23"/>
      <c r="BK23" s="2"/>
      <c r="BL23" s="2"/>
      <c r="BM23" s="2"/>
      <c r="EK23" s="2"/>
      <c r="FO23"/>
      <c r="FP23"/>
      <c r="FQ23"/>
      <c r="FT23"/>
      <c r="FU23"/>
      <c r="FV23"/>
      <c r="FW23"/>
      <c r="FX23"/>
      <c r="FY23"/>
      <c r="FZ23"/>
      <c r="GA23"/>
      <c r="GB23"/>
      <c r="GC23"/>
      <c r="GD23"/>
      <c r="GE23"/>
      <c r="GF23"/>
    </row>
    <row r="24" spans="2:191">
      <c r="B24" s="471"/>
      <c r="C24" s="30" t="s">
        <v>424</v>
      </c>
      <c r="D24" s="5">
        <f>Data!P25</f>
        <v>3</v>
      </c>
      <c r="E24" s="11">
        <v>20</v>
      </c>
      <c r="F24" s="8"/>
      <c r="G24" s="8"/>
      <c r="H24" s="311"/>
      <c r="I24" s="37"/>
      <c r="Z24" s="153"/>
      <c r="AA24" s="464"/>
      <c r="AB24" s="465"/>
      <c r="AC24" s="465"/>
      <c r="AD24" s="465"/>
      <c r="AE24" s="466"/>
      <c r="AV24" s="301"/>
      <c r="AW24" s="5"/>
      <c r="AX24" s="153"/>
      <c r="AY24" s="293"/>
      <c r="AZ24" s="14"/>
      <c r="BA24" s="321"/>
      <c r="BB24" s="22"/>
      <c r="BC24" s="211"/>
      <c r="BD24" s="2"/>
      <c r="BE24" s="2"/>
      <c r="BF24"/>
      <c r="BG24" s="2"/>
      <c r="BH24" s="2"/>
      <c r="BI24" s="2"/>
      <c r="BJ24"/>
      <c r="BK24" s="2"/>
      <c r="BL24" s="2"/>
      <c r="BM24" s="2"/>
      <c r="EK24" s="2"/>
      <c r="FO24"/>
      <c r="FP24"/>
      <c r="FQ24"/>
      <c r="FT24"/>
      <c r="FU24"/>
      <c r="FV24"/>
      <c r="FW24"/>
      <c r="FX24"/>
      <c r="FY24"/>
      <c r="FZ24"/>
      <c r="GA24"/>
      <c r="GB24"/>
      <c r="GC24"/>
      <c r="GD24"/>
      <c r="GE24"/>
      <c r="GF24"/>
    </row>
    <row r="25" spans="2:191">
      <c r="D25" s="11"/>
      <c r="E25" s="11">
        <v>21</v>
      </c>
      <c r="F25" s="8"/>
      <c r="G25" s="8"/>
      <c r="H25" s="311"/>
      <c r="I25" s="37"/>
      <c r="Z25" s="181"/>
      <c r="AA25" s="389" t="s">
        <v>870</v>
      </c>
      <c r="AB25" s="390"/>
      <c r="AC25" s="390"/>
      <c r="AD25" s="390"/>
      <c r="AE25" s="391"/>
      <c r="AG25" s="11"/>
      <c r="AV25" s="287" t="s">
        <v>251</v>
      </c>
      <c r="AW25" s="3" t="s">
        <v>370</v>
      </c>
      <c r="AX25" s="153"/>
      <c r="AZ25" s="3" t="s">
        <v>865</v>
      </c>
      <c r="BA25" s="3" t="s">
        <v>804</v>
      </c>
      <c r="BB25" s="3" t="s">
        <v>865</v>
      </c>
      <c r="BC25" s="211" t="s">
        <v>804</v>
      </c>
      <c r="BD25" s="2"/>
      <c r="BF25"/>
      <c r="BG25" s="2"/>
      <c r="BH25" s="2"/>
      <c r="BJ25"/>
      <c r="BK25" s="2"/>
      <c r="BL25" s="2"/>
      <c r="EK25" s="2"/>
      <c r="FO25"/>
      <c r="FP25"/>
      <c r="FQ25"/>
      <c r="FT25"/>
      <c r="FU25"/>
      <c r="FV25"/>
      <c r="FW25"/>
      <c r="FX25"/>
      <c r="FY25"/>
      <c r="FZ25"/>
      <c r="GA25"/>
      <c r="GB25"/>
      <c r="GC25"/>
      <c r="GD25"/>
      <c r="GE25"/>
      <c r="GF25"/>
    </row>
    <row r="26" spans="2:191" ht="15" customHeight="1">
      <c r="B26" s="467" t="s">
        <v>567</v>
      </c>
      <c r="C26" s="7" t="s">
        <v>733</v>
      </c>
      <c r="D26" s="5">
        <f>Data!P27</f>
        <v>0.5</v>
      </c>
      <c r="E26" s="11">
        <v>22</v>
      </c>
      <c r="F26" s="8"/>
      <c r="G26" s="8"/>
      <c r="H26" s="311"/>
      <c r="I26" s="37"/>
      <c r="Z26" s="5"/>
      <c r="AA26" s="5"/>
      <c r="AB26" s="5" t="s">
        <v>122</v>
      </c>
      <c r="AC26" s="5" t="s">
        <v>617</v>
      </c>
      <c r="AD26" s="5" t="s">
        <v>568</v>
      </c>
      <c r="AE26" s="30" t="s">
        <v>325</v>
      </c>
      <c r="AG26" s="11"/>
      <c r="AV26" s="277" t="str">
        <f t="shared" ref="AV26:AW36" si="8">BC6</f>
        <v>D0 (mm)</v>
      </c>
      <c r="AW26" s="347">
        <f t="shared" si="8"/>
        <v>0.10159999999999997</v>
      </c>
      <c r="AX26" s="153"/>
      <c r="AZ26" s="45">
        <f t="shared" ref="AZ26:AZ36" si="9">IFERROR(($AW26/25.4)/$AZ$23,"")</f>
        <v>7.5151972675544963E-4</v>
      </c>
      <c r="BA26" s="45">
        <f t="shared" ref="BA26:BA36" si="10">IFERROR(($AW26/25.4)/(VLOOKUP($BA$23,$BL$106:$BM$116,2,FALSE)),"")</f>
        <v>1.9999999999999996E-3</v>
      </c>
      <c r="BB26" s="45">
        <f t="shared" ref="BB26:BB36" si="11">IFERROR(($AW26/25.4)/$BB$23,"")</f>
        <v>4.4668615298024421E-4</v>
      </c>
      <c r="BC26" s="346">
        <f t="shared" ref="BC26:BC36" si="12">IFERROR(($AW26/25.4)/(VLOOKUP($BC$23,$BL$106:$BM$116,2,FALSE)),"")</f>
        <v>3.3333333333333327E-4</v>
      </c>
      <c r="BF26"/>
      <c r="BJ26"/>
      <c r="EK26" s="2"/>
      <c r="FO26"/>
      <c r="FP26"/>
      <c r="FQ26"/>
      <c r="FT26"/>
      <c r="FU26"/>
      <c r="FV26"/>
      <c r="FW26"/>
      <c r="FX26"/>
      <c r="FY26"/>
      <c r="FZ26"/>
      <c r="GA26"/>
      <c r="GB26"/>
      <c r="GC26"/>
      <c r="GD26"/>
      <c r="GE26"/>
      <c r="GF26"/>
    </row>
    <row r="27" spans="2:191" ht="15" customHeight="1">
      <c r="B27" s="468"/>
      <c r="C27" s="7" t="s">
        <v>791</v>
      </c>
      <c r="D27" s="5">
        <f>Data!P28</f>
        <v>2</v>
      </c>
      <c r="E27" s="11">
        <v>23</v>
      </c>
      <c r="F27" s="8"/>
      <c r="G27" s="8"/>
      <c r="H27" s="311"/>
      <c r="I27" s="37"/>
      <c r="J27" s="52"/>
      <c r="K27" s="1" t="s">
        <v>379</v>
      </c>
      <c r="Z27" s="453" t="s">
        <v>983</v>
      </c>
      <c r="AA27" s="5" t="s">
        <v>862</v>
      </c>
      <c r="AB27" s="183">
        <f>$AB$31</f>
        <v>2.5</v>
      </c>
      <c r="AC27" s="183">
        <f>$AC$31</f>
        <v>3</v>
      </c>
      <c r="AD27" s="6">
        <f>S5</f>
        <v>5</v>
      </c>
      <c r="AE27" s="30"/>
      <c r="AF27" s="1" t="s">
        <v>743</v>
      </c>
      <c r="AV27" s="277" t="str">
        <f t="shared" si="8"/>
        <v>D10 (mm)</v>
      </c>
      <c r="AW27" s="347">
        <f t="shared" si="8"/>
        <v>1.5100000000000009</v>
      </c>
      <c r="AX27" s="153"/>
      <c r="AZ27" s="45">
        <f t="shared" si="9"/>
        <v>1.116924003347175E-2</v>
      </c>
      <c r="BA27" s="45">
        <f t="shared" si="10"/>
        <v>2.9724409448818916E-2</v>
      </c>
      <c r="BB27" s="45">
        <f t="shared" si="11"/>
        <v>6.6387410531512734E-3</v>
      </c>
      <c r="BC27" s="346">
        <f t="shared" si="12"/>
        <v>4.9540682414698197E-3</v>
      </c>
      <c r="BD27" s="27" t="str">
        <f t="shared" ref="BD27:BD36" si="13">IFERROR(VLOOKUP(BC27,AZ$106:BA$111,2,FALSE),"")</f>
        <v/>
      </c>
      <c r="BE27" s="152" t="str">
        <f t="shared" ref="BE27:BE36" si="14">IFERROR(($AW27/25.4)/(VLOOKUP(BD27,$BL$106:$BM$116,2,FALSE)),"")</f>
        <v/>
      </c>
      <c r="BF27"/>
      <c r="BG27" s="338"/>
      <c r="BH27" s="27"/>
      <c r="BI27" s="152"/>
      <c r="BJ27"/>
      <c r="BK27" s="2"/>
      <c r="BL27" s="27"/>
      <c r="BM27" s="152"/>
      <c r="EK27" s="2"/>
      <c r="FO27"/>
      <c r="FP27"/>
      <c r="FQ27"/>
      <c r="FT27"/>
      <c r="FU27"/>
      <c r="FV27"/>
      <c r="FW27"/>
      <c r="FX27"/>
      <c r="FY27"/>
      <c r="FZ27"/>
      <c r="GA27"/>
      <c r="GB27"/>
      <c r="GC27"/>
      <c r="GD27"/>
      <c r="GE27"/>
      <c r="GF27"/>
    </row>
    <row r="28" spans="2:191">
      <c r="B28" s="468"/>
      <c r="C28" s="7" t="s">
        <v>336</v>
      </c>
      <c r="D28" s="5">
        <f>Data!P29</f>
        <v>10</v>
      </c>
      <c r="E28" s="11">
        <v>24</v>
      </c>
      <c r="F28" s="8"/>
      <c r="G28" s="8"/>
      <c r="H28" s="311"/>
      <c r="I28" s="37"/>
      <c r="L28" s="10" t="s">
        <v>378</v>
      </c>
      <c r="M28" s="10" t="s">
        <v>11</v>
      </c>
      <c r="N28" s="10" t="s">
        <v>533</v>
      </c>
      <c r="O28" s="10" t="s">
        <v>531</v>
      </c>
      <c r="P28" s="10" t="s">
        <v>532</v>
      </c>
      <c r="Y28" s="19"/>
      <c r="Z28" s="455"/>
      <c r="AA28" s="5" t="s">
        <v>501</v>
      </c>
      <c r="AB28" s="42">
        <v>3.5000000000000003E-2</v>
      </c>
      <c r="AC28" s="42">
        <v>3.5000000000000003E-2</v>
      </c>
      <c r="AD28" s="5">
        <f>I9</f>
        <v>0.04</v>
      </c>
      <c r="AE28" s="30"/>
      <c r="AV28" s="277" t="str">
        <f t="shared" si="8"/>
        <v>D16 (mm)</v>
      </c>
      <c r="AW28" s="347">
        <f t="shared" si="8"/>
        <v>8</v>
      </c>
      <c r="AX28" s="153"/>
      <c r="AZ28" s="45">
        <f t="shared" si="9"/>
        <v>5.9174781634287382E-2</v>
      </c>
      <c r="BA28" s="45">
        <f t="shared" si="10"/>
        <v>0.15748031496062992</v>
      </c>
      <c r="BB28" s="45">
        <f t="shared" si="11"/>
        <v>3.5172138029940493E-2</v>
      </c>
      <c r="BC28" s="346">
        <f t="shared" si="12"/>
        <v>2.6246719160104987E-2</v>
      </c>
      <c r="BD28" s="27" t="str">
        <f t="shared" si="13"/>
        <v/>
      </c>
      <c r="BE28" s="152" t="str">
        <f t="shared" si="14"/>
        <v/>
      </c>
      <c r="BF28"/>
      <c r="BG28" s="338"/>
      <c r="BH28" s="27"/>
      <c r="BI28" s="152"/>
      <c r="BJ28"/>
      <c r="BK28" s="2"/>
      <c r="BL28" s="27"/>
      <c r="BM28" s="152"/>
      <c r="EK28" s="2"/>
      <c r="FO28"/>
      <c r="FP28"/>
      <c r="FQ28"/>
      <c r="FT28"/>
      <c r="FU28"/>
      <c r="FV28"/>
      <c r="FW28"/>
      <c r="FX28"/>
      <c r="FY28"/>
      <c r="FZ28"/>
      <c r="GA28"/>
      <c r="GB28"/>
      <c r="GC28"/>
      <c r="GD28"/>
      <c r="GE28"/>
      <c r="GF28"/>
    </row>
    <row r="29" spans="2:191">
      <c r="B29" s="468"/>
      <c r="C29" s="7" t="s">
        <v>910</v>
      </c>
      <c r="D29" s="5">
        <f>Data!P30</f>
        <v>10</v>
      </c>
      <c r="E29" s="11">
        <v>25</v>
      </c>
      <c r="F29" s="8"/>
      <c r="G29" s="8"/>
      <c r="H29" s="311"/>
      <c r="I29" s="37"/>
      <c r="K29" s="3" t="s">
        <v>645</v>
      </c>
      <c r="L29" s="8">
        <f>XS_Designer_Summary!$L19</f>
        <v>649.08944244948236</v>
      </c>
      <c r="M29" s="8">
        <f>XS_Designer_Summary!$L13</f>
        <v>0</v>
      </c>
      <c r="N29" s="8">
        <f>XS_Designer_Summary!$L15</f>
        <v>377.46162575473238</v>
      </c>
      <c r="O29" s="8">
        <f>XS_Designer_Summary!$L16</f>
        <v>138.73788542014822</v>
      </c>
      <c r="P29" s="8">
        <f>XS_Designer_Summary!$L17</f>
        <v>132.88993127460182</v>
      </c>
      <c r="Z29" s="453" t="s">
        <v>502</v>
      </c>
      <c r="AA29" s="74" t="s">
        <v>953</v>
      </c>
      <c r="AB29" s="42">
        <v>0.01</v>
      </c>
      <c r="AC29" s="42">
        <v>1.4999999999999999E-2</v>
      </c>
      <c r="AD29" s="133">
        <f>U5</f>
        <v>0.01</v>
      </c>
      <c r="AE29" s="30"/>
      <c r="AV29" s="277" t="str">
        <f t="shared" si="8"/>
        <v>D25 (mm)</v>
      </c>
      <c r="AW29" s="347">
        <f t="shared" si="8"/>
        <v>20</v>
      </c>
      <c r="AX29" s="153"/>
      <c r="AZ29" s="45">
        <f t="shared" si="9"/>
        <v>0.14793695408571847</v>
      </c>
      <c r="BA29" s="45">
        <f t="shared" si="10"/>
        <v>0.39370078740157483</v>
      </c>
      <c r="BB29" s="45">
        <f t="shared" si="11"/>
        <v>8.7930345074851243E-2</v>
      </c>
      <c r="BC29" s="346">
        <f t="shared" si="12"/>
        <v>6.5616797900262466E-2</v>
      </c>
      <c r="BD29" s="27" t="str">
        <f t="shared" si="13"/>
        <v/>
      </c>
      <c r="BE29" s="152" t="str">
        <f t="shared" si="14"/>
        <v/>
      </c>
      <c r="BF29"/>
      <c r="BG29" s="338"/>
      <c r="BH29" s="27"/>
      <c r="BI29" s="152"/>
      <c r="BJ29"/>
      <c r="BK29" s="2"/>
      <c r="BL29" s="27"/>
      <c r="BM29" s="152"/>
      <c r="EK29" s="2"/>
      <c r="FO29"/>
      <c r="FP29"/>
      <c r="FQ29"/>
      <c r="FT29"/>
      <c r="FU29"/>
      <c r="FV29"/>
      <c r="FW29"/>
      <c r="FX29"/>
      <c r="FY29"/>
      <c r="FZ29"/>
      <c r="GA29"/>
      <c r="GB29"/>
      <c r="GC29"/>
      <c r="GD29"/>
      <c r="GE29"/>
      <c r="GF29"/>
    </row>
    <row r="30" spans="2:191" ht="15" customHeight="1">
      <c r="B30" s="468"/>
      <c r="C30" s="7" t="s">
        <v>28</v>
      </c>
      <c r="D30" s="5">
        <f>Data!P31</f>
        <v>0.2</v>
      </c>
      <c r="E30" s="11">
        <v>26</v>
      </c>
      <c r="F30" s="8"/>
      <c r="G30" s="8"/>
      <c r="H30" s="311"/>
      <c r="I30" s="37"/>
      <c r="K30" s="3" t="s">
        <v>274</v>
      </c>
      <c r="L30" s="50">
        <f>XS_Designer_Summary!$I19</f>
        <v>9.0339674729418673E-2</v>
      </c>
      <c r="M30" s="8">
        <f>XS_Designer_Summary!$I13</f>
        <v>0</v>
      </c>
      <c r="N30" s="50">
        <f>XS_Designer_Summary!$I15</f>
        <v>4.0000000000000029E-2</v>
      </c>
      <c r="O30" s="50">
        <f>XS_Designer_Summary!$I16</f>
        <v>0.10000000000000002</v>
      </c>
      <c r="P30" s="8">
        <f>XS_Designer_Summary!$I17</f>
        <v>0.10000000000000002</v>
      </c>
      <c r="Z30" s="454"/>
      <c r="AA30" s="74" t="s">
        <v>121</v>
      </c>
      <c r="AB30" s="42">
        <v>30</v>
      </c>
      <c r="AC30" s="42">
        <v>32</v>
      </c>
      <c r="AD30" s="6">
        <f t="shared" ref="AD30:AD33" si="15">D8</f>
        <v>10</v>
      </c>
      <c r="AE30" s="30"/>
      <c r="AV30" s="277" t="str">
        <f t="shared" si="8"/>
        <v>D35 (mm)</v>
      </c>
      <c r="AW30" s="26">
        <f t="shared" si="8"/>
        <v>38.400000000000006</v>
      </c>
      <c r="AX30" s="153"/>
      <c r="AZ30" s="45">
        <f t="shared" si="9"/>
        <v>0.28403895184457945</v>
      </c>
      <c r="BA30" s="45">
        <f t="shared" si="10"/>
        <v>0.75590551181102372</v>
      </c>
      <c r="BB30" s="45">
        <f t="shared" si="11"/>
        <v>0.16882626254371441</v>
      </c>
      <c r="BC30" s="346">
        <f t="shared" si="12"/>
        <v>0.12598425196850396</v>
      </c>
      <c r="BD30" s="27" t="str">
        <f t="shared" si="13"/>
        <v/>
      </c>
      <c r="BE30" s="152" t="str">
        <f t="shared" si="14"/>
        <v/>
      </c>
      <c r="BF30"/>
      <c r="BG30" s="338"/>
      <c r="BH30" s="27"/>
      <c r="BI30" s="152"/>
      <c r="BJ30"/>
      <c r="BK30" s="2"/>
      <c r="BL30" s="27"/>
      <c r="BM30" s="152"/>
      <c r="EK30" s="2"/>
      <c r="FO30"/>
      <c r="FP30"/>
      <c r="FQ30"/>
      <c r="FT30"/>
      <c r="FU30"/>
      <c r="FV30"/>
      <c r="FW30"/>
      <c r="FX30"/>
      <c r="FY30"/>
      <c r="FZ30"/>
      <c r="GA30"/>
      <c r="GB30"/>
      <c r="GC30"/>
      <c r="GD30"/>
      <c r="GE30"/>
      <c r="GF30"/>
    </row>
    <row r="31" spans="2:191">
      <c r="B31" s="468"/>
      <c r="C31" s="7" t="s">
        <v>603</v>
      </c>
      <c r="D31" s="5">
        <f>Data!P32</f>
        <v>0.2</v>
      </c>
      <c r="E31" s="11">
        <v>27</v>
      </c>
      <c r="F31" s="8"/>
      <c r="G31" s="8"/>
      <c r="H31" s="311"/>
      <c r="I31" s="37"/>
      <c r="K31" s="3" t="s">
        <v>986</v>
      </c>
      <c r="L31" s="8">
        <f>XS_Designer_Summary!$M19</f>
        <v>4.412030789844966</v>
      </c>
      <c r="M31" s="8">
        <f>XS_Designer_Summary!$M13</f>
        <v>0</v>
      </c>
      <c r="N31" s="8">
        <f>XS_Designer_Summary!$M15</f>
        <v>9.0949201521201708</v>
      </c>
      <c r="O31" s="8">
        <f>XS_Designer_Summary!$M16</f>
        <v>2.6272233537497911</v>
      </c>
      <c r="P31" s="8">
        <f>XS_Designer_Summary!$M17</f>
        <v>2.5164830058173568</v>
      </c>
      <c r="Z31" s="454"/>
      <c r="AA31" s="74" t="s">
        <v>860</v>
      </c>
      <c r="AB31" s="42">
        <v>2.5</v>
      </c>
      <c r="AC31" s="42">
        <v>3</v>
      </c>
      <c r="AD31" s="6">
        <f t="shared" si="15"/>
        <v>2</v>
      </c>
      <c r="AE31" s="30"/>
      <c r="AV31" s="277" t="str">
        <f t="shared" si="8"/>
        <v>D50 (mm)</v>
      </c>
      <c r="AW31" s="26">
        <f t="shared" si="8"/>
        <v>199.64000000000001</v>
      </c>
      <c r="AX31" s="153"/>
      <c r="AZ31" s="45">
        <f t="shared" si="9"/>
        <v>1.4767066756836418</v>
      </c>
      <c r="BA31" s="45">
        <f t="shared" si="10"/>
        <v>3.9299212598425202</v>
      </c>
      <c r="BB31" s="45">
        <f t="shared" si="11"/>
        <v>0.87772070453716522</v>
      </c>
      <c r="BC31" s="346">
        <f t="shared" si="12"/>
        <v>0.65498687664041999</v>
      </c>
      <c r="BD31" s="27" t="str">
        <f t="shared" si="13"/>
        <v/>
      </c>
      <c r="BE31" s="152" t="str">
        <f t="shared" si="14"/>
        <v/>
      </c>
      <c r="BF31"/>
      <c r="BG31" s="338"/>
      <c r="BH31" s="27"/>
      <c r="BI31" s="152"/>
      <c r="BJ31"/>
      <c r="BK31" s="2"/>
      <c r="BL31" s="27"/>
      <c r="BM31" s="152"/>
      <c r="EK31" s="2"/>
      <c r="FO31"/>
      <c r="FP31"/>
      <c r="FQ31"/>
      <c r="FT31"/>
      <c r="FU31"/>
      <c r="FV31"/>
      <c r="FW31"/>
      <c r="FX31"/>
      <c r="FY31"/>
      <c r="FZ31"/>
      <c r="GA31"/>
      <c r="GB31"/>
      <c r="GC31"/>
      <c r="GD31"/>
      <c r="GE31"/>
      <c r="GF31"/>
    </row>
    <row r="32" spans="2:191" ht="15" customHeight="1">
      <c r="B32" s="468"/>
      <c r="C32" s="7" t="s">
        <v>847</v>
      </c>
      <c r="D32" s="5">
        <f>Data!P33</f>
        <v>3</v>
      </c>
      <c r="E32" s="11">
        <v>28</v>
      </c>
      <c r="F32" s="8"/>
      <c r="G32" s="8"/>
      <c r="H32" s="311"/>
      <c r="I32" s="37"/>
      <c r="K32" s="3" t="s">
        <v>694</v>
      </c>
      <c r="L32" s="8">
        <f>MAX(XS_Designer_Summary!AV3:AV104)</f>
        <v>10.592191565599071</v>
      </c>
      <c r="M32" s="8">
        <f>IF(XS_Designer_Summary!A6="Yes",(XS_Designer_Summary!$BI$3:$BI$204),0)</f>
        <v>0</v>
      </c>
      <c r="N32" s="8">
        <f>MAX(XS_Designer_Summary!$BI$3:$BI$204)</f>
        <v>10.592191565599071</v>
      </c>
      <c r="O32" s="8">
        <f>MAX(XS_Designer_Summary!$BG$3:$BG$204)</f>
        <v>3.0857419228102105</v>
      </c>
      <c r="P32" s="8">
        <f>MAX(XS_Designer_Summary!$BH$3:$BH$204)</f>
        <v>3.085741922810211</v>
      </c>
      <c r="Z32" s="454"/>
      <c r="AA32" s="74" t="s">
        <v>432</v>
      </c>
      <c r="AB32" s="42">
        <v>3</v>
      </c>
      <c r="AC32" s="42">
        <v>3</v>
      </c>
      <c r="AD32" s="6">
        <f t="shared" si="15"/>
        <v>2</v>
      </c>
      <c r="AE32" s="30"/>
      <c r="AG32" s="298"/>
      <c r="AV32" s="277" t="str">
        <f t="shared" si="8"/>
        <v>D65 (mm)</v>
      </c>
      <c r="AW32" s="26">
        <f t="shared" si="8"/>
        <v>335.28000000000003</v>
      </c>
      <c r="AX32" s="153"/>
      <c r="AZ32" s="45">
        <f t="shared" si="9"/>
        <v>2.4800150982929843</v>
      </c>
      <c r="BA32" s="45">
        <f t="shared" si="10"/>
        <v>6.6000000000000005</v>
      </c>
      <c r="BB32" s="45">
        <f t="shared" si="11"/>
        <v>1.4740643048348063</v>
      </c>
      <c r="BC32" s="346">
        <f t="shared" si="12"/>
        <v>1.1000000000000001</v>
      </c>
      <c r="BD32" s="27" t="str">
        <f t="shared" si="13"/>
        <v/>
      </c>
      <c r="BE32" s="152" t="str">
        <f t="shared" si="14"/>
        <v/>
      </c>
      <c r="BF32"/>
      <c r="BG32" s="338"/>
      <c r="BH32" s="27"/>
      <c r="BI32" s="152"/>
      <c r="BJ32"/>
      <c r="BK32" s="2"/>
      <c r="BL32" s="27"/>
      <c r="BM32" s="152"/>
      <c r="EK32" s="2"/>
      <c r="FO32"/>
      <c r="FP32"/>
      <c r="FQ32"/>
      <c r="FT32"/>
      <c r="FU32"/>
      <c r="FV32"/>
      <c r="FW32"/>
      <c r="FX32"/>
      <c r="FY32"/>
      <c r="FZ32"/>
      <c r="GA32"/>
      <c r="GB32"/>
      <c r="GC32"/>
      <c r="GD32"/>
      <c r="GE32"/>
      <c r="GF32"/>
    </row>
    <row r="33" spans="2:188">
      <c r="B33" s="469"/>
      <c r="C33" s="7" t="s">
        <v>424</v>
      </c>
      <c r="D33" s="5">
        <f>Data!P34</f>
        <v>3</v>
      </c>
      <c r="E33" s="11">
        <v>29</v>
      </c>
      <c r="F33" s="8"/>
      <c r="G33" s="8"/>
      <c r="H33" s="311"/>
      <c r="I33" s="37"/>
      <c r="L33" s="11"/>
      <c r="M33" s="11"/>
      <c r="N33" s="11"/>
      <c r="O33" s="11"/>
      <c r="P33" s="11"/>
      <c r="Z33" s="455"/>
      <c r="AA33" s="74" t="s">
        <v>915</v>
      </c>
      <c r="AB33" s="42">
        <v>0.5</v>
      </c>
      <c r="AC33" s="42">
        <v>1</v>
      </c>
      <c r="AD33" s="6">
        <f t="shared" si="15"/>
        <v>0.5</v>
      </c>
      <c r="AE33" s="30"/>
      <c r="AV33" s="277" t="str">
        <f t="shared" si="8"/>
        <v>D75 (mm)</v>
      </c>
      <c r="AW33" s="26">
        <f t="shared" si="8"/>
        <v>335.28000000000003</v>
      </c>
      <c r="AX33" s="153"/>
      <c r="AZ33" s="45">
        <f t="shared" si="9"/>
        <v>2.4800150982929843</v>
      </c>
      <c r="BA33" s="45">
        <f t="shared" si="10"/>
        <v>6.6000000000000005</v>
      </c>
      <c r="BB33" s="45">
        <f t="shared" si="11"/>
        <v>1.4740643048348063</v>
      </c>
      <c r="BC33" s="346">
        <f t="shared" si="12"/>
        <v>1.1000000000000001</v>
      </c>
      <c r="BD33" s="27" t="str">
        <f t="shared" si="13"/>
        <v/>
      </c>
      <c r="BE33" s="152" t="str">
        <f t="shared" si="14"/>
        <v/>
      </c>
      <c r="BF33"/>
      <c r="BG33" s="338"/>
      <c r="BH33" s="27"/>
      <c r="BI33" s="152"/>
      <c r="BJ33"/>
      <c r="BK33" s="2"/>
      <c r="BL33" s="27"/>
      <c r="BM33" s="152"/>
      <c r="EK33" s="2"/>
      <c r="FO33"/>
      <c r="FP33"/>
      <c r="FQ33"/>
      <c r="FT33"/>
      <c r="FU33"/>
      <c r="FV33"/>
      <c r="FW33"/>
      <c r="FX33"/>
      <c r="FY33"/>
      <c r="FZ33"/>
      <c r="GA33"/>
      <c r="GB33"/>
      <c r="GC33"/>
      <c r="GD33"/>
      <c r="GE33"/>
      <c r="GF33"/>
    </row>
    <row r="34" spans="2:188" ht="15" customHeight="1">
      <c r="E34" s="11">
        <v>30</v>
      </c>
      <c r="F34" s="8"/>
      <c r="G34" s="8"/>
      <c r="H34" s="311"/>
      <c r="I34" s="37"/>
      <c r="K34" s="5" t="s">
        <v>78</v>
      </c>
      <c r="L34" s="8">
        <f>XS_Designer_Summary!$F19</f>
        <v>57.260971814281405</v>
      </c>
      <c r="M34" s="8">
        <f>XS_Designer_Summary!$F13</f>
        <v>0</v>
      </c>
      <c r="N34" s="8">
        <f>XS_Designer_Summary!$F15</f>
        <v>10.834623063621894</v>
      </c>
      <c r="O34" s="8">
        <f>XS_Designer_Summary!$F16</f>
        <v>22.463674375329752</v>
      </c>
      <c r="P34" s="8">
        <f>XS_Designer_Summary!$F17</f>
        <v>23.962674375329751</v>
      </c>
      <c r="Z34" s="453" t="s">
        <v>438</v>
      </c>
      <c r="AA34" s="74" t="s">
        <v>242</v>
      </c>
      <c r="AB34" s="42">
        <v>4</v>
      </c>
      <c r="AC34" s="42">
        <v>7</v>
      </c>
      <c r="AD34" s="6">
        <f>N31</f>
        <v>9.0949201521201708</v>
      </c>
      <c r="AE34" s="174" t="s">
        <v>982</v>
      </c>
      <c r="AV34" s="277" t="str">
        <f t="shared" si="8"/>
        <v>D84 (mm)</v>
      </c>
      <c r="AW34" s="26">
        <f t="shared" si="8"/>
        <v>335.28000000000003</v>
      </c>
      <c r="AX34" s="153"/>
      <c r="AZ34" s="45">
        <f t="shared" si="9"/>
        <v>2.4800150982929843</v>
      </c>
      <c r="BA34" s="45">
        <f t="shared" si="10"/>
        <v>6.6000000000000005</v>
      </c>
      <c r="BB34" s="45">
        <f t="shared" si="11"/>
        <v>1.4740643048348063</v>
      </c>
      <c r="BC34" s="346">
        <f t="shared" si="12"/>
        <v>1.1000000000000001</v>
      </c>
      <c r="BD34" s="27" t="str">
        <f t="shared" si="13"/>
        <v/>
      </c>
      <c r="BE34" s="152" t="str">
        <f t="shared" si="14"/>
        <v/>
      </c>
      <c r="BF34"/>
      <c r="BG34" s="338"/>
      <c r="BH34" s="27"/>
      <c r="BI34" s="152"/>
      <c r="BJ34"/>
      <c r="BK34" s="2"/>
      <c r="BL34" s="27"/>
      <c r="BM34" s="152"/>
      <c r="EK34" s="2"/>
      <c r="FO34"/>
      <c r="FP34" s="2"/>
      <c r="FQ34" s="2"/>
      <c r="FT34"/>
      <c r="FU34"/>
      <c r="FV34"/>
      <c r="FW34"/>
      <c r="FX34"/>
      <c r="FY34"/>
      <c r="FZ34"/>
      <c r="GA34"/>
      <c r="GB34"/>
      <c r="GC34"/>
      <c r="GD34"/>
      <c r="GE34"/>
      <c r="GF34"/>
    </row>
    <row r="35" spans="2:188">
      <c r="E35" s="11">
        <v>31</v>
      </c>
      <c r="F35" s="8"/>
      <c r="G35" s="8"/>
      <c r="H35" s="311"/>
      <c r="I35" s="37"/>
      <c r="K35" s="5" t="s">
        <v>885</v>
      </c>
      <c r="L35" s="8">
        <f>XS_Designer_Summary!$E19</f>
        <v>147.11806725</v>
      </c>
      <c r="M35" s="8">
        <f>XS_Designer_Summary!$E13</f>
        <v>0</v>
      </c>
      <c r="N35" s="8">
        <f>XS_Designer_Summary!$E15</f>
        <v>41.502467249999995</v>
      </c>
      <c r="O35" s="8">
        <f>XS_Designer_Summary!$E16</f>
        <v>52.8078</v>
      </c>
      <c r="P35" s="8">
        <f>XS_Designer_Summary!$E17</f>
        <v>52.8078</v>
      </c>
      <c r="Z35" s="454"/>
      <c r="AA35" s="74" t="s">
        <v>183</v>
      </c>
      <c r="AB35" s="42">
        <v>1</v>
      </c>
      <c r="AC35" s="42">
        <v>10</v>
      </c>
      <c r="AD35" s="6">
        <f>AVERAGE(N88:N93)</f>
        <v>8.9806210906661637</v>
      </c>
      <c r="AE35" s="5"/>
      <c r="AV35" s="277" t="str">
        <f t="shared" si="8"/>
        <v>D90 (mm)</v>
      </c>
      <c r="AW35" s="26">
        <f t="shared" si="8"/>
        <v>335.28000000000003</v>
      </c>
      <c r="AX35" s="153"/>
      <c r="AZ35" s="45">
        <f t="shared" si="9"/>
        <v>2.4800150982929843</v>
      </c>
      <c r="BA35" s="45">
        <f t="shared" si="10"/>
        <v>6.6000000000000005</v>
      </c>
      <c r="BB35" s="45">
        <f t="shared" si="11"/>
        <v>1.4740643048348063</v>
      </c>
      <c r="BC35" s="346">
        <f t="shared" si="12"/>
        <v>1.1000000000000001</v>
      </c>
      <c r="BD35" s="27" t="str">
        <f t="shared" si="13"/>
        <v/>
      </c>
      <c r="BE35" s="152" t="str">
        <f t="shared" si="14"/>
        <v/>
      </c>
      <c r="BF35"/>
      <c r="BG35" s="338"/>
      <c r="BH35" s="27"/>
      <c r="BI35" s="152"/>
      <c r="BJ35"/>
      <c r="BK35" s="2"/>
      <c r="BL35" s="27"/>
      <c r="BM35" s="152"/>
      <c r="EK35" s="2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</row>
    <row r="36" spans="2:188" ht="15" customHeight="1" thickBot="1">
      <c r="B36" s="450" t="s">
        <v>500</v>
      </c>
      <c r="C36" s="30" t="s">
        <v>354</v>
      </c>
      <c r="D36" s="42">
        <f>Data!P37</f>
        <v>1</v>
      </c>
      <c r="E36" s="11">
        <v>32</v>
      </c>
      <c r="F36" s="8"/>
      <c r="G36" s="8"/>
      <c r="H36" s="311"/>
      <c r="I36" s="37"/>
      <c r="K36" s="5" t="s">
        <v>648</v>
      </c>
      <c r="L36" s="8">
        <f>XS_Designer_Summary!$G19</f>
        <v>2.5692555083968629</v>
      </c>
      <c r="M36" s="8">
        <f>XS_Designer_Summary!$G13</f>
        <v>0</v>
      </c>
      <c r="N36" s="8">
        <f>XS_Designer_Summary!$G15</f>
        <v>3.8305409432606679</v>
      </c>
      <c r="O36" s="8">
        <f>XS_Designer_Summary!$G16</f>
        <v>2.3508086485617432</v>
      </c>
      <c r="P36" s="8">
        <f>XS_Designer_Summary!$G17</f>
        <v>2.2037523513805755</v>
      </c>
      <c r="Z36" s="454"/>
      <c r="AA36" s="74" t="s">
        <v>973</v>
      </c>
      <c r="AB36" s="42">
        <v>1</v>
      </c>
      <c r="AC36" s="42">
        <v>100</v>
      </c>
      <c r="AD36" s="6">
        <f>N35</f>
        <v>41.502467249999995</v>
      </c>
      <c r="AE36" s="5"/>
      <c r="AV36" s="272" t="str">
        <f t="shared" si="8"/>
        <v>D100 (mm)</v>
      </c>
      <c r="AW36" s="228">
        <f t="shared" si="8"/>
        <v>335.28000000000003</v>
      </c>
      <c r="AX36" s="203"/>
      <c r="AY36" s="203"/>
      <c r="AZ36" s="145">
        <f t="shared" si="9"/>
        <v>2.4800150982929843</v>
      </c>
      <c r="BA36" s="145">
        <f t="shared" si="10"/>
        <v>6.6000000000000005</v>
      </c>
      <c r="BB36" s="145">
        <f t="shared" si="11"/>
        <v>1.4740643048348063</v>
      </c>
      <c r="BC36" s="265">
        <f t="shared" si="12"/>
        <v>1.1000000000000001</v>
      </c>
      <c r="BD36" s="27" t="str">
        <f t="shared" si="13"/>
        <v/>
      </c>
      <c r="BE36" s="152" t="str">
        <f t="shared" si="14"/>
        <v/>
      </c>
      <c r="BF36"/>
      <c r="BG36" s="338"/>
      <c r="BH36" s="27"/>
      <c r="BI36" s="152"/>
      <c r="BJ36"/>
      <c r="BK36" s="2"/>
      <c r="BL36" s="27"/>
      <c r="BM36" s="152"/>
      <c r="EK36" s="2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</row>
    <row r="37" spans="2:188">
      <c r="B37" s="451"/>
      <c r="C37" s="30" t="s">
        <v>355</v>
      </c>
      <c r="D37" s="42">
        <f>Data!P38</f>
        <v>1</v>
      </c>
      <c r="E37" s="11">
        <v>33</v>
      </c>
      <c r="F37" s="8"/>
      <c r="G37" s="8"/>
      <c r="H37" s="311"/>
      <c r="I37" s="37"/>
      <c r="K37" s="5" t="s">
        <v>826</v>
      </c>
      <c r="L37" s="8">
        <f>XS_Designer_Summary!$O19</f>
        <v>54.402500000000003</v>
      </c>
      <c r="M37" s="8">
        <f>XS_Designer_Summary!$O13</f>
        <v>0</v>
      </c>
      <c r="N37" s="8">
        <f>XS_Designer_Summary!$O15</f>
        <v>10.002500000000001</v>
      </c>
      <c r="O37" s="8">
        <f>XS_Designer_Summary!$O16</f>
        <v>22.200000000000003</v>
      </c>
      <c r="P37" s="8">
        <f>XS_Designer_Summary!$O17</f>
        <v>22.200000000000003</v>
      </c>
      <c r="Z37" s="454"/>
      <c r="AA37" s="74" t="s">
        <v>209</v>
      </c>
      <c r="AB37" s="42">
        <v>12</v>
      </c>
      <c r="AC37" s="42">
        <v>18</v>
      </c>
      <c r="AD37" s="6">
        <f>L51</f>
        <v>2.4107002036125946</v>
      </c>
      <c r="AE37" s="5"/>
      <c r="EK37" s="2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</row>
    <row r="38" spans="2:188" ht="15" customHeight="1">
      <c r="B38" s="451"/>
      <c r="C38" s="30" t="s">
        <v>356</v>
      </c>
      <c r="D38" s="42">
        <f>Data!P39</f>
        <v>1</v>
      </c>
      <c r="E38" s="11">
        <v>34</v>
      </c>
      <c r="F38" s="8"/>
      <c r="G38" s="8"/>
      <c r="H38" s="311"/>
      <c r="I38" s="37"/>
      <c r="K38" s="5" t="s">
        <v>273</v>
      </c>
      <c r="L38" s="8">
        <f>XS_Designer_Summary!$S19</f>
        <v>2.7042519599283117</v>
      </c>
      <c r="M38" s="8">
        <f>XS_Designer_Summary!$S13</f>
        <v>0</v>
      </c>
      <c r="N38" s="8">
        <f>XS_Designer_Summary!$S15</f>
        <v>4.1492094226443381</v>
      </c>
      <c r="O38" s="8">
        <f>XS_Designer_Summary!$S16</f>
        <v>2.3787297297297294</v>
      </c>
      <c r="P38" s="8">
        <f>XS_Designer_Summary!$S17</f>
        <v>2.3787297297297294</v>
      </c>
      <c r="Z38" s="455"/>
      <c r="AA38" s="74" t="s">
        <v>569</v>
      </c>
      <c r="AB38" s="456" t="s">
        <v>247</v>
      </c>
      <c r="AC38" s="457"/>
      <c r="AD38" s="6">
        <f>N29</f>
        <v>377.46162575473238</v>
      </c>
      <c r="AE38" s="5"/>
      <c r="AV38" s="458" t="s">
        <v>624</v>
      </c>
      <c r="AW38" s="459"/>
      <c r="AX38" s="459"/>
      <c r="AY38" s="459"/>
      <c r="AZ38" s="459"/>
      <c r="BA38" s="459"/>
      <c r="BB38" s="459"/>
      <c r="BC38" s="459"/>
      <c r="EJ38" s="2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</row>
    <row r="39" spans="2:188">
      <c r="B39" s="451"/>
      <c r="C39" s="30" t="s">
        <v>43</v>
      </c>
      <c r="D39" s="42">
        <f>Data!P40</f>
        <v>1</v>
      </c>
      <c r="E39" s="11">
        <v>35</v>
      </c>
      <c r="F39" s="8"/>
      <c r="G39" s="8"/>
      <c r="H39" s="311"/>
      <c r="I39" s="37"/>
      <c r="K39" s="5" t="s">
        <v>318</v>
      </c>
      <c r="L39" s="8">
        <f>XS_Designer_Summary!$R19</f>
        <v>5</v>
      </c>
      <c r="M39" s="8">
        <f>XS_Designer_Summary!$R13</f>
        <v>0</v>
      </c>
      <c r="N39" s="8">
        <f>XS_Designer_Summary!$R15</f>
        <v>5</v>
      </c>
      <c r="O39" s="8">
        <f>XS_Designer_Summary!$R16</f>
        <v>2.9990000000000001</v>
      </c>
      <c r="P39" s="8">
        <f>XS_Designer_Summary!$R17</f>
        <v>2.9990000000000001</v>
      </c>
      <c r="Z39" s="153"/>
      <c r="AE39" s="222"/>
      <c r="EJ39" s="2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</row>
    <row r="40" spans="2:188">
      <c r="B40" s="451"/>
      <c r="C40" s="30" t="s">
        <v>692</v>
      </c>
      <c r="D40" s="42">
        <f>Data!P41</f>
        <v>1</v>
      </c>
      <c r="E40" s="11">
        <v>36</v>
      </c>
      <c r="F40" s="8"/>
      <c r="G40" s="8"/>
      <c r="H40" s="311"/>
      <c r="I40" s="37"/>
      <c r="L40" s="11"/>
      <c r="M40" s="11"/>
      <c r="N40" s="11"/>
      <c r="O40" s="11"/>
      <c r="P40" s="11"/>
      <c r="Z40" s="5" t="s">
        <v>439</v>
      </c>
      <c r="AA40" s="5" t="s">
        <v>243</v>
      </c>
      <c r="AB40" s="5" t="s">
        <v>645</v>
      </c>
      <c r="AE40" s="222"/>
      <c r="BF40" s="5" t="s">
        <v>307</v>
      </c>
      <c r="BH40" s="380" t="s">
        <v>808</v>
      </c>
      <c r="BI40" s="382"/>
      <c r="BK40" s="389" t="s">
        <v>253</v>
      </c>
      <c r="BL40" s="391"/>
      <c r="EJ40" s="2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</row>
    <row r="41" spans="2:188">
      <c r="B41" s="451"/>
      <c r="C41" s="30" t="s">
        <v>300</v>
      </c>
      <c r="D41" s="42">
        <f>Data!P42</f>
        <v>1</v>
      </c>
      <c r="E41" s="11">
        <v>37</v>
      </c>
      <c r="F41" s="8"/>
      <c r="G41" s="8"/>
      <c r="H41" s="311"/>
      <c r="I41" s="37"/>
      <c r="K41" s="3" t="s">
        <v>619</v>
      </c>
      <c r="L41" s="8">
        <f>XS_Designer_Summary!$U19</f>
        <v>1.6032154372396425</v>
      </c>
      <c r="M41" s="8">
        <f>XS_Designer_Summary!$U13</f>
        <v>0</v>
      </c>
      <c r="N41" s="8">
        <f>XS_Designer_Summary!$U15</f>
        <v>2.3902575485946569</v>
      </c>
      <c r="O41" s="8">
        <f>XS_Designer_Summary!$U16</f>
        <v>1.4669045967025278</v>
      </c>
      <c r="P41" s="8">
        <f>XS_Designer_Summary!$U17</f>
        <v>1.3751414672614792</v>
      </c>
      <c r="Z41" s="116">
        <v>0.01</v>
      </c>
      <c r="AA41" s="42" t="s">
        <v>357</v>
      </c>
      <c r="AB41" s="42" t="s">
        <v>247</v>
      </c>
      <c r="AE41" s="222"/>
      <c r="BF41" s="5"/>
      <c r="BH41" s="5" t="s">
        <v>507</v>
      </c>
      <c r="BI41" s="6" t="s">
        <v>306</v>
      </c>
      <c r="BK41" s="5" t="s">
        <v>252</v>
      </c>
      <c r="BL41" s="241"/>
      <c r="EJ41" s="2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</row>
    <row r="42" spans="2:188">
      <c r="B42" s="451"/>
      <c r="C42" s="30" t="s">
        <v>44</v>
      </c>
      <c r="D42" s="42">
        <f>Data!P43</f>
        <v>0</v>
      </c>
      <c r="E42" s="11">
        <v>38</v>
      </c>
      <c r="F42" s="8"/>
      <c r="G42" s="8"/>
      <c r="H42" s="311"/>
      <c r="I42" s="37"/>
      <c r="K42" s="3" t="s">
        <v>864</v>
      </c>
      <c r="L42" s="8">
        <f>MAX(XS_Designer_Summary!AW3:AW104)</f>
        <v>3.0041741336838292</v>
      </c>
      <c r="M42" s="8">
        <f>IF(XS_Designer_Summary!A6="Yes",MAX(XS_Designer_Summary!$BL$3:$BL$20),0)</f>
        <v>0</v>
      </c>
      <c r="N42" s="8">
        <f>MAX(XS_Designer_Summary!$BL$3:$BL$204)</f>
        <v>3.0041741336838292</v>
      </c>
      <c r="O42" s="8">
        <f>MAX(XS_Designer_Summary!$BJ$3:$BJ$204)</f>
        <v>1.867221231090741</v>
      </c>
      <c r="P42" s="8">
        <f>MAX(XS_Designer_Summary!$BK$3:$BK$204)</f>
        <v>1.8672212310907415</v>
      </c>
      <c r="Z42" s="158"/>
      <c r="AA42" s="70"/>
      <c r="AB42" s="70"/>
      <c r="AC42" s="70"/>
      <c r="AD42" s="70"/>
      <c r="AE42" s="168"/>
      <c r="BF42" s="11"/>
      <c r="BH42" s="5">
        <v>1</v>
      </c>
      <c r="BI42" s="8"/>
      <c r="BK42" s="6" t="s">
        <v>130</v>
      </c>
      <c r="BL42" s="241"/>
      <c r="EJ42" s="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</row>
    <row r="43" spans="2:188">
      <c r="B43" s="452"/>
      <c r="C43" s="30" t="s">
        <v>437</v>
      </c>
      <c r="D43" s="42">
        <f>Data!P44</f>
        <v>0</v>
      </c>
      <c r="E43" s="11">
        <v>39</v>
      </c>
      <c r="F43" s="8"/>
      <c r="G43" s="8"/>
      <c r="H43" s="311"/>
      <c r="I43" s="37"/>
      <c r="K43" s="3" t="s">
        <v>396</v>
      </c>
      <c r="L43" s="8">
        <f>XS_Designer_Summary!$X19</f>
        <v>405.03181208847701</v>
      </c>
      <c r="M43" s="8">
        <f>XS_Designer_Summary!$X13</f>
        <v>0</v>
      </c>
      <c r="N43" s="8">
        <f>XS_Designer_Summary!$X15</f>
        <v>235.53605447095302</v>
      </c>
      <c r="O43" s="8">
        <f>XS_Designer_Summary!$X16</f>
        <v>86.572440502172483</v>
      </c>
      <c r="P43" s="8">
        <f>XS_Designer_Summary!$X17</f>
        <v>82.923317115351537</v>
      </c>
      <c r="AU43"/>
      <c r="BF43" s="5" t="s">
        <v>699</v>
      </c>
      <c r="BH43" s="5">
        <v>2</v>
      </c>
      <c r="BI43" s="8"/>
      <c r="BK43" s="6" t="s">
        <v>623</v>
      </c>
      <c r="BL43" s="241"/>
      <c r="EJ43" s="2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</row>
    <row r="44" spans="2:188">
      <c r="E44" s="11">
        <v>40</v>
      </c>
      <c r="F44" s="8"/>
      <c r="G44" s="8"/>
      <c r="H44" s="311"/>
      <c r="I44" s="37"/>
      <c r="L44" s="11"/>
      <c r="M44" s="11"/>
      <c r="N44" s="11"/>
      <c r="O44" s="11"/>
      <c r="P44" s="11"/>
      <c r="Z44" s="11"/>
      <c r="AA44" s="11"/>
      <c r="BF44" s="5"/>
      <c r="BH44" s="5">
        <v>4</v>
      </c>
      <c r="BI44" s="8"/>
      <c r="BK44" s="6" t="s">
        <v>576</v>
      </c>
      <c r="BL44" s="241"/>
      <c r="EJ44" s="2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</row>
    <row r="45" spans="2:188">
      <c r="E45" s="11">
        <v>41</v>
      </c>
      <c r="F45" s="8"/>
      <c r="G45" s="8"/>
      <c r="H45" s="311"/>
      <c r="I45" s="37"/>
      <c r="K45" s="3" t="s">
        <v>950</v>
      </c>
      <c r="L45" s="8">
        <f>XS_Designer_Summary!$Z19</f>
        <v>0.47281040147708076</v>
      </c>
      <c r="M45" s="8">
        <f>XS_Designer_Summary!$Z13</f>
        <v>0</v>
      </c>
      <c r="N45" s="8">
        <f>XS_Designer_Summary!$Z15</f>
        <v>0.78684334682725399</v>
      </c>
      <c r="O45" s="8">
        <f>XS_Designer_Summary!$Z16</f>
        <v>0.30019019978951667</v>
      </c>
      <c r="P45" s="8">
        <f>XS_Designer_Summary!$Z17</f>
        <v>0.28753685338744905</v>
      </c>
      <c r="BF45" s="11"/>
      <c r="BH45" s="5">
        <v>8</v>
      </c>
      <c r="BI45" s="8"/>
      <c r="BK45" s="6" t="s">
        <v>371</v>
      </c>
      <c r="BL45" s="241"/>
      <c r="EJ45" s="2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</row>
    <row r="46" spans="2:188">
      <c r="E46" s="11">
        <v>42</v>
      </c>
      <c r="F46" s="8"/>
      <c r="G46" s="8"/>
      <c r="H46" s="311"/>
      <c r="I46" s="37"/>
      <c r="K46" s="3" t="s">
        <v>316</v>
      </c>
      <c r="L46" s="8">
        <f>XS_Designer_Summary!$AA19</f>
        <v>0.30226732438726694</v>
      </c>
      <c r="M46" s="8">
        <f>XS_Designer_Summary!$AA13</f>
        <v>0</v>
      </c>
      <c r="N46" s="8">
        <f>XS_Designer_Summary!$AA15</f>
        <v>1.2844343567304592</v>
      </c>
      <c r="O46" s="8">
        <f>XS_Designer_Summary!$AA16</f>
        <v>0.10717861103242701</v>
      </c>
      <c r="P46" s="8">
        <f>XS_Designer_Summary!$AA17</f>
        <v>9.8333644698254008E-2</v>
      </c>
      <c r="AA46" s="11"/>
      <c r="BF46" s="5" t="s">
        <v>446</v>
      </c>
      <c r="BH46" s="5">
        <v>16</v>
      </c>
      <c r="BI46" s="8"/>
      <c r="BK46" s="6" t="s">
        <v>54</v>
      </c>
      <c r="BL46" s="241"/>
      <c r="BR46"/>
      <c r="BS46"/>
      <c r="BT46"/>
      <c r="BW46"/>
      <c r="BX46"/>
      <c r="BY46"/>
      <c r="BZ46"/>
      <c r="CA46"/>
      <c r="CB46"/>
      <c r="EJ46" s="2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</row>
    <row r="47" spans="2:188" ht="18" customHeight="1">
      <c r="E47" s="11">
        <v>43</v>
      </c>
      <c r="F47" s="8"/>
      <c r="G47" s="8"/>
      <c r="H47" s="311"/>
      <c r="I47" s="37"/>
      <c r="K47" s="3" t="s">
        <v>646</v>
      </c>
      <c r="L47" s="8">
        <f>XS_Designer_Summary!$AB19</f>
        <v>5.3022673243872669</v>
      </c>
      <c r="M47" s="8">
        <f>XS_Designer_Summary!$AB13</f>
        <v>0</v>
      </c>
      <c r="N47" s="8">
        <f>XS_Designer_Summary!$AB15</f>
        <v>6.2844343567304595</v>
      </c>
      <c r="O47" s="8">
        <f>XS_Designer_Summary!$AB16</f>
        <v>5.1071786110324267</v>
      </c>
      <c r="P47" s="8">
        <f>XS_Designer_Summary!$AB17</f>
        <v>5.0983336446982541</v>
      </c>
      <c r="Z47" s="3" t="s">
        <v>645</v>
      </c>
      <c r="AA47" s="3" t="s">
        <v>274</v>
      </c>
      <c r="AB47" s="3" t="s">
        <v>986</v>
      </c>
      <c r="AC47" s="3" t="s">
        <v>694</v>
      </c>
      <c r="AE47" s="5" t="s">
        <v>78</v>
      </c>
      <c r="AF47" s="5" t="s">
        <v>885</v>
      </c>
      <c r="AG47" s="5" t="s">
        <v>648</v>
      </c>
      <c r="AH47" s="5" t="s">
        <v>826</v>
      </c>
      <c r="AI47" s="5" t="s">
        <v>273</v>
      </c>
      <c r="AJ47" s="5" t="s">
        <v>318</v>
      </c>
      <c r="AL47" s="3" t="s">
        <v>619</v>
      </c>
      <c r="AM47" s="3" t="s">
        <v>864</v>
      </c>
      <c r="AN47" s="3" t="s">
        <v>396</v>
      </c>
      <c r="AP47" s="3" t="s">
        <v>950</v>
      </c>
      <c r="AQ47" s="3" t="s">
        <v>316</v>
      </c>
      <c r="AR47" s="3" t="s">
        <v>646</v>
      </c>
      <c r="BF47" s="5"/>
      <c r="BH47" s="5">
        <v>32</v>
      </c>
      <c r="BI47" s="8"/>
      <c r="BK47" s="6" t="s">
        <v>807</v>
      </c>
      <c r="BL47" s="241"/>
      <c r="CB47"/>
      <c r="EJ47" s="2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</row>
    <row r="48" spans="2:188">
      <c r="E48" s="11">
        <v>44</v>
      </c>
      <c r="F48" s="8"/>
      <c r="G48" s="8"/>
      <c r="H48" s="311"/>
      <c r="I48" s="37"/>
      <c r="L48" s="11"/>
      <c r="BF48" s="11"/>
      <c r="BH48" s="5">
        <v>64</v>
      </c>
      <c r="BI48" s="8"/>
      <c r="BK48" s="5" t="s">
        <v>372</v>
      </c>
      <c r="BL48" s="241"/>
      <c r="CB48"/>
      <c r="EJ48" s="2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</row>
    <row r="49" spans="5:190">
      <c r="E49" s="11">
        <v>45</v>
      </c>
      <c r="F49" s="8"/>
      <c r="G49" s="8"/>
      <c r="H49" s="311"/>
      <c r="I49" s="37"/>
      <c r="BF49" s="5" t="s">
        <v>577</v>
      </c>
      <c r="BH49" s="5">
        <v>128</v>
      </c>
      <c r="BI49" s="8"/>
      <c r="BK49" s="6" t="s">
        <v>192</v>
      </c>
      <c r="BL49" s="241"/>
      <c r="CB49"/>
      <c r="EJ49" s="2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</row>
    <row r="50" spans="5:190">
      <c r="E50" s="11">
        <v>46</v>
      </c>
      <c r="F50" s="8"/>
      <c r="G50" s="8"/>
      <c r="H50" s="311"/>
      <c r="I50" s="37"/>
      <c r="K50" s="1" t="s">
        <v>930</v>
      </c>
      <c r="BF50" s="5"/>
      <c r="BH50" s="5">
        <v>256</v>
      </c>
      <c r="BI50" s="8"/>
      <c r="BK50" s="6" t="s">
        <v>506</v>
      </c>
      <c r="BL50" s="241"/>
      <c r="CB50"/>
      <c r="EJ50" s="2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</row>
    <row r="51" spans="5:190">
      <c r="E51" s="11">
        <v>47</v>
      </c>
      <c r="F51" s="8"/>
      <c r="G51" s="8"/>
      <c r="H51" s="311"/>
      <c r="I51" s="37"/>
      <c r="K51" s="5" t="s">
        <v>209</v>
      </c>
      <c r="L51" s="8">
        <f>N37/N38</f>
        <v>2.4107002036125946</v>
      </c>
      <c r="X51" s="11"/>
      <c r="AB51" s="1" t="s">
        <v>171</v>
      </c>
      <c r="BE51"/>
      <c r="BH51" s="5">
        <v>512</v>
      </c>
      <c r="BI51" s="37"/>
      <c r="CB51"/>
      <c r="EJ51" s="2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</row>
    <row r="52" spans="5:190">
      <c r="E52" s="11">
        <v>48</v>
      </c>
      <c r="F52" s="8"/>
      <c r="G52" s="8"/>
      <c r="H52" s="311"/>
      <c r="I52" s="37"/>
      <c r="N52" s="1" t="s">
        <v>871</v>
      </c>
      <c r="Z52" s="5" t="s">
        <v>173</v>
      </c>
      <c r="AA52" s="37">
        <f>XS_Designer!S99</f>
        <v>2.0764315458885463E-2</v>
      </c>
      <c r="AB52" s="1" t="s">
        <v>27</v>
      </c>
      <c r="BE52"/>
      <c r="BH52" s="5">
        <v>1024</v>
      </c>
      <c r="BI52" s="37"/>
      <c r="CB52"/>
      <c r="EK52" s="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</row>
    <row r="53" spans="5:190">
      <c r="E53" s="11">
        <v>49</v>
      </c>
      <c r="F53" s="8"/>
      <c r="G53" s="8"/>
      <c r="H53" s="311"/>
      <c r="I53" s="37"/>
      <c r="K53" s="5" t="s">
        <v>929</v>
      </c>
      <c r="L53" s="30"/>
      <c r="Z53" s="5" t="s">
        <v>722</v>
      </c>
      <c r="AA53" s="356">
        <f>Data!J22</f>
        <v>0.06</v>
      </c>
      <c r="AB53" s="1" t="s">
        <v>675</v>
      </c>
      <c r="BE53"/>
      <c r="BH53" s="5">
        <v>2048</v>
      </c>
      <c r="BI53" s="37"/>
      <c r="CB53"/>
      <c r="EK53" s="2"/>
      <c r="FN53" s="2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</row>
    <row r="54" spans="5:190">
      <c r="E54" s="11">
        <v>50</v>
      </c>
      <c r="F54" s="8"/>
      <c r="G54" s="8"/>
      <c r="H54" s="311"/>
      <c r="I54" s="37"/>
      <c r="K54" s="5" t="s">
        <v>46</v>
      </c>
      <c r="L54" s="30"/>
      <c r="BK54"/>
      <c r="CC54"/>
      <c r="EK54" s="2"/>
      <c r="FN54" s="2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</row>
    <row r="55" spans="5:190">
      <c r="E55" s="11">
        <v>51</v>
      </c>
      <c r="F55" s="8"/>
      <c r="G55" s="8"/>
      <c r="H55" s="311"/>
      <c r="I55" s="37"/>
      <c r="CC55"/>
      <c r="EK55" s="2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</row>
    <row r="56" spans="5:190">
      <c r="E56" s="11">
        <v>52</v>
      </c>
      <c r="F56" s="8"/>
      <c r="G56" s="8"/>
      <c r="H56" s="311"/>
      <c r="I56" s="37"/>
      <c r="K56" s="30" t="s">
        <v>311</v>
      </c>
      <c r="L56" s="8">
        <f>ABS((G17-G14)/(F17-F14))</f>
        <v>0.25068664169787769</v>
      </c>
      <c r="T56" s="11"/>
      <c r="W56" s="11"/>
      <c r="CC56"/>
      <c r="EK56" s="2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</row>
    <row r="57" spans="5:190">
      <c r="E57" s="11">
        <v>53</v>
      </c>
      <c r="F57" s="8"/>
      <c r="G57" s="8"/>
      <c r="H57" s="311"/>
      <c r="I57" s="37"/>
      <c r="K57" s="30" t="s">
        <v>133</v>
      </c>
      <c r="L57" s="8">
        <f>ABS((G11-G14)/(ABS(F11)-ABS(F14)))</f>
        <v>0.25068664169787769</v>
      </c>
      <c r="W57" s="11"/>
      <c r="CC57"/>
      <c r="EK57" s="2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</row>
    <row r="58" spans="5:190">
      <c r="E58" s="11">
        <v>54</v>
      </c>
      <c r="F58" s="8"/>
      <c r="G58" s="8"/>
      <c r="H58" s="311"/>
      <c r="I58" s="37"/>
      <c r="L58" s="11"/>
      <c r="AV58" s="450" t="s">
        <v>56</v>
      </c>
      <c r="AW58" s="3" t="s">
        <v>866</v>
      </c>
      <c r="AX58" s="100"/>
      <c r="CC58"/>
      <c r="EK58" s="2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</row>
    <row r="59" spans="5:190">
      <c r="E59" s="11">
        <v>55</v>
      </c>
      <c r="F59" s="8"/>
      <c r="G59" s="8"/>
      <c r="H59" s="311"/>
      <c r="I59" s="37"/>
      <c r="K59" s="1" t="s">
        <v>812</v>
      </c>
      <c r="L59" s="11"/>
      <c r="Q59" s="429"/>
      <c r="R59" s="429"/>
      <c r="W59" s="429"/>
      <c r="X59" s="429"/>
      <c r="AV59" s="451"/>
      <c r="AW59" s="3" t="s">
        <v>949</v>
      </c>
      <c r="AX59" s="334"/>
      <c r="CC59"/>
      <c r="EK59" s="2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</row>
    <row r="60" spans="5:190">
      <c r="E60" s="11">
        <v>56</v>
      </c>
      <c r="F60" s="8"/>
      <c r="G60" s="8"/>
      <c r="H60" s="311"/>
      <c r="I60" s="37"/>
      <c r="K60" s="1" t="s">
        <v>510</v>
      </c>
      <c r="Q60" s="11"/>
      <c r="T60" s="11"/>
      <c r="W60" s="11"/>
      <c r="AV60" s="451"/>
      <c r="AW60" s="22"/>
      <c r="AX60" s="22"/>
      <c r="CC60"/>
      <c r="EK60" s="2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</row>
    <row r="61" spans="5:190">
      <c r="E61" s="11">
        <v>57</v>
      </c>
      <c r="F61" s="8"/>
      <c r="G61" s="8"/>
      <c r="H61" s="311"/>
      <c r="I61" s="37"/>
      <c r="Q61" s="174" t="s">
        <v>47</v>
      </c>
      <c r="R61" s="5"/>
      <c r="S61" s="5"/>
      <c r="T61" s="5"/>
      <c r="W61" s="11"/>
      <c r="AV61" s="451"/>
      <c r="AW61" s="5" t="s">
        <v>78</v>
      </c>
      <c r="AX61" s="100"/>
      <c r="CC61"/>
      <c r="EK61" s="2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</row>
    <row r="62" spans="5:190">
      <c r="E62" s="11">
        <v>58</v>
      </c>
      <c r="F62" s="8"/>
      <c r="G62" s="8"/>
      <c r="H62" s="311"/>
      <c r="I62" s="37"/>
      <c r="Q62" s="30"/>
      <c r="R62" s="30" t="s">
        <v>358</v>
      </c>
      <c r="S62" s="30" t="s">
        <v>45</v>
      </c>
      <c r="T62" s="5" t="s">
        <v>654</v>
      </c>
      <c r="W62" s="11"/>
      <c r="AV62" s="451"/>
      <c r="AW62" s="5" t="s">
        <v>885</v>
      </c>
      <c r="AX62" s="100"/>
      <c r="CC62"/>
      <c r="EK62" s="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</row>
    <row r="63" spans="5:190">
      <c r="E63" s="11">
        <v>59</v>
      </c>
      <c r="F63" s="8"/>
      <c r="G63" s="8"/>
      <c r="H63" s="311"/>
      <c r="I63" s="37"/>
      <c r="Q63" s="5" t="s">
        <v>570</v>
      </c>
      <c r="R63" s="37">
        <f>2.5*$D$8</f>
        <v>25</v>
      </c>
      <c r="S63" s="37">
        <f>3.2*$D$8</f>
        <v>32</v>
      </c>
      <c r="T63" s="30" t="s">
        <v>360</v>
      </c>
      <c r="AV63" s="451"/>
      <c r="AW63" s="5" t="s">
        <v>648</v>
      </c>
      <c r="AX63" s="100"/>
      <c r="CC63"/>
      <c r="EK63" s="2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</row>
    <row r="64" spans="5:190">
      <c r="E64" s="11">
        <v>60</v>
      </c>
      <c r="F64" s="8"/>
      <c r="G64" s="8"/>
      <c r="H64" s="311"/>
      <c r="I64" s="37"/>
      <c r="Q64" s="5" t="s">
        <v>258</v>
      </c>
      <c r="R64" s="37">
        <f>10*$D$8</f>
        <v>100</v>
      </c>
      <c r="S64" s="37">
        <f>14*$D$8</f>
        <v>140</v>
      </c>
      <c r="T64" s="30" t="s">
        <v>360</v>
      </c>
      <c r="U64" s="11"/>
      <c r="W64" s="429"/>
      <c r="X64" s="429"/>
      <c r="AV64" s="451"/>
      <c r="AW64" s="5" t="s">
        <v>826</v>
      </c>
      <c r="AX64" s="100"/>
      <c r="CC64"/>
      <c r="EK64" s="2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</row>
    <row r="65" spans="5:190">
      <c r="E65" s="11">
        <v>61</v>
      </c>
      <c r="F65" s="8"/>
      <c r="G65" s="8"/>
      <c r="H65" s="311"/>
      <c r="I65" s="37"/>
      <c r="Q65" s="5" t="s">
        <v>244</v>
      </c>
      <c r="R65" s="42">
        <v>96</v>
      </c>
      <c r="S65" s="42"/>
      <c r="T65" s="30" t="s">
        <v>359</v>
      </c>
      <c r="W65" s="11"/>
      <c r="Z65" s="30" t="s">
        <v>301</v>
      </c>
      <c r="AA65" s="330"/>
      <c r="AV65" s="451"/>
      <c r="AW65" s="5" t="s">
        <v>273</v>
      </c>
      <c r="AX65" s="100"/>
      <c r="CC65"/>
      <c r="EK65" s="2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</row>
    <row r="66" spans="5:190">
      <c r="E66" s="11">
        <v>62</v>
      </c>
      <c r="F66" s="8"/>
      <c r="G66" s="8"/>
      <c r="H66" s="311"/>
      <c r="I66" s="37"/>
      <c r="Q66" s="5" t="s">
        <v>46</v>
      </c>
      <c r="R66" s="37">
        <f>R65/$D$8</f>
        <v>9.6</v>
      </c>
      <c r="S66" s="37"/>
      <c r="T66" s="5" t="s">
        <v>123</v>
      </c>
      <c r="W66" s="11"/>
      <c r="AV66" s="451"/>
      <c r="AW66" s="5" t="s">
        <v>318</v>
      </c>
      <c r="AX66" s="100"/>
      <c r="CC66"/>
      <c r="EK66" s="2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</row>
    <row r="67" spans="5:190">
      <c r="E67" s="11">
        <v>63</v>
      </c>
      <c r="F67" s="8"/>
      <c r="G67" s="8"/>
      <c r="H67" s="311"/>
      <c r="I67" s="37"/>
      <c r="Q67" s="5" t="s">
        <v>440</v>
      </c>
      <c r="R67" s="37">
        <f>2.88*$R$63</f>
        <v>72</v>
      </c>
      <c r="S67" s="37">
        <f>2.88*$S$63</f>
        <v>92.16</v>
      </c>
      <c r="T67" s="30" t="s">
        <v>360</v>
      </c>
      <c r="AV67" s="451"/>
      <c r="AW67" s="22"/>
      <c r="AX67" s="22"/>
      <c r="CC67"/>
      <c r="EK67" s="2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</row>
    <row r="68" spans="5:190">
      <c r="E68" s="11">
        <v>64</v>
      </c>
      <c r="F68" s="8"/>
      <c r="G68" s="8"/>
      <c r="H68" s="311"/>
      <c r="I68" s="37"/>
      <c r="Q68" s="5" t="s">
        <v>245</v>
      </c>
      <c r="R68" s="37">
        <f t="shared" ref="R68:S68" si="16">R67/$D$8</f>
        <v>7.2</v>
      </c>
      <c r="S68" s="37">
        <f t="shared" si="16"/>
        <v>9.2159999999999993</v>
      </c>
      <c r="T68" s="30" t="s">
        <v>124</v>
      </c>
      <c r="U68" s="11"/>
      <c r="W68" s="429"/>
      <c r="X68" s="429"/>
      <c r="AI68" s="52" t="s">
        <v>102</v>
      </c>
      <c r="AV68" s="451"/>
      <c r="AW68" s="3" t="s">
        <v>986</v>
      </c>
      <c r="AX68" s="100"/>
      <c r="BP68"/>
      <c r="BQ68"/>
      <c r="BR68"/>
      <c r="BS68"/>
      <c r="BT68"/>
      <c r="BU68"/>
      <c r="BX68"/>
      <c r="BY68"/>
      <c r="BZ68"/>
      <c r="CA68"/>
      <c r="CB68"/>
      <c r="CC68"/>
      <c r="EK68" s="2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</row>
    <row r="69" spans="5:190">
      <c r="E69" s="11">
        <v>65</v>
      </c>
      <c r="F69" s="8"/>
      <c r="G69" s="8"/>
      <c r="H69" s="311"/>
      <c r="I69" s="37"/>
      <c r="Q69" s="5" t="s">
        <v>701</v>
      </c>
      <c r="R69" s="37"/>
      <c r="S69" s="343"/>
      <c r="T69" s="174" t="s">
        <v>449</v>
      </c>
      <c r="AI69" s="171"/>
      <c r="AJ69" s="132"/>
      <c r="AK69" s="132"/>
      <c r="AL69" s="132"/>
      <c r="AM69" s="231"/>
      <c r="AV69" s="451"/>
      <c r="AW69" s="3" t="s">
        <v>694</v>
      </c>
      <c r="AX69" s="100"/>
      <c r="BP69"/>
      <c r="BQ69"/>
      <c r="BR69"/>
      <c r="BS69"/>
      <c r="BT69"/>
      <c r="BU69"/>
      <c r="BX69"/>
      <c r="BY69"/>
      <c r="BZ69"/>
      <c r="CA69"/>
      <c r="CB69"/>
      <c r="CC69"/>
      <c r="EK69" s="2"/>
      <c r="EL69" s="2"/>
      <c r="EM69" s="2"/>
      <c r="EN69" s="19" t="e">
        <f>IF(OR(XS_Designer_Calculations!BE67&lt;&gt;0,XS_Designer_Calculations!BG67="MAX WSE"),VLOOKUP(XS_Designer_Calculations!BA67,XS_Designer_Summary!$C$3:$C$11,2,TRUE),IF(XS_Designer_Calculations!BE67&lt;&gt;0,VLOOKUP(XS_Designer_Calculations!BF67,XS_Designer_Summary!$C$3:$C$11,2,TRUE),""))</f>
        <v>#N/A</v>
      </c>
      <c r="EO69" s="19"/>
      <c r="EP69" s="19"/>
      <c r="EQ69" s="19"/>
      <c r="ER69" s="19"/>
      <c r="ES69" s="19"/>
      <c r="ET69" s="19"/>
      <c r="EU69" s="19"/>
      <c r="EV69" s="19"/>
      <c r="EW69" s="19"/>
      <c r="EX69" s="19"/>
      <c r="EY69"/>
      <c r="EZ69"/>
      <c r="FA69" s="2"/>
      <c r="FB69"/>
      <c r="FC69"/>
      <c r="FD69" s="2"/>
      <c r="FE69"/>
      <c r="FF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</row>
    <row r="70" spans="5:190">
      <c r="E70" s="11">
        <v>66</v>
      </c>
      <c r="F70" s="8"/>
      <c r="G70" s="8"/>
      <c r="H70" s="311"/>
      <c r="I70" s="37"/>
      <c r="AI70" s="153"/>
      <c r="AM70" s="222"/>
      <c r="AV70" s="451"/>
      <c r="AW70" s="22"/>
      <c r="AX70" s="22"/>
      <c r="EK70" s="2"/>
      <c r="EL70" s="2"/>
      <c r="EM70" s="2"/>
      <c r="EN70" s="19" t="e">
        <f>IF(OR(XS_Designer_Calculations!BE68&lt;&gt;0,XS_Designer_Calculations!BG68="MAX WSE"),VLOOKUP(XS_Designer_Calculations!BA68,XS_Designer_Summary!$C$3:$C$11,2,TRUE),IF(XS_Designer_Calculations!BE68&lt;&gt;0,VLOOKUP(XS_Designer_Calculations!BF68,XS_Designer_Summary!$C$3:$C$11,2,TRUE),""))</f>
        <v>#N/A</v>
      </c>
      <c r="EO70" s="19"/>
      <c r="EP70" s="19"/>
      <c r="EQ70" s="19"/>
      <c r="ER70" s="19"/>
      <c r="ES70" s="19"/>
      <c r="ET70" s="19"/>
      <c r="EU70" s="19"/>
      <c r="EV70" s="19"/>
      <c r="EW70" s="19"/>
      <c r="EX70" s="19"/>
      <c r="EY70"/>
      <c r="EZ70"/>
      <c r="FA70" s="2"/>
      <c r="FB70"/>
      <c r="FC70"/>
      <c r="FD70" s="2"/>
      <c r="FE70"/>
      <c r="FF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</row>
    <row r="71" spans="5:190">
      <c r="E71" s="11">
        <v>67</v>
      </c>
      <c r="F71" s="8"/>
      <c r="G71" s="8"/>
      <c r="H71" s="311"/>
      <c r="I71" s="37"/>
      <c r="K71" s="1" t="s">
        <v>631</v>
      </c>
      <c r="AI71" s="153"/>
      <c r="AM71" s="222"/>
      <c r="AV71" s="451"/>
      <c r="AW71" s="3" t="s">
        <v>619</v>
      </c>
      <c r="AX71" s="100"/>
      <c r="EK71" s="2"/>
      <c r="EL71" s="2"/>
      <c r="EM71" s="2"/>
      <c r="EN71" s="19" t="e">
        <f>IF(OR(XS_Designer_Calculations!BE69&lt;&gt;0,XS_Designer_Calculations!BG69="MAX WSE"),VLOOKUP(XS_Designer_Calculations!BA69,XS_Designer_Summary!$C$3:$C$11,2,TRUE),IF(XS_Designer_Calculations!BE69&lt;&gt;0,VLOOKUP(XS_Designer_Calculations!BF69,XS_Designer_Summary!$C$3:$C$11,2,TRUE),""))</f>
        <v>#N/A</v>
      </c>
      <c r="EO71" s="19"/>
      <c r="EP71" s="19"/>
      <c r="EQ71" s="19"/>
      <c r="ER71" s="19"/>
      <c r="ES71" s="19"/>
      <c r="ET71" s="19"/>
      <c r="EU71" s="19"/>
      <c r="EV71" s="19"/>
      <c r="EW71" s="19"/>
      <c r="EX71" s="19"/>
      <c r="EY71"/>
      <c r="EZ71"/>
      <c r="FA71" s="2"/>
      <c r="FB71"/>
      <c r="FC71"/>
      <c r="FD71" s="2"/>
      <c r="FE71"/>
      <c r="FF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</row>
    <row r="72" spans="5:190">
      <c r="E72" s="11">
        <v>68</v>
      </c>
      <c r="F72" s="8"/>
      <c r="G72" s="8"/>
      <c r="H72" s="311"/>
      <c r="I72" s="37"/>
      <c r="Q72" s="11"/>
      <c r="R72" s="11"/>
      <c r="T72" s="11"/>
      <c r="U72" s="11"/>
      <c r="W72" s="11"/>
      <c r="X72" s="11"/>
      <c r="AI72" s="153"/>
      <c r="AM72" s="222"/>
      <c r="AV72" s="452"/>
      <c r="AW72" s="3" t="s">
        <v>864</v>
      </c>
      <c r="AX72" s="100"/>
      <c r="EK72" s="2"/>
      <c r="EL72" s="2"/>
      <c r="EM72" s="2"/>
      <c r="EN72" s="19" t="e">
        <f>IF(OR(XS_Designer_Calculations!BE70&lt;&gt;0,XS_Designer_Calculations!BG70="MAX WSE"),VLOOKUP(XS_Designer_Calculations!BA70,XS_Designer_Summary!$C$3:$C$11,2,TRUE),IF(XS_Designer_Calculations!BE70&lt;&gt;0,VLOOKUP(XS_Designer_Calculations!BF70,XS_Designer_Summary!$C$3:$C$11,2,TRUE),""))</f>
        <v>#N/A</v>
      </c>
      <c r="EO72" s="19"/>
      <c r="EP72" s="19"/>
      <c r="EQ72" s="19"/>
      <c r="ER72" s="19"/>
      <c r="ES72" s="19"/>
      <c r="ET72" s="19"/>
      <c r="EU72" s="19"/>
      <c r="EV72" s="19"/>
      <c r="EW72" s="19"/>
      <c r="EX72" s="19"/>
      <c r="EY72"/>
      <c r="EZ72"/>
      <c r="FA72" s="2"/>
      <c r="FB72"/>
      <c r="FC72"/>
      <c r="FD72" s="2"/>
      <c r="FE72"/>
      <c r="FF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</row>
    <row r="73" spans="5:190">
      <c r="E73" s="11">
        <v>69</v>
      </c>
      <c r="F73" s="8"/>
      <c r="G73" s="8"/>
      <c r="H73" s="311"/>
      <c r="I73" s="37"/>
      <c r="Q73" s="11"/>
      <c r="T73" s="11"/>
      <c r="W73" s="11"/>
      <c r="AI73" s="153"/>
      <c r="AM73" s="222"/>
      <c r="EK73" s="2"/>
      <c r="EL73" s="2"/>
      <c r="EM73" s="2"/>
      <c r="EN73" s="19" t="e">
        <f>IF(OR(XS_Designer_Calculations!BE71&lt;&gt;0,XS_Designer_Calculations!BG71="MAX WSE"),VLOOKUP(XS_Designer_Calculations!BA71,XS_Designer_Summary!$C$3:$C$11,2,TRUE),IF(XS_Designer_Calculations!BE71&lt;&gt;0,VLOOKUP(XS_Designer_Calculations!BF71,XS_Designer_Summary!$C$3:$C$11,2,TRUE),""))</f>
        <v>#N/A</v>
      </c>
      <c r="EO73" s="19"/>
      <c r="EP73" s="19"/>
      <c r="EQ73" s="19"/>
      <c r="ER73" s="19"/>
      <c r="ES73" s="19"/>
      <c r="ET73" s="19"/>
      <c r="EU73" s="19"/>
      <c r="EV73" s="19"/>
      <c r="EW73" s="19"/>
      <c r="EX73" s="19"/>
      <c r="EY73"/>
      <c r="EZ73"/>
      <c r="FA73" s="2"/>
      <c r="FB73"/>
      <c r="FC73"/>
      <c r="FD73" s="2"/>
      <c r="FE73"/>
      <c r="FF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</row>
    <row r="74" spans="5:190">
      <c r="E74" s="11">
        <v>70</v>
      </c>
      <c r="F74" s="8"/>
      <c r="G74" s="8"/>
      <c r="H74" s="311"/>
      <c r="I74" s="37"/>
      <c r="Q74" s="11"/>
      <c r="AI74" s="153"/>
      <c r="AM74" s="222"/>
      <c r="EK74" s="2"/>
      <c r="EL74" s="2"/>
      <c r="EM74" s="2"/>
      <c r="EN74" s="19" t="e">
        <f>IF(OR(XS_Designer_Calculations!BE72&lt;&gt;0,XS_Designer_Calculations!BG72="MAX WSE"),VLOOKUP(XS_Designer_Calculations!BA72,XS_Designer_Summary!$C$3:$C$11,2,TRUE),IF(XS_Designer_Calculations!BE72&lt;&gt;0,VLOOKUP(XS_Designer_Calculations!BF72,XS_Designer_Summary!$C$3:$C$11,2,TRUE),""))</f>
        <v>#N/A</v>
      </c>
      <c r="EO74" s="19"/>
      <c r="EP74" s="19"/>
      <c r="EQ74" s="19"/>
      <c r="ER74" s="19"/>
      <c r="ES74" s="19"/>
      <c r="ET74" s="19"/>
      <c r="EU74" s="19"/>
      <c r="EV74" s="19"/>
      <c r="EW74" s="19"/>
      <c r="EX74" s="19"/>
      <c r="EY74"/>
      <c r="EZ74"/>
      <c r="FA74" s="2"/>
      <c r="FB74"/>
      <c r="FC74"/>
      <c r="FD74" s="2"/>
      <c r="FE74"/>
      <c r="FF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</row>
    <row r="75" spans="5:190">
      <c r="E75" s="11">
        <v>71</v>
      </c>
      <c r="F75" s="8"/>
      <c r="G75" s="8"/>
      <c r="H75" s="311"/>
      <c r="I75" s="37"/>
      <c r="Q75" s="11"/>
      <c r="X75" s="12"/>
      <c r="AI75" s="153"/>
      <c r="AM75" s="222"/>
      <c r="EK75" s="2"/>
      <c r="EL75" s="2"/>
      <c r="EM75" s="2"/>
      <c r="EN75" s="19" t="e">
        <f>IF(OR(XS_Designer_Calculations!BE73&lt;&gt;0,XS_Designer_Calculations!BG73="MAX WSE"),VLOOKUP(XS_Designer_Calculations!BA73,XS_Designer_Summary!$C$3:$C$11,2,TRUE),IF(XS_Designer_Calculations!BE73&lt;&gt;0,VLOOKUP(XS_Designer_Calculations!BF73,XS_Designer_Summary!$C$3:$C$11,2,TRUE),""))</f>
        <v>#N/A</v>
      </c>
      <c r="EO75" s="19"/>
      <c r="EP75" s="19"/>
      <c r="EQ75" s="19"/>
      <c r="ER75" s="19"/>
      <c r="ES75" s="19"/>
      <c r="ET75" s="19"/>
      <c r="EU75" s="19"/>
      <c r="EV75" s="19"/>
      <c r="EW75" s="19"/>
      <c r="EX75" s="19"/>
      <c r="EY75"/>
      <c r="EZ75"/>
      <c r="FA75" s="2"/>
      <c r="FB75"/>
      <c r="FC75"/>
      <c r="FD75" s="2"/>
      <c r="FE75"/>
      <c r="FF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</row>
    <row r="76" spans="5:190">
      <c r="E76" s="11">
        <v>72</v>
      </c>
      <c r="F76" s="8"/>
      <c r="G76" s="8"/>
      <c r="H76" s="311"/>
      <c r="I76" s="37"/>
      <c r="Q76" s="11"/>
      <c r="X76" s="11"/>
      <c r="AI76" s="153"/>
      <c r="AM76" s="222"/>
      <c r="EK76" s="2"/>
      <c r="EL76" s="2"/>
      <c r="EM76" s="2"/>
      <c r="EN76" s="19" t="e">
        <f>IF(OR(XS_Designer_Calculations!BE74&lt;&gt;0,XS_Designer_Calculations!BG74="MAX WSE"),VLOOKUP(XS_Designer_Calculations!BA74,XS_Designer_Summary!$C$3:$C$11,2,TRUE),IF(XS_Designer_Calculations!BE74&lt;&gt;0,VLOOKUP(XS_Designer_Calculations!BF74,XS_Designer_Summary!$C$3:$C$11,2,TRUE),""))</f>
        <v>#N/A</v>
      </c>
      <c r="EO76" s="19"/>
      <c r="EP76" s="19"/>
      <c r="EQ76" s="19"/>
      <c r="ER76" s="19"/>
      <c r="ES76" s="19"/>
      <c r="ET76" s="19"/>
      <c r="EU76" s="19"/>
      <c r="EV76" s="19"/>
      <c r="EW76" s="19"/>
      <c r="EX76" s="19"/>
      <c r="EY76"/>
      <c r="EZ76"/>
      <c r="FA76" s="2"/>
      <c r="FB76"/>
      <c r="FC76"/>
      <c r="FD76" s="2"/>
      <c r="FE76"/>
      <c r="FF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</row>
    <row r="77" spans="5:190">
      <c r="E77" s="11">
        <v>73</v>
      </c>
      <c r="F77" s="8"/>
      <c r="G77" s="8"/>
      <c r="H77" s="311"/>
      <c r="I77" s="37"/>
      <c r="Q77" s="11"/>
      <c r="AI77" s="153"/>
      <c r="AM77" s="222"/>
      <c r="EK77" s="2"/>
      <c r="EL77" s="2"/>
      <c r="EM77" s="2"/>
      <c r="EN77" s="19" t="e">
        <f>IF(OR(XS_Designer_Calculations!BE75&lt;&gt;0,XS_Designer_Calculations!BG75="MAX WSE"),VLOOKUP(XS_Designer_Calculations!BA75,XS_Designer_Summary!$C$3:$C$11,2,TRUE),IF(XS_Designer_Calculations!BE75&lt;&gt;0,VLOOKUP(XS_Designer_Calculations!BF75,XS_Designer_Summary!$C$3:$C$11,2,TRUE),""))</f>
        <v>#N/A</v>
      </c>
      <c r="EO77" s="19"/>
      <c r="EP77" s="19"/>
      <c r="EQ77" s="19"/>
      <c r="ER77" s="19"/>
      <c r="ES77" s="19"/>
      <c r="ET77" s="19"/>
      <c r="EU77" s="19"/>
      <c r="EV77" s="19"/>
      <c r="EW77" s="19"/>
      <c r="EX77" s="19"/>
      <c r="EY77"/>
      <c r="EZ77"/>
      <c r="FA77" s="2"/>
      <c r="FB77"/>
      <c r="FC77"/>
      <c r="FD77" s="2"/>
      <c r="FE77"/>
      <c r="FF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</row>
    <row r="78" spans="5:190">
      <c r="E78" s="11">
        <v>74</v>
      </c>
      <c r="F78" s="8"/>
      <c r="G78" s="8"/>
      <c r="H78" s="311"/>
      <c r="I78" s="37"/>
      <c r="Q78" s="11"/>
      <c r="AI78" s="158"/>
      <c r="AJ78" s="70"/>
      <c r="AK78" s="70"/>
      <c r="AL78" s="70"/>
      <c r="AM78" s="168"/>
      <c r="EK78" s="2"/>
      <c r="EL78" s="2"/>
      <c r="EM78" s="2"/>
      <c r="EN78" s="19" t="e">
        <f>IF(OR(XS_Designer_Calculations!BE76&lt;&gt;0,XS_Designer_Calculations!BG76="MAX WSE"),VLOOKUP(XS_Designer_Calculations!BA76,XS_Designer_Summary!$C$3:$C$11,2,TRUE),IF(XS_Designer_Calculations!BE76&lt;&gt;0,VLOOKUP(XS_Designer_Calculations!BF76,XS_Designer_Summary!$C$3:$C$11,2,TRUE),""))</f>
        <v>#N/A</v>
      </c>
      <c r="EO78" s="19"/>
      <c r="EP78" s="19"/>
      <c r="EQ78" s="19"/>
      <c r="ER78" s="19"/>
      <c r="ES78" s="19"/>
      <c r="ET78" s="19"/>
      <c r="EU78" s="19"/>
      <c r="EV78" s="19"/>
      <c r="EW78" s="19"/>
      <c r="EX78" s="19"/>
      <c r="EY78"/>
      <c r="EZ78"/>
      <c r="FA78" s="2"/>
      <c r="FB78"/>
      <c r="FC78"/>
      <c r="FD78" s="2"/>
      <c r="FE78"/>
      <c r="FF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</row>
    <row r="79" spans="5:190">
      <c r="E79" s="11">
        <v>75</v>
      </c>
      <c r="F79" s="8"/>
      <c r="G79" s="8"/>
      <c r="H79" s="311"/>
      <c r="I79" s="37"/>
      <c r="EK79" s="2"/>
      <c r="EL79" s="2"/>
      <c r="EM79" s="2"/>
      <c r="EN79" s="19" t="e">
        <f>IF(OR(XS_Designer_Calculations!BE77&lt;&gt;0,XS_Designer_Calculations!BG77="MAX WSE"),VLOOKUP(XS_Designer_Calculations!BA77,XS_Designer_Summary!$C$3:$C$11,2,TRUE),IF(XS_Designer_Calculations!BE77&lt;&gt;0,VLOOKUP(XS_Designer_Calculations!BF77,XS_Designer_Summary!$C$3:$C$11,2,TRUE),""))</f>
        <v>#N/A</v>
      </c>
      <c r="EO79" s="19"/>
      <c r="EP79" s="19"/>
      <c r="EQ79" s="19"/>
      <c r="ER79" s="19"/>
      <c r="ES79" s="19"/>
      <c r="ET79" s="19"/>
      <c r="EU79" s="19"/>
      <c r="EV79" s="19"/>
      <c r="EW79" s="19"/>
      <c r="EX79" s="19"/>
      <c r="EY79"/>
      <c r="EZ79"/>
      <c r="FA79" s="2"/>
      <c r="FB79"/>
      <c r="FC79"/>
      <c r="FD79" s="2"/>
      <c r="FE79"/>
      <c r="FF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</row>
    <row r="80" spans="5:190">
      <c r="E80" s="11">
        <v>76</v>
      </c>
      <c r="F80" s="8"/>
      <c r="G80" s="8"/>
      <c r="H80" s="311"/>
      <c r="I80" s="37"/>
      <c r="Q80" s="52"/>
      <c r="X80" s="52"/>
      <c r="EK80" s="2"/>
      <c r="EL80" s="2"/>
      <c r="EM80" s="2"/>
      <c r="EN80" s="19" t="e">
        <f>IF(OR(XS_Designer_Calculations!BE78&lt;&gt;0,XS_Designer_Calculations!BG78="MAX WSE"),VLOOKUP(XS_Designer_Calculations!BA78,XS_Designer_Summary!$C$3:$C$11,2,TRUE),IF(XS_Designer_Calculations!BE78&lt;&gt;0,VLOOKUP(XS_Designer_Calculations!BF78,XS_Designer_Summary!$C$3:$C$11,2,TRUE),""))</f>
        <v>#N/A</v>
      </c>
      <c r="EO80" s="19"/>
      <c r="EP80" s="19"/>
      <c r="EQ80" s="19"/>
      <c r="ER80" s="19"/>
      <c r="ES80" s="19"/>
      <c r="ET80" s="19"/>
      <c r="EU80" s="19"/>
      <c r="EV80" s="19"/>
      <c r="EW80" s="19"/>
      <c r="EX80" s="19"/>
      <c r="EY80"/>
      <c r="EZ80"/>
      <c r="FA80" s="2"/>
      <c r="FB80"/>
      <c r="FC80"/>
      <c r="FD80" s="2"/>
      <c r="FE80"/>
      <c r="FF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</row>
    <row r="81" spans="5:189">
      <c r="E81" s="11">
        <v>77</v>
      </c>
      <c r="F81" s="8"/>
      <c r="G81" s="8"/>
      <c r="H81" s="311"/>
      <c r="I81" s="37"/>
      <c r="X81" s="11"/>
      <c r="EK81" s="2"/>
      <c r="EL81" s="2"/>
      <c r="EM81" s="2"/>
      <c r="EN81" s="19" t="e">
        <f>IF(OR(XS_Designer_Calculations!BE79&lt;&gt;0,XS_Designer_Calculations!BG79="MAX WSE"),VLOOKUP(XS_Designer_Calculations!BA79,XS_Designer_Summary!$C$3:$C$11,2,TRUE),IF(XS_Designer_Calculations!BE79&lt;&gt;0,VLOOKUP(XS_Designer_Calculations!BF79,XS_Designer_Summary!$C$3:$C$11,2,TRUE),""))</f>
        <v>#N/A</v>
      </c>
      <c r="EO81" s="19"/>
      <c r="EP81" s="19"/>
      <c r="EQ81" s="19"/>
      <c r="ER81" s="19"/>
      <c r="ES81" s="19"/>
      <c r="ET81" s="19"/>
      <c r="EU81" s="19"/>
      <c r="EV81" s="19"/>
      <c r="EW81" s="19"/>
      <c r="EX81" s="19"/>
      <c r="EY81"/>
      <c r="EZ81"/>
      <c r="FA81" s="2"/>
      <c r="FB81"/>
      <c r="FC81"/>
      <c r="FD81" s="2"/>
      <c r="FE81"/>
      <c r="FF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</row>
    <row r="82" spans="5:189">
      <c r="E82" s="11">
        <v>78</v>
      </c>
      <c r="F82" s="8"/>
      <c r="G82" s="8"/>
      <c r="H82" s="311"/>
      <c r="I82" s="37"/>
      <c r="X82" s="12"/>
      <c r="EK82" s="2"/>
      <c r="EL82" s="2"/>
      <c r="EM82" s="2"/>
      <c r="EN82" s="19" t="e">
        <f>IF(OR(XS_Designer_Calculations!BE80&lt;&gt;0,XS_Designer_Calculations!BG80="MAX WSE"),VLOOKUP(XS_Designer_Calculations!BA80,XS_Designer_Summary!$C$3:$C$11,2,TRUE),IF(XS_Designer_Calculations!BE80&lt;&gt;0,VLOOKUP(XS_Designer_Calculations!BF80,XS_Designer_Summary!$C$3:$C$11,2,TRUE),""))</f>
        <v>#N/A</v>
      </c>
      <c r="EO82" s="19"/>
      <c r="EP82" s="19"/>
      <c r="EQ82" s="19"/>
      <c r="ER82" s="19"/>
      <c r="ES82" s="19"/>
      <c r="ET82" s="19"/>
      <c r="EU82" s="19"/>
      <c r="EV82" s="19"/>
      <c r="EW82" s="19"/>
      <c r="EX82" s="19"/>
      <c r="EY82"/>
      <c r="EZ82"/>
      <c r="FA82" s="2"/>
      <c r="FB82"/>
      <c r="FC82"/>
      <c r="FD82" s="2"/>
      <c r="FE82"/>
      <c r="FF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</row>
    <row r="83" spans="5:189">
      <c r="E83" s="11">
        <v>79</v>
      </c>
      <c r="F83" s="8"/>
      <c r="G83" s="8"/>
      <c r="H83" s="311"/>
      <c r="I83" s="37"/>
      <c r="EK83" s="2"/>
      <c r="EL83" s="2"/>
      <c r="EM83" s="2"/>
      <c r="EN83" s="19" t="e">
        <f>IF(OR(XS_Designer_Calculations!BE81&lt;&gt;0,XS_Designer_Calculations!BG81="MAX WSE"),VLOOKUP(XS_Designer_Calculations!BA81,XS_Designer_Summary!$C$3:$C$11,2,TRUE),IF(XS_Designer_Calculations!BE81&lt;&gt;0,VLOOKUP(XS_Designer_Calculations!BF81,XS_Designer_Summary!$C$3:$C$11,2,TRUE),""))</f>
        <v>#N/A</v>
      </c>
      <c r="EO83" s="19"/>
      <c r="EP83" s="19"/>
      <c r="EQ83" s="19"/>
      <c r="ER83" s="19"/>
      <c r="ES83" s="19"/>
      <c r="ET83" s="19"/>
      <c r="EU83" s="19"/>
      <c r="EV83" s="19"/>
      <c r="EW83" s="19"/>
      <c r="EX83" s="19"/>
      <c r="EY83"/>
      <c r="EZ83"/>
      <c r="FA83" s="2"/>
      <c r="FB83"/>
      <c r="FC83"/>
      <c r="FD83" s="2"/>
      <c r="FE83"/>
      <c r="FF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</row>
    <row r="84" spans="5:189">
      <c r="E84" s="11">
        <v>80</v>
      </c>
      <c r="F84" s="8"/>
      <c r="G84" s="8"/>
      <c r="H84" s="311"/>
      <c r="I84" s="37"/>
      <c r="EK84" s="2"/>
      <c r="EL84" s="2"/>
      <c r="EM84" s="2"/>
      <c r="EN84" s="19" t="e">
        <f>IF(OR(XS_Designer_Calculations!BE82&lt;&gt;0,XS_Designer_Calculations!BG82="MAX WSE"),VLOOKUP(XS_Designer_Calculations!BA82,XS_Designer_Summary!$C$3:$C$11,2,TRUE),IF(XS_Designer_Calculations!BE82&lt;&gt;0,VLOOKUP(XS_Designer_Calculations!BF82,XS_Designer_Summary!$C$3:$C$11,2,TRUE),""))</f>
        <v>#N/A</v>
      </c>
      <c r="EO84" s="19"/>
      <c r="EP84" s="19"/>
      <c r="EQ84" s="19"/>
      <c r="ER84" s="19"/>
      <c r="ES84" s="19"/>
      <c r="ET84" s="19"/>
      <c r="EU84" s="19"/>
      <c r="EV84" s="19"/>
      <c r="EW84" s="19"/>
      <c r="EX84" s="19"/>
      <c r="EY84"/>
      <c r="EZ84"/>
      <c r="FA84" s="2"/>
      <c r="FB84"/>
      <c r="FC84"/>
      <c r="FD84" s="2"/>
      <c r="FE84"/>
      <c r="FF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</row>
    <row r="85" spans="5:189">
      <c r="E85" s="11">
        <v>81</v>
      </c>
      <c r="F85" s="8"/>
      <c r="G85" s="8"/>
      <c r="H85" s="311"/>
      <c r="I85" s="37"/>
      <c r="K85" s="1" t="s">
        <v>134</v>
      </c>
      <c r="EK85" s="2"/>
      <c r="EL85" s="2"/>
      <c r="EM85" s="2"/>
      <c r="EN85" s="19" t="e">
        <f>IF(OR(XS_Designer_Calculations!BE83&lt;&gt;0,XS_Designer_Calculations!BG83="MAX WSE"),VLOOKUP(XS_Designer_Calculations!BA83,XS_Designer_Summary!$C$3:$C$11,2,TRUE),IF(XS_Designer_Calculations!BE83&lt;&gt;0,VLOOKUP(XS_Designer_Calculations!BF83,XS_Designer_Summary!$C$3:$C$11,2,TRUE),""))</f>
        <v>#N/A</v>
      </c>
      <c r="EO85" s="19"/>
      <c r="EP85" s="19"/>
      <c r="EQ85" s="19"/>
      <c r="ER85" s="19"/>
      <c r="ES85" s="19"/>
      <c r="ET85" s="19"/>
      <c r="EU85" s="19"/>
      <c r="EV85" s="19"/>
      <c r="EW85" s="19"/>
      <c r="EX85" s="19"/>
      <c r="EY85"/>
      <c r="EZ85"/>
      <c r="FA85" s="2"/>
      <c r="FB85"/>
      <c r="FC85"/>
      <c r="FD85" s="2"/>
      <c r="FE85"/>
      <c r="FF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</row>
    <row r="86" spans="5:189" ht="15.75" thickBot="1">
      <c r="E86" s="11">
        <v>82</v>
      </c>
      <c r="F86" s="8"/>
      <c r="G86" s="8"/>
      <c r="H86" s="311"/>
      <c r="I86" s="37"/>
      <c r="K86" s="397" t="s">
        <v>582</v>
      </c>
      <c r="L86" s="397"/>
      <c r="M86" s="397"/>
      <c r="N86" s="397"/>
      <c r="O86" s="397"/>
      <c r="P86" s="397"/>
      <c r="EK86" s="2"/>
      <c r="EL86" s="2"/>
      <c r="EM86" s="2"/>
      <c r="EN86" s="19" t="e">
        <f>IF(OR(XS_Designer_Calculations!BE84&lt;&gt;0,XS_Designer_Calculations!BG84="MAX WSE"),VLOOKUP(XS_Designer_Calculations!BA84,XS_Designer_Summary!$C$3:$C$11,2,TRUE),IF(XS_Designer_Calculations!BE84&lt;&gt;0,VLOOKUP(XS_Designer_Calculations!BF84,XS_Designer_Summary!$C$3:$C$11,2,TRUE),""))</f>
        <v>#N/A</v>
      </c>
      <c r="EO86" s="19"/>
      <c r="EP86" s="19"/>
      <c r="EQ86" s="19"/>
      <c r="ER86" s="19"/>
      <c r="ES86" s="19"/>
      <c r="ET86" s="19"/>
      <c r="EU86" s="19"/>
      <c r="EV86" s="19"/>
      <c r="EW86" s="19"/>
      <c r="EX86" s="19"/>
      <c r="EY86"/>
      <c r="EZ86"/>
      <c r="FA86" s="2"/>
      <c r="FB86"/>
      <c r="FC86"/>
      <c r="FD86" s="2"/>
      <c r="FE86"/>
      <c r="FF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</row>
    <row r="87" spans="5:189" ht="15.75">
      <c r="E87" s="11">
        <v>83</v>
      </c>
      <c r="F87" s="8"/>
      <c r="G87" s="8"/>
      <c r="H87" s="311"/>
      <c r="I87" s="37"/>
      <c r="L87" s="10" t="s">
        <v>378</v>
      </c>
      <c r="M87" s="10" t="s">
        <v>11</v>
      </c>
      <c r="N87" s="10" t="s">
        <v>533</v>
      </c>
      <c r="O87" s="10" t="s">
        <v>531</v>
      </c>
      <c r="P87" s="10" t="s">
        <v>532</v>
      </c>
      <c r="S87" s="447" t="s">
        <v>961</v>
      </c>
      <c r="T87" s="448"/>
      <c r="U87" s="448"/>
      <c r="V87" s="448"/>
      <c r="W87" s="448"/>
      <c r="X87" s="448"/>
      <c r="Y87" s="448"/>
      <c r="Z87" s="449"/>
      <c r="EL87" s="2"/>
      <c r="EM87" s="2"/>
      <c r="EN87" s="2"/>
      <c r="EO87" s="19" t="e">
        <f>IF(OR(XS_Designer_Calculations!BE85&lt;&gt;0,XS_Designer_Calculations!BG85="MAX WSE"),VLOOKUP(XS_Designer_Calculations!BA85,XS_Designer_Summary!$C$3:$C$11,2,TRUE),IF(XS_Designer_Calculations!BE85&lt;&gt;0,VLOOKUP(XS_Designer_Calculations!BF85,XS_Designer_Summary!$C$3:$C$11,2,TRUE),""))</f>
        <v>#N/A</v>
      </c>
      <c r="EP87" s="19"/>
      <c r="EQ87" s="19"/>
      <c r="ER87" s="19"/>
      <c r="ES87" s="19"/>
      <c r="ET87" s="19"/>
      <c r="EU87" s="19"/>
      <c r="EV87" s="19"/>
      <c r="EW87" s="19"/>
      <c r="EX87" s="19"/>
      <c r="EY87" s="19"/>
      <c r="EZ87"/>
      <c r="FA87"/>
      <c r="FB87" s="2"/>
      <c r="FC87"/>
      <c r="FD87"/>
      <c r="FE87" s="2"/>
      <c r="FF87"/>
      <c r="FG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</row>
    <row r="88" spans="5:189" ht="15.75">
      <c r="E88" s="11">
        <v>84</v>
      </c>
      <c r="F88" s="8"/>
      <c r="G88" s="8"/>
      <c r="H88" s="311"/>
      <c r="I88" s="37"/>
      <c r="K88" s="5" t="s">
        <v>1005</v>
      </c>
      <c r="L88" s="8">
        <f>_xlfn.IFNA((($U$5*L$36)/(1.65*XS_Designer!$AA$52))*12,"-")</f>
        <v>8.9988493208557685</v>
      </c>
      <c r="M88" s="8">
        <f>_xlfn.IFNA((($U$5*M$36)/(1.65*XS_Designer!$AA$52))*12,"-")</f>
        <v>0</v>
      </c>
      <c r="N88" s="8">
        <f>_xlfn.IFNA((($U$5*N$36)/(1.65*XS_Designer!$AA$52))*12,"-")</f>
        <v>13.416517217970274</v>
      </c>
      <c r="O88" s="8">
        <f>_xlfn.IFNA((($U$5*O$36)/(1.65*XS_Designer!$AA$52))*12,"-")</f>
        <v>8.2337364818073393</v>
      </c>
      <c r="P88" s="8">
        <f>_xlfn.IFNA((($U$5*P$36)/(1.65*XS_Designer!$AA$52))*12,"-")</f>
        <v>7.7186699749179413</v>
      </c>
      <c r="S88" s="217" t="s">
        <v>837</v>
      </c>
      <c r="T88" s="65" t="s">
        <v>222</v>
      </c>
      <c r="U88" s="436" t="s">
        <v>223</v>
      </c>
      <c r="V88" s="434"/>
      <c r="W88" s="434"/>
      <c r="X88" s="434"/>
      <c r="Y88" s="434"/>
      <c r="Z88" s="437"/>
      <c r="BN88"/>
      <c r="BP88" s="412" t="s">
        <v>131</v>
      </c>
      <c r="BQ88" s="412"/>
      <c r="BR88" s="412"/>
      <c r="BS88" s="412"/>
      <c r="BT88" s="412"/>
      <c r="BU88" s="412"/>
      <c r="BV88" s="412"/>
      <c r="BW88" s="412"/>
      <c r="BX88" s="412"/>
      <c r="BY88" s="412"/>
      <c r="BZ88" s="412"/>
      <c r="CA88" s="412"/>
      <c r="CB88" s="412"/>
      <c r="CC88" s="412"/>
      <c r="CD88" s="412"/>
      <c r="CE88" s="412"/>
      <c r="CF88" s="412"/>
      <c r="CG88" s="412"/>
      <c r="CH88" s="412"/>
      <c r="CI88" s="412"/>
      <c r="CJ88" s="412"/>
      <c r="CK88" s="412"/>
      <c r="CL88" s="412"/>
      <c r="CM88" s="412"/>
      <c r="EL88" s="2"/>
      <c r="EM88" s="2"/>
      <c r="EN88" s="2"/>
      <c r="EO88" s="19" t="e">
        <f>IF(OR(XS_Designer_Calculations!BE86&lt;&gt;0,XS_Designer_Calculations!BG86="MAX WSE"),VLOOKUP(XS_Designer_Calculations!BA86,XS_Designer_Summary!$C$3:$C$11,2,TRUE),IF(XS_Designer_Calculations!BE86&lt;&gt;0,VLOOKUP(XS_Designer_Calculations!BF86,XS_Designer_Summary!$C$3:$C$11,2,TRUE),""))</f>
        <v>#N/A</v>
      </c>
      <c r="EP88" s="19"/>
      <c r="EQ88" s="19"/>
      <c r="ER88" s="19"/>
      <c r="ES88" s="19"/>
      <c r="ET88" s="19"/>
      <c r="EU88" s="19"/>
      <c r="EV88" s="19"/>
      <c r="EW88" s="19"/>
      <c r="EX88" s="19"/>
      <c r="EY88" s="19"/>
      <c r="EZ88"/>
      <c r="FA88"/>
      <c r="FB88" s="2"/>
      <c r="FC88"/>
      <c r="FD88"/>
      <c r="FE88" s="2"/>
      <c r="FF88"/>
      <c r="FG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</row>
    <row r="89" spans="5:189" ht="18.75">
      <c r="E89" s="11">
        <v>85</v>
      </c>
      <c r="F89" s="8"/>
      <c r="G89" s="8"/>
      <c r="H89" s="311"/>
      <c r="I89" s="37"/>
      <c r="K89" s="5" t="s">
        <v>889</v>
      </c>
      <c r="L89" s="8">
        <f>_xlfn.IFNA(L$41/((1.65*62.4)*$AA$53)*12,IF(S91&gt;7,CONCATENATE("PSR&gt;7",",",$S$91),CONCATENATE("SMR&lt;1.3",",",$S$94)))</f>
        <v>3.1142491010871067</v>
      </c>
      <c r="M89" s="8">
        <f>_xlfn.IFNA(M$41/((1.65*62.4)*$AA$53)*12,IF(T91&gt;7,CONCATENATE("PSR&gt;7",",",$S$91),CONCATENATE("SMR&lt;1.3",",",$S$94)))</f>
        <v>0</v>
      </c>
      <c r="N89" s="8">
        <f>_xlfn.IFNA(N$41/((1.65*62.4)*$AA$53)*12,IF(U91&gt;7,CONCATENATE("PSR&gt;7",",",$S$91),CONCATENATE("SMR&lt;1.3",",",$S$94)))</f>
        <v>4.6430799312250528</v>
      </c>
      <c r="O89" s="8">
        <f>_xlfn.IFNA(O$41/((1.65*62.4)*$AA$53)*12,IF(V91&gt;7,CONCATENATE("PSR&gt;7",",",$S$91),CONCATENATE("SMR&lt;1.3",",",$S$94)))</f>
        <v>2.8494650285596892</v>
      </c>
      <c r="P89" s="8">
        <f>_xlfn.IFNA(P$41/((1.65*62.4)*$AA$53)*12,IF(W91&gt;7,CONCATENATE("PSR&gt;7",",",$S$91),CONCATENATE("SMR&lt;1.3",",",$S$94)))</f>
        <v>2.6712149713703952</v>
      </c>
      <c r="S89" s="357">
        <f>Data!J19</f>
        <v>100</v>
      </c>
      <c r="T89" s="65" t="s">
        <v>539</v>
      </c>
      <c r="U89" s="438" t="s">
        <v>664</v>
      </c>
      <c r="V89" s="439"/>
      <c r="W89" s="439"/>
      <c r="X89" s="439"/>
      <c r="Y89" s="439"/>
      <c r="Z89" s="440"/>
      <c r="BN89"/>
      <c r="BP89" s="78" t="s">
        <v>255</v>
      </c>
      <c r="BQ89" s="78" t="s">
        <v>193</v>
      </c>
      <c r="BR89" s="78" t="s">
        <v>194</v>
      </c>
      <c r="BS89" s="78" t="s">
        <v>579</v>
      </c>
      <c r="BT89" s="78" t="s">
        <v>627</v>
      </c>
      <c r="BU89" s="78" t="s">
        <v>376</v>
      </c>
      <c r="BV89" s="32" t="s">
        <v>193</v>
      </c>
      <c r="BW89" s="32" t="s">
        <v>194</v>
      </c>
      <c r="BX89" s="32" t="s">
        <v>194</v>
      </c>
      <c r="BY89" s="32" t="s">
        <v>579</v>
      </c>
      <c r="BZ89" s="32" t="s">
        <v>579</v>
      </c>
      <c r="CA89" s="32" t="s">
        <v>627</v>
      </c>
      <c r="CB89" s="32" t="s">
        <v>627</v>
      </c>
      <c r="CC89" s="32" t="s">
        <v>376</v>
      </c>
      <c r="CD89" s="32" t="s">
        <v>376</v>
      </c>
      <c r="CE89" s="32" t="s">
        <v>700</v>
      </c>
      <c r="CF89" s="32" t="s">
        <v>700</v>
      </c>
      <c r="CG89" s="32" t="s">
        <v>377</v>
      </c>
      <c r="CH89" s="32" t="s">
        <v>377</v>
      </c>
      <c r="CI89" s="32" t="s">
        <v>700</v>
      </c>
      <c r="CJ89" s="32" t="s">
        <v>700</v>
      </c>
      <c r="CK89" s="32" t="s">
        <v>579</v>
      </c>
      <c r="CL89" s="32" t="s">
        <v>810</v>
      </c>
      <c r="CM89" s="3" t="s">
        <v>195</v>
      </c>
      <c r="EL89" s="2"/>
      <c r="EM89" s="2"/>
      <c r="EN89" s="2"/>
      <c r="EO89" s="19" t="e">
        <f>IF(OR(XS_Designer_Calculations!BE87&lt;&gt;0,XS_Designer_Calculations!BG87="MAX WSE"),VLOOKUP(XS_Designer_Calculations!BA87,XS_Designer_Summary!$C$3:$C$11,2,TRUE),IF(XS_Designer_Calculations!BE87&lt;&gt;0,VLOOKUP(XS_Designer_Calculations!BF87,XS_Designer_Summary!$C$3:$C$11,2,TRUE),""))</f>
        <v>#N/A</v>
      </c>
      <c r="EP89" s="19"/>
      <c r="EQ89" s="19"/>
      <c r="ER89" s="19"/>
      <c r="ES89" s="19"/>
      <c r="ET89" s="19"/>
      <c r="EU89" s="19"/>
      <c r="EV89" s="19"/>
      <c r="EW89" s="19"/>
      <c r="EX89" s="19"/>
      <c r="EY89" s="19"/>
      <c r="EZ89"/>
      <c r="FA89"/>
      <c r="FB89" s="2"/>
      <c r="FC89"/>
      <c r="FD89"/>
      <c r="FE89" s="2"/>
      <c r="FF89"/>
      <c r="FG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</row>
    <row r="90" spans="5:189" ht="15" customHeight="1">
      <c r="E90" s="11">
        <v>86</v>
      </c>
      <c r="F90" s="8"/>
      <c r="G90" s="8"/>
      <c r="H90" s="311"/>
      <c r="I90" s="37"/>
      <c r="K90" s="5" t="s">
        <v>653</v>
      </c>
      <c r="L90" s="8">
        <f t="shared" ref="L90:P90" si="17">((77.966*((62.4*$U$5*(L$38))^1.042)))*0.0393701</f>
        <v>5.2947718042527976</v>
      </c>
      <c r="M90" s="8">
        <f t="shared" si="17"/>
        <v>0</v>
      </c>
      <c r="N90" s="8">
        <f t="shared" si="17"/>
        <v>8.2713045968418175</v>
      </c>
      <c r="O90" s="8">
        <f t="shared" si="17"/>
        <v>4.632396327304896</v>
      </c>
      <c r="P90" s="236">
        <f t="shared" si="17"/>
        <v>4.632396327304896</v>
      </c>
      <c r="S90" s="358">
        <f>Data!K19</f>
        <v>80</v>
      </c>
      <c r="T90" s="65" t="s">
        <v>413</v>
      </c>
      <c r="U90" s="438" t="s">
        <v>774</v>
      </c>
      <c r="V90" s="439"/>
      <c r="W90" s="439"/>
      <c r="X90" s="439"/>
      <c r="Y90" s="439"/>
      <c r="Z90" s="440"/>
      <c r="AU90" s="413" t="s">
        <v>310</v>
      </c>
      <c r="AV90" s="380" t="s">
        <v>746</v>
      </c>
      <c r="AW90" s="381"/>
      <c r="AX90" s="381"/>
      <c r="AY90" s="381"/>
      <c r="AZ90" s="381"/>
      <c r="BA90" s="381"/>
      <c r="BB90" s="381"/>
      <c r="BC90" s="381"/>
      <c r="BD90" s="381"/>
      <c r="BE90" s="381"/>
      <c r="BF90" s="381"/>
      <c r="BG90" s="381"/>
      <c r="BH90" s="382"/>
      <c r="BP90" s="3">
        <v>0</v>
      </c>
      <c r="BQ90" s="3">
        <v>6.2E-2</v>
      </c>
      <c r="BR90" s="3">
        <v>0.125</v>
      </c>
      <c r="BS90" s="3">
        <v>0.25</v>
      </c>
      <c r="BT90" s="45">
        <v>0.5</v>
      </c>
      <c r="BU90" s="45">
        <v>1</v>
      </c>
      <c r="BV90" s="45">
        <v>2</v>
      </c>
      <c r="BW90" s="45">
        <v>4</v>
      </c>
      <c r="BX90" s="45">
        <v>5.7</v>
      </c>
      <c r="BY90" s="45">
        <v>8</v>
      </c>
      <c r="BZ90" s="45">
        <v>11.3</v>
      </c>
      <c r="CA90" s="45">
        <v>16</v>
      </c>
      <c r="CB90" s="45">
        <v>22.6</v>
      </c>
      <c r="CC90" s="3">
        <v>32</v>
      </c>
      <c r="CD90" s="3">
        <v>45</v>
      </c>
      <c r="CE90" s="3">
        <v>64</v>
      </c>
      <c r="CF90" s="3">
        <v>90</v>
      </c>
      <c r="CG90" s="3">
        <v>128</v>
      </c>
      <c r="CH90" s="3">
        <v>180</v>
      </c>
      <c r="CI90" s="3">
        <v>256</v>
      </c>
      <c r="CJ90" s="3">
        <v>362</v>
      </c>
      <c r="CK90" s="3">
        <v>512</v>
      </c>
      <c r="CL90" s="3">
        <v>1024</v>
      </c>
      <c r="CM90" s="3">
        <v>2048</v>
      </c>
      <c r="EL90" s="2"/>
      <c r="EM90" s="2"/>
      <c r="EN90" s="2"/>
      <c r="EO90" s="19" t="e">
        <f>IF(OR(XS_Designer_Calculations!BE88&lt;&gt;0,XS_Designer_Calculations!BG88="MAX WSE"),VLOOKUP(XS_Designer_Calculations!BA88,XS_Designer_Summary!$C$3:$C$11,2,TRUE),IF(XS_Designer_Calculations!BE88&lt;&gt;0,VLOOKUP(XS_Designer_Calculations!BF88,XS_Designer_Summary!$C$3:$C$11,2,TRUE),""))</f>
        <v>#N/A</v>
      </c>
      <c r="EP90" s="19"/>
      <c r="EQ90" s="19"/>
      <c r="ER90" s="19"/>
      <c r="ES90" s="19"/>
      <c r="ET90" s="19"/>
      <c r="EU90" s="19"/>
      <c r="EV90" s="19"/>
      <c r="EW90" s="19"/>
      <c r="EX90" s="19"/>
      <c r="EY90" s="19"/>
      <c r="EZ90"/>
      <c r="FA90"/>
      <c r="FB90" s="2"/>
      <c r="FC90"/>
      <c r="FD90"/>
      <c r="FE90" s="2"/>
      <c r="FF90"/>
      <c r="FG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</row>
    <row r="91" spans="5:189" ht="15.75">
      <c r="E91" s="11">
        <v>87</v>
      </c>
      <c r="F91" s="8"/>
      <c r="G91" s="8"/>
      <c r="H91" s="311"/>
      <c r="I91" s="37"/>
      <c r="K91" s="5" t="s">
        <v>467</v>
      </c>
      <c r="L91" s="8">
        <f t="shared" ref="L91:P91" si="18">((152.02*((62.4*$U$5*(L38))^0.7355)))*0.0393701</f>
        <v>8.7941970578674198</v>
      </c>
      <c r="M91" s="8">
        <f t="shared" si="18"/>
        <v>0</v>
      </c>
      <c r="N91" s="8">
        <f t="shared" si="18"/>
        <v>12.048667810479236</v>
      </c>
      <c r="O91" s="8">
        <f t="shared" si="18"/>
        <v>8.0025304109899746</v>
      </c>
      <c r="P91" s="236">
        <f t="shared" si="18"/>
        <v>8.0025304109899746</v>
      </c>
      <c r="S91" s="359">
        <f>S89/S90</f>
        <v>1.25</v>
      </c>
      <c r="T91" s="65" t="s">
        <v>540</v>
      </c>
      <c r="U91" s="438" t="s">
        <v>17</v>
      </c>
      <c r="V91" s="439"/>
      <c r="W91" s="439"/>
      <c r="X91" s="439"/>
      <c r="Y91" s="439"/>
      <c r="Z91" s="440"/>
      <c r="AU91" s="414"/>
      <c r="AV91" s="29" t="s">
        <v>695</v>
      </c>
      <c r="AW91" s="3" t="s">
        <v>867</v>
      </c>
      <c r="AX91" s="3" t="s">
        <v>803</v>
      </c>
      <c r="AY91" s="3" t="s">
        <v>575</v>
      </c>
      <c r="AZ91" s="416"/>
      <c r="BA91" s="5" t="s">
        <v>309</v>
      </c>
      <c r="BB91" s="5" t="s">
        <v>506</v>
      </c>
      <c r="BC91" s="5" t="s">
        <v>192</v>
      </c>
      <c r="BD91" s="5" t="s">
        <v>372</v>
      </c>
      <c r="BE91" s="5" t="s">
        <v>807</v>
      </c>
      <c r="BF91" s="5" t="s">
        <v>54</v>
      </c>
      <c r="BG91" s="5" t="s">
        <v>989</v>
      </c>
      <c r="BH91" s="5" t="s">
        <v>371</v>
      </c>
      <c r="BI91" s="5" t="s">
        <v>576</v>
      </c>
      <c r="BJ91" s="5" t="s">
        <v>623</v>
      </c>
      <c r="BK91" s="5" t="s">
        <v>809</v>
      </c>
      <c r="BL91" s="3" t="s">
        <v>806</v>
      </c>
      <c r="BN91" s="5" t="s">
        <v>57</v>
      </c>
      <c r="BP91" s="3">
        <v>6.2E-2</v>
      </c>
      <c r="BQ91" s="3">
        <v>0.125</v>
      </c>
      <c r="BR91" s="3">
        <v>0.25</v>
      </c>
      <c r="BS91" s="45">
        <v>0.5</v>
      </c>
      <c r="BT91" s="45">
        <v>1</v>
      </c>
      <c r="BU91" s="45">
        <v>2</v>
      </c>
      <c r="BV91" s="45">
        <v>4</v>
      </c>
      <c r="BW91" s="45">
        <v>5.7</v>
      </c>
      <c r="BX91" s="45">
        <v>8</v>
      </c>
      <c r="BY91" s="3">
        <v>11.03</v>
      </c>
      <c r="BZ91" s="45">
        <v>16</v>
      </c>
      <c r="CA91" s="45">
        <v>22.6</v>
      </c>
      <c r="CB91" s="45">
        <v>32</v>
      </c>
      <c r="CC91" s="3">
        <v>45</v>
      </c>
      <c r="CD91" s="3">
        <v>64</v>
      </c>
      <c r="CE91" s="3">
        <v>90</v>
      </c>
      <c r="CF91" s="3">
        <v>128</v>
      </c>
      <c r="CG91" s="3">
        <v>180</v>
      </c>
      <c r="CH91" s="3">
        <v>256</v>
      </c>
      <c r="CI91" s="3">
        <v>362</v>
      </c>
      <c r="CJ91" s="3">
        <v>512</v>
      </c>
      <c r="CK91" s="3">
        <v>1024</v>
      </c>
      <c r="CL91" s="3">
        <v>2048</v>
      </c>
      <c r="CM91" s="3">
        <v>4080</v>
      </c>
      <c r="EL91" s="2"/>
      <c r="EM91" s="2"/>
      <c r="EN91" s="2"/>
      <c r="EO91" s="19" t="e">
        <f>IF(OR(XS_Designer_Calculations!BE89&lt;&gt;0,XS_Designer_Calculations!BG89="MAX WSE"),VLOOKUP(XS_Designer_Calculations!BA89,XS_Designer_Summary!$C$3:$C$11,2,TRUE),IF(XS_Designer_Calculations!BE89&lt;&gt;0,VLOOKUP(XS_Designer_Calculations!BF89,XS_Designer_Summary!$C$3:$C$11,2,TRUE),""))</f>
        <v>#N/A</v>
      </c>
      <c r="EP91" s="19"/>
      <c r="EQ91" s="19"/>
      <c r="ER91" s="19"/>
      <c r="ES91" s="19"/>
      <c r="ET91" s="19"/>
      <c r="EU91" s="19"/>
      <c r="EV91" s="19"/>
      <c r="EW91" s="19"/>
      <c r="EX91" s="19"/>
      <c r="EY91" s="19"/>
      <c r="EZ91"/>
      <c r="FA91"/>
      <c r="FB91" s="2"/>
      <c r="FC91"/>
      <c r="FD91"/>
      <c r="FE91" s="2"/>
      <c r="FF91"/>
      <c r="FG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</row>
    <row r="92" spans="5:189" ht="15.75">
      <c r="E92" s="11">
        <v>88</v>
      </c>
      <c r="F92" s="8"/>
      <c r="G92" s="8"/>
      <c r="H92" s="311"/>
      <c r="I92" s="37"/>
      <c r="K92" s="5" t="s">
        <v>766</v>
      </c>
      <c r="L92" s="8">
        <f>IF(ISNUMBER(LININTERP(L41,Permissible_Shear!$T$178:$T$188,Permissible_Shear!$V$178:$V$188)),LININTERP(L41,Permissible_Shear!$T$178:$T$188,Permissible_Shear!$V$178:$V$188),0)</f>
        <v>5.2576521759291248</v>
      </c>
      <c r="M92" s="8">
        <f>IF(ISNUMBER(LININTERP(M41,Permissible_Shear!$T$178:$T$188,Permissible_Shear!$V$178:$V$188)),LININTERP(M41,Permissible_Shear!$T$178:$T$188,Permissible_Shear!$V$178:$V$188),0)</f>
        <v>0</v>
      </c>
      <c r="N92" s="8">
        <f>IF(ISNUMBER(LININTERP(N41,Permissible_Shear!$T$178:$T$188,Permissible_Shear!$V$178:$V$188)),LININTERP(N41,Permissible_Shear!$T$178:$T$188,Permissible_Shear!$V$178:$V$188),0)</f>
        <v>7.7221021481223042</v>
      </c>
      <c r="O92" s="8">
        <f>IF(ISNUMBER(LININTERP(O41,Permissible_Shear!$T$178:$T$188,Permissible_Shear!$V$178:$V$188)),LININTERP(O41,Permissible_Shear!$T$178:$T$188,Permissible_Shear!$V$178:$V$188),0)</f>
        <v>4.8318748384018573</v>
      </c>
      <c r="P92" s="236">
        <f>IF(ISNUMBER(LININTERP(P41,Permissible_Shear!$T$178:$T$188,Permissible_Shear!$V$178:$V$188)),LININTERP(P41,Permissible_Shear!$T$178:$T$188,Permissible_Shear!$V$178:$V$188),0)</f>
        <v>4.5452456841641844</v>
      </c>
      <c r="S92" s="441"/>
      <c r="T92" s="442"/>
      <c r="U92" s="442"/>
      <c r="V92" s="442"/>
      <c r="W92" s="442"/>
      <c r="X92" s="442"/>
      <c r="Y92" s="442"/>
      <c r="Z92" s="443"/>
      <c r="AU92" s="414"/>
      <c r="AV92" s="29" t="s">
        <v>445</v>
      </c>
      <c r="AW92" s="89">
        <f t="shared" ref="AW92:AW102" si="19">AX92/12</f>
        <v>4.5</v>
      </c>
      <c r="AX92" s="69">
        <v>54</v>
      </c>
      <c r="AY92" s="3" t="s">
        <v>660</v>
      </c>
      <c r="AZ92" s="417"/>
      <c r="BA92" s="26">
        <f t="shared" ref="BA92:BE97" si="20">$BF92</f>
        <v>1371.6000000000001</v>
      </c>
      <c r="BB92" s="68">
        <f t="shared" si="20"/>
        <v>1371.6000000000001</v>
      </c>
      <c r="BC92" s="68">
        <f t="shared" si="20"/>
        <v>1371.6000000000001</v>
      </c>
      <c r="BD92" s="68">
        <f t="shared" si="20"/>
        <v>1371.6000000000001</v>
      </c>
      <c r="BE92" s="68">
        <f t="shared" si="20"/>
        <v>1371.6000000000001</v>
      </c>
      <c r="BF92" s="26">
        <f t="shared" ref="BF92:BF97" si="21">AW92*304.8</f>
        <v>1371.6000000000001</v>
      </c>
      <c r="BG92" s="68">
        <f t="shared" ref="BG92:BK97" si="22">$BF92</f>
        <v>1371.6000000000001</v>
      </c>
      <c r="BH92" s="68">
        <f t="shared" si="22"/>
        <v>1371.6000000000001</v>
      </c>
      <c r="BI92" s="68">
        <f t="shared" si="22"/>
        <v>1371.6000000000001</v>
      </c>
      <c r="BJ92" s="68">
        <f t="shared" si="22"/>
        <v>1371.6000000000001</v>
      </c>
      <c r="BK92" s="26">
        <f t="shared" si="22"/>
        <v>1371.6000000000001</v>
      </c>
      <c r="BL92" s="3" t="s">
        <v>660</v>
      </c>
      <c r="BN92" s="5">
        <f t="shared" ref="BN92:BN102" si="23">IFERROR((VLOOKUP(AV92,$AY$5:$BA$17,3,FALSE)/100),0)</f>
        <v>0</v>
      </c>
      <c r="BO92" s="12"/>
      <c r="BP92" s="26">
        <f t="shared" ref="BP92:CL102" si="24">((COUNTIFS($BA92:$BK92,"&gt;=" &amp; BP$90, $BA92:$BK92,"&lt;" &amp; BP$91))*($BN92*100))</f>
        <v>0</v>
      </c>
      <c r="BQ92" s="26">
        <f t="shared" si="24"/>
        <v>0</v>
      </c>
      <c r="BR92" s="26">
        <f t="shared" si="24"/>
        <v>0</v>
      </c>
      <c r="BS92" s="26">
        <f t="shared" si="24"/>
        <v>0</v>
      </c>
      <c r="BT92" s="26">
        <f t="shared" si="24"/>
        <v>0</v>
      </c>
      <c r="BU92" s="26">
        <f t="shared" si="24"/>
        <v>0</v>
      </c>
      <c r="BV92" s="26">
        <f t="shared" si="24"/>
        <v>0</v>
      </c>
      <c r="BW92" s="26">
        <f t="shared" si="24"/>
        <v>0</v>
      </c>
      <c r="BX92" s="26">
        <f t="shared" si="24"/>
        <v>0</v>
      </c>
      <c r="BY92" s="26">
        <f t="shared" si="24"/>
        <v>0</v>
      </c>
      <c r="BZ92" s="26">
        <f t="shared" si="24"/>
        <v>0</v>
      </c>
      <c r="CA92" s="26">
        <f t="shared" si="24"/>
        <v>0</v>
      </c>
      <c r="CB92" s="26">
        <f t="shared" si="24"/>
        <v>0</v>
      </c>
      <c r="CC92" s="26">
        <f t="shared" si="24"/>
        <v>0</v>
      </c>
      <c r="CD92" s="26">
        <f t="shared" si="24"/>
        <v>0</v>
      </c>
      <c r="CE92" s="26">
        <f t="shared" si="24"/>
        <v>0</v>
      </c>
      <c r="CF92" s="26">
        <f t="shared" si="24"/>
        <v>0</v>
      </c>
      <c r="CG92" s="26">
        <f t="shared" si="24"/>
        <v>0</v>
      </c>
      <c r="CH92" s="26">
        <f t="shared" si="24"/>
        <v>0</v>
      </c>
      <c r="CI92" s="26">
        <f t="shared" si="24"/>
        <v>0</v>
      </c>
      <c r="CJ92" s="26">
        <f t="shared" si="24"/>
        <v>0</v>
      </c>
      <c r="CK92" s="26">
        <f t="shared" si="24"/>
        <v>0</v>
      </c>
      <c r="CL92" s="26">
        <f t="shared" si="24"/>
        <v>0</v>
      </c>
      <c r="CM92" s="26">
        <f t="shared" ref="CM92:CM102" si="25">((COUNTIFS($BA92:$BK92,"&gt;=" &amp; CM$90, $BA92:$BK92,"&lt;" &amp; CM$91))*($BN92*100))</f>
        <v>0</v>
      </c>
      <c r="EL92" s="2"/>
      <c r="EM92" s="2"/>
      <c r="EN92" s="2"/>
      <c r="EO92" s="19" t="e">
        <f>IF(OR(XS_Designer_Calculations!BE90&lt;&gt;0,XS_Designer_Calculations!BG90="MAX WSE"),VLOOKUP(XS_Designer_Calculations!BA90,XS_Designer_Summary!$C$3:$C$11,2,TRUE),IF(XS_Designer_Calculations!BE90&lt;&gt;0,VLOOKUP(XS_Designer_Calculations!BF90,XS_Designer_Summary!$C$3:$C$11,2,TRUE),""))</f>
        <v>#N/A</v>
      </c>
      <c r="EP92" s="19"/>
      <c r="EQ92" s="19"/>
      <c r="ER92" s="19"/>
      <c r="ES92" s="19"/>
      <c r="ET92" s="19"/>
      <c r="EU92" s="19"/>
      <c r="EV92" s="19"/>
      <c r="EW92" s="19"/>
      <c r="EX92" s="19"/>
      <c r="EY92" s="19"/>
      <c r="EZ92"/>
      <c r="FA92"/>
      <c r="FB92" s="2"/>
      <c r="FC92"/>
      <c r="FD92"/>
      <c r="FE92" s="2"/>
      <c r="FF92"/>
      <c r="FG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</row>
    <row r="93" spans="5:189" ht="17.25">
      <c r="E93" s="11">
        <v>89</v>
      </c>
      <c r="F93" s="8"/>
      <c r="G93" s="8"/>
      <c r="H93" s="311"/>
      <c r="I93" s="37"/>
      <c r="K93" s="5" t="s">
        <v>765</v>
      </c>
      <c r="L93" s="8">
        <f>LININTERP(L41,Permissible_Shear!$S$205:$S$222,Permissible_Shear!$V$205:$V$222)</f>
        <v>5.3225482413738829</v>
      </c>
      <c r="M93" s="8">
        <f>LININTERP(M41,Permissible_Shear!$S$205:$S$222,Permissible_Shear!$V$205:$V$222)</f>
        <v>1.5E-3</v>
      </c>
      <c r="N93" s="8">
        <f>LININTERP(N41,Permissible_Shear!$S$205:$S$222,Permissible_Shear!$V$205:$V$222)</f>
        <v>7.7820548393583033</v>
      </c>
      <c r="O93" s="8">
        <f>LININTERP(O41,Permissible_Shear!$S$205:$S$222,Permissible_Shear!$V$205:$V$222)</f>
        <v>4.8965768646953993</v>
      </c>
      <c r="P93" s="236">
        <f>LININTERP(P41,Permissible_Shear!$S$205:$S$222,Permissible_Shear!$V$205:$V$222)</f>
        <v>4.6098170851921223</v>
      </c>
      <c r="S93" s="358">
        <f>Data!L19</f>
        <v>200</v>
      </c>
      <c r="T93" s="65" t="s">
        <v>414</v>
      </c>
      <c r="U93" s="438" t="s">
        <v>960</v>
      </c>
      <c r="V93" s="439"/>
      <c r="W93" s="439"/>
      <c r="X93" s="439"/>
      <c r="Y93" s="439"/>
      <c r="Z93" s="440"/>
      <c r="AU93" s="414"/>
      <c r="AV93" s="29" t="s">
        <v>50</v>
      </c>
      <c r="AW93" s="89">
        <f t="shared" si="19"/>
        <v>2.7999999999999994</v>
      </c>
      <c r="AX93" s="69">
        <v>33.599999999999994</v>
      </c>
      <c r="AY93" s="3" t="s">
        <v>660</v>
      </c>
      <c r="AZ93" s="417"/>
      <c r="BA93" s="26">
        <f t="shared" si="20"/>
        <v>853.43999999999983</v>
      </c>
      <c r="BB93" s="68">
        <f t="shared" si="20"/>
        <v>853.43999999999983</v>
      </c>
      <c r="BC93" s="68">
        <f t="shared" si="20"/>
        <v>853.43999999999983</v>
      </c>
      <c r="BD93" s="68">
        <f t="shared" si="20"/>
        <v>853.43999999999983</v>
      </c>
      <c r="BE93" s="68">
        <f t="shared" si="20"/>
        <v>853.43999999999983</v>
      </c>
      <c r="BF93" s="26">
        <f t="shared" si="21"/>
        <v>853.43999999999983</v>
      </c>
      <c r="BG93" s="68">
        <f t="shared" si="22"/>
        <v>853.43999999999983</v>
      </c>
      <c r="BH93" s="68">
        <f t="shared" si="22"/>
        <v>853.43999999999983</v>
      </c>
      <c r="BI93" s="68">
        <f t="shared" si="22"/>
        <v>853.43999999999983</v>
      </c>
      <c r="BJ93" s="68">
        <f t="shared" si="22"/>
        <v>853.43999999999983</v>
      </c>
      <c r="BK93" s="26">
        <f t="shared" si="22"/>
        <v>853.43999999999983</v>
      </c>
      <c r="BL93" s="3" t="s">
        <v>660</v>
      </c>
      <c r="BN93" s="5">
        <f t="shared" si="23"/>
        <v>0</v>
      </c>
      <c r="BO93" s="12"/>
      <c r="BP93" s="26">
        <f t="shared" si="24"/>
        <v>0</v>
      </c>
      <c r="BQ93" s="26">
        <f t="shared" si="24"/>
        <v>0</v>
      </c>
      <c r="BR93" s="26">
        <f t="shared" si="24"/>
        <v>0</v>
      </c>
      <c r="BS93" s="26">
        <f t="shared" si="24"/>
        <v>0</v>
      </c>
      <c r="BT93" s="26">
        <f t="shared" si="24"/>
        <v>0</v>
      </c>
      <c r="BU93" s="26">
        <f t="shared" si="24"/>
        <v>0</v>
      </c>
      <c r="BV93" s="26">
        <f t="shared" si="24"/>
        <v>0</v>
      </c>
      <c r="BW93" s="26">
        <f t="shared" si="24"/>
        <v>0</v>
      </c>
      <c r="BX93" s="26">
        <f t="shared" si="24"/>
        <v>0</v>
      </c>
      <c r="BY93" s="26">
        <f t="shared" si="24"/>
        <v>0</v>
      </c>
      <c r="BZ93" s="26">
        <f t="shared" si="24"/>
        <v>0</v>
      </c>
      <c r="CA93" s="26">
        <f t="shared" si="24"/>
        <v>0</v>
      </c>
      <c r="CB93" s="26">
        <f t="shared" si="24"/>
        <v>0</v>
      </c>
      <c r="CC93" s="26">
        <f t="shared" si="24"/>
        <v>0</v>
      </c>
      <c r="CD93" s="26">
        <f t="shared" si="24"/>
        <v>0</v>
      </c>
      <c r="CE93" s="26">
        <f t="shared" si="24"/>
        <v>0</v>
      </c>
      <c r="CF93" s="26">
        <f t="shared" si="24"/>
        <v>0</v>
      </c>
      <c r="CG93" s="26">
        <f t="shared" si="24"/>
        <v>0</v>
      </c>
      <c r="CH93" s="26">
        <f t="shared" si="24"/>
        <v>0</v>
      </c>
      <c r="CI93" s="26">
        <f t="shared" si="24"/>
        <v>0</v>
      </c>
      <c r="CJ93" s="26">
        <f t="shared" si="24"/>
        <v>0</v>
      </c>
      <c r="CK93" s="26">
        <f t="shared" si="24"/>
        <v>0</v>
      </c>
      <c r="CL93" s="26">
        <f t="shared" si="24"/>
        <v>0</v>
      </c>
      <c r="CM93" s="26">
        <f t="shared" si="25"/>
        <v>0</v>
      </c>
      <c r="EL93" s="2"/>
      <c r="EM93" s="2"/>
      <c r="EN93" s="2"/>
      <c r="EO93" s="19" t="e">
        <f>IF(OR(XS_Designer_Calculations!BE91&lt;&gt;0,XS_Designer_Calculations!BG91="MAX WSE"),VLOOKUP(XS_Designer_Calculations!BA91,XS_Designer_Summary!$C$3:$C$11,2,TRUE),IF(XS_Designer_Calculations!BE91&lt;&gt;0,VLOOKUP(XS_Designer_Calculations!BF91,XS_Designer_Summary!$C$3:$C$11,2,TRUE),""))</f>
        <v>#N/A</v>
      </c>
      <c r="EP93" s="19"/>
      <c r="EQ93" s="19"/>
      <c r="ER93" s="19"/>
      <c r="ES93" s="19"/>
      <c r="ET93" s="19"/>
      <c r="EU93" s="19"/>
      <c r="EV93" s="19"/>
      <c r="EW93" s="19"/>
      <c r="EX93" s="19"/>
      <c r="EY93" s="19"/>
      <c r="EZ93"/>
      <c r="FA93"/>
      <c r="FB93" s="2"/>
      <c r="FC93"/>
      <c r="FD93"/>
      <c r="FE93" s="2"/>
      <c r="FF93"/>
      <c r="FG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</row>
    <row r="94" spans="5:189" ht="15.75">
      <c r="E94" s="11">
        <v>90</v>
      </c>
      <c r="F94" s="8"/>
      <c r="G94" s="8"/>
      <c r="H94" s="311"/>
      <c r="I94" s="37"/>
      <c r="M94" s="11"/>
      <c r="O94" s="87"/>
      <c r="P94" s="11"/>
      <c r="S94" s="83">
        <f>S93/S89</f>
        <v>2</v>
      </c>
      <c r="T94" s="65" t="s">
        <v>841</v>
      </c>
      <c r="U94" s="438" t="s">
        <v>842</v>
      </c>
      <c r="V94" s="439"/>
      <c r="W94" s="439"/>
      <c r="X94" s="439"/>
      <c r="Y94" s="439"/>
      <c r="Z94" s="440"/>
      <c r="AU94" s="414"/>
      <c r="AV94" s="29" t="s">
        <v>49</v>
      </c>
      <c r="AW94" s="89">
        <f t="shared" si="19"/>
        <v>2.2000000000000002</v>
      </c>
      <c r="AX94" s="69">
        <v>26.400000000000002</v>
      </c>
      <c r="AY94" s="3" t="s">
        <v>660</v>
      </c>
      <c r="AZ94" s="417"/>
      <c r="BA94" s="26">
        <f t="shared" si="20"/>
        <v>670.56000000000006</v>
      </c>
      <c r="BB94" s="68">
        <f t="shared" si="20"/>
        <v>670.56000000000006</v>
      </c>
      <c r="BC94" s="68">
        <f t="shared" si="20"/>
        <v>670.56000000000006</v>
      </c>
      <c r="BD94" s="68">
        <f t="shared" si="20"/>
        <v>670.56000000000006</v>
      </c>
      <c r="BE94" s="68">
        <f t="shared" si="20"/>
        <v>670.56000000000006</v>
      </c>
      <c r="BF94" s="26">
        <f t="shared" si="21"/>
        <v>670.56000000000006</v>
      </c>
      <c r="BG94" s="68">
        <f t="shared" si="22"/>
        <v>670.56000000000006</v>
      </c>
      <c r="BH94" s="68">
        <f t="shared" si="22"/>
        <v>670.56000000000006</v>
      </c>
      <c r="BI94" s="68">
        <f t="shared" si="22"/>
        <v>670.56000000000006</v>
      </c>
      <c r="BJ94" s="68">
        <f t="shared" si="22"/>
        <v>670.56000000000006</v>
      </c>
      <c r="BK94" s="26">
        <f t="shared" si="22"/>
        <v>670.56000000000006</v>
      </c>
      <c r="BL94" s="3" t="s">
        <v>660</v>
      </c>
      <c r="BN94" s="5">
        <f t="shared" si="23"/>
        <v>0</v>
      </c>
      <c r="BO94" s="12"/>
      <c r="BP94" s="26">
        <f t="shared" si="24"/>
        <v>0</v>
      </c>
      <c r="BQ94" s="26">
        <f t="shared" si="24"/>
        <v>0</v>
      </c>
      <c r="BR94" s="26">
        <f t="shared" si="24"/>
        <v>0</v>
      </c>
      <c r="BS94" s="26">
        <f t="shared" si="24"/>
        <v>0</v>
      </c>
      <c r="BT94" s="26">
        <f t="shared" si="24"/>
        <v>0</v>
      </c>
      <c r="BU94" s="26">
        <f t="shared" si="24"/>
        <v>0</v>
      </c>
      <c r="BV94" s="26">
        <f t="shared" si="24"/>
        <v>0</v>
      </c>
      <c r="BW94" s="26">
        <f t="shared" si="24"/>
        <v>0</v>
      </c>
      <c r="BX94" s="26">
        <f t="shared" si="24"/>
        <v>0</v>
      </c>
      <c r="BY94" s="26">
        <f t="shared" si="24"/>
        <v>0</v>
      </c>
      <c r="BZ94" s="26">
        <f t="shared" si="24"/>
        <v>0</v>
      </c>
      <c r="CA94" s="26">
        <f t="shared" si="24"/>
        <v>0</v>
      </c>
      <c r="CB94" s="26">
        <f t="shared" si="24"/>
        <v>0</v>
      </c>
      <c r="CC94" s="26">
        <f t="shared" si="24"/>
        <v>0</v>
      </c>
      <c r="CD94" s="26">
        <f t="shared" si="24"/>
        <v>0</v>
      </c>
      <c r="CE94" s="26">
        <f t="shared" si="24"/>
        <v>0</v>
      </c>
      <c r="CF94" s="26">
        <f t="shared" si="24"/>
        <v>0</v>
      </c>
      <c r="CG94" s="26">
        <f t="shared" si="24"/>
        <v>0</v>
      </c>
      <c r="CH94" s="26">
        <f t="shared" si="24"/>
        <v>0</v>
      </c>
      <c r="CI94" s="26">
        <f t="shared" si="24"/>
        <v>0</v>
      </c>
      <c r="CJ94" s="26">
        <f t="shared" si="24"/>
        <v>0</v>
      </c>
      <c r="CK94" s="26">
        <f t="shared" si="24"/>
        <v>0</v>
      </c>
      <c r="CL94" s="26">
        <f t="shared" si="24"/>
        <v>0</v>
      </c>
      <c r="CM94" s="26">
        <f t="shared" si="25"/>
        <v>0</v>
      </c>
      <c r="EL94" s="2"/>
      <c r="EM94" s="2"/>
      <c r="EN94" s="2"/>
      <c r="EO94" s="19" t="e">
        <f>IF(OR(XS_Designer_Calculations!BE92&lt;&gt;0,XS_Designer_Calculations!BG92="MAX WSE"),VLOOKUP(XS_Designer_Calculations!BA92,XS_Designer_Summary!$C$3:$C$11,2,TRUE),IF(XS_Designer_Calculations!BE92&lt;&gt;0,VLOOKUP(XS_Designer_Calculations!BF92,XS_Designer_Summary!$C$3:$C$11,2,TRUE),""))</f>
        <v>#N/A</v>
      </c>
      <c r="EP94" s="19"/>
      <c r="EQ94" s="19"/>
      <c r="ER94" s="19"/>
      <c r="ES94" s="19"/>
      <c r="ET94" s="19"/>
      <c r="EU94" s="19"/>
      <c r="EV94" s="19"/>
      <c r="EW94" s="19"/>
      <c r="EX94" s="19"/>
      <c r="EY94" s="19"/>
      <c r="EZ94"/>
      <c r="FA94"/>
      <c r="FB94" s="2"/>
      <c r="FC94"/>
      <c r="FD94"/>
      <c r="FE94" s="2"/>
      <c r="FF94"/>
      <c r="FG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</row>
    <row r="95" spans="5:189" ht="15.75">
      <c r="E95" s="11">
        <v>91</v>
      </c>
      <c r="F95" s="8"/>
      <c r="G95" s="8"/>
      <c r="H95" s="311"/>
      <c r="I95" s="37"/>
      <c r="K95" s="397" t="s">
        <v>288</v>
      </c>
      <c r="L95" s="397"/>
      <c r="M95" s="397"/>
      <c r="N95" s="397"/>
      <c r="O95" s="397"/>
      <c r="P95" s="397"/>
      <c r="S95" s="430"/>
      <c r="T95" s="431"/>
      <c r="U95" s="431"/>
      <c r="V95" s="431"/>
      <c r="W95" s="431"/>
      <c r="X95" s="431"/>
      <c r="Y95" s="431"/>
      <c r="Z95" s="432"/>
      <c r="AU95" s="414"/>
      <c r="AV95" s="29" t="s">
        <v>367</v>
      </c>
      <c r="AW95" s="89">
        <f t="shared" si="19"/>
        <v>1.6000000000000003</v>
      </c>
      <c r="AX95" s="69">
        <v>19.200000000000003</v>
      </c>
      <c r="AY95" s="3" t="s">
        <v>660</v>
      </c>
      <c r="AZ95" s="417"/>
      <c r="BA95" s="26">
        <f t="shared" si="20"/>
        <v>487.68000000000012</v>
      </c>
      <c r="BB95" s="68">
        <f t="shared" si="20"/>
        <v>487.68000000000012</v>
      </c>
      <c r="BC95" s="68">
        <f t="shared" si="20"/>
        <v>487.68000000000012</v>
      </c>
      <c r="BD95" s="68">
        <f t="shared" si="20"/>
        <v>487.68000000000012</v>
      </c>
      <c r="BE95" s="68">
        <f t="shared" si="20"/>
        <v>487.68000000000012</v>
      </c>
      <c r="BF95" s="26">
        <f t="shared" si="21"/>
        <v>487.68000000000012</v>
      </c>
      <c r="BG95" s="68">
        <f t="shared" si="22"/>
        <v>487.68000000000012</v>
      </c>
      <c r="BH95" s="68">
        <f t="shared" si="22"/>
        <v>487.68000000000012</v>
      </c>
      <c r="BI95" s="68">
        <f t="shared" si="22"/>
        <v>487.68000000000012</v>
      </c>
      <c r="BJ95" s="68">
        <f t="shared" si="22"/>
        <v>487.68000000000012</v>
      </c>
      <c r="BK95" s="26">
        <f t="shared" si="22"/>
        <v>487.68000000000012</v>
      </c>
      <c r="BL95" s="3" t="s">
        <v>660</v>
      </c>
      <c r="BN95" s="5">
        <f t="shared" si="23"/>
        <v>0</v>
      </c>
      <c r="BO95" s="12"/>
      <c r="BP95" s="26">
        <f t="shared" si="24"/>
        <v>0</v>
      </c>
      <c r="BQ95" s="26">
        <f t="shared" si="24"/>
        <v>0</v>
      </c>
      <c r="BR95" s="26">
        <f t="shared" si="24"/>
        <v>0</v>
      </c>
      <c r="BS95" s="26">
        <f t="shared" si="24"/>
        <v>0</v>
      </c>
      <c r="BT95" s="26">
        <f t="shared" si="24"/>
        <v>0</v>
      </c>
      <c r="BU95" s="26">
        <f t="shared" si="24"/>
        <v>0</v>
      </c>
      <c r="BV95" s="26">
        <f t="shared" si="24"/>
        <v>0</v>
      </c>
      <c r="BW95" s="26">
        <f t="shared" si="24"/>
        <v>0</v>
      </c>
      <c r="BX95" s="26">
        <f t="shared" si="24"/>
        <v>0</v>
      </c>
      <c r="BY95" s="26">
        <f t="shared" si="24"/>
        <v>0</v>
      </c>
      <c r="BZ95" s="26">
        <f t="shared" si="24"/>
        <v>0</v>
      </c>
      <c r="CA95" s="26">
        <f t="shared" si="24"/>
        <v>0</v>
      </c>
      <c r="CB95" s="26">
        <f t="shared" si="24"/>
        <v>0</v>
      </c>
      <c r="CC95" s="26">
        <f t="shared" si="24"/>
        <v>0</v>
      </c>
      <c r="CD95" s="26">
        <f t="shared" si="24"/>
        <v>0</v>
      </c>
      <c r="CE95" s="26">
        <f t="shared" si="24"/>
        <v>0</v>
      </c>
      <c r="CF95" s="26">
        <f t="shared" si="24"/>
        <v>0</v>
      </c>
      <c r="CG95" s="26">
        <f t="shared" si="24"/>
        <v>0</v>
      </c>
      <c r="CH95" s="26">
        <f t="shared" si="24"/>
        <v>0</v>
      </c>
      <c r="CI95" s="26">
        <f t="shared" si="24"/>
        <v>0</v>
      </c>
      <c r="CJ95" s="26">
        <f t="shared" si="24"/>
        <v>0</v>
      </c>
      <c r="CK95" s="26">
        <f t="shared" si="24"/>
        <v>0</v>
      </c>
      <c r="CL95" s="26">
        <f t="shared" si="24"/>
        <v>0</v>
      </c>
      <c r="CM95" s="26">
        <f t="shared" si="25"/>
        <v>0</v>
      </c>
      <c r="EL95" s="2"/>
      <c r="EM95" s="2"/>
      <c r="EN95" s="2"/>
      <c r="EO95" s="19" t="e">
        <f>IF(OR(XS_Designer_Calculations!BE93&lt;&gt;0,XS_Designer_Calculations!BG93="MAX WSE"),VLOOKUP(XS_Designer_Calculations!BA93,XS_Designer_Summary!$C$3:$C$11,2,TRUE),IF(XS_Designer_Calculations!BE93&lt;&gt;0,VLOOKUP(XS_Designer_Calculations!BF93,XS_Designer_Summary!$C$3:$C$11,2,TRUE),""))</f>
        <v>#N/A</v>
      </c>
      <c r="EP95" s="19"/>
      <c r="EQ95" s="19"/>
      <c r="ER95" s="19"/>
      <c r="ES95" s="19"/>
      <c r="ET95" s="19"/>
      <c r="EU95" s="19"/>
      <c r="EV95" s="19"/>
      <c r="EW95" s="19"/>
      <c r="EX95" s="19"/>
      <c r="EY95" s="19"/>
      <c r="EZ95"/>
      <c r="FA95"/>
      <c r="FB95" s="2"/>
      <c r="FC95"/>
      <c r="FD95"/>
      <c r="FE95" s="2"/>
      <c r="FF95"/>
      <c r="FG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</row>
    <row r="96" spans="5:189" ht="15.75">
      <c r="E96" s="11">
        <v>92</v>
      </c>
      <c r="F96" s="8"/>
      <c r="G96" s="8"/>
      <c r="H96" s="311"/>
      <c r="I96" s="37"/>
      <c r="K96" s="5" t="s">
        <v>891</v>
      </c>
      <c r="L96" s="8" t="str">
        <f>VLOOKUP(L$31,Permissible_Velocities!$D$19:$F$24,3,TRUE)</f>
        <v>Coarse Gravel</v>
      </c>
      <c r="M96" s="8" t="str">
        <f>VLOOKUP(M$31,Permissible_Velocities!$D$19:$F$24,3,TRUE)</f>
        <v>Fine Sand</v>
      </c>
      <c r="N96" s="8" t="str">
        <f>VLOOKUP(N$31,Permissible_Velocities!$D$19:$F$24,3,TRUE)</f>
        <v>Cobbles</v>
      </c>
      <c r="O96" s="8" t="str">
        <f>VLOOKUP(O$31,Permissible_Velocities!$D$19:$F$24,3,TRUE)</f>
        <v>Fine Gravel</v>
      </c>
      <c r="P96" s="8" t="str">
        <f>VLOOKUP(P$31,Permissible_Velocities!$D$19:$F$24,3,TRUE)</f>
        <v>Fine Gravel</v>
      </c>
      <c r="S96" s="433" t="s">
        <v>663</v>
      </c>
      <c r="T96" s="434"/>
      <c r="U96" s="434"/>
      <c r="V96" s="435"/>
      <c r="W96" s="436" t="s">
        <v>412</v>
      </c>
      <c r="X96" s="434"/>
      <c r="Y96" s="434"/>
      <c r="Z96" s="437"/>
      <c r="AU96" s="414"/>
      <c r="AV96" s="29" t="s">
        <v>573</v>
      </c>
      <c r="AW96" s="89">
        <f t="shared" si="19"/>
        <v>1.1000000000000001</v>
      </c>
      <c r="AX96" s="69">
        <v>13.200000000000001</v>
      </c>
      <c r="AY96" s="3" t="s">
        <v>660</v>
      </c>
      <c r="AZ96" s="417"/>
      <c r="BA96" s="26">
        <f t="shared" si="20"/>
        <v>335.28000000000003</v>
      </c>
      <c r="BB96" s="68">
        <f t="shared" si="20"/>
        <v>335.28000000000003</v>
      </c>
      <c r="BC96" s="68">
        <f t="shared" si="20"/>
        <v>335.28000000000003</v>
      </c>
      <c r="BD96" s="68">
        <f t="shared" si="20"/>
        <v>335.28000000000003</v>
      </c>
      <c r="BE96" s="68">
        <f t="shared" si="20"/>
        <v>335.28000000000003</v>
      </c>
      <c r="BF96" s="26">
        <f t="shared" si="21"/>
        <v>335.28000000000003</v>
      </c>
      <c r="BG96" s="68">
        <f t="shared" si="22"/>
        <v>335.28000000000003</v>
      </c>
      <c r="BH96" s="68">
        <f t="shared" si="22"/>
        <v>335.28000000000003</v>
      </c>
      <c r="BI96" s="68">
        <f t="shared" si="22"/>
        <v>335.28000000000003</v>
      </c>
      <c r="BJ96" s="68">
        <f t="shared" si="22"/>
        <v>335.28000000000003</v>
      </c>
      <c r="BK96" s="26">
        <f t="shared" si="22"/>
        <v>335.28000000000003</v>
      </c>
      <c r="BL96" s="3" t="s">
        <v>660</v>
      </c>
      <c r="BN96" s="5">
        <f t="shared" si="23"/>
        <v>0.5</v>
      </c>
      <c r="BO96" s="12"/>
      <c r="BP96" s="26">
        <f t="shared" si="24"/>
        <v>0</v>
      </c>
      <c r="BQ96" s="26">
        <f t="shared" si="24"/>
        <v>0</v>
      </c>
      <c r="BR96" s="26">
        <f t="shared" si="24"/>
        <v>0</v>
      </c>
      <c r="BS96" s="26">
        <f t="shared" si="24"/>
        <v>0</v>
      </c>
      <c r="BT96" s="26">
        <f t="shared" si="24"/>
        <v>0</v>
      </c>
      <c r="BU96" s="26">
        <f t="shared" si="24"/>
        <v>0</v>
      </c>
      <c r="BV96" s="26">
        <f t="shared" si="24"/>
        <v>0</v>
      </c>
      <c r="BW96" s="26">
        <f t="shared" si="24"/>
        <v>0</v>
      </c>
      <c r="BX96" s="26">
        <f t="shared" si="24"/>
        <v>0</v>
      </c>
      <c r="BY96" s="26">
        <f t="shared" si="24"/>
        <v>0</v>
      </c>
      <c r="BZ96" s="26">
        <f t="shared" si="24"/>
        <v>0</v>
      </c>
      <c r="CA96" s="26">
        <f t="shared" si="24"/>
        <v>0</v>
      </c>
      <c r="CB96" s="26">
        <f t="shared" si="24"/>
        <v>0</v>
      </c>
      <c r="CC96" s="26">
        <f t="shared" si="24"/>
        <v>0</v>
      </c>
      <c r="CD96" s="26">
        <f t="shared" si="24"/>
        <v>0</v>
      </c>
      <c r="CE96" s="26">
        <f t="shared" si="24"/>
        <v>0</v>
      </c>
      <c r="CF96" s="26">
        <f t="shared" si="24"/>
        <v>0</v>
      </c>
      <c r="CG96" s="26">
        <f t="shared" si="24"/>
        <v>0</v>
      </c>
      <c r="CH96" s="26">
        <f t="shared" si="24"/>
        <v>0</v>
      </c>
      <c r="CI96" s="26">
        <f t="shared" si="24"/>
        <v>550</v>
      </c>
      <c r="CJ96" s="26">
        <f t="shared" si="24"/>
        <v>0</v>
      </c>
      <c r="CK96" s="26">
        <f t="shared" si="24"/>
        <v>0</v>
      </c>
      <c r="CL96" s="26">
        <f t="shared" si="24"/>
        <v>0</v>
      </c>
      <c r="CM96" s="26">
        <f t="shared" si="25"/>
        <v>0</v>
      </c>
      <c r="EL96" s="2"/>
      <c r="EM96" s="2"/>
      <c r="EN96" s="2"/>
      <c r="EO96" s="19" t="e">
        <f>IF(OR(XS_Designer_Calculations!BE94&lt;&gt;0,XS_Designer_Calculations!BG94="MAX WSE"),VLOOKUP(XS_Designer_Calculations!BA94,XS_Designer_Summary!$C$3:$C$11,2,TRUE),IF(XS_Designer_Calculations!BE94&lt;&gt;0,VLOOKUP(XS_Designer_Calculations!BF94,XS_Designer_Summary!$C$3:$C$11,2,TRUE),""))</f>
        <v>#N/A</v>
      </c>
      <c r="EP96" s="19"/>
      <c r="EQ96" s="19"/>
      <c r="ER96" s="19"/>
      <c r="ES96" s="19"/>
      <c r="ET96" s="19"/>
      <c r="EU96" s="19"/>
      <c r="EV96" s="19"/>
      <c r="EW96" s="19"/>
      <c r="EX96" s="19"/>
      <c r="EY96" s="19"/>
      <c r="EZ96"/>
      <c r="FA96"/>
      <c r="FB96" s="2"/>
      <c r="FC96"/>
      <c r="FD96"/>
      <c r="FE96" s="2"/>
      <c r="FF96"/>
      <c r="FG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</row>
    <row r="97" spans="5:189" ht="15.75">
      <c r="E97" s="11">
        <v>93</v>
      </c>
      <c r="F97" s="8"/>
      <c r="G97" s="8"/>
      <c r="H97" s="311"/>
      <c r="I97" s="37"/>
      <c r="K97" s="5" t="s">
        <v>765</v>
      </c>
      <c r="L97" s="8" t="str">
        <f>VLOOKUP(L$31,Permissible_Velocities!$D$5:$F$13,3,TRUE)</f>
        <v>2" Gravel</v>
      </c>
      <c r="M97" s="8" t="str">
        <f>VLOOKUP(M$31,Permissible_Velocities!$D$5:$F$13,3,TRUE)</f>
        <v>Fine Sand</v>
      </c>
      <c r="N97" s="8" t="str">
        <f>VLOOKUP(N$31,Permissible_Velocities!$D$5:$F$13,3,TRUE)</f>
        <v>12" Gravel</v>
      </c>
      <c r="O97" s="8" t="str">
        <f>VLOOKUP(O$31,Permissible_Velocities!$D$5:$F$13,3,TRUE)</f>
        <v>1" Gravel</v>
      </c>
      <c r="P97" s="8" t="str">
        <f>VLOOKUP(P$31,Permissible_Velocities!$D$5:$F$13,3,TRUE)</f>
        <v>1" Gravel</v>
      </c>
      <c r="S97" s="421" t="s">
        <v>536</v>
      </c>
      <c r="T97" s="422"/>
      <c r="U97" s="422"/>
      <c r="V97" s="423"/>
      <c r="W97" s="424" t="s">
        <v>284</v>
      </c>
      <c r="X97" s="422"/>
      <c r="Y97" s="422"/>
      <c r="Z97" s="425"/>
      <c r="AU97" s="414"/>
      <c r="AV97" s="29" t="s">
        <v>572</v>
      </c>
      <c r="AW97" s="89">
        <f t="shared" si="19"/>
        <v>0.80000000000000016</v>
      </c>
      <c r="AX97" s="69">
        <v>9.6000000000000014</v>
      </c>
      <c r="AY97" s="3" t="s">
        <v>660</v>
      </c>
      <c r="AZ97" s="417"/>
      <c r="BA97" s="26">
        <f t="shared" si="20"/>
        <v>243.84000000000006</v>
      </c>
      <c r="BB97" s="68">
        <f t="shared" si="20"/>
        <v>243.84000000000006</v>
      </c>
      <c r="BC97" s="68">
        <f t="shared" si="20"/>
        <v>243.84000000000006</v>
      </c>
      <c r="BD97" s="68">
        <f t="shared" si="20"/>
        <v>243.84000000000006</v>
      </c>
      <c r="BE97" s="68">
        <f t="shared" si="20"/>
        <v>243.84000000000006</v>
      </c>
      <c r="BF97" s="26">
        <f t="shared" si="21"/>
        <v>243.84000000000006</v>
      </c>
      <c r="BG97" s="68">
        <f t="shared" si="22"/>
        <v>243.84000000000006</v>
      </c>
      <c r="BH97" s="68">
        <f t="shared" si="22"/>
        <v>243.84000000000006</v>
      </c>
      <c r="BI97" s="68">
        <f t="shared" si="22"/>
        <v>243.84000000000006</v>
      </c>
      <c r="BJ97" s="68">
        <f t="shared" si="22"/>
        <v>243.84000000000006</v>
      </c>
      <c r="BK97" s="26">
        <f t="shared" si="22"/>
        <v>243.84000000000006</v>
      </c>
      <c r="BL97" s="3" t="s">
        <v>660</v>
      </c>
      <c r="BN97" s="5">
        <f t="shared" si="23"/>
        <v>0</v>
      </c>
      <c r="BO97" s="12"/>
      <c r="BP97" s="26">
        <f t="shared" si="24"/>
        <v>0</v>
      </c>
      <c r="BQ97" s="26">
        <f t="shared" si="24"/>
        <v>0</v>
      </c>
      <c r="BR97" s="26">
        <f t="shared" si="24"/>
        <v>0</v>
      </c>
      <c r="BS97" s="26">
        <f t="shared" si="24"/>
        <v>0</v>
      </c>
      <c r="BT97" s="26">
        <f t="shared" si="24"/>
        <v>0</v>
      </c>
      <c r="BU97" s="26">
        <f t="shared" si="24"/>
        <v>0</v>
      </c>
      <c r="BV97" s="26">
        <f t="shared" si="24"/>
        <v>0</v>
      </c>
      <c r="BW97" s="26">
        <f t="shared" si="24"/>
        <v>0</v>
      </c>
      <c r="BX97" s="26">
        <f t="shared" si="24"/>
        <v>0</v>
      </c>
      <c r="BY97" s="26">
        <f t="shared" si="24"/>
        <v>0</v>
      </c>
      <c r="BZ97" s="26">
        <f t="shared" si="24"/>
        <v>0</v>
      </c>
      <c r="CA97" s="26">
        <f t="shared" si="24"/>
        <v>0</v>
      </c>
      <c r="CB97" s="26">
        <f t="shared" si="24"/>
        <v>0</v>
      </c>
      <c r="CC97" s="26">
        <f t="shared" si="24"/>
        <v>0</v>
      </c>
      <c r="CD97" s="26">
        <f t="shared" si="24"/>
        <v>0</v>
      </c>
      <c r="CE97" s="26">
        <f t="shared" si="24"/>
        <v>0</v>
      </c>
      <c r="CF97" s="26">
        <f t="shared" si="24"/>
        <v>0</v>
      </c>
      <c r="CG97" s="26">
        <f t="shared" si="24"/>
        <v>0</v>
      </c>
      <c r="CH97" s="26">
        <f t="shared" si="24"/>
        <v>0</v>
      </c>
      <c r="CI97" s="26">
        <f t="shared" si="24"/>
        <v>0</v>
      </c>
      <c r="CJ97" s="26">
        <f t="shared" si="24"/>
        <v>0</v>
      </c>
      <c r="CK97" s="26">
        <f t="shared" si="24"/>
        <v>0</v>
      </c>
      <c r="CL97" s="26">
        <f t="shared" si="24"/>
        <v>0</v>
      </c>
      <c r="CM97" s="26">
        <f t="shared" si="25"/>
        <v>0</v>
      </c>
      <c r="EL97" s="2"/>
      <c r="EM97" s="2"/>
      <c r="EN97" s="2"/>
      <c r="EO97" s="19" t="e">
        <f>IF(OR(XS_Designer_Calculations!BE95&lt;&gt;0,XS_Designer_Calculations!BG95="MAX WSE"),VLOOKUP(XS_Designer_Calculations!BA95,XS_Designer_Summary!$C$3:$C$11,2,TRUE),IF(XS_Designer_Calculations!BE95&lt;&gt;0,VLOOKUP(XS_Designer_Calculations!BF95,XS_Designer_Summary!$C$3:$C$11,2,TRUE),""))</f>
        <v>#N/A</v>
      </c>
      <c r="EP97" s="19"/>
      <c r="EQ97" s="19"/>
      <c r="ER97" s="19"/>
      <c r="ES97" s="19"/>
      <c r="ET97" s="19"/>
      <c r="EU97" s="19"/>
      <c r="EV97" s="19"/>
      <c r="EW97" s="19"/>
      <c r="EX97" s="19"/>
      <c r="EY97" s="19"/>
      <c r="EZ97"/>
      <c r="FA97"/>
      <c r="FB97" s="2"/>
      <c r="FC97"/>
      <c r="FD97"/>
      <c r="FE97" s="2"/>
      <c r="FF97"/>
      <c r="FG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</row>
    <row r="98" spans="5:189" ht="15.75">
      <c r="E98" s="11">
        <v>94</v>
      </c>
      <c r="F98" s="8"/>
      <c r="G98" s="8"/>
      <c r="H98" s="311"/>
      <c r="I98" s="37"/>
      <c r="K98" s="5" t="s">
        <v>526</v>
      </c>
      <c r="L98" s="8" t="str">
        <f>VLOOKUP(L$31,Permissible_Velocities!$D$29:$F$34,3,TRUE)</f>
        <v>Coarse Gravel</v>
      </c>
      <c r="M98" s="8" t="str">
        <f>VLOOKUP(M$31,Permissible_Velocities!$D$29:$F$34,3,TRUE)</f>
        <v>Fine Sand</v>
      </c>
      <c r="N98" s="8" t="str">
        <f>VLOOKUP(N$31,Permissible_Velocities!$D$29:$F$34,3,TRUE)</f>
        <v>Cobbles</v>
      </c>
      <c r="O98" s="8" t="str">
        <f>VLOOKUP(O$31,Permissible_Velocities!$D$29:$F$34,3,TRUE)</f>
        <v>Fine Gravel</v>
      </c>
      <c r="P98" s="8" t="str">
        <f>VLOOKUP(P$31,Permissible_Velocities!$D$29:$F$34,3,TRUE)</f>
        <v>Fine Gravel</v>
      </c>
      <c r="S98" s="83" t="str">
        <f>IF(AND(S91&lt;=7,S91&gt;3),"PSR",IF(AND(S94&lt;=3,S94&gt;=1.3),"SMR",NA()))</f>
        <v>SMR</v>
      </c>
      <c r="T98" s="65" t="s">
        <v>16</v>
      </c>
      <c r="U98" s="426" t="s">
        <v>894</v>
      </c>
      <c r="V98" s="427"/>
      <c r="W98" s="427"/>
      <c r="X98" s="427"/>
      <c r="Y98" s="427"/>
      <c r="Z98" s="428"/>
      <c r="AU98" s="414"/>
      <c r="AV98" s="29" t="s">
        <v>248</v>
      </c>
      <c r="AW98" s="89">
        <f t="shared" si="19"/>
        <v>0.41666666666666669</v>
      </c>
      <c r="AX98" s="69">
        <v>5</v>
      </c>
      <c r="AY98" s="3" t="s">
        <v>369</v>
      </c>
      <c r="AZ98" s="417"/>
      <c r="BA98" s="37">
        <v>256</v>
      </c>
      <c r="BB98" s="66">
        <f t="shared" ref="BB98:BE102" si="26">BA98-(($BA98-$BF98)/5)</f>
        <v>229.8</v>
      </c>
      <c r="BC98" s="66">
        <f t="shared" si="26"/>
        <v>203.60000000000002</v>
      </c>
      <c r="BD98" s="66">
        <f t="shared" si="26"/>
        <v>177.40000000000003</v>
      </c>
      <c r="BE98" s="66">
        <f t="shared" si="26"/>
        <v>151.20000000000005</v>
      </c>
      <c r="BF98" s="37">
        <v>125</v>
      </c>
      <c r="BG98" s="66">
        <f t="shared" ref="BG98:BJ102" si="27">BF98-(($BF98-$BK98)/5)</f>
        <v>112.8</v>
      </c>
      <c r="BH98" s="66">
        <f t="shared" si="27"/>
        <v>100.6</v>
      </c>
      <c r="BI98" s="66">
        <f t="shared" si="27"/>
        <v>88.399999999999991</v>
      </c>
      <c r="BJ98" s="66">
        <f t="shared" si="27"/>
        <v>76.199999999999989</v>
      </c>
      <c r="BK98" s="37">
        <v>64</v>
      </c>
      <c r="BL98" s="3" t="s">
        <v>925</v>
      </c>
      <c r="BM98" s="9"/>
      <c r="BN98" s="5">
        <f t="shared" si="23"/>
        <v>0</v>
      </c>
      <c r="BO98" s="11"/>
      <c r="BP98" s="26">
        <f t="shared" si="24"/>
        <v>0</v>
      </c>
      <c r="BQ98" s="26">
        <f t="shared" si="24"/>
        <v>0</v>
      </c>
      <c r="BR98" s="26">
        <f t="shared" si="24"/>
        <v>0</v>
      </c>
      <c r="BS98" s="26">
        <f t="shared" si="24"/>
        <v>0</v>
      </c>
      <c r="BT98" s="26">
        <f t="shared" si="24"/>
        <v>0</v>
      </c>
      <c r="BU98" s="26">
        <f t="shared" si="24"/>
        <v>0</v>
      </c>
      <c r="BV98" s="26">
        <f t="shared" si="24"/>
        <v>0</v>
      </c>
      <c r="BW98" s="26">
        <f t="shared" si="24"/>
        <v>0</v>
      </c>
      <c r="BX98" s="26">
        <f t="shared" si="24"/>
        <v>0</v>
      </c>
      <c r="BY98" s="26">
        <f t="shared" si="24"/>
        <v>0</v>
      </c>
      <c r="BZ98" s="26">
        <f t="shared" si="24"/>
        <v>0</v>
      </c>
      <c r="CA98" s="26">
        <f t="shared" si="24"/>
        <v>0</v>
      </c>
      <c r="CB98" s="26">
        <f t="shared" si="24"/>
        <v>0</v>
      </c>
      <c r="CC98" s="26">
        <f t="shared" si="24"/>
        <v>0</v>
      </c>
      <c r="CD98" s="26">
        <f t="shared" si="24"/>
        <v>0</v>
      </c>
      <c r="CE98" s="26">
        <f t="shared" si="24"/>
        <v>0</v>
      </c>
      <c r="CF98" s="26">
        <f t="shared" si="24"/>
        <v>0</v>
      </c>
      <c r="CG98" s="26">
        <f t="shared" si="24"/>
        <v>0</v>
      </c>
      <c r="CH98" s="26">
        <f t="shared" si="24"/>
        <v>0</v>
      </c>
      <c r="CI98" s="26">
        <f t="shared" si="24"/>
        <v>0</v>
      </c>
      <c r="CJ98" s="26">
        <f t="shared" si="24"/>
        <v>0</v>
      </c>
      <c r="CK98" s="26">
        <f t="shared" si="24"/>
        <v>0</v>
      </c>
      <c r="CL98" s="26">
        <f t="shared" si="24"/>
        <v>0</v>
      </c>
      <c r="CM98" s="26">
        <f t="shared" si="25"/>
        <v>0</v>
      </c>
      <c r="EL98" s="2"/>
      <c r="EM98" s="2"/>
      <c r="EN98" s="2"/>
      <c r="EO98" s="19" t="e">
        <f>IF(OR(XS_Designer_Calculations!BE96&lt;&gt;0,XS_Designer_Calculations!BG96="MAX WSE"),VLOOKUP(XS_Designer_Calculations!BA96,XS_Designer_Summary!$C$3:$C$11,2,TRUE),IF(XS_Designer_Calculations!BE96&lt;&gt;0,VLOOKUP(XS_Designer_Calculations!BF96,XS_Designer_Summary!$C$3:$C$11,2,TRUE),""))</f>
        <v>#N/A</v>
      </c>
      <c r="EP98" s="19"/>
      <c r="EQ98" s="19"/>
      <c r="ER98" s="19"/>
      <c r="ES98" s="19"/>
      <c r="ET98" s="19"/>
      <c r="EU98" s="19"/>
      <c r="EV98" s="19"/>
      <c r="EW98" s="19"/>
      <c r="EX98" s="19"/>
      <c r="EY98" s="19"/>
      <c r="EZ98"/>
      <c r="FA98"/>
      <c r="FB98" s="2"/>
      <c r="FC98"/>
      <c r="FD98"/>
      <c r="FE98" s="2"/>
      <c r="FF98"/>
      <c r="FG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</row>
    <row r="99" spans="5:189" ht="18" thickBot="1">
      <c r="E99" s="11">
        <v>95</v>
      </c>
      <c r="F99" s="8"/>
      <c r="G99" s="8"/>
      <c r="H99" s="311"/>
      <c r="I99" s="37"/>
      <c r="M99" s="2"/>
      <c r="P99" s="2"/>
      <c r="S99" s="206">
        <f>IF(S98="PSR",0.0834*(S89/S90)^-0.872,0.0384*(S93/S89)^-0.887)</f>
        <v>2.0764315458885463E-2</v>
      </c>
      <c r="T99" s="161" t="s">
        <v>838</v>
      </c>
      <c r="U99" s="444" t="s">
        <v>893</v>
      </c>
      <c r="V99" s="445"/>
      <c r="W99" s="445"/>
      <c r="X99" s="445"/>
      <c r="Y99" s="445"/>
      <c r="Z99" s="446"/>
      <c r="AU99" s="414"/>
      <c r="AV99" s="29" t="s">
        <v>53</v>
      </c>
      <c r="AW99" s="89">
        <f t="shared" si="19"/>
        <v>0.25</v>
      </c>
      <c r="AX99" s="69">
        <v>3</v>
      </c>
      <c r="AY99" s="3" t="s">
        <v>574</v>
      </c>
      <c r="AZ99" s="417"/>
      <c r="BA99" s="37">
        <v>102</v>
      </c>
      <c r="BB99" s="66">
        <f t="shared" si="26"/>
        <v>96.6</v>
      </c>
      <c r="BC99" s="66">
        <f t="shared" si="26"/>
        <v>91.199999999999989</v>
      </c>
      <c r="BD99" s="66">
        <f t="shared" si="26"/>
        <v>85.799999999999983</v>
      </c>
      <c r="BE99" s="66">
        <f t="shared" si="26"/>
        <v>80.399999999999977</v>
      </c>
      <c r="BF99" s="37">
        <v>75</v>
      </c>
      <c r="BG99" s="66">
        <f t="shared" si="27"/>
        <v>70.2</v>
      </c>
      <c r="BH99" s="66">
        <f t="shared" si="27"/>
        <v>65.400000000000006</v>
      </c>
      <c r="BI99" s="66">
        <f t="shared" si="27"/>
        <v>60.600000000000009</v>
      </c>
      <c r="BJ99" s="66">
        <f t="shared" si="27"/>
        <v>55.800000000000011</v>
      </c>
      <c r="BK99" s="37">
        <v>51</v>
      </c>
      <c r="BL99" s="3" t="s">
        <v>250</v>
      </c>
      <c r="BN99" s="5">
        <f t="shared" si="23"/>
        <v>0</v>
      </c>
      <c r="BO99" s="12"/>
      <c r="BP99" s="26">
        <f t="shared" si="24"/>
        <v>0</v>
      </c>
      <c r="BQ99" s="26">
        <f t="shared" si="24"/>
        <v>0</v>
      </c>
      <c r="BR99" s="26">
        <f t="shared" si="24"/>
        <v>0</v>
      </c>
      <c r="BS99" s="26">
        <f t="shared" si="24"/>
        <v>0</v>
      </c>
      <c r="BT99" s="26">
        <f t="shared" si="24"/>
        <v>0</v>
      </c>
      <c r="BU99" s="26">
        <f t="shared" si="24"/>
        <v>0</v>
      </c>
      <c r="BV99" s="26">
        <f t="shared" si="24"/>
        <v>0</v>
      </c>
      <c r="BW99" s="26">
        <f t="shared" si="24"/>
        <v>0</v>
      </c>
      <c r="BX99" s="26">
        <f t="shared" si="24"/>
        <v>0</v>
      </c>
      <c r="BY99" s="26">
        <f t="shared" si="24"/>
        <v>0</v>
      </c>
      <c r="BZ99" s="26">
        <f t="shared" si="24"/>
        <v>0</v>
      </c>
      <c r="CA99" s="26">
        <f t="shared" si="24"/>
        <v>0</v>
      </c>
      <c r="CB99" s="26">
        <f t="shared" si="24"/>
        <v>0</v>
      </c>
      <c r="CC99" s="26">
        <f t="shared" si="24"/>
        <v>0</v>
      </c>
      <c r="CD99" s="26">
        <f t="shared" si="24"/>
        <v>0</v>
      </c>
      <c r="CE99" s="26">
        <f t="shared" si="24"/>
        <v>0</v>
      </c>
      <c r="CF99" s="26">
        <f t="shared" si="24"/>
        <v>0</v>
      </c>
      <c r="CG99" s="26">
        <f t="shared" si="24"/>
        <v>0</v>
      </c>
      <c r="CH99" s="26">
        <f t="shared" si="24"/>
        <v>0</v>
      </c>
      <c r="CI99" s="26">
        <f t="shared" si="24"/>
        <v>0</v>
      </c>
      <c r="CJ99" s="26">
        <f t="shared" si="24"/>
        <v>0</v>
      </c>
      <c r="CK99" s="26">
        <f t="shared" si="24"/>
        <v>0</v>
      </c>
      <c r="CL99" s="26">
        <f t="shared" si="24"/>
        <v>0</v>
      </c>
      <c r="CM99" s="26">
        <f t="shared" si="25"/>
        <v>0</v>
      </c>
      <c r="EK99" s="2"/>
      <c r="EL99" s="2"/>
      <c r="EM99" s="2"/>
      <c r="EN99" s="19" t="e">
        <f>IF(OR(XS_Designer_Calculations!BE97&lt;&gt;0,XS_Designer_Calculations!BG97="MAX WSE"),VLOOKUP(XS_Designer_Calculations!BA97,XS_Designer_Summary!$C$3:$C$11,2,TRUE),IF(XS_Designer_Calculations!BE97&lt;&gt;0,VLOOKUP(XS_Designer_Calculations!BF97,XS_Designer_Summary!$C$3:$C$11,2,TRUE),""))</f>
        <v>#N/A</v>
      </c>
      <c r="EO99" s="19"/>
      <c r="EP99" s="19"/>
      <c r="EQ99" s="19"/>
      <c r="ER99" s="19"/>
      <c r="ES99" s="19"/>
      <c r="ET99" s="19"/>
      <c r="EU99" s="19"/>
      <c r="EV99" s="19"/>
      <c r="EW99" s="19"/>
      <c r="EX99" s="19"/>
      <c r="EY99"/>
      <c r="EZ99"/>
      <c r="FA99" s="2"/>
      <c r="FB99"/>
      <c r="FC99"/>
      <c r="FD99" s="2"/>
      <c r="FE99"/>
      <c r="FF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</row>
    <row r="100" spans="5:189">
      <c r="E100" s="11">
        <v>96</v>
      </c>
      <c r="F100" s="8"/>
      <c r="G100" s="8"/>
      <c r="H100" s="311"/>
      <c r="I100" s="37"/>
      <c r="K100" s="397" t="s">
        <v>988</v>
      </c>
      <c r="L100" s="397"/>
      <c r="M100" s="397"/>
      <c r="N100" s="397"/>
      <c r="O100" s="397"/>
      <c r="P100" s="397"/>
      <c r="AU100" s="414"/>
      <c r="AV100" s="29" t="s">
        <v>128</v>
      </c>
      <c r="AW100" s="135">
        <f t="shared" si="19"/>
        <v>8.3333333333333329E-2</v>
      </c>
      <c r="AX100" s="69">
        <v>1</v>
      </c>
      <c r="AY100" s="3" t="s">
        <v>249</v>
      </c>
      <c r="AZ100" s="417"/>
      <c r="BA100" s="37">
        <v>64</v>
      </c>
      <c r="BB100" s="66">
        <f t="shared" si="26"/>
        <v>57.6</v>
      </c>
      <c r="BC100" s="66">
        <f t="shared" si="26"/>
        <v>51.2</v>
      </c>
      <c r="BD100" s="66">
        <f t="shared" si="26"/>
        <v>44.800000000000004</v>
      </c>
      <c r="BE100" s="66">
        <f t="shared" si="26"/>
        <v>38.400000000000006</v>
      </c>
      <c r="BF100" s="37">
        <v>32</v>
      </c>
      <c r="BG100" s="66">
        <f t="shared" si="27"/>
        <v>26</v>
      </c>
      <c r="BH100" s="66">
        <f t="shared" si="27"/>
        <v>20</v>
      </c>
      <c r="BI100" s="66">
        <f t="shared" si="27"/>
        <v>14</v>
      </c>
      <c r="BJ100" s="66">
        <f t="shared" si="27"/>
        <v>8</v>
      </c>
      <c r="BK100" s="37">
        <v>2</v>
      </c>
      <c r="BL100" s="3" t="s">
        <v>621</v>
      </c>
      <c r="BN100" s="5">
        <f t="shared" si="23"/>
        <v>0.35</v>
      </c>
      <c r="BO100" s="12"/>
      <c r="BP100" s="26">
        <f t="shared" si="24"/>
        <v>0</v>
      </c>
      <c r="BQ100" s="26">
        <f t="shared" si="24"/>
        <v>0</v>
      </c>
      <c r="BR100" s="26">
        <f t="shared" si="24"/>
        <v>0</v>
      </c>
      <c r="BS100" s="26">
        <f t="shared" si="24"/>
        <v>0</v>
      </c>
      <c r="BT100" s="26">
        <f t="shared" si="24"/>
        <v>0</v>
      </c>
      <c r="BU100" s="26">
        <f t="shared" si="24"/>
        <v>0</v>
      </c>
      <c r="BV100" s="26">
        <f t="shared" si="24"/>
        <v>35</v>
      </c>
      <c r="BW100" s="26">
        <f t="shared" si="24"/>
        <v>0</v>
      </c>
      <c r="BX100" s="26">
        <f t="shared" si="24"/>
        <v>0</v>
      </c>
      <c r="BY100" s="26">
        <f t="shared" si="24"/>
        <v>35</v>
      </c>
      <c r="BZ100" s="26">
        <f t="shared" si="24"/>
        <v>35</v>
      </c>
      <c r="CA100" s="26">
        <f t="shared" si="24"/>
        <v>35</v>
      </c>
      <c r="CB100" s="26">
        <f t="shared" si="24"/>
        <v>35</v>
      </c>
      <c r="CC100" s="26">
        <f t="shared" si="24"/>
        <v>105</v>
      </c>
      <c r="CD100" s="26">
        <f t="shared" si="24"/>
        <v>70</v>
      </c>
      <c r="CE100" s="26">
        <f t="shared" si="24"/>
        <v>35</v>
      </c>
      <c r="CF100" s="26">
        <f t="shared" si="24"/>
        <v>0</v>
      </c>
      <c r="CG100" s="26">
        <f t="shared" si="24"/>
        <v>0</v>
      </c>
      <c r="CH100" s="26">
        <f t="shared" si="24"/>
        <v>0</v>
      </c>
      <c r="CI100" s="26">
        <f t="shared" si="24"/>
        <v>0</v>
      </c>
      <c r="CJ100" s="26">
        <f t="shared" si="24"/>
        <v>0</v>
      </c>
      <c r="CK100" s="26">
        <f t="shared" si="24"/>
        <v>0</v>
      </c>
      <c r="CL100" s="26">
        <f t="shared" si="24"/>
        <v>0</v>
      </c>
      <c r="CM100" s="26">
        <f t="shared" si="25"/>
        <v>0</v>
      </c>
      <c r="EK100" s="2"/>
      <c r="EL100" s="2"/>
      <c r="EM100" s="2"/>
      <c r="EN100" s="19" t="e">
        <f>IF(OR(XS_Designer_Calculations!BE98&lt;&gt;0,XS_Designer_Calculations!BG98="MAX WSE"),VLOOKUP(XS_Designer_Calculations!BA98,XS_Designer_Summary!$C$3:$C$11,2,TRUE),IF(XS_Designer_Calculations!BE98&lt;&gt;0,VLOOKUP(XS_Designer_Calculations!BF98,XS_Designer_Summary!$C$3:$C$11,2,TRUE),""))</f>
        <v>#N/A</v>
      </c>
      <c r="EO100" s="19"/>
      <c r="EP100" s="19"/>
      <c r="EQ100" s="19"/>
      <c r="ER100" s="19"/>
      <c r="ES100" s="19"/>
      <c r="ET100" s="19"/>
      <c r="EU100" s="19"/>
      <c r="EV100" s="19"/>
      <c r="EW100" s="19"/>
      <c r="EX100" s="19"/>
      <c r="EY100"/>
      <c r="EZ100"/>
      <c r="FA100" s="2"/>
      <c r="FB100"/>
      <c r="FC100"/>
      <c r="FD100" s="2"/>
      <c r="FE100"/>
      <c r="FF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</row>
    <row r="101" spans="5:189">
      <c r="E101" s="11">
        <v>97</v>
      </c>
      <c r="F101" s="8"/>
      <c r="G101" s="8"/>
      <c r="H101" s="311"/>
      <c r="I101" s="37"/>
      <c r="K101" s="5" t="s">
        <v>891</v>
      </c>
      <c r="L101" s="8" t="str">
        <f>VLOOKUP(L$32,Permissible_Velocities!$D$5:$F$13,3,TRUE)</f>
        <v>12" Gravel</v>
      </c>
      <c r="M101" s="8" t="str">
        <f>VLOOKUP(M$32,Permissible_Velocities!$D$5:$F$13,3,TRUE)</f>
        <v>Fine Sand</v>
      </c>
      <c r="N101" s="8" t="str">
        <f>VLOOKUP(N$32,Permissible_Velocities!$D$5:$F$13,3,TRUE)</f>
        <v>12" Gravel</v>
      </c>
      <c r="O101" s="8" t="str">
        <f>VLOOKUP(O$32,Permissible_Velocities!$D$5:$F$13,3,TRUE)</f>
        <v>1" Gravel</v>
      </c>
      <c r="P101" s="8" t="str">
        <f>VLOOKUP(P$32,Permissible_Velocities!$D$5:$F$13,3,TRUE)</f>
        <v>1" Gravel</v>
      </c>
      <c r="AU101" s="414"/>
      <c r="AV101" s="29" t="s">
        <v>368</v>
      </c>
      <c r="AW101" s="135">
        <f t="shared" si="19"/>
        <v>5.0000000000000001E-3</v>
      </c>
      <c r="AX101" s="69">
        <v>0.06</v>
      </c>
      <c r="AY101" s="3" t="s">
        <v>51</v>
      </c>
      <c r="AZ101" s="417"/>
      <c r="BA101" s="37">
        <v>2</v>
      </c>
      <c r="BB101" s="66">
        <f t="shared" si="26"/>
        <v>1.9</v>
      </c>
      <c r="BC101" s="66">
        <f t="shared" si="26"/>
        <v>1.7999999999999998</v>
      </c>
      <c r="BD101" s="66">
        <f t="shared" si="26"/>
        <v>1.6999999999999997</v>
      </c>
      <c r="BE101" s="66">
        <f t="shared" si="26"/>
        <v>1.5999999999999996</v>
      </c>
      <c r="BF101" s="37">
        <v>1.5</v>
      </c>
      <c r="BG101" s="66">
        <f t="shared" si="27"/>
        <v>1.4</v>
      </c>
      <c r="BH101" s="66">
        <f t="shared" si="27"/>
        <v>1.2999999999999998</v>
      </c>
      <c r="BI101" s="66">
        <f t="shared" si="27"/>
        <v>1.1999999999999997</v>
      </c>
      <c r="BJ101" s="66">
        <f t="shared" si="27"/>
        <v>1.0999999999999996</v>
      </c>
      <c r="BK101" s="37">
        <v>1</v>
      </c>
      <c r="BL101" s="3" t="s">
        <v>622</v>
      </c>
      <c r="BM101" s="12"/>
      <c r="BN101" s="5">
        <f t="shared" si="23"/>
        <v>0.1</v>
      </c>
      <c r="BO101" s="12"/>
      <c r="BP101" s="26">
        <f t="shared" si="24"/>
        <v>0</v>
      </c>
      <c r="BQ101" s="26">
        <f t="shared" si="24"/>
        <v>0</v>
      </c>
      <c r="BR101" s="26">
        <f t="shared" si="24"/>
        <v>0</v>
      </c>
      <c r="BS101" s="26">
        <f t="shared" si="24"/>
        <v>0</v>
      </c>
      <c r="BT101" s="26">
        <f t="shared" si="24"/>
        <v>0</v>
      </c>
      <c r="BU101" s="26">
        <f t="shared" si="24"/>
        <v>100</v>
      </c>
      <c r="BV101" s="26">
        <f t="shared" si="24"/>
        <v>10</v>
      </c>
      <c r="BW101" s="26">
        <f t="shared" si="24"/>
        <v>0</v>
      </c>
      <c r="BX101" s="26">
        <f t="shared" si="24"/>
        <v>0</v>
      </c>
      <c r="BY101" s="26">
        <f t="shared" si="24"/>
        <v>0</v>
      </c>
      <c r="BZ101" s="26">
        <f t="shared" si="24"/>
        <v>0</v>
      </c>
      <c r="CA101" s="26">
        <f t="shared" si="24"/>
        <v>0</v>
      </c>
      <c r="CB101" s="26">
        <f t="shared" si="24"/>
        <v>0</v>
      </c>
      <c r="CC101" s="26">
        <f t="shared" si="24"/>
        <v>0</v>
      </c>
      <c r="CD101" s="26">
        <f t="shared" si="24"/>
        <v>0</v>
      </c>
      <c r="CE101" s="26">
        <f t="shared" si="24"/>
        <v>0</v>
      </c>
      <c r="CF101" s="26">
        <f t="shared" si="24"/>
        <v>0</v>
      </c>
      <c r="CG101" s="26">
        <f t="shared" si="24"/>
        <v>0</v>
      </c>
      <c r="CH101" s="26">
        <f t="shared" si="24"/>
        <v>0</v>
      </c>
      <c r="CI101" s="26">
        <f t="shared" si="24"/>
        <v>0</v>
      </c>
      <c r="CJ101" s="26">
        <f t="shared" si="24"/>
        <v>0</v>
      </c>
      <c r="CK101" s="26">
        <f t="shared" si="24"/>
        <v>0</v>
      </c>
      <c r="CL101" s="26">
        <f t="shared" si="24"/>
        <v>0</v>
      </c>
      <c r="CM101" s="26">
        <f t="shared" si="25"/>
        <v>0</v>
      </c>
      <c r="EK101" s="2"/>
      <c r="EL101" s="2"/>
      <c r="EM101" s="2"/>
      <c r="EN101" s="19" t="e">
        <f>IF(OR(XS_Designer_Calculations!BE99&lt;&gt;0,XS_Designer_Calculations!BG99="MAX WSE"),VLOOKUP(XS_Designer_Calculations!BA99,XS_Designer_Summary!$C$3:$C$11,2,TRUE),IF(XS_Designer_Calculations!BE99&lt;&gt;0,VLOOKUP(XS_Designer_Calculations!BF99,XS_Designer_Summary!$C$3:$C$11,2,TRUE),""))</f>
        <v>#N/A</v>
      </c>
      <c r="EO101" s="19"/>
      <c r="EP101" s="19"/>
      <c r="EQ101" s="19"/>
      <c r="ER101" s="19"/>
      <c r="ES101" s="19"/>
      <c r="ET101" s="19"/>
      <c r="EU101" s="19"/>
      <c r="EV101" s="19"/>
      <c r="EW101" s="19"/>
      <c r="EX101" s="19"/>
      <c r="EY101"/>
      <c r="EZ101"/>
      <c r="FA101" s="2"/>
      <c r="FB101"/>
      <c r="FC101"/>
      <c r="FD101" s="2"/>
      <c r="FE101"/>
      <c r="FF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</row>
    <row r="102" spans="5:189">
      <c r="E102" s="11">
        <v>98</v>
      </c>
      <c r="F102" s="8"/>
      <c r="G102" s="8"/>
      <c r="H102" s="311"/>
      <c r="I102" s="37"/>
      <c r="K102" s="5" t="s">
        <v>765</v>
      </c>
      <c r="L102" s="8" t="str">
        <f>VLOOKUP(L$32,Permissible_Velocities!$D$5:$F$13,3,TRUE)</f>
        <v>12" Gravel</v>
      </c>
      <c r="M102" s="8" t="str">
        <f>VLOOKUP(M$32,Permissible_Velocities!$D$5:$F$13,3,TRUE)</f>
        <v>Fine Sand</v>
      </c>
      <c r="N102" s="8" t="str">
        <f>VLOOKUP(N$32,Permissible_Velocities!$D$5:$F$13,3,TRUE)</f>
        <v>12" Gravel</v>
      </c>
      <c r="O102" s="8" t="str">
        <f>VLOOKUP(O$32,Permissible_Velocities!$D$5:$F$13,3,TRUE)</f>
        <v>1" Gravel</v>
      </c>
      <c r="P102" s="8" t="str">
        <f>VLOOKUP(P$32,Permissible_Velocities!$D$5:$F$13,3,TRUE)</f>
        <v>1" Gravel</v>
      </c>
      <c r="AU102" s="414"/>
      <c r="AV102" s="29" t="s">
        <v>191</v>
      </c>
      <c r="AW102" s="268">
        <f t="shared" si="19"/>
        <v>2.5000000000000001E-4</v>
      </c>
      <c r="AX102" s="69">
        <v>3.0000000000000001E-3</v>
      </c>
      <c r="AY102" s="3" t="s">
        <v>305</v>
      </c>
      <c r="AZ102" s="418"/>
      <c r="BA102" s="37">
        <v>1</v>
      </c>
      <c r="BB102" s="66">
        <f t="shared" si="26"/>
        <v>0.9</v>
      </c>
      <c r="BC102" s="66">
        <f t="shared" si="26"/>
        <v>0.8</v>
      </c>
      <c r="BD102" s="66">
        <f t="shared" si="26"/>
        <v>0.70000000000000007</v>
      </c>
      <c r="BE102" s="66">
        <f t="shared" si="26"/>
        <v>0.60000000000000009</v>
      </c>
      <c r="BF102" s="37">
        <v>0.5</v>
      </c>
      <c r="BG102" s="66">
        <f t="shared" si="27"/>
        <v>0.40039999999999998</v>
      </c>
      <c r="BH102" s="66">
        <f t="shared" si="27"/>
        <v>0.30079999999999996</v>
      </c>
      <c r="BI102" s="66">
        <f t="shared" si="27"/>
        <v>0.20119999999999996</v>
      </c>
      <c r="BJ102" s="66">
        <f t="shared" si="27"/>
        <v>0.10159999999999997</v>
      </c>
      <c r="BK102" s="37">
        <v>2E-3</v>
      </c>
      <c r="BL102" s="3" t="s">
        <v>129</v>
      </c>
      <c r="BN102" s="5">
        <f t="shared" si="23"/>
        <v>0.05</v>
      </c>
      <c r="BO102" s="11"/>
      <c r="BP102" s="26">
        <f t="shared" si="24"/>
        <v>5</v>
      </c>
      <c r="BQ102" s="26">
        <f t="shared" si="24"/>
        <v>5</v>
      </c>
      <c r="BR102" s="26">
        <f t="shared" si="24"/>
        <v>5</v>
      </c>
      <c r="BS102" s="26">
        <f t="shared" si="24"/>
        <v>10</v>
      </c>
      <c r="BT102" s="26">
        <f t="shared" si="24"/>
        <v>25</v>
      </c>
      <c r="BU102" s="26">
        <f t="shared" si="24"/>
        <v>5</v>
      </c>
      <c r="BV102" s="26">
        <f t="shared" si="24"/>
        <v>0</v>
      </c>
      <c r="BW102" s="26">
        <f t="shared" si="24"/>
        <v>0</v>
      </c>
      <c r="BX102" s="26">
        <f t="shared" si="24"/>
        <v>0</v>
      </c>
      <c r="BY102" s="26">
        <f t="shared" si="24"/>
        <v>0</v>
      </c>
      <c r="BZ102" s="26">
        <f t="shared" si="24"/>
        <v>0</v>
      </c>
      <c r="CA102" s="26">
        <f t="shared" si="24"/>
        <v>0</v>
      </c>
      <c r="CB102" s="26">
        <f t="shared" si="24"/>
        <v>0</v>
      </c>
      <c r="CC102" s="26">
        <f t="shared" si="24"/>
        <v>0</v>
      </c>
      <c r="CD102" s="26">
        <f t="shared" si="24"/>
        <v>0</v>
      </c>
      <c r="CE102" s="26">
        <f t="shared" si="24"/>
        <v>0</v>
      </c>
      <c r="CF102" s="26">
        <f t="shared" si="24"/>
        <v>0</v>
      </c>
      <c r="CG102" s="26">
        <f t="shared" si="24"/>
        <v>0</v>
      </c>
      <c r="CH102" s="26">
        <f t="shared" si="24"/>
        <v>0</v>
      </c>
      <c r="CI102" s="26">
        <f t="shared" si="24"/>
        <v>0</v>
      </c>
      <c r="CJ102" s="26">
        <f t="shared" si="24"/>
        <v>0</v>
      </c>
      <c r="CK102" s="26">
        <f t="shared" si="24"/>
        <v>0</v>
      </c>
      <c r="CL102" s="26">
        <f t="shared" si="24"/>
        <v>0</v>
      </c>
      <c r="CM102" s="26">
        <f t="shared" si="25"/>
        <v>0</v>
      </c>
      <c r="EK102" s="2"/>
      <c r="EL102" s="2"/>
      <c r="EM102" s="2"/>
      <c r="EN102" s="19" t="e">
        <f>IF(OR(XS_Designer_Calculations!BE100&lt;&gt;0,XS_Designer_Calculations!BG100="MAX WSE"),VLOOKUP(XS_Designer_Calculations!BA100,XS_Designer_Summary!$C$3:$C$11,2,TRUE),IF(XS_Designer_Calculations!BE100&lt;&gt;0,VLOOKUP(XS_Designer_Calculations!BF100,XS_Designer_Summary!$C$3:$C$11,2,TRUE),""))</f>
        <v>#N/A</v>
      </c>
      <c r="EO102" s="19"/>
      <c r="EP102" s="19"/>
      <c r="EQ102" s="19"/>
      <c r="ER102" s="19"/>
      <c r="ES102" s="19"/>
      <c r="ET102" s="19"/>
      <c r="EU102" s="19"/>
      <c r="EV102" s="19"/>
      <c r="EW102" s="19"/>
      <c r="EX102" s="19"/>
      <c r="EY102"/>
      <c r="EZ102"/>
      <c r="FA102" s="2"/>
      <c r="FB102"/>
      <c r="FC102"/>
      <c r="FD102" s="2"/>
      <c r="FE102"/>
      <c r="FF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</row>
    <row r="103" spans="5:189">
      <c r="E103" s="11">
        <v>99</v>
      </c>
      <c r="F103" s="8"/>
      <c r="G103" s="8"/>
      <c r="H103" s="311"/>
      <c r="I103" s="37"/>
      <c r="K103" s="5" t="s">
        <v>526</v>
      </c>
      <c r="L103" s="8" t="str">
        <f>VLOOKUP(L$32,Permissible_Velocities!$D$29:$F$34,3,TRUE)</f>
        <v>Cobbles</v>
      </c>
      <c r="M103" s="8" t="str">
        <f>VLOOKUP(M$32,Permissible_Velocities!$D$29:$F$34,3,TRUE)</f>
        <v>Fine Sand</v>
      </c>
      <c r="N103" s="8" t="str">
        <f>VLOOKUP(N$32,Permissible_Velocities!$D$29:$F$34,3,TRUE)</f>
        <v>Cobbles</v>
      </c>
      <c r="O103" s="8" t="str">
        <f>VLOOKUP(O$32,Permissible_Velocities!$D$29:$F$34,3,TRUE)</f>
        <v>Fine Gravel</v>
      </c>
      <c r="P103" s="8" t="str">
        <f>VLOOKUP(P$32,Permissible_Velocities!$D$29:$F$34,3,TRUE)</f>
        <v>Fine Gravel</v>
      </c>
      <c r="AU103" s="414"/>
      <c r="AV103"/>
      <c r="AW103"/>
      <c r="AX103"/>
      <c r="AY103"/>
      <c r="AZ103"/>
      <c r="BA103"/>
      <c r="BB103"/>
      <c r="BC103"/>
      <c r="BD103"/>
      <c r="BE103"/>
      <c r="BF103" s="11"/>
      <c r="BL103"/>
      <c r="BM103"/>
      <c r="EK103" s="2"/>
      <c r="EL103" s="2"/>
      <c r="EM103" s="2"/>
      <c r="EN103" s="19" t="e">
        <f>IF(OR(XS_Designer_Calculations!BE101&lt;&gt;0,XS_Designer_Calculations!BG101="MAX WSE"),VLOOKUP(XS_Designer_Calculations!BA101,XS_Designer_Summary!$C$3:$C$11,2,TRUE),IF(XS_Designer_Calculations!BE101&lt;&gt;0,VLOOKUP(XS_Designer_Calculations!BF101,XS_Designer_Summary!$C$3:$C$11,2,TRUE),""))</f>
        <v>#N/A</v>
      </c>
      <c r="EO103" s="19"/>
      <c r="EP103" s="19"/>
      <c r="EQ103" s="19"/>
      <c r="ER103" s="19"/>
      <c r="ES103" s="19"/>
      <c r="ET103" s="19"/>
      <c r="EU103" s="19"/>
      <c r="EV103" s="19"/>
      <c r="EW103" s="19"/>
      <c r="EX103" s="19"/>
      <c r="EY103"/>
      <c r="EZ103"/>
      <c r="FA103" s="2"/>
      <c r="FB103"/>
      <c r="FC103"/>
      <c r="FD103" s="2"/>
      <c r="FE103"/>
      <c r="FF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</row>
    <row r="104" spans="5:189">
      <c r="E104" s="11">
        <v>100</v>
      </c>
      <c r="F104" s="8"/>
      <c r="G104" s="8"/>
      <c r="H104" s="311"/>
      <c r="I104" s="37" t="s">
        <v>8</v>
      </c>
      <c r="AU104" s="414"/>
      <c r="AV104" s="380" t="s">
        <v>620</v>
      </c>
      <c r="AW104" s="381"/>
      <c r="AX104" s="381"/>
      <c r="AY104" s="381"/>
      <c r="AZ104" s="381"/>
      <c r="BA104" s="381"/>
      <c r="BB104" s="381"/>
      <c r="BC104" s="381"/>
      <c r="BD104" s="381"/>
      <c r="BE104" s="381"/>
      <c r="BF104" s="381"/>
      <c r="BG104" s="381"/>
      <c r="BH104" s="381"/>
      <c r="BI104" s="381"/>
      <c r="BJ104" s="381"/>
      <c r="BK104" s="381"/>
      <c r="BL104" s="381"/>
      <c r="BM104" s="382"/>
      <c r="EK104" s="2"/>
      <c r="EL104" s="2"/>
      <c r="EM104" s="2"/>
      <c r="EN104" s="19" t="e">
        <f>IF(OR(XS_Designer_Calculations!BE102&lt;&gt;0,XS_Designer_Calculations!BG102="MAX WSE"),VLOOKUP(XS_Designer_Calculations!BA102,XS_Designer_Summary!$C$3:$C$11,2,TRUE),IF(XS_Designer_Calculations!BE102&lt;&gt;0,VLOOKUP(XS_Designer_Calculations!BF102,XS_Designer_Summary!$C$3:$C$11,2,TRUE),""))</f>
        <v>#N/A</v>
      </c>
      <c r="EO104" s="19"/>
      <c r="EP104" s="19"/>
      <c r="EQ104" s="19"/>
      <c r="ER104" s="19"/>
      <c r="ES104" s="19"/>
      <c r="ET104" s="19"/>
      <c r="EU104" s="19"/>
      <c r="EV104" s="19"/>
      <c r="EW104" s="19"/>
      <c r="EX104" s="19"/>
      <c r="EY104"/>
      <c r="EZ104"/>
      <c r="FA104" s="2"/>
      <c r="FB104"/>
      <c r="FC104"/>
      <c r="FD104" s="2"/>
      <c r="FE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</row>
    <row r="105" spans="5:189">
      <c r="K105" s="397" t="s">
        <v>259</v>
      </c>
      <c r="L105" s="397"/>
      <c r="M105" s="397"/>
      <c r="N105" s="397"/>
      <c r="O105" s="397"/>
      <c r="P105" s="397"/>
      <c r="AU105" s="414"/>
      <c r="AV105" s="233" t="s">
        <v>365</v>
      </c>
      <c r="AW105" s="4" t="s">
        <v>304</v>
      </c>
      <c r="AX105" s="4" t="s">
        <v>366</v>
      </c>
      <c r="AY105" s="419"/>
      <c r="AZ105" s="4" t="s">
        <v>324</v>
      </c>
      <c r="BA105" s="4" t="s">
        <v>190</v>
      </c>
      <c r="BB105" s="4" t="s">
        <v>52</v>
      </c>
      <c r="BC105" s="419"/>
      <c r="BD105" s="4" t="s">
        <v>364</v>
      </c>
      <c r="BE105" s="4" t="s">
        <v>190</v>
      </c>
      <c r="BF105" s="4" t="s">
        <v>366</v>
      </c>
      <c r="BG105" s="419"/>
      <c r="BH105" s="4" t="s">
        <v>924</v>
      </c>
      <c r="BI105" s="4" t="s">
        <v>190</v>
      </c>
      <c r="BJ105" s="142"/>
      <c r="BL105" s="4" t="s">
        <v>251</v>
      </c>
      <c r="BM105" s="4" t="s">
        <v>745</v>
      </c>
      <c r="EK105"/>
      <c r="EL105" s="2"/>
      <c r="EM105" s="2"/>
      <c r="EN105" s="19" t="e">
        <f>IF(OR(XS_Designer_Calculations!BE103&lt;&gt;0,XS_Designer_Calculations!BG103="MAX WSE"),VLOOKUP(XS_Designer_Calculations!BA103,XS_Designer_Summary!$C$3:$C$11,2,TRUE),IF(XS_Designer_Calculations!BE103&lt;&gt;0,VLOOKUP(XS_Designer_Calculations!BF103,XS_Designer_Summary!$C$3:$C$11,2,TRUE),""))</f>
        <v>#N/A</v>
      </c>
      <c r="EO105" s="19"/>
      <c r="EP105" s="19"/>
      <c r="EQ105" s="19"/>
      <c r="ER105" s="19"/>
      <c r="ES105" s="19"/>
      <c r="ET105" s="19"/>
      <c r="EU105" s="19"/>
      <c r="EV105" s="19"/>
      <c r="EW105" s="19"/>
      <c r="EX105" s="19"/>
      <c r="EY105"/>
      <c r="EZ105"/>
      <c r="FA105"/>
      <c r="FB105" s="2"/>
      <c r="FC105" s="2"/>
      <c r="FD105"/>
      <c r="FE105"/>
      <c r="FF105"/>
      <c r="FI105"/>
      <c r="FJ105" s="2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</row>
    <row r="106" spans="5:189">
      <c r="K106" s="30" t="s">
        <v>920</v>
      </c>
      <c r="L106" s="30"/>
      <c r="M106" s="30"/>
      <c r="N106" s="30"/>
      <c r="O106" s="30"/>
      <c r="P106" s="30"/>
      <c r="AU106" s="414"/>
      <c r="AV106" s="29" t="s">
        <v>231</v>
      </c>
      <c r="AW106" s="14">
        <f>(($AW$5*AW$9)/(1.65*$AX$106))*12</f>
        <v>8.9988493208557685</v>
      </c>
      <c r="AX106" s="135">
        <f>$S$99</f>
        <v>2.0764315458885463E-2</v>
      </c>
      <c r="AY106" s="420"/>
      <c r="AZ106" s="3" t="s">
        <v>891</v>
      </c>
      <c r="BA106" s="3" t="str">
        <f>VLOOKUP(AW$14,Permissible_Velocities!$D$19:$F$24,3,TRUE)</f>
        <v>Coarse Gravel</v>
      </c>
      <c r="BB106" s="3">
        <f t="shared" ref="BB106:BB108" si="28">VLOOKUP(BA106,$BL$106:$BM$116,2,FALSE)</f>
        <v>2</v>
      </c>
      <c r="BC106" s="420"/>
      <c r="BD106" s="3" t="s">
        <v>444</v>
      </c>
      <c r="BE106" s="14">
        <f>((77.966*(AW18^1.042)))*0.0393701</f>
        <v>9.6574246477662076</v>
      </c>
      <c r="BF106" s="3"/>
      <c r="BG106" s="420"/>
      <c r="BH106" s="3" t="s">
        <v>891</v>
      </c>
      <c r="BI106" s="3" t="str">
        <f>VLOOKUP(AW15,Permissible_Velocities!$D$5:$F$13,3,TRUE)</f>
        <v>12" Gravel</v>
      </c>
      <c r="BJ106" s="22"/>
      <c r="BL106" s="3" t="s">
        <v>215</v>
      </c>
      <c r="BM106" s="3">
        <v>5.0000000000000001E-3</v>
      </c>
      <c r="EK106" s="2"/>
      <c r="EL106" s="2"/>
      <c r="EM106" s="2"/>
      <c r="EN106" s="19"/>
      <c r="EO106" s="19"/>
      <c r="EP106" s="19"/>
      <c r="EQ106" s="19"/>
      <c r="ER106" s="19"/>
      <c r="ES106" s="19"/>
      <c r="ET106" s="19"/>
      <c r="EU106" s="19"/>
      <c r="EV106" s="19"/>
      <c r="EW106" s="19"/>
      <c r="EX106" s="19"/>
      <c r="EY106"/>
      <c r="EZ106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</row>
    <row r="107" spans="5:189">
      <c r="K107" s="30" t="s">
        <v>802</v>
      </c>
      <c r="L107" s="30"/>
      <c r="M107" s="30"/>
      <c r="N107" s="30"/>
      <c r="O107" s="30"/>
      <c r="P107" s="30"/>
      <c r="AU107" s="414"/>
      <c r="AV107" s="29" t="s">
        <v>889</v>
      </c>
      <c r="AW107" s="14">
        <f>(AW$17/((1.65*62.4)*AX107))*12</f>
        <v>3.1142491010871067</v>
      </c>
      <c r="AX107" s="285">
        <f>AA53</f>
        <v>0.06</v>
      </c>
      <c r="AY107" s="420"/>
      <c r="AZ107" s="3" t="s">
        <v>765</v>
      </c>
      <c r="BA107" s="3" t="str">
        <f>VLOOKUP(AW$14,Permissible_Velocities!$D$5:$F$13,3,TRUE)</f>
        <v>2" Gravel</v>
      </c>
      <c r="BB107" s="3">
        <f t="shared" si="28"/>
        <v>2</v>
      </c>
      <c r="BC107" s="420"/>
      <c r="BD107" s="3" t="s">
        <v>696</v>
      </c>
      <c r="BE107" s="14">
        <f>LININTERP(BF107,Permissible_Shear!$S$205:$S$222,Permissible_Shear!$V$205:$V$222)</f>
        <v>8.9548332163699484</v>
      </c>
      <c r="BF107" s="89">
        <f>(1.5*AW17)*1.15</f>
        <v>2.7655466292383832</v>
      </c>
      <c r="BG107" s="420"/>
      <c r="BH107" s="3"/>
      <c r="BI107" s="3"/>
      <c r="BJ107" s="22"/>
      <c r="BL107" s="3" t="s">
        <v>280</v>
      </c>
      <c r="BM107" s="3">
        <v>0.01</v>
      </c>
      <c r="CZ107"/>
      <c r="DE107"/>
      <c r="DF107"/>
      <c r="DG107"/>
      <c r="DH107"/>
      <c r="DI107"/>
      <c r="DJ107"/>
      <c r="DK107"/>
      <c r="DL107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/>
      <c r="EM107"/>
      <c r="EV107"/>
      <c r="EW107" s="54"/>
      <c r="EX107"/>
      <c r="EY107"/>
      <c r="EZ107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</row>
    <row r="108" spans="5:189">
      <c r="AU108" s="414"/>
      <c r="AV108" s="29" t="s">
        <v>653</v>
      </c>
      <c r="AW108" s="14">
        <f>((77.966*((62.4*$AW$5*(AW$11))^1.042)))*0.0393701</f>
        <v>5.2947718042527976</v>
      </c>
      <c r="AX108" s="3"/>
      <c r="AY108" s="420"/>
      <c r="AZ108" s="3" t="s">
        <v>526</v>
      </c>
      <c r="BA108" s="3" t="str">
        <f>VLOOKUP(AW$14,Permissible_Velocities!$D$29:$F$34,3,TRUE)</f>
        <v>Coarse Gravel</v>
      </c>
      <c r="BB108" s="3">
        <f t="shared" si="28"/>
        <v>2</v>
      </c>
      <c r="BC108" s="420"/>
      <c r="BD108" s="3"/>
      <c r="BE108" s="3"/>
      <c r="BF108" s="3"/>
      <c r="BG108" s="420"/>
      <c r="BH108" s="3"/>
      <c r="BI108" s="3"/>
      <c r="BJ108" s="22"/>
      <c r="BL108" s="3" t="s">
        <v>598</v>
      </c>
      <c r="BM108" s="3">
        <v>0.02</v>
      </c>
      <c r="CZ108"/>
      <c r="DE108"/>
      <c r="DF108"/>
      <c r="DG108"/>
      <c r="DH108"/>
      <c r="DI108"/>
      <c r="DJ108"/>
      <c r="DK108"/>
      <c r="DL108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</row>
    <row r="109" spans="5:189">
      <c r="K109" s="397" t="s">
        <v>61</v>
      </c>
      <c r="L109" s="397"/>
      <c r="M109" s="397"/>
      <c r="N109" s="397"/>
      <c r="O109" s="397"/>
      <c r="P109" s="397"/>
      <c r="AU109" s="414"/>
      <c r="AV109" s="29" t="s">
        <v>467</v>
      </c>
      <c r="AW109" s="14">
        <f>((152.02*((62.4*$AW$5*(AW11))^0.7355)))*0.0393701</f>
        <v>8.7941970578674198</v>
      </c>
      <c r="AX109" s="3"/>
      <c r="AY109" s="420"/>
      <c r="AZ109" s="3"/>
      <c r="BA109" s="3"/>
      <c r="BB109" s="3"/>
      <c r="BC109" s="420"/>
      <c r="BD109" s="3"/>
      <c r="BE109" s="3"/>
      <c r="BF109" s="3"/>
      <c r="BG109" s="420"/>
      <c r="BH109" s="3"/>
      <c r="BI109" s="3"/>
      <c r="BJ109" s="22"/>
      <c r="BL109" s="3" t="s">
        <v>405</v>
      </c>
      <c r="BM109" s="3">
        <v>1</v>
      </c>
      <c r="CV109"/>
      <c r="CW109"/>
      <c r="CX109"/>
      <c r="CY109"/>
      <c r="CZ109"/>
      <c r="DE109"/>
      <c r="DF109"/>
      <c r="DG109"/>
      <c r="DH109"/>
      <c r="DI109"/>
      <c r="DJ109"/>
      <c r="DK109"/>
      <c r="DL109"/>
      <c r="DM109" s="2"/>
      <c r="DN109" s="2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 s="2"/>
      <c r="EM109" s="2"/>
      <c r="EV109" s="2"/>
      <c r="EW109" s="27"/>
      <c r="EX109" s="2"/>
      <c r="EY109" s="2"/>
      <c r="EZ109" s="2"/>
      <c r="FA109"/>
      <c r="FB109"/>
      <c r="FC109"/>
      <c r="FD109"/>
      <c r="FE109"/>
      <c r="FF109"/>
      <c r="FG109"/>
      <c r="FH109"/>
      <c r="FI109" s="2"/>
      <c r="FJ109" s="2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</row>
    <row r="110" spans="5:189">
      <c r="K110" s="5" t="s">
        <v>1005</v>
      </c>
      <c r="L110" s="8">
        <f>_xlfn.IFNA(($U$5*L$42)/(1.65*XS_Designer!$AA$52)*12,"-")</f>
        <v>10.522157206350277</v>
      </c>
      <c r="M110" s="8">
        <f>_xlfn.IFNA(($U$5*M$42)/(1.65*XS_Designer!$AA$52)*12,"-")</f>
        <v>0</v>
      </c>
      <c r="N110" s="8">
        <f>_xlfn.IFNA(($U$5*N$42)/(1.65*XS_Designer!$AA$52)*12,"-")</f>
        <v>10.522157206350277</v>
      </c>
      <c r="O110" s="8">
        <f>_xlfn.IFNA(($U$5*O$42)/(1.65*XS_Designer!$AA$52)*12,"-")</f>
        <v>6.5399655473631153</v>
      </c>
      <c r="P110" s="8">
        <f>_xlfn.IFNA(($U$5*P$42)/(1.65*XS_Designer!$AA$52)*12,"-")</f>
        <v>6.5399655473631171</v>
      </c>
      <c r="AU110" s="414"/>
      <c r="AV110" s="29" t="s">
        <v>766</v>
      </c>
      <c r="AW110" s="14">
        <f>IF(ISNUMBER(LININTERP(AW17,Permissible_Shear!$T$178:$T$188,Permissible_Shear!$V$178:$V$188)),LININTERP(AW17,Permissible_Shear!$T$178:$T$188,Permissible_Shear!$V$178:$V$188),0)</f>
        <v>5.2576521759291248</v>
      </c>
      <c r="AX110" s="3"/>
      <c r="AY110" s="420"/>
      <c r="AZ110" s="3"/>
      <c r="BA110" s="3"/>
      <c r="BB110" s="3"/>
      <c r="BC110" s="420"/>
      <c r="BD110" s="3"/>
      <c r="BE110" s="3"/>
      <c r="BF110" s="3"/>
      <c r="BG110" s="420"/>
      <c r="BH110" s="3"/>
      <c r="BI110" s="3"/>
      <c r="BJ110" s="22"/>
      <c r="BL110" s="3" t="s">
        <v>472</v>
      </c>
      <c r="BM110" s="3">
        <v>2</v>
      </c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E110"/>
      <c r="DF110"/>
      <c r="DG110"/>
      <c r="DH110"/>
      <c r="DI110"/>
      <c r="DJ110"/>
      <c r="DK110"/>
      <c r="DL110"/>
      <c r="DM110" s="2"/>
      <c r="DN110" s="2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/>
      <c r="FB110"/>
      <c r="FC110"/>
      <c r="FD110"/>
      <c r="FE110"/>
      <c r="FF110"/>
      <c r="FG110"/>
      <c r="FH110"/>
      <c r="FI110" s="2"/>
      <c r="FJ110" s="2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</row>
    <row r="111" spans="5:189">
      <c r="K111" s="5" t="s">
        <v>889</v>
      </c>
      <c r="L111" s="8">
        <f t="shared" ref="L111:P111" si="29">(L$42/((1.65*62.4)*$AA$53))*12</f>
        <v>5.8356140902949294</v>
      </c>
      <c r="M111" s="8">
        <f t="shared" si="29"/>
        <v>0</v>
      </c>
      <c r="N111" s="8">
        <f t="shared" si="29"/>
        <v>5.8356140902949294</v>
      </c>
      <c r="O111" s="8">
        <f t="shared" si="29"/>
        <v>3.6270808684746338</v>
      </c>
      <c r="P111" s="8">
        <f t="shared" si="29"/>
        <v>3.6270808684746343</v>
      </c>
      <c r="AU111" s="415"/>
      <c r="AV111" s="29" t="s">
        <v>765</v>
      </c>
      <c r="AW111" s="14">
        <f>LININTERP(AW17,Permissible_Shear!$S$205:$S$222,Permissible_Shear!$V$205:$V$222)</f>
        <v>5.3225482413738829</v>
      </c>
      <c r="AX111" s="3"/>
      <c r="AY111" s="420"/>
      <c r="AZ111" s="3"/>
      <c r="BA111" s="3"/>
      <c r="BB111" s="3"/>
      <c r="BC111" s="420"/>
      <c r="BD111" s="3"/>
      <c r="BE111" s="3"/>
      <c r="BF111" s="3"/>
      <c r="BG111" s="420"/>
      <c r="BH111" s="3"/>
      <c r="BI111" s="3"/>
      <c r="BJ111" s="22"/>
      <c r="BL111" s="3" t="s">
        <v>717</v>
      </c>
      <c r="BM111" s="3">
        <v>6</v>
      </c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T111"/>
      <c r="CU111"/>
      <c r="CV111"/>
      <c r="CW111"/>
      <c r="CX111"/>
      <c r="CY111"/>
      <c r="CZ111"/>
      <c r="DE111"/>
      <c r="DF111"/>
      <c r="DG111"/>
      <c r="DH111"/>
      <c r="DI111"/>
      <c r="DJ111"/>
      <c r="DK111"/>
      <c r="DL111"/>
      <c r="DM111" s="2"/>
      <c r="DN111" s="2"/>
      <c r="DO111" s="2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 s="2"/>
      <c r="FJ111" s="2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</row>
    <row r="112" spans="5:189">
      <c r="K112" s="5" t="s">
        <v>653</v>
      </c>
      <c r="L112" s="8">
        <f t="shared" ref="L112:P112" si="30">((77.966*((62.4*$U$5*(L$39))^1.042)))*0.0393701</f>
        <v>10.045715127288357</v>
      </c>
      <c r="M112" s="8">
        <f t="shared" si="30"/>
        <v>0</v>
      </c>
      <c r="N112" s="8">
        <f t="shared" si="30"/>
        <v>10.045715127288357</v>
      </c>
      <c r="O112" s="8">
        <f t="shared" si="30"/>
        <v>5.8974408165083503</v>
      </c>
      <c r="P112" s="8">
        <f t="shared" si="30"/>
        <v>5.8974408165083503</v>
      </c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L112" s="3" t="s">
        <v>597</v>
      </c>
      <c r="BM112" s="3">
        <v>12</v>
      </c>
      <c r="CT112"/>
      <c r="CU112"/>
      <c r="CV112"/>
      <c r="CW112"/>
      <c r="CX112"/>
      <c r="CY112"/>
      <c r="CZ112"/>
      <c r="DE112"/>
      <c r="DF112"/>
      <c r="DG112"/>
      <c r="DH112"/>
      <c r="DI112"/>
      <c r="DJ112"/>
      <c r="DK112"/>
      <c r="DL112"/>
      <c r="DM112" s="2"/>
      <c r="DN112" s="2"/>
      <c r="DO112" s="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 s="2"/>
      <c r="FJ112" s="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</row>
    <row r="113" spans="11:188">
      <c r="K113" s="5" t="s">
        <v>467</v>
      </c>
      <c r="L113" s="8">
        <f t="shared" ref="L113:P113" si="31">((152.02*((62.4*$U$5*(L39))^0.7355)))*0.0393701</f>
        <v>13.820315260092515</v>
      </c>
      <c r="M113" s="8">
        <f t="shared" si="31"/>
        <v>0</v>
      </c>
      <c r="N113" s="8">
        <f t="shared" si="31"/>
        <v>13.820315260092515</v>
      </c>
      <c r="O113" s="8">
        <f t="shared" si="31"/>
        <v>9.4894644328636861</v>
      </c>
      <c r="P113" s="8">
        <f t="shared" si="31"/>
        <v>9.4894644328636861</v>
      </c>
      <c r="AV113"/>
      <c r="AW113"/>
      <c r="AX113"/>
      <c r="AY113"/>
      <c r="AZ113"/>
      <c r="BC113"/>
      <c r="BD113"/>
      <c r="BE113"/>
      <c r="BF113"/>
      <c r="BG113"/>
      <c r="BH113"/>
      <c r="BI113"/>
      <c r="BJ113"/>
      <c r="BL113" s="3" t="s">
        <v>656</v>
      </c>
      <c r="BM113" s="3">
        <v>18</v>
      </c>
      <c r="CT113"/>
      <c r="CU113"/>
      <c r="CV113"/>
      <c r="CW113"/>
      <c r="CX113"/>
      <c r="CY113"/>
      <c r="CZ113"/>
      <c r="DE113"/>
      <c r="DF113"/>
      <c r="DG113"/>
      <c r="DH113"/>
      <c r="DI113"/>
      <c r="DJ113"/>
      <c r="DK113"/>
      <c r="DL113"/>
      <c r="DM113" s="2"/>
      <c r="DN113" s="2"/>
      <c r="DO113" s="2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 s="2"/>
      <c r="FJ113" s="2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</row>
    <row r="114" spans="11:188">
      <c r="K114" s="5" t="s">
        <v>766</v>
      </c>
      <c r="L114" s="8">
        <f>IF(ISNUMBER(LININTERP(L42,Permissible_Shear!$T$178:$T$188,Permissible_Shear!$V$178:$V$188)),LININTERP(L42,Permissible_Shear!$T$178:$T$188,Permissible_Shear!$V$178:$V$188),0)</f>
        <v>9.7137885449510879</v>
      </c>
      <c r="M114" s="8">
        <f>IF(ISNUMBER(LININTERP(M42,Permissible_Shear!$T$178:$T$188,Permissible_Shear!$V$178:$V$188)),LININTERP(M42,Permissible_Shear!$T$178:$T$188,Permissible_Shear!$V$178:$V$188),0)</f>
        <v>0</v>
      </c>
      <c r="N114" s="8">
        <f>IF(ISNUMBER(LININTERP(N42,Permissible_Shear!$T$178:$T$188,Permissible_Shear!$V$178:$V$188)),LININTERP(N42,Permissible_Shear!$T$178:$T$188,Permissible_Shear!$V$178:$V$188),0)</f>
        <v>9.7137885449510879</v>
      </c>
      <c r="O114" s="8">
        <f>IF(ISNUMBER(LININTERP(O42,Permissible_Shear!$T$178:$T$188,Permissible_Shear!$V$178:$V$188)),LININTERP(O42,Permissible_Shear!$T$178:$T$188,Permissible_Shear!$V$178:$V$188),0)</f>
        <v>6.0822944681691666</v>
      </c>
      <c r="P114" s="8">
        <f>IF(ISNUMBER(LININTERP(P42,Permissible_Shear!$T$178:$T$188,Permissible_Shear!$V$178:$V$188)),LININTERP(P42,Permissible_Shear!$T$178:$T$188,Permissible_Shear!$V$178:$V$188),0)</f>
        <v>6.0822944681691684</v>
      </c>
      <c r="AV114"/>
      <c r="AW114"/>
      <c r="AX114"/>
      <c r="AY114"/>
      <c r="AZ114"/>
      <c r="BC114"/>
      <c r="BD114"/>
      <c r="BE114"/>
      <c r="BF114"/>
      <c r="BG114"/>
      <c r="BH114"/>
      <c r="BI114"/>
      <c r="BJ114"/>
      <c r="BL114" s="3" t="s">
        <v>322</v>
      </c>
      <c r="BM114" s="3">
        <v>24</v>
      </c>
      <c r="CT114"/>
      <c r="CU114"/>
      <c r="CV114"/>
      <c r="CW114"/>
      <c r="CX114"/>
      <c r="CY114"/>
      <c r="CZ114"/>
      <c r="DE114"/>
      <c r="DF114"/>
      <c r="DG114"/>
      <c r="DH114"/>
      <c r="DI114"/>
      <c r="DJ114"/>
      <c r="DK114"/>
      <c r="DL114"/>
      <c r="DM114" s="2"/>
      <c r="DN114" s="2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 s="2"/>
      <c r="FJ114" s="2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</row>
    <row r="115" spans="11:188">
      <c r="K115" s="5" t="s">
        <v>765</v>
      </c>
      <c r="L115" s="8">
        <f>LININTERP(L42,Permissible_Shear!$S$205:$S$222,Permissible_Shear!$V$205:$V$222)</f>
        <v>9.7005441677619668</v>
      </c>
      <c r="M115" s="8">
        <f>LININTERP(M42,Permissible_Shear!$S$205:$S$222,Permissible_Shear!$V$205:$V$222)</f>
        <v>1.5E-3</v>
      </c>
      <c r="N115" s="8">
        <f>LININTERP(N42,Permissible_Shear!$S$205:$S$222,Permissible_Shear!$V$205:$V$222)</f>
        <v>9.7005441677619668</v>
      </c>
      <c r="O115" s="8">
        <f>LININTERP(O42,Permissible_Shear!$S$205:$S$222,Permissible_Shear!$V$205:$V$222)</f>
        <v>6.1475663471585662</v>
      </c>
      <c r="P115" s="8">
        <f>LININTERP(P42,Permissible_Shear!$S$205:$S$222,Permissible_Shear!$V$205:$V$222)</f>
        <v>6.147566347158568</v>
      </c>
      <c r="AV115"/>
      <c r="AW115"/>
      <c r="AX115"/>
      <c r="AY115"/>
      <c r="AZ115"/>
      <c r="BC115"/>
      <c r="BD115"/>
      <c r="BE115"/>
      <c r="BF115"/>
      <c r="BG115"/>
      <c r="BH115"/>
      <c r="BI115"/>
      <c r="BJ115"/>
      <c r="BL115" s="3" t="s">
        <v>281</v>
      </c>
      <c r="BM115" s="3">
        <v>2</v>
      </c>
      <c r="CT115"/>
      <c r="CU115"/>
      <c r="CV115"/>
      <c r="CW115"/>
      <c r="CX115"/>
      <c r="CY115"/>
      <c r="CZ115"/>
      <c r="DE115"/>
      <c r="DF115"/>
      <c r="DG115" s="2"/>
      <c r="DH115" s="2"/>
      <c r="DI115" s="2"/>
      <c r="DJ115" s="2"/>
      <c r="DK115" s="2"/>
      <c r="DL115"/>
      <c r="DM115" s="2"/>
      <c r="DN115" s="2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 s="2"/>
      <c r="FJ115" s="2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</row>
    <row r="116" spans="11:188">
      <c r="BL116" s="3" t="s">
        <v>406</v>
      </c>
      <c r="BM116" s="3">
        <v>5</v>
      </c>
      <c r="CT116"/>
      <c r="CU116"/>
      <c r="CV116"/>
      <c r="CW116"/>
      <c r="CX116"/>
      <c r="CY116"/>
      <c r="CZ116"/>
      <c r="DE116"/>
      <c r="DF116"/>
      <c r="DG116" s="2"/>
      <c r="DH116" s="2"/>
      <c r="DI116" s="2"/>
      <c r="DJ116" s="2"/>
      <c r="DK116" s="2"/>
      <c r="DL116"/>
      <c r="DM116" s="2"/>
      <c r="DN116" s="2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 s="48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 s="2"/>
      <c r="FJ116" s="2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</row>
    <row r="117" spans="11:188">
      <c r="CT117"/>
      <c r="CU117"/>
      <c r="CV117"/>
      <c r="CW117"/>
      <c r="CX117"/>
      <c r="CY117"/>
      <c r="CZ117"/>
      <c r="DE117"/>
      <c r="DF117"/>
      <c r="DG117"/>
      <c r="DH117"/>
      <c r="DI117"/>
      <c r="DJ117"/>
      <c r="DK117"/>
      <c r="DL117"/>
      <c r="DM117" s="2"/>
      <c r="DN117" s="2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 s="48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 s="2"/>
      <c r="FJ117" s="2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</row>
    <row r="118" spans="11:188">
      <c r="CT118"/>
      <c r="CU118"/>
      <c r="CV118"/>
      <c r="CW118"/>
      <c r="CX118"/>
      <c r="CY118"/>
      <c r="CZ118"/>
      <c r="DE118"/>
      <c r="DF118"/>
      <c r="DG118"/>
      <c r="DH118"/>
      <c r="DI118"/>
      <c r="DJ118"/>
      <c r="DK118"/>
      <c r="DL118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4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</row>
    <row r="119" spans="11:188">
      <c r="CT119"/>
      <c r="CU119"/>
      <c r="CV119"/>
      <c r="CW119"/>
      <c r="CX119"/>
      <c r="CY119"/>
      <c r="CZ119"/>
      <c r="DE119"/>
      <c r="DF119"/>
      <c r="DG119"/>
      <c r="DH119"/>
      <c r="DI119"/>
      <c r="DJ119"/>
      <c r="DK119"/>
      <c r="DL119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</row>
    <row r="120" spans="11:188">
      <c r="CT120"/>
      <c r="CU120"/>
      <c r="CV120"/>
      <c r="CW120"/>
      <c r="CX120"/>
      <c r="CY120"/>
      <c r="CZ120"/>
      <c r="DE120"/>
      <c r="DF120"/>
      <c r="DG120"/>
      <c r="DH120"/>
      <c r="DI120"/>
      <c r="DJ120"/>
      <c r="DK120"/>
      <c r="DL120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</row>
    <row r="121" spans="11:188">
      <c r="CT121"/>
      <c r="CU121"/>
      <c r="CV121"/>
      <c r="CW121"/>
      <c r="CX121"/>
      <c r="CY121"/>
      <c r="CZ121"/>
      <c r="DE121"/>
      <c r="DF121"/>
      <c r="DG121"/>
      <c r="DH121"/>
      <c r="DI121"/>
      <c r="DJ121"/>
      <c r="DK121"/>
      <c r="DL121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</row>
    <row r="122" spans="11:188">
      <c r="AV122" s="226" t="s">
        <v>629</v>
      </c>
      <c r="AW122" s="82"/>
      <c r="AX122" s="82"/>
      <c r="AY122" s="82"/>
      <c r="AZ122" s="82"/>
      <c r="BA122" s="82"/>
      <c r="BB122" s="82"/>
      <c r="BC122" s="348"/>
      <c r="BD122" s="395" t="s">
        <v>550</v>
      </c>
      <c r="BE122" s="396"/>
      <c r="BF122"/>
      <c r="BG122"/>
      <c r="BH122"/>
      <c r="BI122"/>
      <c r="BJ122"/>
      <c r="BK122"/>
      <c r="BL122"/>
      <c r="BM122"/>
      <c r="BN122"/>
      <c r="CT122"/>
      <c r="CU122"/>
      <c r="CV122"/>
      <c r="CW122"/>
      <c r="CX122"/>
      <c r="CY122"/>
      <c r="CZ122"/>
      <c r="DE122"/>
      <c r="DF122"/>
      <c r="DG122"/>
      <c r="DH122"/>
      <c r="DI122"/>
      <c r="DJ122"/>
      <c r="DK122"/>
      <c r="DL122"/>
      <c r="DM122"/>
      <c r="DN12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</row>
    <row r="123" spans="11:188">
      <c r="K123" s="5" t="s">
        <v>214</v>
      </c>
      <c r="L123" s="8">
        <f t="shared" ref="L123:P123" si="32">((77.966*(L42^1.042)))*0.0393701</f>
        <v>9.6574246477662076</v>
      </c>
      <c r="M123" s="8">
        <f t="shared" si="32"/>
        <v>0</v>
      </c>
      <c r="N123" s="8">
        <f t="shared" si="32"/>
        <v>9.6574246477662076</v>
      </c>
      <c r="O123" s="8">
        <f t="shared" si="32"/>
        <v>5.883798225341434</v>
      </c>
      <c r="P123" s="8">
        <f t="shared" si="32"/>
        <v>5.8837982253414358</v>
      </c>
      <c r="AV123" s="354"/>
      <c r="AW123" s="90"/>
      <c r="AX123" s="90"/>
      <c r="AY123" s="90"/>
      <c r="AZ123" s="90"/>
      <c r="BA123" s="90"/>
      <c r="BB123" s="90"/>
      <c r="BC123" s="337"/>
      <c r="BD123" s="313"/>
      <c r="BE123" s="353"/>
      <c r="BF123"/>
      <c r="BG123"/>
      <c r="BH123"/>
      <c r="BI123"/>
      <c r="BJ123"/>
      <c r="BK123"/>
      <c r="BL123"/>
      <c r="BM123"/>
      <c r="BN123"/>
      <c r="CT123"/>
      <c r="CU123"/>
      <c r="CV123"/>
      <c r="CW123"/>
      <c r="CX123"/>
      <c r="CY123"/>
      <c r="CZ123"/>
      <c r="DE123"/>
      <c r="DF123"/>
      <c r="DG123"/>
      <c r="DH123"/>
      <c r="DI123"/>
      <c r="DJ123"/>
      <c r="DK123"/>
      <c r="DL123"/>
      <c r="DM123"/>
      <c r="DN123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</row>
    <row r="124" spans="11:188">
      <c r="M124" s="11"/>
      <c r="P124" s="11"/>
      <c r="AV124" s="354"/>
      <c r="AW124" s="90"/>
      <c r="AX124" s="90"/>
      <c r="AY124" s="90"/>
      <c r="AZ124" s="90"/>
      <c r="BA124" s="90"/>
      <c r="BB124" s="90"/>
      <c r="BC124" s="337"/>
      <c r="BD124" s="313"/>
      <c r="BE124" s="353"/>
      <c r="BF124"/>
      <c r="BG124"/>
      <c r="BH124"/>
      <c r="BI124"/>
      <c r="BJ124"/>
      <c r="BK124"/>
      <c r="BL124"/>
      <c r="BM124"/>
      <c r="BN124"/>
      <c r="CT124"/>
      <c r="CU124"/>
      <c r="CV124"/>
      <c r="CW124"/>
      <c r="CX124"/>
      <c r="CY124"/>
      <c r="CZ124"/>
      <c r="DE124"/>
      <c r="DF124"/>
      <c r="DG124"/>
      <c r="DH124"/>
      <c r="DI124"/>
      <c r="DJ124"/>
      <c r="DK124"/>
      <c r="DL124"/>
      <c r="DM124"/>
      <c r="DN124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2"/>
      <c r="EW124" s="2"/>
      <c r="EX124" s="2"/>
      <c r="EY124" s="2"/>
      <c r="EZ124" s="2"/>
      <c r="FA124" s="2"/>
      <c r="FB124" s="2"/>
      <c r="FC124" s="2"/>
      <c r="FD124" s="2"/>
      <c r="FE124" s="2"/>
      <c r="FF124" s="2"/>
      <c r="FG124" s="2"/>
      <c r="FH124" s="2"/>
      <c r="FI124" s="2"/>
      <c r="FJ124" s="2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</row>
    <row r="125" spans="11:188">
      <c r="K125" s="397" t="s">
        <v>583</v>
      </c>
      <c r="L125" s="397"/>
      <c r="M125" s="397"/>
      <c r="N125" s="397"/>
      <c r="O125" s="397"/>
      <c r="P125" s="397"/>
      <c r="AV125" s="354"/>
      <c r="AW125" s="90"/>
      <c r="AX125" s="90"/>
      <c r="AY125" s="90"/>
      <c r="AZ125" s="90"/>
      <c r="BA125" s="90"/>
      <c r="BB125" s="90"/>
      <c r="BC125" s="337"/>
      <c r="BD125" s="313"/>
      <c r="BE125" s="353"/>
      <c r="BF125"/>
      <c r="BG125"/>
      <c r="BH125"/>
      <c r="BI125"/>
      <c r="BJ125"/>
      <c r="BK125"/>
      <c r="BL125"/>
      <c r="BM125"/>
      <c r="BN125"/>
      <c r="CT125"/>
      <c r="CU125"/>
      <c r="CV125"/>
      <c r="CW125"/>
      <c r="CX125"/>
      <c r="CY125"/>
      <c r="CZ125"/>
      <c r="DE125"/>
      <c r="DF125"/>
      <c r="DG125"/>
      <c r="DH125"/>
      <c r="DI125"/>
      <c r="DJ125"/>
      <c r="DK125"/>
      <c r="DL125"/>
      <c r="DM125"/>
      <c r="DN125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</row>
    <row r="126" spans="11:188">
      <c r="K126" s="3" t="s">
        <v>751</v>
      </c>
      <c r="L126" s="50">
        <f t="shared" ref="L126:P126" si="33">(1.5*L41)*1.15</f>
        <v>2.7655466292383832</v>
      </c>
      <c r="M126" s="50">
        <f t="shared" si="33"/>
        <v>0</v>
      </c>
      <c r="N126" s="50">
        <f t="shared" si="33"/>
        <v>4.123194271325783</v>
      </c>
      <c r="O126" s="50">
        <f t="shared" si="33"/>
        <v>2.5304104293118601</v>
      </c>
      <c r="P126" s="50">
        <f t="shared" si="33"/>
        <v>2.3721190310260512</v>
      </c>
      <c r="AV126" s="354"/>
      <c r="AW126" s="90"/>
      <c r="AX126" s="90"/>
      <c r="AY126" s="90"/>
      <c r="AZ126" s="90"/>
      <c r="BA126" s="90"/>
      <c r="BB126" s="90"/>
      <c r="BC126" s="337"/>
      <c r="BD126" s="313"/>
      <c r="BE126" s="353"/>
      <c r="BF126"/>
      <c r="BG126"/>
      <c r="BH126"/>
      <c r="BI126"/>
      <c r="BJ126"/>
      <c r="BK126"/>
      <c r="BL126"/>
      <c r="BM126"/>
      <c r="BN126"/>
      <c r="CT126"/>
      <c r="CU126"/>
      <c r="CV126"/>
      <c r="CW126"/>
      <c r="CX126"/>
      <c r="CY126"/>
      <c r="CZ126"/>
      <c r="DE126"/>
      <c r="DF126"/>
      <c r="DG126"/>
      <c r="DH126"/>
      <c r="DI126"/>
      <c r="DJ126"/>
      <c r="DK126"/>
      <c r="DL126"/>
      <c r="DM126"/>
      <c r="DN126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</row>
    <row r="127" spans="11:188">
      <c r="K127" s="5" t="s">
        <v>471</v>
      </c>
      <c r="L127" s="8">
        <f>LININTERP(L126,Permissible_Shear!$S$205:$S$222,Permissible_Shear!$V$205:$V$222)</f>
        <v>8.9548332163699484</v>
      </c>
      <c r="M127" s="8">
        <f>LININTERP(M126,Permissible_Shear!$S$205:$S$222,Permissible_Shear!$V$205:$V$222)</f>
        <v>1.5E-3</v>
      </c>
      <c r="N127" s="8">
        <f>LININTERP(N126,Permissible_Shear!$S$205:$S$222,Permissible_Shear!$V$205:$V$222)</f>
        <v>13.197482097893072</v>
      </c>
      <c r="O127" s="8">
        <f>LININTERP(O126,Permissible_Shear!$S$205:$S$222,Permissible_Shear!$V$205:$V$222)</f>
        <v>8.2200325915995638</v>
      </c>
      <c r="P127" s="8">
        <f>LININTERP(P126,Permissible_Shear!$S$205:$S$222,Permissible_Shear!$V$205:$V$222)</f>
        <v>7.7253719719564105</v>
      </c>
      <c r="AV127" s="354"/>
      <c r="AW127" s="90"/>
      <c r="AX127" s="90"/>
      <c r="AY127" s="90"/>
      <c r="AZ127" s="90"/>
      <c r="BA127" s="90"/>
      <c r="BB127" s="90"/>
      <c r="BC127" s="337"/>
      <c r="BD127" s="313"/>
      <c r="BE127" s="353"/>
      <c r="BF127"/>
      <c r="BG127"/>
      <c r="BH127"/>
      <c r="BI127"/>
      <c r="BJ127"/>
      <c r="BK127"/>
      <c r="BL127"/>
      <c r="BM127"/>
      <c r="BN127"/>
      <c r="CT127"/>
      <c r="CU127"/>
      <c r="CV127"/>
      <c r="CW127"/>
      <c r="CX127"/>
      <c r="CY127"/>
      <c r="CZ127"/>
      <c r="DE127"/>
      <c r="DF127"/>
      <c r="DG127"/>
      <c r="DH127"/>
      <c r="DI127"/>
      <c r="DJ127"/>
      <c r="DK127"/>
      <c r="DL127"/>
      <c r="DM127"/>
      <c r="DN127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</row>
    <row r="128" spans="11:188">
      <c r="AV128" s="354"/>
      <c r="AW128" s="90"/>
      <c r="AX128" s="90"/>
      <c r="AY128" s="90"/>
      <c r="AZ128" s="90"/>
      <c r="BA128" s="90"/>
      <c r="BB128" s="90"/>
      <c r="BC128" s="337"/>
      <c r="BD128" s="313"/>
      <c r="BE128" s="353"/>
      <c r="BF128"/>
      <c r="BG128"/>
      <c r="BH128"/>
      <c r="BI128"/>
      <c r="BJ128"/>
      <c r="BK128"/>
      <c r="BL128"/>
      <c r="BM128"/>
      <c r="BN128"/>
      <c r="CT128"/>
      <c r="CU128"/>
      <c r="CV128"/>
      <c r="CW128"/>
      <c r="CX128"/>
      <c r="CY128"/>
      <c r="CZ128"/>
      <c r="DE128"/>
      <c r="DF128"/>
      <c r="DG128"/>
      <c r="DH128"/>
      <c r="DI128"/>
      <c r="DJ128"/>
      <c r="DK128"/>
      <c r="DL128"/>
      <c r="DM128"/>
      <c r="DN128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</row>
    <row r="129" spans="11:188">
      <c r="AV129" s="319"/>
      <c r="AW129" s="92"/>
      <c r="AX129" s="92"/>
      <c r="AY129" s="92"/>
      <c r="AZ129" s="92"/>
      <c r="BA129" s="92"/>
      <c r="BB129" s="92"/>
      <c r="BC129" s="288"/>
      <c r="BD129" s="398"/>
      <c r="BE129" s="399"/>
      <c r="BF129"/>
      <c r="BG129"/>
      <c r="BH129"/>
      <c r="BI129"/>
      <c r="BJ129"/>
      <c r="BK129"/>
      <c r="BL129"/>
      <c r="BM129"/>
      <c r="BN129"/>
      <c r="CT129"/>
      <c r="CU129"/>
      <c r="CV129"/>
      <c r="CW129"/>
      <c r="CX129"/>
      <c r="CY129"/>
      <c r="CZ129"/>
      <c r="DE129"/>
      <c r="DF129"/>
      <c r="DG129"/>
      <c r="DH129"/>
      <c r="DI129"/>
      <c r="DJ129"/>
      <c r="DK129"/>
      <c r="DL129"/>
      <c r="DM129"/>
      <c r="DN129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</row>
    <row r="130" spans="11:188">
      <c r="K130" s="1" t="s">
        <v>450</v>
      </c>
      <c r="AV130" s="400" t="s">
        <v>747</v>
      </c>
      <c r="AW130" s="400"/>
      <c r="AX130" s="400"/>
      <c r="AY130" s="400"/>
      <c r="AZ130" s="400"/>
      <c r="BA130" s="400"/>
      <c r="BB130" s="400"/>
      <c r="BC130" s="25"/>
      <c r="BD130" s="25"/>
      <c r="BE130" s="25"/>
      <c r="BF130"/>
      <c r="BG130"/>
      <c r="BH130"/>
      <c r="BI130"/>
      <c r="BJ130"/>
      <c r="BK130"/>
      <c r="BL130"/>
      <c r="BM130"/>
      <c r="BN130"/>
      <c r="CT130"/>
      <c r="CU130"/>
      <c r="CV130"/>
      <c r="CW130"/>
      <c r="CX130"/>
      <c r="CY130"/>
      <c r="CZ130"/>
      <c r="DE130"/>
      <c r="DF130"/>
      <c r="DG130"/>
      <c r="DH130"/>
      <c r="DI130"/>
      <c r="DJ130"/>
      <c r="DK130"/>
      <c r="DL130"/>
      <c r="DM130"/>
      <c r="DN130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</row>
    <row r="131" spans="11:188">
      <c r="AV131" s="401" t="s">
        <v>508</v>
      </c>
      <c r="AW131" s="402"/>
      <c r="AX131" s="402"/>
      <c r="AY131" s="403"/>
      <c r="AZ131" s="250" t="s">
        <v>254</v>
      </c>
      <c r="BA131" s="404" t="s">
        <v>625</v>
      </c>
      <c r="BB131" s="406" t="s">
        <v>578</v>
      </c>
      <c r="BC131" s="25"/>
      <c r="BD131" s="25"/>
      <c r="BE131" s="25"/>
      <c r="BF131"/>
      <c r="BG131"/>
      <c r="BH131" s="140"/>
      <c r="BI131"/>
      <c r="BJ131"/>
      <c r="BK131"/>
      <c r="BL131"/>
      <c r="BM131"/>
      <c r="BN131"/>
      <c r="CT131"/>
      <c r="CU131"/>
      <c r="CV131"/>
      <c r="CW131"/>
      <c r="CX131"/>
      <c r="CY131"/>
      <c r="CZ131"/>
      <c r="DE131"/>
      <c r="DF131"/>
      <c r="DG131"/>
      <c r="DH131"/>
      <c r="DI131"/>
      <c r="DJ131"/>
      <c r="DK131"/>
      <c r="DL131"/>
      <c r="DM131"/>
      <c r="DN131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</row>
    <row r="132" spans="11:188">
      <c r="AV132" s="408" t="s">
        <v>654</v>
      </c>
      <c r="AW132" s="409"/>
      <c r="AX132" s="410" t="s">
        <v>507</v>
      </c>
      <c r="AY132" s="409"/>
      <c r="AZ132" s="304" t="s">
        <v>626</v>
      </c>
      <c r="BA132" s="405"/>
      <c r="BB132" s="407"/>
      <c r="BC132" s="25"/>
      <c r="BD132" s="411" t="s">
        <v>552</v>
      </c>
      <c r="BE132" s="411"/>
      <c r="BF132"/>
      <c r="BG132"/>
      <c r="BH132"/>
      <c r="BI132"/>
      <c r="BJ132"/>
      <c r="BK132"/>
      <c r="BL132"/>
      <c r="BM132"/>
      <c r="BN132"/>
      <c r="CT132"/>
      <c r="CU132"/>
      <c r="CV132"/>
      <c r="CW132"/>
      <c r="CX132"/>
      <c r="CY132"/>
      <c r="CZ132"/>
      <c r="DE132"/>
      <c r="DF132"/>
      <c r="DG132"/>
      <c r="DH132"/>
      <c r="DI132"/>
      <c r="DJ132"/>
      <c r="DK132"/>
      <c r="DL132"/>
      <c r="DM132"/>
      <c r="DN13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</row>
    <row r="133" spans="11:188">
      <c r="AV133" s="214"/>
      <c r="AW133" s="302" t="s">
        <v>255</v>
      </c>
      <c r="AX133" s="109">
        <v>0</v>
      </c>
      <c r="AY133" s="109">
        <v>6.2E-2</v>
      </c>
      <c r="AZ133" s="232">
        <f>SUM($BP$92:$BP$102)</f>
        <v>5</v>
      </c>
      <c r="BA133" s="184">
        <f t="shared" ref="BA133:BA156" si="34">AZ133/$AZ$157</f>
        <v>4.5454545454545452E-3</v>
      </c>
      <c r="BB133" s="219">
        <f>AZ133/$AZ$157</f>
        <v>4.5454545454545452E-3</v>
      </c>
      <c r="BC133" s="25"/>
      <c r="BD133" s="25"/>
      <c r="BE133" s="25"/>
      <c r="BF133"/>
      <c r="BG133"/>
      <c r="BH133"/>
      <c r="BI133"/>
      <c r="BJ133"/>
      <c r="BK133"/>
      <c r="BL133"/>
      <c r="BM133"/>
      <c r="BN133"/>
      <c r="CT133"/>
      <c r="CU133"/>
      <c r="CV133"/>
      <c r="CW133"/>
      <c r="CX133"/>
      <c r="CY133"/>
      <c r="CZ133"/>
      <c r="DE133"/>
      <c r="DF133"/>
      <c r="DG133"/>
      <c r="DH133"/>
      <c r="DI133"/>
      <c r="DJ133"/>
      <c r="DK133"/>
      <c r="DL133"/>
      <c r="DM133"/>
      <c r="DN133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</row>
    <row r="134" spans="11:188" ht="15" customHeight="1">
      <c r="AV134" s="392" t="s">
        <v>374</v>
      </c>
      <c r="AW134" s="309" t="s">
        <v>193</v>
      </c>
      <c r="AX134" s="91">
        <v>6.2E-2</v>
      </c>
      <c r="AY134" s="91">
        <v>0.125</v>
      </c>
      <c r="AZ134" s="232">
        <f>SUM($BQ$92:$BQ$102)</f>
        <v>5</v>
      </c>
      <c r="BA134" s="108">
        <f t="shared" si="34"/>
        <v>4.5454545454545452E-3</v>
      </c>
      <c r="BB134" s="130">
        <f>SUM($AZ$133:AZ134)/$AZ$157</f>
        <v>9.0909090909090905E-3</v>
      </c>
      <c r="BC134" s="25"/>
      <c r="BD134" s="24" t="s">
        <v>928</v>
      </c>
      <c r="BE134" s="274">
        <f>BA133</f>
        <v>4.5454545454545452E-3</v>
      </c>
      <c r="BF134" s="283"/>
      <c r="BG134" s="374" t="s">
        <v>697</v>
      </c>
      <c r="BH134" s="376"/>
      <c r="BI134"/>
      <c r="BJ134"/>
      <c r="BK134"/>
      <c r="BL134"/>
      <c r="BM134"/>
      <c r="BN134"/>
      <c r="CT134"/>
      <c r="CU134"/>
      <c r="CV134"/>
      <c r="CW134"/>
      <c r="CX134"/>
      <c r="CY134"/>
      <c r="CZ134"/>
      <c r="DE134"/>
      <c r="DF134"/>
      <c r="DG134"/>
      <c r="DH134"/>
      <c r="DI134"/>
      <c r="DJ134"/>
      <c r="DK134"/>
      <c r="DL134"/>
      <c r="DM134"/>
      <c r="DN134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</row>
    <row r="135" spans="11:188">
      <c r="AV135" s="393"/>
      <c r="AW135" s="275" t="s">
        <v>194</v>
      </c>
      <c r="AX135" s="56">
        <v>0.125</v>
      </c>
      <c r="AY135" s="56">
        <v>0.25</v>
      </c>
      <c r="AZ135" s="232">
        <f>SUM($BR$92:$BR$102)</f>
        <v>5</v>
      </c>
      <c r="BA135" s="118">
        <f t="shared" si="34"/>
        <v>4.5454545454545452E-3</v>
      </c>
      <c r="BB135" s="107">
        <f>SUM($AZ$133:AZ135)/$AZ$157</f>
        <v>1.3636363636363636E-2</v>
      </c>
      <c r="BC135" s="25"/>
      <c r="BD135" s="24" t="s">
        <v>990</v>
      </c>
      <c r="BE135" s="282">
        <f>SUM(BA134:BA138)</f>
        <v>0.13636363636363635</v>
      </c>
      <c r="BF135" s="283"/>
      <c r="BG135" s="5" t="s">
        <v>507</v>
      </c>
      <c r="BH135" s="6" t="s">
        <v>306</v>
      </c>
      <c r="BI135"/>
      <c r="BJ135"/>
      <c r="BK135"/>
      <c r="BL135"/>
      <c r="BM135"/>
      <c r="BN135"/>
      <c r="CT135"/>
      <c r="CU135"/>
      <c r="CV135"/>
      <c r="CW135"/>
      <c r="CX135"/>
      <c r="CY135"/>
      <c r="CZ135"/>
      <c r="DE135"/>
      <c r="DF135"/>
      <c r="DG135"/>
      <c r="DH135"/>
      <c r="DI135"/>
      <c r="DJ135"/>
      <c r="DK135"/>
      <c r="DL135"/>
      <c r="DM135"/>
      <c r="DN135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</row>
    <row r="136" spans="11:188">
      <c r="AV136" s="393"/>
      <c r="AW136" s="275" t="s">
        <v>579</v>
      </c>
      <c r="AX136" s="56">
        <v>0.25</v>
      </c>
      <c r="AY136" s="96">
        <v>0.5</v>
      </c>
      <c r="AZ136" s="232">
        <f>SUM($BS$92:$BS$102)</f>
        <v>10</v>
      </c>
      <c r="BA136" s="118">
        <f t="shared" si="34"/>
        <v>9.0909090909090905E-3</v>
      </c>
      <c r="BB136" s="107">
        <f>SUM($AZ$133:AZ136)/$AZ$157</f>
        <v>2.2727272727272728E-2</v>
      </c>
      <c r="BC136" s="25"/>
      <c r="BD136" s="24" t="s">
        <v>256</v>
      </c>
      <c r="BE136" s="282">
        <f>SUM(BA139:BA147)</f>
        <v>0.32727272727272727</v>
      </c>
      <c r="BF136" s="283"/>
      <c r="BG136" s="5">
        <v>1</v>
      </c>
      <c r="BH136" s="8"/>
      <c r="BI136"/>
      <c r="BJ136"/>
      <c r="BK136"/>
      <c r="BL136"/>
      <c r="BM136"/>
      <c r="BN136"/>
      <c r="CT136"/>
      <c r="CU136"/>
      <c r="CV136"/>
      <c r="CW136"/>
      <c r="CX136"/>
      <c r="CY136"/>
      <c r="CZ136"/>
      <c r="DE136"/>
      <c r="DF136"/>
      <c r="DG136"/>
      <c r="DH136"/>
      <c r="DI136"/>
      <c r="DJ136"/>
      <c r="DK136"/>
      <c r="DL136"/>
      <c r="DM136"/>
      <c r="DN136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</row>
    <row r="137" spans="11:188">
      <c r="AV137" s="393"/>
      <c r="AW137" s="275" t="s">
        <v>627</v>
      </c>
      <c r="AX137" s="96">
        <v>0.5</v>
      </c>
      <c r="AY137" s="96">
        <v>1</v>
      </c>
      <c r="AZ137" s="232">
        <f>SUM($BT$92:$BT$102)</f>
        <v>25</v>
      </c>
      <c r="BA137" s="118">
        <f t="shared" si="34"/>
        <v>2.2727272727272728E-2</v>
      </c>
      <c r="BB137" s="107">
        <f>SUM($AZ$133:AZ137)/$AZ$157</f>
        <v>4.5454545454545456E-2</v>
      </c>
      <c r="BC137" s="25"/>
      <c r="BD137" s="24" t="s">
        <v>375</v>
      </c>
      <c r="BE137" s="282">
        <f>SUM(BA148:BA151)</f>
        <v>3.1818181818181815E-2</v>
      </c>
      <c r="BF137" s="283"/>
      <c r="BG137" s="5">
        <v>2</v>
      </c>
      <c r="BH137" s="8"/>
      <c r="BI137"/>
      <c r="BJ137"/>
      <c r="BK137"/>
      <c r="BL137"/>
      <c r="BM137"/>
      <c r="BN137"/>
      <c r="CT137"/>
      <c r="CU137"/>
      <c r="CV137"/>
      <c r="CW137"/>
      <c r="CX137"/>
      <c r="CY137"/>
      <c r="CZ137"/>
      <c r="DE137"/>
      <c r="DF137"/>
      <c r="DG137"/>
      <c r="DH137"/>
      <c r="DI137"/>
      <c r="DJ137"/>
      <c r="DK137"/>
      <c r="DL137"/>
      <c r="DM137"/>
      <c r="DN137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</row>
    <row r="138" spans="11:188">
      <c r="AV138" s="394"/>
      <c r="AW138" s="292" t="s">
        <v>376</v>
      </c>
      <c r="AX138" s="173">
        <v>1</v>
      </c>
      <c r="AY138" s="173">
        <v>2</v>
      </c>
      <c r="AZ138" s="232">
        <f>SUM($BU$92:$BU$102)</f>
        <v>105</v>
      </c>
      <c r="BA138" s="102">
        <f t="shared" si="34"/>
        <v>9.5454545454545459E-2</v>
      </c>
      <c r="BB138" s="110">
        <f>SUM($AZ$133:AZ138)/$AZ$157</f>
        <v>0.1409090909090909</v>
      </c>
      <c r="BC138" s="25"/>
      <c r="BD138" s="24" t="s">
        <v>58</v>
      </c>
      <c r="BE138" s="282">
        <f>SUM(BA152:BA155)</f>
        <v>0.5</v>
      </c>
      <c r="BF138" s="283"/>
      <c r="BG138" s="5">
        <v>4</v>
      </c>
      <c r="BH138" s="8"/>
      <c r="BI138"/>
      <c r="BJ138"/>
      <c r="BK138"/>
      <c r="BL138"/>
      <c r="BM138"/>
      <c r="BN138"/>
      <c r="CT138"/>
      <c r="CU138"/>
      <c r="CV138"/>
      <c r="CW138"/>
      <c r="CX138"/>
      <c r="CY138"/>
      <c r="CZ138"/>
      <c r="DE138"/>
      <c r="DF138"/>
      <c r="DG138"/>
      <c r="DH138"/>
      <c r="DI138"/>
      <c r="DJ138"/>
      <c r="DK138"/>
      <c r="DL138"/>
      <c r="DM138"/>
      <c r="DN138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</row>
    <row r="139" spans="11:188" ht="15" customHeight="1">
      <c r="AV139" s="392" t="s">
        <v>59</v>
      </c>
      <c r="AW139" s="150" t="s">
        <v>193</v>
      </c>
      <c r="AX139" s="165">
        <v>2</v>
      </c>
      <c r="AY139" s="165">
        <v>4</v>
      </c>
      <c r="AZ139" s="232">
        <f>SUM($BV$92:$BV$102)</f>
        <v>45</v>
      </c>
      <c r="BA139" s="108">
        <f t="shared" si="34"/>
        <v>4.0909090909090909E-2</v>
      </c>
      <c r="BB139" s="130">
        <f>SUM($AZ$133:AZ139)/$AZ$157</f>
        <v>0.18181818181818182</v>
      </c>
      <c r="BC139" s="25"/>
      <c r="BD139" s="24" t="s">
        <v>628</v>
      </c>
      <c r="BE139" s="282">
        <f>SUM(BA156)</f>
        <v>0</v>
      </c>
      <c r="BF139" s="283"/>
      <c r="BG139" s="5">
        <v>8</v>
      </c>
      <c r="BH139" s="8"/>
      <c r="BI139"/>
      <c r="BJ139"/>
      <c r="BK139"/>
      <c r="BL139"/>
      <c r="BM139"/>
      <c r="BN139"/>
      <c r="CT139"/>
      <c r="CU139"/>
      <c r="CV139"/>
      <c r="CW139"/>
      <c r="CX139"/>
      <c r="CY139"/>
      <c r="CZ139"/>
      <c r="DE139"/>
      <c r="DF139"/>
      <c r="DG139"/>
      <c r="DH139"/>
      <c r="DI139"/>
      <c r="DJ139"/>
      <c r="DK139"/>
      <c r="DL139"/>
      <c r="DM139"/>
      <c r="DN139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</row>
    <row r="140" spans="11:188">
      <c r="AV140" s="393"/>
      <c r="AW140" s="143" t="s">
        <v>194</v>
      </c>
      <c r="AX140" s="96">
        <v>4</v>
      </c>
      <c r="AY140" s="96">
        <v>5.7</v>
      </c>
      <c r="AZ140" s="232">
        <f>SUM($BW$92:$BW$102)</f>
        <v>0</v>
      </c>
      <c r="BA140" s="118">
        <f t="shared" si="34"/>
        <v>0</v>
      </c>
      <c r="BB140" s="107">
        <f>SUM($AZ$133:AZ140)/$AZ$157</f>
        <v>0.18181818181818182</v>
      </c>
      <c r="BC140" s="25"/>
      <c r="BD140" s="25"/>
      <c r="BE140" s="25"/>
      <c r="BF140" s="283"/>
      <c r="BG140" s="5">
        <v>16</v>
      </c>
      <c r="BH140" s="8"/>
      <c r="BI140"/>
      <c r="BJ140"/>
      <c r="BK140"/>
      <c r="BL140"/>
      <c r="BM140"/>
      <c r="BN140"/>
      <c r="CT140"/>
      <c r="CU140"/>
      <c r="CV140"/>
      <c r="CW140"/>
      <c r="CX140"/>
      <c r="CY140"/>
      <c r="CZ140"/>
      <c r="DE140"/>
      <c r="DF140"/>
      <c r="DG140"/>
      <c r="DH140"/>
      <c r="DI140"/>
      <c r="DJ140"/>
      <c r="DK140"/>
      <c r="DL140"/>
      <c r="DM140"/>
      <c r="DN140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</row>
    <row r="141" spans="11:188">
      <c r="AV141" s="393"/>
      <c r="AW141" s="143" t="s">
        <v>194</v>
      </c>
      <c r="AX141" s="96">
        <v>5.7</v>
      </c>
      <c r="AY141" s="96">
        <v>8</v>
      </c>
      <c r="AZ141" s="232">
        <f>SUM($BX$92:$BX$102)</f>
        <v>0</v>
      </c>
      <c r="BA141" s="118">
        <f t="shared" si="34"/>
        <v>0</v>
      </c>
      <c r="BB141" s="107">
        <f>SUM($AZ$133:AZ141)/$AZ$157</f>
        <v>0.18181818181818182</v>
      </c>
      <c r="BC141" s="25"/>
      <c r="BD141" s="24"/>
      <c r="BE141" s="262"/>
      <c r="BF141" s="283"/>
      <c r="BG141" s="5">
        <v>32</v>
      </c>
      <c r="BH141" s="8"/>
      <c r="BI141"/>
      <c r="BJ141" s="2"/>
      <c r="BK141" s="196"/>
      <c r="BL141"/>
      <c r="BM141"/>
      <c r="BN141"/>
      <c r="CT141"/>
      <c r="CU141"/>
      <c r="CV141"/>
      <c r="CW141"/>
      <c r="CX141"/>
      <c r="CY141"/>
      <c r="CZ141"/>
      <c r="DE141"/>
      <c r="DF141"/>
      <c r="DG141"/>
      <c r="DH141"/>
      <c r="DI141"/>
      <c r="DJ141"/>
      <c r="DK141"/>
      <c r="DL141"/>
      <c r="DM141"/>
      <c r="DN141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</row>
    <row r="142" spans="11:188">
      <c r="AV142" s="393"/>
      <c r="AW142" s="143" t="s">
        <v>579</v>
      </c>
      <c r="AX142" s="96">
        <v>8</v>
      </c>
      <c r="AY142" s="56">
        <v>11.03</v>
      </c>
      <c r="AZ142" s="232">
        <f>SUM($BY$92:$BY$102)</f>
        <v>35</v>
      </c>
      <c r="BA142" s="118">
        <f t="shared" si="34"/>
        <v>3.1818181818181815E-2</v>
      </c>
      <c r="BB142" s="107">
        <f>SUM($AZ$133:AZ142)/$AZ$157</f>
        <v>0.21363636363636362</v>
      </c>
      <c r="BC142" s="25"/>
      <c r="BD142" s="24"/>
      <c r="BE142" s="262"/>
      <c r="BF142" s="283"/>
      <c r="BG142" s="5">
        <v>64</v>
      </c>
      <c r="BH142" s="8"/>
      <c r="BI142"/>
      <c r="BJ142" s="2"/>
      <c r="BK142" s="196"/>
      <c r="BL142"/>
      <c r="BM142"/>
      <c r="BN142"/>
      <c r="CT142"/>
      <c r="CU142"/>
      <c r="CV142"/>
      <c r="CW142"/>
      <c r="CX142"/>
      <c r="CY142"/>
      <c r="CZ142"/>
      <c r="DE142"/>
      <c r="DF142"/>
      <c r="DG142"/>
      <c r="DH142"/>
      <c r="DI142"/>
      <c r="DJ142"/>
      <c r="DK142"/>
      <c r="DL142"/>
      <c r="DM142"/>
      <c r="DN14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</row>
    <row r="143" spans="11:188">
      <c r="AV143" s="393"/>
      <c r="AW143" s="143" t="s">
        <v>579</v>
      </c>
      <c r="AX143" s="96">
        <v>11.3</v>
      </c>
      <c r="AY143" s="96">
        <v>16</v>
      </c>
      <c r="AZ143" s="232">
        <f>SUM($BZ$92:$BZ$102)</f>
        <v>35</v>
      </c>
      <c r="BA143" s="118">
        <f t="shared" si="34"/>
        <v>3.1818181818181815E-2</v>
      </c>
      <c r="BB143" s="107">
        <f>SUM($AZ$133:AZ143)/$AZ$157</f>
        <v>0.24545454545454545</v>
      </c>
      <c r="BC143" s="25"/>
      <c r="BD143" s="24"/>
      <c r="BE143" s="262"/>
      <c r="BF143" s="283"/>
      <c r="BG143" s="5">
        <v>128</v>
      </c>
      <c r="BH143" s="8"/>
      <c r="BI143"/>
      <c r="BJ143" s="2"/>
      <c r="BK143" s="196"/>
      <c r="BL143"/>
      <c r="BM143"/>
      <c r="BN143"/>
      <c r="CT143"/>
      <c r="CU143"/>
      <c r="CV143"/>
      <c r="CW143"/>
      <c r="CX143"/>
      <c r="CY143"/>
      <c r="CZ143"/>
      <c r="DE143"/>
      <c r="DF143"/>
      <c r="DG143"/>
      <c r="DH143"/>
      <c r="DI143"/>
      <c r="DJ143"/>
      <c r="DK143"/>
      <c r="DL143"/>
      <c r="DM143"/>
      <c r="DN143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</row>
    <row r="144" spans="11:188">
      <c r="AV144" s="393"/>
      <c r="AW144" s="143" t="s">
        <v>627</v>
      </c>
      <c r="AX144" s="96">
        <v>16</v>
      </c>
      <c r="AY144" s="96">
        <v>22.6</v>
      </c>
      <c r="AZ144" s="232">
        <f>SUM($CA$92:$CA$102)</f>
        <v>35</v>
      </c>
      <c r="BA144" s="118">
        <f t="shared" si="34"/>
        <v>3.1818181818181815E-2</v>
      </c>
      <c r="BB144" s="107">
        <f>SUM($AZ$133:AZ144)/$AZ$157</f>
        <v>0.27727272727272728</v>
      </c>
      <c r="BC144" s="25"/>
      <c r="BD144" s="24"/>
      <c r="BE144" s="262"/>
      <c r="BF144" s="283"/>
      <c r="BG144" s="5">
        <v>256</v>
      </c>
      <c r="BH144" s="8"/>
      <c r="BI144"/>
      <c r="BJ144" s="2"/>
      <c r="BK144" s="196"/>
      <c r="BL144"/>
      <c r="BM144"/>
      <c r="BN144"/>
      <c r="CT144"/>
      <c r="CU144"/>
      <c r="CV144"/>
      <c r="CW144"/>
      <c r="CX144"/>
      <c r="CY144"/>
      <c r="CZ144"/>
      <c r="DE144"/>
      <c r="DF144"/>
      <c r="DG144"/>
      <c r="DH144"/>
      <c r="DI144"/>
      <c r="DJ144"/>
      <c r="DK144"/>
      <c r="DL144"/>
      <c r="DM144"/>
      <c r="DN144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</row>
    <row r="145" spans="48:188">
      <c r="AV145" s="393"/>
      <c r="AW145" s="143" t="s">
        <v>627</v>
      </c>
      <c r="AX145" s="96">
        <v>22.6</v>
      </c>
      <c r="AY145" s="96">
        <v>32</v>
      </c>
      <c r="AZ145" s="232">
        <f>SUM($CB$92:$CB$102)</f>
        <v>35</v>
      </c>
      <c r="BA145" s="118">
        <f t="shared" si="34"/>
        <v>3.1818181818181815E-2</v>
      </c>
      <c r="BB145" s="107">
        <f>SUM($AZ$133:AZ145)/$AZ$157</f>
        <v>0.30909090909090908</v>
      </c>
      <c r="BC145" s="25"/>
      <c r="BD145" s="24"/>
      <c r="BE145" s="262"/>
      <c r="BF145"/>
      <c r="BG145" s="5">
        <v>512</v>
      </c>
      <c r="BH145" s="37"/>
      <c r="BI145"/>
      <c r="BJ145" s="2"/>
      <c r="BK145" s="196"/>
      <c r="BL145"/>
      <c r="BM145"/>
      <c r="BN145"/>
      <c r="CT145"/>
      <c r="CU145"/>
      <c r="CV145"/>
      <c r="CW145"/>
      <c r="CX145"/>
      <c r="CY145"/>
      <c r="CZ145"/>
      <c r="DE145"/>
      <c r="DF145"/>
      <c r="DG145"/>
      <c r="DH145"/>
      <c r="DI145"/>
      <c r="DJ145"/>
      <c r="DK145"/>
      <c r="DL145"/>
      <c r="DM145"/>
      <c r="DN145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</row>
    <row r="146" spans="48:188">
      <c r="AV146" s="393"/>
      <c r="AW146" s="143" t="s">
        <v>376</v>
      </c>
      <c r="AX146" s="56">
        <v>32</v>
      </c>
      <c r="AY146" s="56">
        <v>45</v>
      </c>
      <c r="AZ146" s="232">
        <f>SUM($CC$92:$CC$102)</f>
        <v>105</v>
      </c>
      <c r="BA146" s="118">
        <f t="shared" si="34"/>
        <v>9.5454545454545459E-2</v>
      </c>
      <c r="BB146" s="107">
        <f>SUM($AZ$133:AZ146)/$AZ$157</f>
        <v>0.40454545454545454</v>
      </c>
      <c r="BC146" s="25"/>
      <c r="BD146" s="24"/>
      <c r="BE146" s="262"/>
      <c r="BF146"/>
      <c r="BG146" s="5">
        <v>1024</v>
      </c>
      <c r="BH146" s="37"/>
      <c r="BI146"/>
      <c r="BJ146" s="2"/>
      <c r="BK146" s="196"/>
      <c r="BL146"/>
      <c r="BM146"/>
      <c r="BN146"/>
      <c r="CT146"/>
      <c r="CU146"/>
      <c r="CV146"/>
      <c r="CW146"/>
      <c r="CX146"/>
      <c r="CY146"/>
      <c r="CZ146"/>
      <c r="DE146"/>
      <c r="DF146"/>
      <c r="DG146"/>
      <c r="DH146"/>
      <c r="DI146"/>
      <c r="DJ146"/>
      <c r="DK146"/>
      <c r="DL146"/>
      <c r="DM146"/>
      <c r="DN146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</row>
    <row r="147" spans="48:188">
      <c r="AV147" s="394"/>
      <c r="AW147" s="149" t="s">
        <v>376</v>
      </c>
      <c r="AX147" s="84">
        <v>45</v>
      </c>
      <c r="AY147" s="84">
        <v>64</v>
      </c>
      <c r="AZ147" s="232">
        <f>SUM($CD$92:$CD$102)</f>
        <v>70</v>
      </c>
      <c r="BA147" s="102">
        <f t="shared" si="34"/>
        <v>6.363636363636363E-2</v>
      </c>
      <c r="BB147" s="110">
        <f>SUM($AZ$133:AZ147)/$AZ$157</f>
        <v>0.4681818181818182</v>
      </c>
      <c r="BC147" s="25"/>
      <c r="BD147" s="24"/>
      <c r="BE147" s="262"/>
      <c r="BF147"/>
      <c r="BG147" s="5">
        <v>2048</v>
      </c>
      <c r="BH147" s="37"/>
      <c r="BI147"/>
      <c r="BJ147"/>
      <c r="BK147"/>
      <c r="BL147"/>
      <c r="BM147"/>
      <c r="BN147"/>
      <c r="CT147"/>
      <c r="CU147"/>
      <c r="CV147"/>
      <c r="CW147"/>
      <c r="CX147"/>
      <c r="CY147"/>
      <c r="CZ147"/>
      <c r="DE147"/>
      <c r="DF147"/>
      <c r="DG147"/>
      <c r="DH147"/>
      <c r="DI147"/>
      <c r="DJ147"/>
      <c r="DK147"/>
      <c r="DL147"/>
      <c r="DM147"/>
      <c r="DN147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</row>
    <row r="148" spans="48:188" ht="15" customHeight="1">
      <c r="AV148" s="392" t="s">
        <v>447</v>
      </c>
      <c r="AW148" s="150" t="s">
        <v>700</v>
      </c>
      <c r="AX148" s="91">
        <v>64</v>
      </c>
      <c r="AY148" s="91">
        <v>90</v>
      </c>
      <c r="AZ148" s="232">
        <f>SUM($CE$92:$CE$102)</f>
        <v>35</v>
      </c>
      <c r="BA148" s="108">
        <f t="shared" si="34"/>
        <v>3.1818181818181815E-2</v>
      </c>
      <c r="BB148" s="130">
        <f>SUM($AZ$133:AZ148)/$AZ$157</f>
        <v>0.5</v>
      </c>
      <c r="BC148" s="25"/>
      <c r="BD148" s="24"/>
      <c r="BE148" s="262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CT148"/>
      <c r="CU148"/>
      <c r="CV148"/>
      <c r="CW148"/>
      <c r="CX148"/>
      <c r="CY148"/>
      <c r="CZ148"/>
      <c r="DE148"/>
      <c r="DF148"/>
      <c r="DG148"/>
      <c r="DH148"/>
      <c r="DI148"/>
      <c r="DJ148"/>
      <c r="DK148"/>
      <c r="DL148"/>
      <c r="DM148"/>
      <c r="DN148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</row>
    <row r="149" spans="48:188">
      <c r="AV149" s="393"/>
      <c r="AW149" s="143" t="s">
        <v>700</v>
      </c>
      <c r="AX149" s="56">
        <v>90</v>
      </c>
      <c r="AY149" s="56">
        <v>128</v>
      </c>
      <c r="AZ149" s="232">
        <f>SUM($CF$92:$CF$102)</f>
        <v>0</v>
      </c>
      <c r="BA149" s="118">
        <f t="shared" si="34"/>
        <v>0</v>
      </c>
      <c r="BB149" s="107">
        <f>SUM($AZ$133:AZ149)/$AZ$157</f>
        <v>0.5</v>
      </c>
      <c r="BC149" s="25"/>
      <c r="BD149" s="24"/>
      <c r="BE149" s="262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CT149"/>
      <c r="CU149"/>
      <c r="CV149"/>
      <c r="CW149"/>
      <c r="CX149"/>
      <c r="CY149"/>
      <c r="CZ149"/>
      <c r="DE149"/>
      <c r="DF149"/>
      <c r="DG149"/>
      <c r="DH149"/>
      <c r="DI149"/>
      <c r="DJ149"/>
      <c r="DK149"/>
      <c r="DL149"/>
      <c r="DM149"/>
      <c r="DN149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</row>
    <row r="150" spans="48:188">
      <c r="AV150" s="393"/>
      <c r="AW150" s="143" t="s">
        <v>377</v>
      </c>
      <c r="AX150" s="56">
        <v>128</v>
      </c>
      <c r="AY150" s="56">
        <v>180</v>
      </c>
      <c r="AZ150" s="232">
        <f>SUM($CG$92:$CG$102)</f>
        <v>0</v>
      </c>
      <c r="BA150" s="118">
        <f t="shared" si="34"/>
        <v>0</v>
      </c>
      <c r="BB150" s="107">
        <f>SUM($AZ$133:AZ150)/$AZ$157</f>
        <v>0.5</v>
      </c>
      <c r="BC150" s="25"/>
      <c r="BD150" s="24"/>
      <c r="BE150" s="262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CT150"/>
      <c r="CU150"/>
      <c r="CV150"/>
      <c r="CW150"/>
      <c r="CX150"/>
      <c r="CY150"/>
      <c r="CZ150"/>
      <c r="DE150"/>
      <c r="DF150"/>
      <c r="DG150"/>
      <c r="DH150"/>
      <c r="DI150"/>
      <c r="DJ150"/>
      <c r="DK150"/>
      <c r="DL150"/>
      <c r="DM150"/>
      <c r="DN150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</row>
    <row r="151" spans="48:188">
      <c r="AV151" s="394"/>
      <c r="AW151" s="149" t="s">
        <v>377</v>
      </c>
      <c r="AX151" s="84">
        <v>180</v>
      </c>
      <c r="AY151" s="84">
        <v>256</v>
      </c>
      <c r="AZ151" s="232">
        <f>SUM($CH$92:$CH$102)</f>
        <v>0</v>
      </c>
      <c r="BA151" s="102">
        <f t="shared" si="34"/>
        <v>0</v>
      </c>
      <c r="BB151" s="110">
        <f>SUM($AZ$133:AZ151)/$AZ$157</f>
        <v>0.5</v>
      </c>
      <c r="BC151" s="25"/>
      <c r="BD151" s="24"/>
      <c r="BE151" s="262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CT151"/>
      <c r="CU151"/>
      <c r="CV151"/>
      <c r="CW151"/>
      <c r="CX151"/>
      <c r="CY151"/>
      <c r="CZ151"/>
      <c r="DE151"/>
      <c r="DF151"/>
      <c r="DG151"/>
      <c r="DH151"/>
      <c r="DI151"/>
      <c r="DJ151"/>
      <c r="DK151"/>
      <c r="DL151"/>
      <c r="DM151"/>
      <c r="DN151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</row>
    <row r="152" spans="48:188" ht="15" customHeight="1">
      <c r="AV152" s="392" t="s">
        <v>991</v>
      </c>
      <c r="AW152" s="150" t="s">
        <v>700</v>
      </c>
      <c r="AX152" s="91">
        <v>256</v>
      </c>
      <c r="AY152" s="91">
        <v>362</v>
      </c>
      <c r="AZ152" s="232">
        <f>SUM($CI$92:$CI$102)</f>
        <v>550</v>
      </c>
      <c r="BA152" s="108">
        <f t="shared" si="34"/>
        <v>0.5</v>
      </c>
      <c r="BB152" s="130">
        <f>SUM($AZ$133:AZ152)/$AZ$157</f>
        <v>1</v>
      </c>
      <c r="BC152" s="25"/>
      <c r="BD152" s="25"/>
      <c r="BE152" s="25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CT152"/>
      <c r="CU152"/>
      <c r="CV152"/>
      <c r="CW152"/>
      <c r="CX152"/>
      <c r="CY152"/>
      <c r="CZ152"/>
      <c r="DE152"/>
      <c r="DF152"/>
      <c r="DG152"/>
      <c r="DH152"/>
      <c r="DI152"/>
      <c r="DJ152"/>
      <c r="DK152"/>
      <c r="DL152"/>
      <c r="DM152"/>
      <c r="DN15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</row>
    <row r="153" spans="48:188">
      <c r="AV153" s="393"/>
      <c r="AW153" s="143" t="s">
        <v>700</v>
      </c>
      <c r="AX153" s="56">
        <v>362</v>
      </c>
      <c r="AY153" s="56">
        <v>512</v>
      </c>
      <c r="AZ153" s="232">
        <f>SUM($CJ$92:$CJ$102)</f>
        <v>0</v>
      </c>
      <c r="BA153" s="118">
        <f t="shared" si="34"/>
        <v>0</v>
      </c>
      <c r="BB153" s="107">
        <f>SUM($AZ$133:AZ153)/$AZ$157</f>
        <v>1</v>
      </c>
      <c r="BC153" s="25"/>
      <c r="BD153" s="25"/>
      <c r="BE153" s="25"/>
      <c r="BF153"/>
      <c r="BG153"/>
      <c r="BH153"/>
      <c r="BI153"/>
      <c r="BJ153"/>
      <c r="BK153"/>
      <c r="BL153"/>
      <c r="BM153"/>
      <c r="BN153"/>
      <c r="CT153"/>
      <c r="CU153"/>
      <c r="CV153"/>
      <c r="CW153"/>
      <c r="CX153"/>
      <c r="CY153"/>
      <c r="CZ153"/>
      <c r="DE153"/>
      <c r="DF153"/>
      <c r="DG153"/>
      <c r="DH153"/>
      <c r="DI153"/>
      <c r="DJ153"/>
      <c r="DK153"/>
      <c r="DL153"/>
      <c r="DM153"/>
      <c r="DN153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</row>
    <row r="154" spans="48:188">
      <c r="AV154" s="393"/>
      <c r="AW154" s="143" t="s">
        <v>579</v>
      </c>
      <c r="AX154" s="56">
        <v>512</v>
      </c>
      <c r="AY154" s="56">
        <v>1024</v>
      </c>
      <c r="AZ154" s="232">
        <f>SUM($CK$92:$CK$102)</f>
        <v>0</v>
      </c>
      <c r="BA154" s="118">
        <f t="shared" si="34"/>
        <v>0</v>
      </c>
      <c r="BB154" s="107">
        <f>SUM($AZ$133:AZ154)/$AZ$157</f>
        <v>1</v>
      </c>
      <c r="BC154" s="25"/>
      <c r="BD154" s="25"/>
      <c r="BE154" s="25"/>
      <c r="BF154"/>
      <c r="BG154"/>
      <c r="BH154"/>
      <c r="BI154"/>
      <c r="BJ154"/>
      <c r="BK154"/>
      <c r="BL154"/>
      <c r="BM154"/>
      <c r="BN154"/>
      <c r="CT154"/>
      <c r="CU154"/>
      <c r="CV154"/>
      <c r="CW154"/>
      <c r="CX154"/>
      <c r="CY154"/>
      <c r="CZ154"/>
      <c r="DE154"/>
      <c r="DF154"/>
      <c r="DG154"/>
      <c r="DH154"/>
      <c r="DI154"/>
      <c r="DJ154"/>
      <c r="DK154"/>
      <c r="DL154"/>
      <c r="DM154"/>
      <c r="DN154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</row>
    <row r="155" spans="48:188">
      <c r="AV155" s="394"/>
      <c r="AW155" s="149" t="s">
        <v>810</v>
      </c>
      <c r="AX155" s="84">
        <v>1024</v>
      </c>
      <c r="AY155" s="84">
        <v>2048</v>
      </c>
      <c r="AZ155" s="232">
        <f>SUM($CL$92:$CL$102)</f>
        <v>0</v>
      </c>
      <c r="BA155" s="102">
        <f t="shared" si="34"/>
        <v>0</v>
      </c>
      <c r="BB155" s="110">
        <f>SUM($AZ$133:AZ155)/$AZ$157</f>
        <v>1</v>
      </c>
      <c r="BC155" s="25"/>
      <c r="BD155" s="25"/>
      <c r="BE155" s="25"/>
      <c r="BF155"/>
      <c r="BG155"/>
      <c r="BH155"/>
      <c r="BI155"/>
      <c r="BJ155"/>
      <c r="BK155"/>
      <c r="BL155"/>
      <c r="BM155"/>
      <c r="BN155"/>
      <c r="CT155"/>
      <c r="CU155"/>
      <c r="CV155"/>
      <c r="CW155"/>
      <c r="CX155"/>
      <c r="CY155"/>
      <c r="CZ155"/>
      <c r="DE155"/>
      <c r="DF155"/>
      <c r="DG155"/>
      <c r="DH155"/>
      <c r="DI155"/>
      <c r="DJ155"/>
      <c r="DK155"/>
      <c r="DL155"/>
      <c r="DM155"/>
      <c r="DN155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</row>
    <row r="156" spans="48:188">
      <c r="AV156" s="214"/>
      <c r="AW156" s="332" t="s">
        <v>195</v>
      </c>
      <c r="AX156" s="109">
        <v>2048</v>
      </c>
      <c r="AY156" s="109"/>
      <c r="AZ156" s="232">
        <f>SUM($CM$92:$CM$102)</f>
        <v>0</v>
      </c>
      <c r="BA156" s="184">
        <f t="shared" si="34"/>
        <v>0</v>
      </c>
      <c r="BB156" s="219">
        <f>SUM($AZ$133:AZ156)/$AZ$157</f>
        <v>1</v>
      </c>
      <c r="BC156" s="25"/>
      <c r="BD156" s="25"/>
      <c r="BE156" s="25"/>
      <c r="BF156"/>
      <c r="BG156"/>
      <c r="BH156"/>
      <c r="BI156"/>
      <c r="BJ156"/>
      <c r="BK156"/>
      <c r="BL156"/>
      <c r="BM156"/>
      <c r="BN156"/>
      <c r="CT156"/>
      <c r="CU156"/>
      <c r="CV156"/>
      <c r="CW156"/>
      <c r="CX156"/>
      <c r="CY156"/>
      <c r="CZ156"/>
      <c r="DE156"/>
      <c r="DF156"/>
      <c r="DG156"/>
      <c r="DH156"/>
      <c r="DI156"/>
      <c r="DJ156"/>
      <c r="DK156"/>
      <c r="DL156"/>
      <c r="DM156"/>
      <c r="DN156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</row>
    <row r="157" spans="48:188">
      <c r="AV157" s="25"/>
      <c r="AW157" s="25"/>
      <c r="AX157" s="25"/>
      <c r="AY157" s="240" t="s">
        <v>868</v>
      </c>
      <c r="AZ157" s="24">
        <f>SUM(AZ133:AZ156)</f>
        <v>1100</v>
      </c>
      <c r="BA157" s="25"/>
      <c r="BB157" s="25"/>
      <c r="BC157" s="240"/>
      <c r="BD157" s="25"/>
      <c r="BE157" s="25"/>
      <c r="BF157" s="178"/>
      <c r="BG157" s="178"/>
      <c r="BH157"/>
      <c r="BI157"/>
      <c r="BJ157"/>
      <c r="BK157"/>
      <c r="BL157"/>
      <c r="BM157"/>
      <c r="BN157"/>
      <c r="CT157"/>
      <c r="CU157"/>
      <c r="CV157"/>
      <c r="CW157"/>
      <c r="CX157"/>
      <c r="CY157"/>
      <c r="CZ157"/>
      <c r="DE157"/>
      <c r="DF157"/>
      <c r="DG157"/>
      <c r="DH157"/>
      <c r="DI157"/>
      <c r="DJ157"/>
      <c r="DK157"/>
      <c r="DL157"/>
      <c r="DM157"/>
      <c r="DN157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</row>
    <row r="158" spans="48:188">
      <c r="AV158" s="25"/>
      <c r="AW158" s="25"/>
      <c r="AX158" s="25"/>
      <c r="AY158" s="24"/>
      <c r="AZ158" s="24"/>
      <c r="BA158" s="24"/>
      <c r="BB158" s="25"/>
      <c r="BC158" s="25"/>
      <c r="BD158" s="90"/>
      <c r="BE158" s="90"/>
      <c r="BF158" s="140"/>
      <c r="BG158" s="140"/>
      <c r="BH158" s="140"/>
      <c r="BI158"/>
      <c r="BJ158"/>
      <c r="BK158"/>
      <c r="BL158"/>
      <c r="BM158"/>
      <c r="BN158"/>
      <c r="CT158"/>
      <c r="CU158"/>
      <c r="CV158"/>
      <c r="CW158"/>
      <c r="CX158"/>
      <c r="CY158"/>
      <c r="CZ158"/>
      <c r="DE158"/>
      <c r="DF158"/>
      <c r="DG158"/>
      <c r="DH158"/>
      <c r="DI158"/>
      <c r="DJ158"/>
      <c r="DK158"/>
      <c r="DL158"/>
      <c r="DM158"/>
      <c r="DN158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</row>
    <row r="159" spans="48:188">
      <c r="AV159" s="25"/>
      <c r="AW159" s="25"/>
      <c r="AX159" s="25"/>
      <c r="AY159" s="24"/>
      <c r="AZ159" s="24"/>
      <c r="BA159" s="24"/>
      <c r="BB159" s="25"/>
      <c r="BC159" s="25"/>
      <c r="BD159" s="25"/>
      <c r="BE159" s="25"/>
      <c r="BF159"/>
      <c r="BG159"/>
      <c r="BH159"/>
      <c r="BI159"/>
      <c r="BJ159"/>
      <c r="BK159"/>
      <c r="BL159"/>
      <c r="BM159"/>
      <c r="BN159"/>
      <c r="CT159"/>
      <c r="CU159"/>
      <c r="CV159"/>
      <c r="CW159"/>
      <c r="CX159"/>
      <c r="CY159"/>
      <c r="CZ159"/>
      <c r="DE159"/>
      <c r="DF159"/>
      <c r="DG159"/>
      <c r="DH159"/>
      <c r="DI159"/>
      <c r="DJ159"/>
      <c r="DK159"/>
      <c r="DL159"/>
      <c r="DM159"/>
      <c r="DN159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</row>
    <row r="160" spans="48:188">
      <c r="AV160" s="25"/>
      <c r="AW160" s="25"/>
      <c r="AX160" s="25"/>
      <c r="AY160" s="24"/>
      <c r="AZ160" s="24"/>
      <c r="BA160" s="24"/>
      <c r="BB160" s="25"/>
      <c r="BC160" s="25"/>
      <c r="BD160" s="25"/>
      <c r="BE160" s="25"/>
      <c r="BF160" s="2"/>
      <c r="BG160"/>
      <c r="BH160"/>
      <c r="BI160"/>
      <c r="BJ160"/>
      <c r="BK160"/>
      <c r="BL160"/>
      <c r="BM160"/>
      <c r="BN160"/>
      <c r="CT160"/>
      <c r="CU160"/>
      <c r="CV160"/>
      <c r="CW160"/>
      <c r="CX160"/>
      <c r="CY160"/>
      <c r="CZ160"/>
      <c r="DE160"/>
      <c r="DF160"/>
      <c r="DG160"/>
      <c r="DH160"/>
      <c r="DI160"/>
      <c r="DJ160"/>
      <c r="DK160"/>
      <c r="DL160"/>
      <c r="DM160"/>
      <c r="DN160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</row>
    <row r="161" spans="11:188">
      <c r="AV161" s="25"/>
      <c r="AW161" s="25"/>
      <c r="AX161" s="25"/>
      <c r="AY161" s="24"/>
      <c r="AZ161" s="24"/>
      <c r="BA161" s="24"/>
      <c r="BB161" s="25"/>
      <c r="BC161" s="25"/>
      <c r="BD161" s="25"/>
      <c r="BE161" s="25"/>
      <c r="BF161" s="2"/>
      <c r="BG161"/>
      <c r="BH161"/>
      <c r="BI161"/>
      <c r="BJ161"/>
      <c r="BK161"/>
      <c r="BL161"/>
      <c r="BM161"/>
      <c r="BN161"/>
      <c r="CT161"/>
      <c r="CU161"/>
      <c r="CV161"/>
      <c r="CW161"/>
      <c r="CX161"/>
      <c r="CY161"/>
      <c r="CZ161"/>
      <c r="DE161"/>
      <c r="DF161"/>
      <c r="DG161"/>
      <c r="DH161"/>
      <c r="DI161"/>
      <c r="DJ161"/>
      <c r="DK161"/>
      <c r="DL161"/>
      <c r="DM161"/>
      <c r="DN161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</row>
    <row r="162" spans="11:188">
      <c r="AV162" s="25"/>
      <c r="AW162" s="25"/>
      <c r="AX162" s="25"/>
      <c r="AY162" s="24"/>
      <c r="AZ162" s="24"/>
      <c r="BA162" s="24"/>
      <c r="BB162" s="25"/>
      <c r="BC162" s="25"/>
      <c r="BD162" s="25"/>
      <c r="BE162" s="25"/>
      <c r="BF162" s="2"/>
      <c r="BG162"/>
      <c r="BH162"/>
      <c r="BI162"/>
      <c r="BJ162"/>
      <c r="BK162"/>
      <c r="BL162"/>
      <c r="BM162"/>
      <c r="BN162"/>
      <c r="CT162"/>
      <c r="CU162"/>
      <c r="CV162"/>
      <c r="CW162"/>
      <c r="CX162"/>
      <c r="CY162"/>
      <c r="CZ162"/>
      <c r="DE162"/>
      <c r="DF162"/>
      <c r="DG162"/>
      <c r="DH162"/>
      <c r="DI162"/>
      <c r="DJ162"/>
      <c r="DK162"/>
      <c r="DL162"/>
      <c r="DM162"/>
      <c r="DN16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</row>
    <row r="163" spans="11:188">
      <c r="AV163" s="25"/>
      <c r="AW163" s="25"/>
      <c r="AX163" s="25"/>
      <c r="AY163" s="24"/>
      <c r="AZ163" s="24"/>
      <c r="BA163" s="24"/>
      <c r="BB163" s="25"/>
      <c r="BC163" s="25"/>
      <c r="BD163" s="25"/>
      <c r="BE163" s="25"/>
      <c r="BF163" s="2"/>
      <c r="BG163"/>
      <c r="BH163"/>
      <c r="BI163"/>
      <c r="BJ163"/>
      <c r="BK163"/>
      <c r="BL163"/>
      <c r="BM163"/>
      <c r="BN163"/>
      <c r="CT163"/>
      <c r="CU163"/>
      <c r="CV163"/>
      <c r="CW163"/>
      <c r="CX163"/>
      <c r="CY163"/>
      <c r="CZ163"/>
      <c r="DE163"/>
      <c r="DF163"/>
      <c r="DG163"/>
      <c r="DH163"/>
      <c r="DI163"/>
      <c r="DJ163"/>
      <c r="DK163"/>
      <c r="DL163"/>
      <c r="DM163"/>
      <c r="DN163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</row>
    <row r="164" spans="11:188">
      <c r="AV164" s="25"/>
      <c r="AW164" s="25"/>
      <c r="AX164" s="25"/>
      <c r="AY164" s="24"/>
      <c r="AZ164" s="24"/>
      <c r="BA164" s="24"/>
      <c r="BB164" s="25"/>
      <c r="BC164" s="25"/>
      <c r="BD164" s="25"/>
      <c r="BE164" s="25"/>
      <c r="BF164" s="2"/>
      <c r="BG164"/>
      <c r="BH164"/>
      <c r="BI164"/>
      <c r="BJ164"/>
      <c r="BK164"/>
      <c r="BL164"/>
      <c r="BM164"/>
      <c r="BN164"/>
      <c r="CT164"/>
      <c r="CU164"/>
      <c r="CV164"/>
      <c r="CW164"/>
      <c r="CX164"/>
      <c r="CY164"/>
      <c r="CZ164"/>
      <c r="DE164"/>
      <c r="DF164"/>
      <c r="DG164"/>
      <c r="DH164"/>
      <c r="DI164"/>
      <c r="DJ164"/>
      <c r="DK164"/>
      <c r="DL164"/>
      <c r="DM164"/>
      <c r="DN164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</row>
    <row r="165" spans="11:188">
      <c r="AV165" s="25"/>
      <c r="AW165" s="25"/>
      <c r="AX165" s="25"/>
      <c r="AY165" s="24"/>
      <c r="AZ165" s="24"/>
      <c r="BA165" s="24"/>
      <c r="BB165" s="25"/>
      <c r="BC165" s="25"/>
      <c r="BD165" s="25"/>
      <c r="BE165" s="25"/>
      <c r="BF165" s="2"/>
      <c r="BG165"/>
      <c r="BH165"/>
      <c r="BI165"/>
      <c r="BJ165"/>
      <c r="BK165"/>
      <c r="BL165"/>
      <c r="BM165"/>
      <c r="BN165"/>
      <c r="CT165"/>
      <c r="CU165"/>
      <c r="CV165"/>
      <c r="CW165"/>
      <c r="CX165"/>
      <c r="CY165"/>
      <c r="CZ165"/>
      <c r="DE165"/>
      <c r="DF165"/>
      <c r="DG165"/>
      <c r="DH165"/>
      <c r="DI165"/>
      <c r="DJ165"/>
      <c r="DK165"/>
      <c r="DL165"/>
      <c r="DM165"/>
      <c r="DN165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</row>
    <row r="166" spans="11:188">
      <c r="AV166" s="24"/>
      <c r="AW166" s="24"/>
      <c r="AX166" s="25"/>
      <c r="AY166" s="24"/>
      <c r="AZ166" s="24"/>
      <c r="BA166" s="24"/>
      <c r="BB166" s="25"/>
      <c r="BC166" s="25"/>
      <c r="BD166" s="25"/>
      <c r="BE166" s="25"/>
      <c r="BF166"/>
      <c r="BG166"/>
      <c r="BH166"/>
      <c r="BI166"/>
      <c r="BJ166"/>
      <c r="BK166"/>
      <c r="BL166"/>
      <c r="BM166"/>
      <c r="BN166"/>
      <c r="CT166"/>
      <c r="CU166"/>
      <c r="CV166"/>
      <c r="CW166"/>
      <c r="CX166"/>
      <c r="CY166"/>
      <c r="CZ166"/>
      <c r="DE166"/>
      <c r="DF166"/>
      <c r="DG166"/>
      <c r="DH166"/>
      <c r="DI166"/>
      <c r="DJ166"/>
      <c r="DK166"/>
      <c r="DL166"/>
      <c r="DM166"/>
      <c r="DN166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</row>
    <row r="167" spans="11:188">
      <c r="AV167" s="25"/>
      <c r="AW167" s="25"/>
      <c r="AX167" s="25"/>
      <c r="AY167" s="24"/>
      <c r="AZ167" s="24"/>
      <c r="BA167" s="24"/>
      <c r="BB167" s="25"/>
      <c r="BC167" s="25"/>
      <c r="BD167" s="25"/>
      <c r="BE167" s="25"/>
      <c r="BF167"/>
      <c r="BG167"/>
      <c r="BH167"/>
      <c r="BI167"/>
      <c r="BJ167"/>
      <c r="BK167"/>
      <c r="BL167"/>
      <c r="BM167"/>
      <c r="BN167"/>
      <c r="CT167"/>
      <c r="CU167"/>
      <c r="CV167"/>
      <c r="CW167"/>
      <c r="CX167"/>
      <c r="CY167"/>
      <c r="CZ167"/>
      <c r="DE167"/>
      <c r="DF167"/>
      <c r="DG167"/>
      <c r="DH167"/>
      <c r="DI167"/>
      <c r="DJ167"/>
      <c r="DK167"/>
      <c r="DL167"/>
      <c r="DM167"/>
      <c r="DN167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</row>
    <row r="168" spans="11:188">
      <c r="K168" s="1" t="s">
        <v>312</v>
      </c>
      <c r="AV168" s="25"/>
      <c r="AW168" s="25"/>
      <c r="AX168" s="25"/>
      <c r="AY168" s="24"/>
      <c r="AZ168" s="24"/>
      <c r="BA168" s="24"/>
      <c r="BB168" s="25"/>
      <c r="BC168" s="25"/>
      <c r="BD168" s="25"/>
      <c r="BE168" s="25"/>
      <c r="BF168"/>
      <c r="BG168"/>
      <c r="BH168"/>
      <c r="BI168"/>
      <c r="BJ168"/>
      <c r="BK168"/>
      <c r="BL168"/>
      <c r="BM168"/>
      <c r="BN168"/>
      <c r="CT168"/>
      <c r="CU168"/>
      <c r="CV168"/>
      <c r="CW168"/>
      <c r="CX168"/>
      <c r="CY168"/>
      <c r="CZ168"/>
      <c r="DE168"/>
      <c r="DF168"/>
      <c r="DG168"/>
      <c r="DH168"/>
      <c r="DI168"/>
      <c r="DJ168"/>
      <c r="DK168"/>
      <c r="DL168"/>
      <c r="DM168"/>
      <c r="DN168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</row>
    <row r="169" spans="11:188">
      <c r="AV169" s="25"/>
      <c r="AW169" s="25"/>
      <c r="AX169" s="25"/>
      <c r="AY169" s="24"/>
      <c r="AZ169" s="24"/>
      <c r="BA169" s="24"/>
      <c r="BB169" s="25"/>
      <c r="BC169" s="25"/>
      <c r="BD169" s="25"/>
      <c r="BE169" s="25"/>
      <c r="BF169"/>
      <c r="BG169"/>
      <c r="BH169"/>
      <c r="BI169"/>
      <c r="BJ169"/>
      <c r="BK169"/>
      <c r="BL169"/>
      <c r="BM169"/>
      <c r="BN169"/>
      <c r="CT169"/>
      <c r="CU169"/>
      <c r="CV169"/>
      <c r="CW169"/>
      <c r="CX169"/>
      <c r="CY169"/>
      <c r="CZ169"/>
      <c r="DE169"/>
      <c r="DF169"/>
      <c r="DG169"/>
      <c r="DH169"/>
      <c r="DI169"/>
      <c r="DJ169"/>
      <c r="DK169"/>
      <c r="DL169"/>
      <c r="DM169"/>
      <c r="DN169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</row>
    <row r="170" spans="11:188">
      <c r="K170" s="10" t="s">
        <v>595</v>
      </c>
      <c r="L170" s="10"/>
      <c r="AV170" s="25"/>
      <c r="AW170" s="25"/>
      <c r="AX170" s="25"/>
      <c r="AY170" s="24"/>
      <c r="AZ170" s="24"/>
      <c r="BA170" s="24"/>
      <c r="BB170" s="25"/>
      <c r="BC170" s="25"/>
      <c r="BD170" s="25"/>
      <c r="BE170" s="25"/>
      <c r="BF170"/>
      <c r="BG170"/>
      <c r="BH170"/>
      <c r="BI170"/>
      <c r="BJ170"/>
      <c r="BK170"/>
      <c r="BL170"/>
      <c r="BM170"/>
      <c r="BN170"/>
      <c r="CT170"/>
      <c r="CU170"/>
      <c r="CV170"/>
      <c r="CW170"/>
      <c r="CX170"/>
      <c r="CY170"/>
      <c r="CZ170"/>
      <c r="DE170"/>
      <c r="DF170"/>
      <c r="DG170"/>
      <c r="DH170"/>
      <c r="DI170"/>
      <c r="DJ170"/>
      <c r="DK170"/>
      <c r="DL170"/>
      <c r="DM170"/>
      <c r="DN170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</row>
    <row r="171" spans="11:188">
      <c r="K171" s="5" t="s">
        <v>834</v>
      </c>
      <c r="L171" s="237">
        <v>30</v>
      </c>
      <c r="AV171" s="25"/>
      <c r="AW171" s="25"/>
      <c r="AX171" s="25"/>
      <c r="AY171" s="24"/>
      <c r="AZ171" s="24"/>
      <c r="BA171" s="24"/>
      <c r="BB171" s="25"/>
      <c r="BC171" s="25"/>
      <c r="BD171" s="25"/>
      <c r="BE171" s="25"/>
      <c r="BF171"/>
      <c r="BG171"/>
      <c r="BH171"/>
      <c r="BI171"/>
      <c r="BJ171"/>
      <c r="BK171"/>
      <c r="BL171"/>
      <c r="BM171"/>
      <c r="BN171"/>
      <c r="CT171"/>
      <c r="CU171"/>
      <c r="CV171"/>
      <c r="CW171"/>
      <c r="CX171"/>
      <c r="CY171"/>
      <c r="CZ171"/>
      <c r="DE171"/>
      <c r="DF171"/>
      <c r="DG171"/>
      <c r="DH171"/>
      <c r="DI171"/>
      <c r="DJ171"/>
      <c r="DK171"/>
      <c r="DL171"/>
      <c r="DM171"/>
      <c r="DN171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</row>
    <row r="172" spans="11:188">
      <c r="K172" s="5" t="s">
        <v>768</v>
      </c>
      <c r="L172" s="8">
        <f>L171/N37</f>
        <v>2.9992501874531365</v>
      </c>
      <c r="AV172" s="25"/>
      <c r="AW172" s="25"/>
      <c r="AX172" s="25"/>
      <c r="AY172" s="24"/>
      <c r="AZ172" s="24"/>
      <c r="BA172" s="24"/>
      <c r="BB172" s="25"/>
      <c r="BC172" s="25"/>
      <c r="BD172" s="25"/>
      <c r="BE172" s="25"/>
      <c r="BF172"/>
      <c r="BG172"/>
      <c r="BH172"/>
      <c r="BI172"/>
      <c r="BJ172"/>
      <c r="BK172"/>
      <c r="BL172"/>
      <c r="BM172"/>
      <c r="BN172"/>
      <c r="CT172"/>
      <c r="CU172"/>
      <c r="CV172"/>
      <c r="CW172"/>
      <c r="CX172"/>
      <c r="CY172"/>
      <c r="CZ172"/>
      <c r="DE172"/>
      <c r="DF172"/>
      <c r="DG172"/>
      <c r="DH172"/>
      <c r="DI172"/>
      <c r="DJ172"/>
      <c r="DK172"/>
      <c r="DL172"/>
      <c r="DM172"/>
      <c r="DN17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</row>
    <row r="173" spans="11:188">
      <c r="K173" s="5" t="s">
        <v>674</v>
      </c>
      <c r="L173" s="37">
        <f>2.5*N37</f>
        <v>25.006250000000001</v>
      </c>
      <c r="AV173" s="25"/>
      <c r="AW173" s="25"/>
      <c r="AX173" s="25"/>
      <c r="AY173" s="24"/>
      <c r="AZ173" s="24"/>
      <c r="BA173" s="24"/>
      <c r="BB173" s="25"/>
      <c r="BC173" s="25"/>
      <c r="BD173" s="25"/>
      <c r="BE173" s="25"/>
      <c r="BF173"/>
      <c r="BG173"/>
      <c r="BH173"/>
      <c r="BI173"/>
      <c r="BJ173"/>
      <c r="BK173"/>
      <c r="BL173"/>
      <c r="BM173"/>
      <c r="BN173"/>
      <c r="CT173"/>
      <c r="CU173"/>
      <c r="CV173"/>
      <c r="CW173"/>
      <c r="CX173"/>
      <c r="CY173"/>
      <c r="CZ173"/>
      <c r="DE173"/>
      <c r="DF173"/>
      <c r="DG173"/>
      <c r="DH173"/>
      <c r="DI173"/>
      <c r="DJ173"/>
      <c r="DK173"/>
      <c r="DL173"/>
      <c r="DM173"/>
      <c r="DN173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</row>
    <row r="174" spans="11:188">
      <c r="K174" s="5" t="s">
        <v>905</v>
      </c>
      <c r="L174" s="37">
        <f>N37*3.2</f>
        <v>32.008000000000003</v>
      </c>
      <c r="AV174" s="25"/>
      <c r="AW174" s="25"/>
      <c r="AX174" s="25"/>
      <c r="AY174" s="24"/>
      <c r="AZ174" s="24"/>
      <c r="BA174" s="24"/>
      <c r="BB174" s="25"/>
      <c r="BC174" s="25"/>
      <c r="BD174" s="25"/>
      <c r="BE174" s="25"/>
      <c r="BF174"/>
      <c r="BG174"/>
      <c r="BH174"/>
      <c r="BI174"/>
      <c r="BJ174"/>
      <c r="BK174"/>
      <c r="BL174"/>
      <c r="BM174"/>
      <c r="BN174"/>
      <c r="CT174"/>
      <c r="CU174"/>
      <c r="CV174"/>
      <c r="CW174"/>
      <c r="CX174"/>
      <c r="CY174"/>
      <c r="CZ174"/>
      <c r="DE174"/>
      <c r="DF174"/>
      <c r="DG174"/>
      <c r="DH174"/>
      <c r="DI174"/>
      <c r="DJ174"/>
      <c r="DK174"/>
      <c r="DL174"/>
      <c r="DM174"/>
      <c r="DN174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</row>
    <row r="175" spans="11:188">
      <c r="AV175" s="25"/>
      <c r="AW175" s="25"/>
      <c r="AX175" s="25"/>
      <c r="AY175" s="24"/>
      <c r="AZ175" s="24"/>
      <c r="BA175" s="24"/>
      <c r="BB175" s="25"/>
      <c r="BC175" s="25"/>
      <c r="BD175" s="25"/>
      <c r="BE175" s="25"/>
      <c r="BF175"/>
      <c r="BG175"/>
      <c r="BH175"/>
      <c r="BI175"/>
      <c r="BJ175"/>
      <c r="BK175"/>
      <c r="BL175"/>
      <c r="BM175"/>
      <c r="BN175"/>
      <c r="CT175"/>
      <c r="CU175"/>
      <c r="CV175"/>
      <c r="CW175"/>
      <c r="CX175"/>
      <c r="CY175"/>
      <c r="CZ175"/>
      <c r="DE175"/>
      <c r="DF175"/>
      <c r="DG175"/>
      <c r="DH175"/>
      <c r="DI175"/>
      <c r="DJ175"/>
      <c r="DK175"/>
      <c r="DL175"/>
      <c r="DM175"/>
      <c r="DN175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</row>
    <row r="176" spans="11:188">
      <c r="K176" s="5" t="s">
        <v>290</v>
      </c>
      <c r="L176" s="50">
        <f>(2.65*N41*((L172)^-0.5))*1.15</f>
        <v>4.206123936630461</v>
      </c>
      <c r="AV176" s="25"/>
      <c r="AW176" s="25"/>
      <c r="AX176" s="25"/>
      <c r="AY176" s="24"/>
      <c r="AZ176" s="24"/>
      <c r="BA176" s="24"/>
      <c r="BB176" s="25"/>
      <c r="BC176" s="25"/>
      <c r="BD176" s="25"/>
      <c r="BE176" s="25"/>
      <c r="BF176"/>
      <c r="BG176"/>
      <c r="BH176"/>
      <c r="BI176"/>
      <c r="BJ176"/>
      <c r="BK176"/>
      <c r="BL176"/>
      <c r="BM176"/>
      <c r="BN176"/>
      <c r="CT176"/>
      <c r="CU176"/>
      <c r="CV176"/>
      <c r="CW176"/>
      <c r="CX176"/>
      <c r="CY176"/>
      <c r="CZ176"/>
      <c r="DE176"/>
      <c r="DF176"/>
      <c r="DG176"/>
      <c r="DH176"/>
      <c r="DI176"/>
      <c r="DJ176"/>
      <c r="DK176"/>
      <c r="DL176"/>
      <c r="DM176"/>
      <c r="DN176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</row>
    <row r="177" spans="11:188">
      <c r="K177" s="5" t="s">
        <v>471</v>
      </c>
      <c r="L177" s="8">
        <f>LININTERP(L176,Permissible_Shear!$S$205:$S$222,Permissible_Shear!$V$205:$V$222)</f>
        <v>13.45663730197019</v>
      </c>
      <c r="AV177" s="25"/>
      <c r="AW177" s="25"/>
      <c r="AX177" s="25"/>
      <c r="AY177" s="24"/>
      <c r="AZ177" s="24"/>
      <c r="BA177" s="24"/>
      <c r="BB177" s="25"/>
      <c r="BC177" s="25"/>
      <c r="BD177" s="25"/>
      <c r="BE177" s="25"/>
      <c r="BF177"/>
      <c r="BG177"/>
      <c r="BH177"/>
      <c r="BI177"/>
      <c r="BJ177"/>
      <c r="BK177"/>
      <c r="BL177"/>
      <c r="BM177"/>
      <c r="BN177"/>
      <c r="CT177"/>
      <c r="CU177"/>
      <c r="CV177"/>
      <c r="CW177"/>
      <c r="CX177"/>
      <c r="CY177"/>
      <c r="CZ177"/>
      <c r="DE177"/>
      <c r="DF177"/>
      <c r="DG177"/>
      <c r="DH177"/>
      <c r="DI177"/>
      <c r="DJ177"/>
      <c r="DK177"/>
      <c r="DL177"/>
      <c r="DM177"/>
      <c r="DN177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</row>
    <row r="178" spans="11:188">
      <c r="AV178" s="25"/>
      <c r="AW178" s="25"/>
      <c r="AX178" s="25"/>
      <c r="AY178" s="24"/>
      <c r="AZ178" s="24"/>
      <c r="BA178" s="24"/>
      <c r="BB178" s="25"/>
      <c r="BC178" s="25"/>
      <c r="BD178" s="25"/>
      <c r="BE178" s="25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CT178"/>
      <c r="CU178"/>
      <c r="CV178"/>
      <c r="CW178"/>
      <c r="CX178"/>
      <c r="CY178"/>
      <c r="CZ178"/>
      <c r="DE178"/>
      <c r="DF178"/>
      <c r="DG178"/>
      <c r="DH178"/>
      <c r="DI178"/>
      <c r="DJ178"/>
      <c r="DK178"/>
      <c r="DL178"/>
      <c r="DM178"/>
      <c r="DN178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</row>
    <row r="179" spans="11:188">
      <c r="K179" s="5" t="s">
        <v>489</v>
      </c>
      <c r="L179" s="50">
        <f>LININTERP((L172),'Meander_Bends_(Max Shear)'!$L$51:$L$62,'Meander_Bends_(Max Shear)'!$M$51:$M$62)</f>
        <v>1.8501124718820297</v>
      </c>
      <c r="AV179" s="25"/>
      <c r="AW179" s="25"/>
      <c r="AX179" s="25"/>
      <c r="AY179" s="24"/>
      <c r="AZ179" s="24"/>
      <c r="BA179" s="24"/>
      <c r="BB179" s="25"/>
      <c r="BC179" s="25"/>
      <c r="BD179" s="25"/>
      <c r="BE179" s="25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CT179"/>
      <c r="CU179"/>
      <c r="CV179"/>
      <c r="CW179"/>
      <c r="CX179"/>
      <c r="CY179"/>
      <c r="CZ179"/>
      <c r="DE179"/>
      <c r="DF179"/>
      <c r="DG179"/>
      <c r="DH179"/>
      <c r="DI179"/>
      <c r="DJ179"/>
      <c r="DK179"/>
      <c r="DL179"/>
      <c r="DM179"/>
      <c r="DN179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</row>
    <row r="180" spans="11:188">
      <c r="K180" s="5" t="s">
        <v>214</v>
      </c>
      <c r="L180" s="8">
        <f>((77.966*(L179^1.042)))*0.0393701</f>
        <v>5.827633400603335</v>
      </c>
      <c r="AV180" s="25"/>
      <c r="AW180" s="25"/>
      <c r="AX180" s="25"/>
      <c r="AY180" s="24"/>
      <c r="AZ180" s="24"/>
      <c r="BA180" s="24"/>
      <c r="BB180" s="25"/>
      <c r="BC180" s="25"/>
      <c r="BD180" s="25"/>
      <c r="BE180" s="25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CT180"/>
      <c r="CU180"/>
      <c r="CV180"/>
      <c r="CW180"/>
      <c r="CX180"/>
      <c r="CY180"/>
      <c r="CZ180"/>
      <c r="DE180"/>
      <c r="DF180"/>
      <c r="DG180"/>
      <c r="DH180"/>
      <c r="DI180"/>
      <c r="DJ180"/>
      <c r="DK180"/>
      <c r="DL180"/>
      <c r="DM180"/>
      <c r="DN180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</row>
    <row r="181" spans="11:188">
      <c r="AV181" s="25"/>
      <c r="AW181" s="25"/>
      <c r="AX181" s="25"/>
      <c r="AY181" s="24"/>
      <c r="AZ181" s="24"/>
      <c r="BA181" s="24"/>
      <c r="BB181" s="25"/>
      <c r="BC181" s="25"/>
      <c r="BD181" s="25"/>
      <c r="BE181" s="25"/>
      <c r="BF181"/>
      <c r="BG181"/>
      <c r="BH181"/>
      <c r="BI181"/>
      <c r="BJ181"/>
      <c r="BK181"/>
      <c r="BL181"/>
      <c r="BM181"/>
      <c r="BN181"/>
      <c r="BO181" s="140"/>
      <c r="BP181"/>
      <c r="BQ181"/>
      <c r="BR181"/>
      <c r="BS181"/>
      <c r="BT181"/>
      <c r="BU181"/>
      <c r="BV181"/>
      <c r="CT181"/>
      <c r="CU181"/>
      <c r="CV181"/>
      <c r="CW181"/>
      <c r="CX181"/>
      <c r="CY181"/>
      <c r="CZ181"/>
      <c r="DE181"/>
      <c r="DF181"/>
      <c r="DG181"/>
      <c r="DH181"/>
      <c r="DI181"/>
      <c r="DJ181"/>
      <c r="DK181"/>
      <c r="DL181"/>
      <c r="DM181"/>
      <c r="DN181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</row>
    <row r="182" spans="11:188">
      <c r="K182" s="10" t="s">
        <v>657</v>
      </c>
      <c r="L182" s="10"/>
      <c r="AV182" s="25"/>
      <c r="AW182" s="25"/>
      <c r="AX182" s="25"/>
      <c r="AY182" s="24"/>
      <c r="AZ182" s="24"/>
      <c r="BA182" s="24"/>
      <c r="BB182" s="25"/>
      <c r="BC182" s="25"/>
      <c r="BD182" s="25"/>
      <c r="BE182" s="25"/>
      <c r="BF182"/>
      <c r="BG182"/>
      <c r="BH182"/>
      <c r="BI182"/>
      <c r="BJ182"/>
      <c r="BK182"/>
      <c r="BL182"/>
      <c r="BM182"/>
      <c r="BN182"/>
      <c r="BR182" s="93"/>
      <c r="BS182" s="12"/>
      <c r="CT182"/>
      <c r="CU182"/>
      <c r="CV182"/>
      <c r="CW182"/>
      <c r="CX182"/>
      <c r="CY182"/>
      <c r="CZ182"/>
      <c r="DE182"/>
      <c r="DF182"/>
      <c r="DG182"/>
      <c r="DH182"/>
      <c r="DI182"/>
      <c r="DJ182"/>
      <c r="DK182"/>
      <c r="DL182"/>
      <c r="DM182"/>
      <c r="DN18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</row>
    <row r="183" spans="11:188">
      <c r="K183" s="5" t="s">
        <v>323</v>
      </c>
      <c r="L183" s="8">
        <f>IF(L172&lt;=2,2,IF(L172&gt;=10,1.05,(2.38-(0.206*(L172))+(0.0073*(L172^2)))))</f>
        <v>1.8278216236992988</v>
      </c>
      <c r="BR183" s="93"/>
      <c r="BS183" s="12"/>
      <c r="CT183"/>
      <c r="CU183"/>
      <c r="CV183"/>
      <c r="CW183"/>
      <c r="CX183"/>
      <c r="CY183"/>
      <c r="CZ183"/>
      <c r="DE183"/>
      <c r="DF183"/>
      <c r="DG183"/>
      <c r="DH183"/>
      <c r="DI183"/>
      <c r="DJ183"/>
      <c r="DK183"/>
      <c r="DL183"/>
      <c r="DM183"/>
      <c r="DN183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</row>
    <row r="184" spans="11:188">
      <c r="K184" s="5" t="s">
        <v>553</v>
      </c>
      <c r="L184" s="8">
        <f>L183*N42</f>
        <v>5.4910944429054114</v>
      </c>
      <c r="BR184" s="93"/>
      <c r="BS184" s="12"/>
      <c r="CT184"/>
      <c r="CU184"/>
      <c r="CV184"/>
      <c r="CW184"/>
      <c r="CX184"/>
      <c r="CY184"/>
      <c r="CZ184"/>
      <c r="DE184"/>
      <c r="DF184"/>
      <c r="DG184"/>
      <c r="DH184"/>
      <c r="DI184"/>
      <c r="DJ184"/>
      <c r="DK184"/>
      <c r="DL184"/>
      <c r="DM184"/>
      <c r="DN184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</row>
    <row r="185" spans="11:188">
      <c r="K185" s="5" t="s">
        <v>214</v>
      </c>
      <c r="L185" s="8">
        <f>((77.966*(L184^1.042)))*0.0393701</f>
        <v>18.104909536714043</v>
      </c>
      <c r="BR185" s="93"/>
      <c r="BS185" s="12"/>
      <c r="CT185"/>
      <c r="CU185"/>
      <c r="CV185"/>
      <c r="CW185"/>
      <c r="CX185"/>
      <c r="CY185"/>
      <c r="CZ185"/>
      <c r="DE185"/>
      <c r="DF185"/>
      <c r="DG185"/>
      <c r="DH185"/>
      <c r="DI185"/>
      <c r="DJ185"/>
      <c r="DK185"/>
      <c r="DL185"/>
      <c r="DM185"/>
      <c r="DN185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</row>
    <row r="186" spans="11:188">
      <c r="BR186" s="93"/>
      <c r="BS186" s="12"/>
      <c r="CT186"/>
      <c r="CU186"/>
      <c r="CV186"/>
      <c r="CW186"/>
      <c r="CX186"/>
      <c r="CY186"/>
      <c r="CZ186"/>
      <c r="DE186"/>
      <c r="DF186"/>
      <c r="DG186"/>
      <c r="DH186"/>
      <c r="DI186"/>
      <c r="DJ186"/>
      <c r="DK186"/>
      <c r="DL186"/>
      <c r="DM186"/>
      <c r="DN186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</row>
    <row r="187" spans="11:188">
      <c r="K187" s="10" t="s">
        <v>788</v>
      </c>
      <c r="L187" s="10"/>
      <c r="BR187" s="93"/>
      <c r="BS187" s="12"/>
      <c r="CT187"/>
      <c r="CU187"/>
      <c r="CV187"/>
      <c r="CW187"/>
      <c r="CX187"/>
      <c r="CY187"/>
      <c r="CZ187"/>
      <c r="DE187"/>
      <c r="DF187"/>
      <c r="DG187"/>
      <c r="DH187"/>
      <c r="DI187"/>
      <c r="DJ187"/>
      <c r="DK187"/>
      <c r="DL187"/>
      <c r="DM187"/>
      <c r="DN187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</row>
    <row r="188" spans="11:188">
      <c r="K188" s="5" t="s">
        <v>172</v>
      </c>
      <c r="L188" s="133">
        <f>3.2135*(L172)^-0.2657</f>
        <v>2.4001369960885057</v>
      </c>
      <c r="BR188" s="93"/>
      <c r="BS188" s="12"/>
      <c r="CT188"/>
      <c r="CU188"/>
      <c r="CV188"/>
      <c r="CW188"/>
      <c r="CX188"/>
      <c r="CY188"/>
      <c r="CZ188"/>
      <c r="DE188"/>
      <c r="DF188"/>
      <c r="DG188"/>
      <c r="DH188"/>
      <c r="DI188"/>
      <c r="DJ188"/>
      <c r="DK188"/>
      <c r="DL188"/>
      <c r="DM188"/>
      <c r="DN188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</row>
    <row r="189" spans="11:188">
      <c r="K189" s="5" t="s">
        <v>786</v>
      </c>
      <c r="L189" s="133">
        <f>2.4992*(L172)^-0.321</f>
        <v>1.7566285510779698</v>
      </c>
      <c r="BR189" s="93"/>
      <c r="BS189" s="12"/>
      <c r="CT189"/>
      <c r="CU189"/>
      <c r="CV189"/>
      <c r="CW189"/>
      <c r="CX189"/>
      <c r="CY189"/>
      <c r="CZ189"/>
      <c r="DE189"/>
      <c r="DF189"/>
      <c r="DG189"/>
      <c r="DH189"/>
      <c r="DI189"/>
      <c r="DJ189"/>
      <c r="DK189"/>
      <c r="DL189"/>
      <c r="DM189"/>
      <c r="DN189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</row>
    <row r="190" spans="11:188">
      <c r="K190" s="5" t="s">
        <v>488</v>
      </c>
      <c r="L190" s="6">
        <f t="shared" ref="L190:L191" si="35">L188*N$41</f>
        <v>5.7369455725618552</v>
      </c>
      <c r="BR190" s="93"/>
      <c r="BS190" s="12"/>
      <c r="CT190"/>
      <c r="CU190"/>
      <c r="CV190"/>
      <c r="CW190"/>
      <c r="CX190"/>
      <c r="CY190"/>
      <c r="CZ190"/>
      <c r="DE190"/>
      <c r="DF190"/>
      <c r="DG190"/>
      <c r="DH190"/>
      <c r="DI190"/>
      <c r="DJ190"/>
      <c r="DK190"/>
      <c r="DL190"/>
      <c r="DM190"/>
      <c r="DN190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</row>
    <row r="191" spans="11:188">
      <c r="K191" s="5" t="s">
        <v>728</v>
      </c>
      <c r="L191" s="6">
        <f t="shared" si="35"/>
        <v>4.198794654291012</v>
      </c>
      <c r="BR191" s="93"/>
      <c r="BS191" s="12"/>
      <c r="CT191"/>
      <c r="CU191"/>
      <c r="CV191"/>
      <c r="CW191"/>
      <c r="CX191"/>
      <c r="CY191"/>
      <c r="CZ191"/>
      <c r="DE191"/>
      <c r="DF191"/>
      <c r="DG191"/>
      <c r="DH191"/>
      <c r="DI191"/>
      <c r="DJ191"/>
      <c r="DK191"/>
      <c r="DL191"/>
      <c r="DM191"/>
      <c r="DN191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</row>
    <row r="192" spans="11:188">
      <c r="K192" s="30" t="s">
        <v>787</v>
      </c>
      <c r="L192" s="8">
        <f t="shared" ref="L192:L193" si="36">((77.966*(L190^1.042)))*0.0393701</f>
        <v>18.950343729024492</v>
      </c>
      <c r="BR192" s="93"/>
      <c r="BS192" s="12"/>
      <c r="CT192"/>
      <c r="CU192"/>
      <c r="CV192"/>
      <c r="CW192"/>
      <c r="CX192"/>
      <c r="CY192"/>
      <c r="CZ192"/>
      <c r="DE192"/>
      <c r="DF192"/>
      <c r="DG192"/>
      <c r="DH192"/>
      <c r="DI192"/>
      <c r="DJ192"/>
      <c r="DK192"/>
      <c r="DL192"/>
      <c r="DM192"/>
      <c r="DN19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</row>
    <row r="193" spans="1:188">
      <c r="K193" s="30" t="s">
        <v>551</v>
      </c>
      <c r="L193" s="8">
        <f t="shared" si="36"/>
        <v>13.688871344360114</v>
      </c>
      <c r="BR193" s="93"/>
      <c r="BS193" s="12"/>
      <c r="CT193"/>
      <c r="CU193"/>
      <c r="CV193"/>
      <c r="CW193"/>
      <c r="CX193"/>
      <c r="CY193"/>
      <c r="CZ193"/>
      <c r="DE193"/>
      <c r="DF193"/>
      <c r="DG193"/>
      <c r="DH193"/>
      <c r="DI193"/>
      <c r="DJ193"/>
      <c r="DK193"/>
      <c r="DL193"/>
      <c r="DM193"/>
      <c r="DN193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</row>
    <row r="194" spans="1:188" ht="15.75" thickBot="1">
      <c r="BR194" s="93"/>
      <c r="BS194" s="12"/>
      <c r="CT194"/>
      <c r="CU194"/>
      <c r="CV194"/>
      <c r="CW194"/>
      <c r="CX194"/>
      <c r="CY194"/>
      <c r="CZ194"/>
      <c r="DE194"/>
      <c r="DF194"/>
      <c r="DG194"/>
      <c r="DH194"/>
      <c r="DI194"/>
      <c r="DJ194"/>
      <c r="DK194"/>
      <c r="DL194"/>
      <c r="DM194"/>
      <c r="DN194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</row>
    <row r="195" spans="1:188" ht="15.75" thickBot="1">
      <c r="A195" s="246" t="s">
        <v>40</v>
      </c>
      <c r="B195" s="36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18"/>
      <c r="AB195" s="18"/>
      <c r="AC195" s="36"/>
      <c r="AD195" s="36"/>
      <c r="AE195" s="322"/>
      <c r="BR195" s="93"/>
      <c r="BS195" s="12"/>
      <c r="CT195"/>
      <c r="CU195"/>
      <c r="CV195"/>
      <c r="CW195"/>
      <c r="CX195"/>
      <c r="CY195"/>
      <c r="CZ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</row>
    <row r="196" spans="1:188">
      <c r="A196" s="212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36"/>
      <c r="AB196" s="36"/>
      <c r="AC196" s="23"/>
      <c r="AD196" s="23"/>
      <c r="AE196" s="352"/>
      <c r="BR196" s="93"/>
      <c r="BS196" s="12"/>
      <c r="CC196" s="11"/>
      <c r="CD196" s="11"/>
      <c r="CT196"/>
      <c r="CU196"/>
      <c r="CV196"/>
      <c r="CW196"/>
      <c r="CX196"/>
      <c r="CY196"/>
      <c r="CZ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</row>
    <row r="197" spans="1:188">
      <c r="A197" s="212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352"/>
      <c r="BR197" s="93"/>
      <c r="BS197" s="12"/>
      <c r="CC197" s="52"/>
      <c r="CD197" s="52"/>
      <c r="CT197"/>
      <c r="CU197"/>
      <c r="CV197"/>
      <c r="CW197"/>
      <c r="CX197"/>
      <c r="CY197"/>
      <c r="CZ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</row>
    <row r="198" spans="1:188">
      <c r="A198" s="185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18"/>
      <c r="X198" s="7" t="s">
        <v>801</v>
      </c>
      <c r="Y198" s="7"/>
      <c r="Z198" s="18"/>
      <c r="AA198" s="23"/>
      <c r="AB198" s="23"/>
      <c r="AC198" s="7" t="s">
        <v>654</v>
      </c>
      <c r="AD198" s="7" t="s">
        <v>298</v>
      </c>
      <c r="AE198" s="352"/>
      <c r="BR198" s="93"/>
      <c r="BS198" s="12"/>
      <c r="CT198"/>
      <c r="CU198"/>
      <c r="CV198"/>
      <c r="CW198"/>
      <c r="CX198"/>
      <c r="CY198"/>
      <c r="CZ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</row>
    <row r="199" spans="1:188" ht="15" customHeight="1">
      <c r="A199" s="385" t="s">
        <v>352</v>
      </c>
      <c r="B199" s="62" t="s">
        <v>436</v>
      </c>
      <c r="C199" s="16">
        <f t="array" ref="C199:U199">TRANSPOSE(C247:C265)</f>
        <v>-27.201000000000001</v>
      </c>
      <c r="D199" s="16">
        <v>-26.600999999999999</v>
      </c>
      <c r="E199" s="16">
        <v>-16.600999999999999</v>
      </c>
      <c r="F199" s="16">
        <v>-15.000999999999999</v>
      </c>
      <c r="G199" s="16">
        <v>-5.0009999999999994</v>
      </c>
      <c r="H199" s="16">
        <v>-4.0009999999999994</v>
      </c>
      <c r="I199" s="16">
        <v>-2.0009999999999999</v>
      </c>
      <c r="J199" s="16">
        <v>-1.0009999999999999</v>
      </c>
      <c r="K199" s="16">
        <v>-1E-3</v>
      </c>
      <c r="L199" s="16">
        <v>0</v>
      </c>
      <c r="M199" s="16">
        <v>1E-3</v>
      </c>
      <c r="N199" s="16">
        <v>1.0009999999999999</v>
      </c>
      <c r="O199" s="16">
        <v>2.0009999999999999</v>
      </c>
      <c r="P199" s="16">
        <v>4.0009999999999994</v>
      </c>
      <c r="Q199" s="16">
        <v>5.0009999999999994</v>
      </c>
      <c r="R199" s="16">
        <v>15.000999999999999</v>
      </c>
      <c r="S199" s="16">
        <v>16.600999999999999</v>
      </c>
      <c r="T199" s="16">
        <v>26.600999999999999</v>
      </c>
      <c r="U199" s="16">
        <v>27.201000000000001</v>
      </c>
      <c r="V199" s="7"/>
      <c r="W199" s="18"/>
      <c r="X199" s="7">
        <v>2</v>
      </c>
      <c r="Y199" s="7"/>
      <c r="Z199" s="18"/>
      <c r="AA199" s="18"/>
      <c r="AB199" s="18"/>
      <c r="AC199" s="62" t="s">
        <v>606</v>
      </c>
      <c r="AD199" s="7">
        <v>0.1</v>
      </c>
      <c r="AE199" s="352"/>
      <c r="BR199" s="93"/>
      <c r="BS199" s="12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T199"/>
      <c r="CU199"/>
      <c r="CV199"/>
      <c r="CW199"/>
      <c r="CX199"/>
      <c r="CY199"/>
      <c r="CZ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</row>
    <row r="200" spans="1:188">
      <c r="A200" s="386"/>
      <c r="B200" s="62" t="s">
        <v>120</v>
      </c>
      <c r="C200" s="16">
        <f t="array" ref="C200:U200">TRANSPOSE(E247:E265)</f>
        <v>3.5</v>
      </c>
      <c r="D200" s="16">
        <v>3.2</v>
      </c>
      <c r="E200" s="16">
        <v>3</v>
      </c>
      <c r="F200" s="16">
        <v>2.2000000000000002</v>
      </c>
      <c r="G200" s="16">
        <v>2</v>
      </c>
      <c r="H200" s="16">
        <v>1.5</v>
      </c>
      <c r="I200" s="16">
        <v>1.0009999999999999</v>
      </c>
      <c r="J200" s="16">
        <v>0.5</v>
      </c>
      <c r="K200" s="16">
        <v>1E-3</v>
      </c>
      <c r="L200" s="16">
        <v>0</v>
      </c>
      <c r="M200" s="16">
        <v>1E-3</v>
      </c>
      <c r="N200" s="16">
        <v>0.5</v>
      </c>
      <c r="O200" s="16">
        <v>1.0009999999999999</v>
      </c>
      <c r="P200" s="16">
        <v>1.5</v>
      </c>
      <c r="Q200" s="16">
        <v>2</v>
      </c>
      <c r="R200" s="16">
        <v>2.2000000000000002</v>
      </c>
      <c r="S200" s="16">
        <v>3</v>
      </c>
      <c r="T200" s="16">
        <v>3.2</v>
      </c>
      <c r="U200" s="16">
        <v>3.5</v>
      </c>
      <c r="V200" s="7"/>
      <c r="W200" s="18"/>
      <c r="X200" s="7">
        <v>3</v>
      </c>
      <c r="Y200" s="7"/>
      <c r="Z200" s="18"/>
      <c r="AA200" s="18"/>
      <c r="AB200" s="18"/>
      <c r="AC200" s="62" t="s">
        <v>557</v>
      </c>
      <c r="AD200" s="7"/>
      <c r="AE200" s="352"/>
      <c r="BR200" s="93"/>
      <c r="BS200" s="12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T200"/>
      <c r="CU200"/>
      <c r="CV200"/>
      <c r="CW200"/>
      <c r="CX200"/>
      <c r="CY200"/>
      <c r="CZ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</row>
    <row r="201" spans="1:188">
      <c r="A201" s="387"/>
      <c r="B201" s="62" t="s">
        <v>119</v>
      </c>
      <c r="C201" s="7" t="str">
        <f t="array" ref="C201:U201">TRANSPOSE(F247:F265)</f>
        <v>Left 3rd Stage</v>
      </c>
      <c r="D201" s="7">
        <v>0</v>
      </c>
      <c r="E201" s="7" t="str">
        <v>Left 2nd Stage</v>
      </c>
      <c r="F201" s="7">
        <v>0</v>
      </c>
      <c r="G201" s="7" t="str">
        <v>Left Bankfull</v>
      </c>
      <c r="H201" s="7">
        <v>0</v>
      </c>
      <c r="I201" s="7" t="str">
        <v>Left Inner Berm</v>
      </c>
      <c r="J201" s="7">
        <v>0</v>
      </c>
      <c r="K201" s="7">
        <v>0</v>
      </c>
      <c r="L201" s="7" t="str">
        <v>Thalweg</v>
      </c>
      <c r="M201" s="7">
        <v>0</v>
      </c>
      <c r="N201" s="7">
        <v>0</v>
      </c>
      <c r="O201" s="7" t="str">
        <v>Right Inner Berm</v>
      </c>
      <c r="P201" s="7">
        <v>0</v>
      </c>
      <c r="Q201" s="7" t="str">
        <v>Right Bankfull</v>
      </c>
      <c r="R201" s="7">
        <v>0</v>
      </c>
      <c r="S201" s="7" t="str">
        <v>Right 2nd Stage</v>
      </c>
      <c r="T201" s="7">
        <v>0</v>
      </c>
      <c r="U201" s="7" t="str">
        <v>Right 3rd Stage</v>
      </c>
      <c r="V201" s="7"/>
      <c r="W201" s="18"/>
      <c r="X201" s="7">
        <v>4</v>
      </c>
      <c r="Y201" s="7"/>
      <c r="Z201" s="18"/>
      <c r="AA201" s="18"/>
      <c r="AB201" s="18"/>
      <c r="AC201" s="62" t="s">
        <v>161</v>
      </c>
      <c r="AD201" s="7"/>
      <c r="AE201" s="352"/>
      <c r="BR201" s="93"/>
      <c r="BS201" s="12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</row>
    <row r="202" spans="1:188">
      <c r="A202" s="185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18"/>
      <c r="X202" s="7">
        <v>5</v>
      </c>
      <c r="Y202" s="7"/>
      <c r="Z202" s="18"/>
      <c r="AA202" s="18"/>
      <c r="AB202" s="18"/>
      <c r="AC202" s="7" t="s">
        <v>790</v>
      </c>
      <c r="AD202" s="7"/>
      <c r="AE202" s="352"/>
      <c r="BR202" s="93"/>
      <c r="BS202" s="1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</row>
    <row r="203" spans="1:188" ht="15" customHeight="1">
      <c r="A203" s="385" t="s">
        <v>351</v>
      </c>
      <c r="B203" s="62" t="s">
        <v>39</v>
      </c>
      <c r="C203" s="16">
        <f t="array" ref="C203:U203">TRANSPOSE(E301:E319)</f>
        <v>-27.201250000000002</v>
      </c>
      <c r="D203" s="16">
        <v>-26.60125</v>
      </c>
      <c r="E203" s="16">
        <v>-16.60125</v>
      </c>
      <c r="F203" s="16">
        <v>-15.001249999999999</v>
      </c>
      <c r="G203" s="16">
        <v>-5.0012499999999998</v>
      </c>
      <c r="H203" s="16">
        <v>-2.0012499999999998</v>
      </c>
      <c r="I203" s="16">
        <v>-1.00125</v>
      </c>
      <c r="J203" s="16">
        <v>-0.50124999999999997</v>
      </c>
      <c r="K203" s="16">
        <v>-1E-3</v>
      </c>
      <c r="L203" s="16">
        <v>0</v>
      </c>
      <c r="M203" s="16">
        <v>1E-3</v>
      </c>
      <c r="N203" s="16">
        <v>0.50124999999999997</v>
      </c>
      <c r="O203" s="16">
        <v>1.00125</v>
      </c>
      <c r="P203" s="16">
        <v>2.0012499999999998</v>
      </c>
      <c r="Q203" s="16">
        <v>5.0012499999999998</v>
      </c>
      <c r="R203" s="16">
        <v>15.001249999999999</v>
      </c>
      <c r="S203" s="16">
        <v>16.60125</v>
      </c>
      <c r="T203" s="16">
        <v>26.60125</v>
      </c>
      <c r="U203" s="16">
        <v>27.201250000000002</v>
      </c>
      <c r="V203" s="7"/>
      <c r="W203" s="18"/>
      <c r="X203" s="7">
        <v>6</v>
      </c>
      <c r="Y203" s="7"/>
      <c r="Z203" s="18"/>
      <c r="AA203" s="18"/>
      <c r="AB203" s="18"/>
      <c r="AC203" s="62" t="s">
        <v>293</v>
      </c>
      <c r="AD203" s="7">
        <v>3.5000000000000003E-2</v>
      </c>
      <c r="AE203" s="352"/>
      <c r="BR203" s="93"/>
      <c r="BS203" s="12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</row>
    <row r="204" spans="1:188">
      <c r="A204" s="386"/>
      <c r="B204" s="62" t="s">
        <v>350</v>
      </c>
      <c r="C204" s="16">
        <f t="array" ref="C204:U204">TRANSPOSE(G301:G319)</f>
        <v>3.5010000000000003</v>
      </c>
      <c r="D204" s="16">
        <v>3.2010000000000005</v>
      </c>
      <c r="E204" s="16">
        <v>3.0010000000000003</v>
      </c>
      <c r="F204" s="16">
        <v>2.2010000000000001</v>
      </c>
      <c r="G204" s="16">
        <v>2.0009999999999999</v>
      </c>
      <c r="H204" s="16">
        <v>0.501</v>
      </c>
      <c r="I204" s="16">
        <v>0.251</v>
      </c>
      <c r="J204" s="16">
        <v>0.126</v>
      </c>
      <c r="K204" s="16">
        <v>1E-3</v>
      </c>
      <c r="L204" s="16">
        <v>0</v>
      </c>
      <c r="M204" s="16">
        <v>1E-3</v>
      </c>
      <c r="N204" s="16">
        <v>0.126</v>
      </c>
      <c r="O204" s="16">
        <v>0.251</v>
      </c>
      <c r="P204" s="16">
        <v>0.501</v>
      </c>
      <c r="Q204" s="16">
        <v>2.0009999999999999</v>
      </c>
      <c r="R204" s="16">
        <v>2.2010000000000001</v>
      </c>
      <c r="S204" s="16">
        <v>3.0010000000000003</v>
      </c>
      <c r="T204" s="16">
        <v>3.2010000000000005</v>
      </c>
      <c r="U204" s="16">
        <v>3.5010000000000003</v>
      </c>
      <c r="V204" s="7"/>
      <c r="W204" s="18"/>
      <c r="X204" s="7">
        <v>7</v>
      </c>
      <c r="Y204" s="7"/>
      <c r="Z204" s="18"/>
      <c r="AA204" s="18"/>
      <c r="AB204" s="18"/>
      <c r="AC204" s="62" t="s">
        <v>103</v>
      </c>
      <c r="AD204" s="7"/>
      <c r="AE204" s="352"/>
      <c r="BR204" s="93"/>
      <c r="BS204" s="12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</row>
    <row r="205" spans="1:188">
      <c r="A205" s="387"/>
      <c r="B205" s="62" t="s">
        <v>349</v>
      </c>
      <c r="C205" s="7" t="str">
        <f t="array" ref="C205:U205">TRANSPOSE(H301:H319)</f>
        <v>Left 3rd Stage</v>
      </c>
      <c r="D205" s="7">
        <v>0</v>
      </c>
      <c r="E205" s="7" t="str">
        <v>Left 2nd Stage</v>
      </c>
      <c r="F205" s="7">
        <v>0</v>
      </c>
      <c r="G205" s="7" t="str">
        <v>Left Bankfull</v>
      </c>
      <c r="H205" s="7">
        <v>0</v>
      </c>
      <c r="I205" s="7">
        <v>0</v>
      </c>
      <c r="J205" s="7">
        <v>0</v>
      </c>
      <c r="K205" s="7">
        <v>0</v>
      </c>
      <c r="L205" s="7" t="str">
        <v>Thalweg</v>
      </c>
      <c r="M205" s="7">
        <v>0</v>
      </c>
      <c r="N205" s="7">
        <v>0</v>
      </c>
      <c r="O205" s="7">
        <v>0</v>
      </c>
      <c r="P205" s="7">
        <v>0</v>
      </c>
      <c r="Q205" s="7" t="str">
        <v>Right Bankfull</v>
      </c>
      <c r="R205" s="7">
        <v>0</v>
      </c>
      <c r="S205" s="7" t="str">
        <v>Right 2nd Stage</v>
      </c>
      <c r="T205" s="7">
        <v>0</v>
      </c>
      <c r="U205" s="7" t="str">
        <v>Right 3rd Stage</v>
      </c>
      <c r="V205" s="7"/>
      <c r="W205" s="18"/>
      <c r="X205" s="7">
        <v>8</v>
      </c>
      <c r="Y205" s="7"/>
      <c r="Z205" s="18"/>
      <c r="AA205" s="18"/>
      <c r="AB205" s="18"/>
      <c r="AC205" s="62" t="s">
        <v>116</v>
      </c>
      <c r="AD205" s="7"/>
      <c r="AE205" s="352"/>
      <c r="BP205" s="88"/>
      <c r="BQ205" s="88"/>
      <c r="BR205" s="88"/>
      <c r="BS205" s="88"/>
      <c r="BT205" s="88"/>
      <c r="BU205" s="88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</row>
    <row r="206" spans="1:188">
      <c r="A206" s="179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7">
        <v>9</v>
      </c>
      <c r="Y206" s="7"/>
      <c r="Z206" s="18"/>
      <c r="AA206" s="18"/>
      <c r="AB206" s="18"/>
      <c r="AC206" s="7" t="s">
        <v>731</v>
      </c>
      <c r="AD206" s="7"/>
      <c r="AE206" s="352"/>
      <c r="BP206" s="93"/>
      <c r="BQ206" s="12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</row>
    <row r="207" spans="1:188">
      <c r="A207" s="388"/>
      <c r="B207" s="256"/>
      <c r="C207" s="18"/>
      <c r="D207" s="53"/>
      <c r="E207" s="53"/>
      <c r="F207" s="53"/>
      <c r="G207" s="53"/>
      <c r="H207" s="53"/>
      <c r="I207" s="53"/>
      <c r="J207" s="53"/>
      <c r="K207" s="53"/>
      <c r="L207" s="53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7">
        <v>10</v>
      </c>
      <c r="Y207" s="7"/>
      <c r="Z207" s="18"/>
      <c r="AA207" s="18"/>
      <c r="AB207" s="18"/>
      <c r="AC207" s="7" t="s">
        <v>428</v>
      </c>
      <c r="AD207" s="7"/>
      <c r="AE207" s="352"/>
      <c r="BP207" s="93"/>
      <c r="BQ207" s="12"/>
      <c r="BS207" s="12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</row>
    <row r="208" spans="1:188">
      <c r="A208" s="388"/>
      <c r="B208" s="256"/>
      <c r="C208" s="18"/>
      <c r="D208" s="53"/>
      <c r="E208" s="53"/>
      <c r="F208" s="53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7">
        <v>11</v>
      </c>
      <c r="Y208" s="7"/>
      <c r="Z208" s="18"/>
      <c r="AA208" s="18"/>
      <c r="AB208" s="18"/>
      <c r="AC208" s="62" t="s">
        <v>716</v>
      </c>
      <c r="AD208" s="7"/>
      <c r="AE208" s="352"/>
      <c r="BP208" s="93"/>
      <c r="BQ208" s="12"/>
      <c r="BS208" s="12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</row>
    <row r="209" spans="1:188">
      <c r="A209" s="388"/>
      <c r="B209" s="256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7">
        <v>12</v>
      </c>
      <c r="Y209" s="7"/>
      <c r="Z209" s="18"/>
      <c r="AA209" s="18"/>
      <c r="AB209" s="18"/>
      <c r="AC209" s="7" t="s">
        <v>106</v>
      </c>
      <c r="AD209" s="7"/>
      <c r="AE209" s="352"/>
      <c r="BP209" s="93"/>
      <c r="BQ209" s="12"/>
      <c r="BS209" s="12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</row>
    <row r="210" spans="1:188">
      <c r="A210" s="179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7">
        <v>13</v>
      </c>
      <c r="Y210" s="7"/>
      <c r="Z210" s="18"/>
      <c r="AA210" s="18"/>
      <c r="AB210" s="18"/>
      <c r="AC210" s="7" t="s">
        <v>731</v>
      </c>
      <c r="AD210" s="7"/>
      <c r="AE210" s="352"/>
      <c r="BP210" s="93"/>
      <c r="BQ210" s="12"/>
      <c r="BS210" s="12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</row>
    <row r="211" spans="1:188">
      <c r="A211" s="179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7">
        <v>14</v>
      </c>
      <c r="Y211" s="7"/>
      <c r="Z211" s="18"/>
      <c r="AA211" s="18"/>
      <c r="AB211" s="18"/>
      <c r="AC211" s="62" t="s">
        <v>977</v>
      </c>
      <c r="AD211" s="7"/>
      <c r="AE211" s="352"/>
      <c r="BP211" s="93"/>
      <c r="BQ211" s="12"/>
      <c r="BS211" s="12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</row>
    <row r="212" spans="1:188">
      <c r="A212" s="179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7">
        <v>15</v>
      </c>
      <c r="Y212" s="7"/>
      <c r="Z212" s="18"/>
      <c r="AA212" s="18"/>
      <c r="AB212" s="18"/>
      <c r="AC212" s="7" t="s">
        <v>103</v>
      </c>
      <c r="AD212" s="7"/>
      <c r="AE212" s="352"/>
      <c r="BP212" s="93"/>
      <c r="BQ212" s="12"/>
      <c r="BS212" s="12"/>
      <c r="BW212"/>
      <c r="BX212"/>
      <c r="BY212"/>
      <c r="BZ212"/>
      <c r="CA212"/>
      <c r="CB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</row>
    <row r="213" spans="1:188">
      <c r="A213" s="179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7">
        <v>16</v>
      </c>
      <c r="Y213" s="7"/>
      <c r="Z213" s="18"/>
      <c r="AA213" s="18"/>
      <c r="AB213" s="18"/>
      <c r="AC213" s="62" t="s">
        <v>968</v>
      </c>
      <c r="AD213" s="7">
        <v>0.1</v>
      </c>
      <c r="AE213" s="352"/>
      <c r="BP213" s="93"/>
      <c r="BQ213" s="12"/>
      <c r="BS213" s="12"/>
      <c r="BW213"/>
      <c r="BX213"/>
      <c r="BY213"/>
      <c r="BZ213"/>
      <c r="CA213"/>
      <c r="CB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</row>
    <row r="214" spans="1:188">
      <c r="A214" s="179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7">
        <v>17</v>
      </c>
      <c r="Y214" s="7"/>
      <c r="Z214" s="18"/>
      <c r="AA214" s="18"/>
      <c r="AB214" s="18"/>
      <c r="AC214" s="7" t="s">
        <v>790</v>
      </c>
      <c r="AD214" s="7"/>
      <c r="AE214" s="352"/>
      <c r="BP214" s="93"/>
      <c r="BQ214" s="12"/>
      <c r="BS214" s="12"/>
      <c r="BW214"/>
      <c r="BX214"/>
      <c r="BY214"/>
      <c r="BZ214"/>
      <c r="CA214"/>
      <c r="CB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</row>
    <row r="215" spans="1:188">
      <c r="A215" s="179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7">
        <v>18</v>
      </c>
      <c r="Y215" s="7"/>
      <c r="Z215" s="18"/>
      <c r="AA215" s="18"/>
      <c r="AB215" s="18"/>
      <c r="AC215" s="62" t="s">
        <v>401</v>
      </c>
      <c r="AD215" s="7"/>
      <c r="AE215" s="352"/>
      <c r="BP215" s="93"/>
      <c r="BQ215" s="12"/>
      <c r="BS215" s="12"/>
      <c r="BW215"/>
      <c r="BX215"/>
      <c r="BY215"/>
      <c r="BZ215"/>
      <c r="CA215"/>
      <c r="CB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</row>
    <row r="216" spans="1:188">
      <c r="A216" s="179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7">
        <v>19</v>
      </c>
      <c r="Y216" s="7"/>
      <c r="Z216" s="18"/>
      <c r="AA216" s="18"/>
      <c r="AB216" s="18"/>
      <c r="AC216" s="62" t="s">
        <v>557</v>
      </c>
      <c r="AD216" s="7"/>
      <c r="AE216" s="352"/>
      <c r="BP216" s="93"/>
      <c r="BQ216" s="12"/>
      <c r="BS216" s="12"/>
      <c r="BW216"/>
      <c r="BX216"/>
      <c r="BY216"/>
      <c r="BZ216"/>
      <c r="CA216"/>
      <c r="CB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</row>
    <row r="217" spans="1:188">
      <c r="A217" s="179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7">
        <v>20</v>
      </c>
      <c r="Y217" s="7"/>
      <c r="Z217" s="18"/>
      <c r="AA217" s="18"/>
      <c r="AB217" s="18"/>
      <c r="AC217" s="62" t="s">
        <v>332</v>
      </c>
      <c r="AD217" s="7"/>
      <c r="AE217" s="352"/>
      <c r="BP217" s="93"/>
      <c r="BQ217" s="12"/>
      <c r="BS217" s="12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</row>
    <row r="218" spans="1:188">
      <c r="A218" s="212"/>
      <c r="B218" s="23"/>
      <c r="C218" s="18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18"/>
      <c r="AB218" s="18"/>
      <c r="AC218" s="23"/>
      <c r="AD218" s="23"/>
      <c r="AE218" s="352"/>
      <c r="BP218" s="93"/>
      <c r="BQ218" s="12"/>
      <c r="BS218" s="12"/>
      <c r="CC218"/>
      <c r="CD218"/>
      <c r="DA218"/>
      <c r="DB218"/>
      <c r="DC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</row>
    <row r="219" spans="1:188" ht="15.75" thickBot="1">
      <c r="A219" s="320"/>
      <c r="B219" s="33"/>
      <c r="C219" s="18"/>
      <c r="D219" s="33"/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23"/>
      <c r="AB219" s="23"/>
      <c r="AC219" s="33"/>
      <c r="AD219" s="33"/>
      <c r="AE219" s="238"/>
      <c r="BP219" s="93"/>
      <c r="BQ219" s="12"/>
      <c r="BS219" s="12"/>
      <c r="CC219"/>
      <c r="CD219"/>
      <c r="DA219"/>
      <c r="DB219"/>
      <c r="DC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</row>
    <row r="220" spans="1:188" ht="15.75" thickBot="1">
      <c r="A220" s="23"/>
      <c r="B220" s="23"/>
      <c r="C220" s="5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33"/>
      <c r="AB220" s="33"/>
      <c r="AC220" s="23"/>
      <c r="AD220" s="23"/>
      <c r="AE220" s="23"/>
      <c r="BP220" s="93"/>
      <c r="BQ220" s="12"/>
      <c r="BS220" s="12"/>
      <c r="CC220"/>
      <c r="CD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</row>
    <row r="221" spans="1:188" ht="15.75" thickBot="1">
      <c r="A221" s="271" t="s">
        <v>241</v>
      </c>
      <c r="B221" s="15"/>
      <c r="C221" s="19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/>
      <c r="AB221"/>
      <c r="AC221" s="182"/>
      <c r="AD221"/>
      <c r="AE221"/>
      <c r="BP221" s="93"/>
      <c r="BQ221" s="12"/>
      <c r="BS221" s="12"/>
      <c r="CC221"/>
      <c r="CD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</row>
    <row r="222" spans="1:188">
      <c r="A222" s="208" t="s">
        <v>238</v>
      </c>
      <c r="C222" s="19"/>
      <c r="D222" s="93"/>
      <c r="E222" s="12"/>
      <c r="I222" s="193" t="s">
        <v>737</v>
      </c>
      <c r="L222" s="5" t="s">
        <v>853</v>
      </c>
      <c r="M222" s="5" t="s">
        <v>496</v>
      </c>
      <c r="P222" s="1" t="s">
        <v>434</v>
      </c>
      <c r="AA222" s="15"/>
      <c r="AB222" s="15"/>
      <c r="AC222" s="190"/>
      <c r="AD222"/>
      <c r="AE222"/>
      <c r="BP222" s="93"/>
      <c r="BQ222" s="12"/>
      <c r="BS222" s="12"/>
      <c r="CC222"/>
      <c r="CD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</row>
    <row r="223" spans="1:188">
      <c r="A223" s="208" t="s">
        <v>490</v>
      </c>
      <c r="B223" s="1" t="s">
        <v>554</v>
      </c>
      <c r="C223" s="19"/>
      <c r="D223" s="93"/>
      <c r="E223" s="12"/>
      <c r="I223" s="1" t="s">
        <v>433</v>
      </c>
      <c r="J223" s="59">
        <f t="shared" ref="J223:J227" si="37">D8</f>
        <v>10</v>
      </c>
      <c r="L223" s="1" t="s">
        <v>563</v>
      </c>
      <c r="M223" s="1" t="s">
        <v>348</v>
      </c>
      <c r="N223" s="1">
        <f>J224-N235</f>
        <v>0.5</v>
      </c>
      <c r="P223" s="1" t="s">
        <v>562</v>
      </c>
      <c r="AC223" s="190"/>
      <c r="AD223"/>
      <c r="AE223"/>
      <c r="BP223" s="93"/>
      <c r="BQ223" s="12"/>
      <c r="BS223" s="12"/>
      <c r="CC223"/>
      <c r="CD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</row>
    <row r="224" spans="1:188">
      <c r="A224" s="208" t="s">
        <v>607</v>
      </c>
      <c r="B224" s="1" t="s">
        <v>556</v>
      </c>
      <c r="C224" s="19"/>
      <c r="D224" s="93" t="s">
        <v>296</v>
      </c>
      <c r="E224" s="121">
        <f>-N257</f>
        <v>-0.6</v>
      </c>
      <c r="F224" s="1" t="s">
        <v>971</v>
      </c>
      <c r="G224" s="1">
        <f>J257-J261</f>
        <v>0.3</v>
      </c>
      <c r="I224" s="1" t="s">
        <v>114</v>
      </c>
      <c r="J224" s="59">
        <f t="shared" si="37"/>
        <v>2</v>
      </c>
      <c r="L224" s="1" t="s">
        <v>343</v>
      </c>
      <c r="M224" s="1" t="s">
        <v>798</v>
      </c>
      <c r="N224" s="1">
        <f>J223-2*(J225*N223)</f>
        <v>8</v>
      </c>
      <c r="P224" s="52"/>
      <c r="AC224" s="190"/>
      <c r="AD224"/>
      <c r="AE224"/>
      <c r="BP224" s="93"/>
      <c r="BQ224" s="12"/>
      <c r="BS224" s="12"/>
      <c r="CC224"/>
      <c r="CD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</row>
    <row r="225" spans="1:188">
      <c r="A225" s="208" t="s">
        <v>340</v>
      </c>
      <c r="B225" s="1" t="s">
        <v>557</v>
      </c>
      <c r="D225" s="93" t="s">
        <v>113</v>
      </c>
      <c r="E225" s="121">
        <f>-J259</f>
        <v>-10</v>
      </c>
      <c r="F225" s="1" t="s">
        <v>28</v>
      </c>
      <c r="G225" s="1">
        <f>J261</f>
        <v>0.2</v>
      </c>
      <c r="I225" s="1" t="s">
        <v>432</v>
      </c>
      <c r="J225" s="59">
        <f t="shared" si="37"/>
        <v>2</v>
      </c>
      <c r="L225" s="1" t="s">
        <v>610</v>
      </c>
      <c r="M225" s="1" t="s">
        <v>976</v>
      </c>
      <c r="N225" s="1">
        <f>0.5*N224</f>
        <v>4</v>
      </c>
      <c r="AC225" s="190"/>
      <c r="AD225"/>
      <c r="AE225"/>
      <c r="BP225" s="93"/>
      <c r="BQ225" s="12"/>
      <c r="BS225" s="12"/>
      <c r="CC225"/>
      <c r="CD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</row>
    <row r="226" spans="1:188">
      <c r="A226" s="208" t="s">
        <v>109</v>
      </c>
      <c r="B226" s="1" t="s">
        <v>729</v>
      </c>
      <c r="D226" s="93" t="s">
        <v>342</v>
      </c>
      <c r="E226" s="121">
        <f>-N239</f>
        <v>-1.6</v>
      </c>
      <c r="F226" s="1" t="s">
        <v>429</v>
      </c>
      <c r="G226" s="1">
        <f>J239-J243</f>
        <v>0.8</v>
      </c>
      <c r="I226" s="1" t="s">
        <v>981</v>
      </c>
      <c r="J226" s="59">
        <f t="shared" si="37"/>
        <v>0.5</v>
      </c>
      <c r="L226" s="1" t="s">
        <v>687</v>
      </c>
      <c r="M226" s="1" t="s">
        <v>609</v>
      </c>
      <c r="N226" s="19">
        <f>(J226-J229)/(N225-(0.5*J228))</f>
        <v>-0.25</v>
      </c>
      <c r="AC226" s="190"/>
      <c r="AD226"/>
      <c r="AE226"/>
      <c r="BO226"/>
      <c r="BP226"/>
      <c r="BQ226"/>
      <c r="BR226"/>
      <c r="BS226"/>
      <c r="BT226"/>
      <c r="BU226"/>
      <c r="BV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</row>
    <row r="227" spans="1:188">
      <c r="A227" s="208" t="s">
        <v>848</v>
      </c>
      <c r="B227" s="1" t="s">
        <v>790</v>
      </c>
      <c r="D227" s="93" t="s">
        <v>112</v>
      </c>
      <c r="E227" s="121">
        <f>-J241</f>
        <v>-10</v>
      </c>
      <c r="F227" s="1" t="s">
        <v>339</v>
      </c>
      <c r="G227" s="1">
        <f>J243</f>
        <v>0.2</v>
      </c>
      <c r="I227" s="1" t="s">
        <v>566</v>
      </c>
      <c r="J227" s="59">
        <f t="shared" si="37"/>
        <v>0</v>
      </c>
      <c r="L227" s="1" t="s">
        <v>859</v>
      </c>
      <c r="M227" s="1" t="s">
        <v>614</v>
      </c>
      <c r="N227" s="19">
        <f>J229/(0.5*J228)</f>
        <v>0.5</v>
      </c>
      <c r="AC227" s="190"/>
      <c r="AD227"/>
      <c r="AE227"/>
      <c r="BO227"/>
      <c r="BP227"/>
      <c r="BQ227"/>
      <c r="BR227"/>
      <c r="BS227"/>
      <c r="BT227"/>
      <c r="BU227"/>
      <c r="BV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</row>
    <row r="228" spans="1:188">
      <c r="A228" s="208" t="s">
        <v>605</v>
      </c>
      <c r="B228" s="1" t="s">
        <v>335</v>
      </c>
      <c r="D228" s="93" t="s">
        <v>680</v>
      </c>
      <c r="E228" s="121">
        <f>-((J225*J250)*(N223*J248))</f>
        <v>-1</v>
      </c>
      <c r="F228" s="1" t="s">
        <v>334</v>
      </c>
      <c r="G228" s="1">
        <f>N223*J248</f>
        <v>0.5</v>
      </c>
      <c r="I228" s="1" t="s">
        <v>33</v>
      </c>
      <c r="J228" s="59">
        <f t="shared" ref="J228:J229" si="38">D5</f>
        <v>4</v>
      </c>
      <c r="L228" s="1" t="s">
        <v>914</v>
      </c>
      <c r="M228" s="1" t="s">
        <v>561</v>
      </c>
      <c r="N228" s="1">
        <f>(J223*0.5)-N229</f>
        <v>4</v>
      </c>
      <c r="AC228" s="190"/>
      <c r="AD228"/>
      <c r="AE228"/>
      <c r="BO228"/>
      <c r="BP228"/>
      <c r="BQ228"/>
      <c r="BR228"/>
      <c r="BS228"/>
      <c r="BT228"/>
      <c r="BU228"/>
      <c r="BV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</row>
    <row r="229" spans="1:188">
      <c r="A229" s="208" t="s">
        <v>338</v>
      </c>
      <c r="B229" s="1" t="s">
        <v>103</v>
      </c>
      <c r="D229" s="93" t="s">
        <v>917</v>
      </c>
      <c r="E229" s="121">
        <f>IF(J227&gt;0,(0.5*-N224)-SUM(E230:E232)-J227,IF(J227&lt;0,(0.5*-N224)-SUM(E230:E232)-J227,(0.5*-N224)-SUM(E230:E232)))</f>
        <v>-2</v>
      </c>
      <c r="F229" s="1" t="s">
        <v>980</v>
      </c>
      <c r="G229" s="1">
        <f>(J224*J252)-(N223*J252)-SUM(G230:G232)</f>
        <v>0.49900000000000011</v>
      </c>
      <c r="I229" s="1" t="s">
        <v>237</v>
      </c>
      <c r="J229" s="59">
        <f t="shared" si="38"/>
        <v>1</v>
      </c>
      <c r="L229" s="1" t="s">
        <v>179</v>
      </c>
      <c r="M229" s="1" t="s">
        <v>686</v>
      </c>
      <c r="N229" s="1">
        <f>J225*N231</f>
        <v>1</v>
      </c>
      <c r="AC229" s="190"/>
      <c r="AD229"/>
      <c r="AE229"/>
      <c r="BO229"/>
      <c r="BP229"/>
      <c r="BQ229"/>
      <c r="BR229"/>
      <c r="BS229"/>
      <c r="BT229"/>
      <c r="BU229"/>
      <c r="BV229"/>
      <c r="CZ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</row>
    <row r="230" spans="1:188">
      <c r="A230" s="208" t="s">
        <v>30</v>
      </c>
      <c r="B230" s="1" t="s">
        <v>104</v>
      </c>
      <c r="D230" s="93" t="s">
        <v>858</v>
      </c>
      <c r="E230" s="121">
        <f>-0.25*J228</f>
        <v>-1</v>
      </c>
      <c r="F230" s="1" t="s">
        <v>237</v>
      </c>
      <c r="G230" s="1">
        <f>J229-G231</f>
        <v>0.501</v>
      </c>
      <c r="L230" s="1" t="s">
        <v>431</v>
      </c>
      <c r="M230" s="1" t="s">
        <v>235</v>
      </c>
      <c r="N230" s="1">
        <f>J226</f>
        <v>0.5</v>
      </c>
      <c r="AC230" s="190"/>
      <c r="AD230"/>
      <c r="AE230"/>
      <c r="BO230"/>
      <c r="BP230"/>
      <c r="BQ230"/>
      <c r="BR230"/>
      <c r="BS230"/>
      <c r="BT230"/>
      <c r="BU230"/>
      <c r="BV230"/>
      <c r="CZ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</row>
    <row r="231" spans="1:188">
      <c r="A231" s="208" t="s">
        <v>794</v>
      </c>
      <c r="B231" s="1" t="s">
        <v>731</v>
      </c>
      <c r="D231" s="93" t="s">
        <v>499</v>
      </c>
      <c r="E231" s="121">
        <f>-(0.25*J228)</f>
        <v>-1</v>
      </c>
      <c r="F231" s="1" t="s">
        <v>38</v>
      </c>
      <c r="G231" s="1">
        <f>(J229/2)-SUM(G232:G233)</f>
        <v>0.499</v>
      </c>
      <c r="L231" s="1" t="s">
        <v>685</v>
      </c>
      <c r="M231" s="1" t="s">
        <v>334</v>
      </c>
      <c r="N231" s="1">
        <f>N223</f>
        <v>0.5</v>
      </c>
      <c r="AC231" s="190"/>
      <c r="AD231"/>
      <c r="AE231"/>
      <c r="BO231"/>
      <c r="BP231"/>
      <c r="BQ231"/>
      <c r="BR231"/>
      <c r="BS231"/>
      <c r="BT231"/>
      <c r="BU231"/>
      <c r="BV231"/>
      <c r="CC231" s="19"/>
      <c r="CV231"/>
      <c r="CW231"/>
      <c r="CX231"/>
      <c r="CY231"/>
      <c r="CZ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</row>
    <row r="232" spans="1:188">
      <c r="A232" s="208" t="s">
        <v>559</v>
      </c>
      <c r="B232" s="1" t="s">
        <v>428</v>
      </c>
      <c r="D232" s="93" t="s">
        <v>732</v>
      </c>
      <c r="E232" s="121" t="str">
        <f>D232</f>
        <v>-.001</v>
      </c>
      <c r="F232" s="1">
        <v>1E-3</v>
      </c>
      <c r="G232" s="1">
        <f>0.001</f>
        <v>1E-3</v>
      </c>
      <c r="I232" s="1" t="s">
        <v>847</v>
      </c>
      <c r="J232" s="59">
        <f t="shared" ref="J232:J233" si="39">D13</f>
        <v>3</v>
      </c>
      <c r="L232" s="1" t="s">
        <v>973</v>
      </c>
      <c r="M232" s="1" t="s">
        <v>347</v>
      </c>
      <c r="N232" s="1">
        <f>(2*(N228*N231)+(N228*N230)+(N229*N231))+N236</f>
        <v>10.5</v>
      </c>
      <c r="AC232" s="190"/>
      <c r="AD232"/>
      <c r="AE232"/>
      <c r="BO232"/>
      <c r="BP232"/>
      <c r="BQ232"/>
      <c r="BR232"/>
      <c r="BS232"/>
      <c r="BT232"/>
      <c r="BU232"/>
      <c r="BV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</row>
    <row r="233" spans="1:188">
      <c r="A233" s="208" t="s">
        <v>679</v>
      </c>
      <c r="B233" s="1" t="s">
        <v>793</v>
      </c>
      <c r="D233" s="93" t="s">
        <v>739</v>
      </c>
      <c r="E233" s="121">
        <f>J227</f>
        <v>0</v>
      </c>
      <c r="F233" s="1">
        <v>0</v>
      </c>
      <c r="G233" s="1">
        <f>0</f>
        <v>0</v>
      </c>
      <c r="I233" s="1" t="s">
        <v>424</v>
      </c>
      <c r="J233" s="59">
        <f t="shared" si="39"/>
        <v>3</v>
      </c>
      <c r="L233" s="1" t="s">
        <v>32</v>
      </c>
      <c r="M233" s="1" t="s">
        <v>560</v>
      </c>
      <c r="N233" s="1">
        <f>N232/J223</f>
        <v>1.05</v>
      </c>
      <c r="AC233" s="190"/>
      <c r="AD233"/>
      <c r="AE233"/>
      <c r="BO233" s="140"/>
      <c r="BP233"/>
      <c r="BQ233"/>
      <c r="BR233"/>
      <c r="BS233"/>
      <c r="BT233"/>
      <c r="BU233"/>
      <c r="BV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</row>
    <row r="234" spans="1:188">
      <c r="A234" s="208" t="s">
        <v>107</v>
      </c>
      <c r="B234" s="1" t="s">
        <v>106</v>
      </c>
      <c r="D234" s="93" t="s">
        <v>736</v>
      </c>
      <c r="E234" s="121" t="str">
        <f>D234</f>
        <v>.001</v>
      </c>
      <c r="F234" s="1">
        <v>1E-3</v>
      </c>
      <c r="G234" s="1">
        <f>0.001</f>
        <v>1E-3</v>
      </c>
      <c r="L234" s="1" t="s">
        <v>209</v>
      </c>
      <c r="M234" s="1" t="s">
        <v>683</v>
      </c>
      <c r="N234" s="1">
        <f>J223/N233</f>
        <v>9.5238095238095237</v>
      </c>
      <c r="AC234" s="190"/>
      <c r="AD234"/>
      <c r="AE234"/>
      <c r="BR234" s="93"/>
      <c r="BS234" s="12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</row>
    <row r="235" spans="1:188">
      <c r="A235" s="208" t="s">
        <v>337</v>
      </c>
      <c r="B235" s="1" t="s">
        <v>731</v>
      </c>
      <c r="D235" s="93" t="s">
        <v>857</v>
      </c>
      <c r="E235" s="121">
        <f>(0.25*J228)</f>
        <v>1</v>
      </c>
      <c r="F235" s="1" t="s">
        <v>38</v>
      </c>
      <c r="G235" s="1">
        <f>(J229/2)-SUM(G233:G234)</f>
        <v>0.499</v>
      </c>
      <c r="L235" s="1" t="s">
        <v>565</v>
      </c>
      <c r="M235" s="1" t="s">
        <v>800</v>
      </c>
      <c r="N235" s="1">
        <f>J226+J229</f>
        <v>1.5</v>
      </c>
      <c r="AC235" s="190"/>
      <c r="AD235"/>
      <c r="AE235"/>
      <c r="BR235" s="93"/>
      <c r="BS235" s="12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</row>
    <row r="236" spans="1:188">
      <c r="A236" s="208" t="s">
        <v>604</v>
      </c>
      <c r="B236" s="1" t="s">
        <v>104</v>
      </c>
      <c r="D236" s="93" t="s">
        <v>857</v>
      </c>
      <c r="E236" s="121">
        <f>0.25*J228</f>
        <v>1</v>
      </c>
      <c r="F236" s="1" t="s">
        <v>237</v>
      </c>
      <c r="G236" s="1">
        <f>J229-G235</f>
        <v>0.501</v>
      </c>
      <c r="L236" s="1" t="s">
        <v>498</v>
      </c>
      <c r="M236" s="1" t="s">
        <v>856</v>
      </c>
      <c r="N236" s="1">
        <f>(2*((0.5*J228)*J229))</f>
        <v>4</v>
      </c>
      <c r="O236" s="1" t="s">
        <v>240</v>
      </c>
      <c r="AC236" s="190"/>
      <c r="AD236"/>
      <c r="AE236"/>
      <c r="BR236" s="93"/>
      <c r="BS236" s="12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</row>
    <row r="237" spans="1:188">
      <c r="A237" s="208" t="s">
        <v>909</v>
      </c>
      <c r="B237" s="1" t="s">
        <v>103</v>
      </c>
      <c r="D237" s="93" t="s">
        <v>346</v>
      </c>
      <c r="E237" s="121">
        <f>IF(J227&gt;0,(0.5*N224)-SUM(E234:E236)-J227,IF(J227&lt;0,(0.5*N224)-SUM(E234:E236)-J227,(0.5*N224)-SUM(E234:E236)))</f>
        <v>2</v>
      </c>
      <c r="F237" s="1" t="s">
        <v>980</v>
      </c>
      <c r="G237" s="1">
        <f>(J224*J253)-SUM(G234:G236)-(N223*J253)</f>
        <v>0.49900000000000011</v>
      </c>
      <c r="L237" s="1" t="s">
        <v>691</v>
      </c>
      <c r="M237" s="1" t="s">
        <v>118</v>
      </c>
      <c r="N237" s="1">
        <f>N236/J223</f>
        <v>0.4</v>
      </c>
      <c r="O237" s="1" t="s">
        <v>37</v>
      </c>
      <c r="AC237" s="190"/>
      <c r="AD237"/>
      <c r="AE237"/>
      <c r="BR237" s="93"/>
      <c r="BS237" s="12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</row>
    <row r="238" spans="1:188">
      <c r="A238" s="208" t="s">
        <v>176</v>
      </c>
      <c r="B238" s="1" t="s">
        <v>335</v>
      </c>
      <c r="D238" s="93" t="s">
        <v>291</v>
      </c>
      <c r="E238" s="121">
        <f>((J225*J251)*(N223*J249))</f>
        <v>1</v>
      </c>
      <c r="F238" s="1" t="s">
        <v>334</v>
      </c>
      <c r="G238" s="1">
        <f>N223*J249</f>
        <v>0.5</v>
      </c>
      <c r="AC238" s="190"/>
      <c r="AD238"/>
      <c r="AE238"/>
      <c r="BR238" s="93"/>
      <c r="BS238" s="12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</row>
    <row r="239" spans="1:188">
      <c r="A239" s="208" t="s">
        <v>426</v>
      </c>
      <c r="B239" s="1" t="s">
        <v>790</v>
      </c>
      <c r="D239" s="93" t="s">
        <v>425</v>
      </c>
      <c r="E239" s="121">
        <f>J242</f>
        <v>10</v>
      </c>
      <c r="F239" s="1" t="s">
        <v>908</v>
      </c>
      <c r="G239" s="1">
        <f>J244</f>
        <v>0.2</v>
      </c>
      <c r="I239" s="1" t="s">
        <v>852</v>
      </c>
      <c r="J239" s="197">
        <f t="shared" ref="J239:J246" si="40">IF(OR($B$3=2,$B$3=3),D17,0)</f>
        <v>1</v>
      </c>
      <c r="L239" s="1" t="s">
        <v>294</v>
      </c>
      <c r="M239" s="1" t="s">
        <v>234</v>
      </c>
      <c r="N239" s="1">
        <f>J240*N241</f>
        <v>1.6</v>
      </c>
      <c r="AC239" s="190"/>
      <c r="AD239"/>
      <c r="AE239"/>
      <c r="BR239" s="93"/>
      <c r="BS239" s="12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</row>
    <row r="240" spans="1:188">
      <c r="A240" s="208" t="s">
        <v>677</v>
      </c>
      <c r="B240" s="1" t="s">
        <v>729</v>
      </c>
      <c r="D240" s="93" t="s">
        <v>789</v>
      </c>
      <c r="E240" s="121">
        <f>N240</f>
        <v>1.6</v>
      </c>
      <c r="F240" s="1" t="s">
        <v>966</v>
      </c>
      <c r="G240" s="1">
        <f>J239-J244</f>
        <v>0.8</v>
      </c>
      <c r="I240" s="1" t="s">
        <v>913</v>
      </c>
      <c r="J240" s="197">
        <f t="shared" si="40"/>
        <v>2</v>
      </c>
      <c r="L240" s="1" t="s">
        <v>851</v>
      </c>
      <c r="M240" s="1" t="s">
        <v>735</v>
      </c>
      <c r="N240" s="1">
        <f>J240*N242</f>
        <v>1.6</v>
      </c>
      <c r="AC240" s="190"/>
      <c r="AD240"/>
      <c r="AE240"/>
      <c r="BR240" s="93"/>
      <c r="BS240" s="12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</row>
    <row r="241" spans="1:188">
      <c r="A241" s="208" t="s">
        <v>907</v>
      </c>
      <c r="B241" s="1" t="s">
        <v>557</v>
      </c>
      <c r="D241" s="93" t="s">
        <v>333</v>
      </c>
      <c r="E241" s="121">
        <f>J260</f>
        <v>10</v>
      </c>
      <c r="F241" s="1" t="s">
        <v>603</v>
      </c>
      <c r="G241" s="1">
        <f>J262</f>
        <v>0.2</v>
      </c>
      <c r="I241" s="1" t="s">
        <v>31</v>
      </c>
      <c r="J241" s="197">
        <f t="shared" si="40"/>
        <v>10</v>
      </c>
      <c r="L241" s="1" t="s">
        <v>850</v>
      </c>
      <c r="M241" s="1" t="s">
        <v>682</v>
      </c>
      <c r="N241" s="1">
        <f>J239-J243</f>
        <v>0.8</v>
      </c>
      <c r="AC241" s="190"/>
      <c r="AD241"/>
      <c r="AE241"/>
      <c r="BR241" s="93"/>
      <c r="BS241" s="12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</row>
    <row r="242" spans="1:188">
      <c r="A242" s="208" t="s">
        <v>174</v>
      </c>
      <c r="B242" s="1" t="s">
        <v>556</v>
      </c>
      <c r="D242" s="93" t="s">
        <v>676</v>
      </c>
      <c r="E242" s="121">
        <f>N258</f>
        <v>0.6</v>
      </c>
      <c r="F242" s="1" t="s">
        <v>555</v>
      </c>
      <c r="G242" s="1">
        <f>J257-J262</f>
        <v>0.3</v>
      </c>
      <c r="I242" s="1" t="s">
        <v>608</v>
      </c>
      <c r="J242" s="197">
        <f t="shared" si="40"/>
        <v>10</v>
      </c>
      <c r="L242" s="1" t="s">
        <v>430</v>
      </c>
      <c r="M242" s="1" t="s">
        <v>233</v>
      </c>
      <c r="N242" s="1">
        <f>J239-J244</f>
        <v>0.8</v>
      </c>
      <c r="AC242" s="190"/>
      <c r="AD242"/>
      <c r="AE242"/>
      <c r="BR242" s="93"/>
      <c r="BS242" s="12"/>
      <c r="BW242"/>
      <c r="BX242"/>
      <c r="BY242"/>
      <c r="BZ242"/>
      <c r="CA242"/>
      <c r="CB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</row>
    <row r="243" spans="1:188">
      <c r="A243" s="208" t="s">
        <v>490</v>
      </c>
      <c r="B243" s="1" t="s">
        <v>554</v>
      </c>
      <c r="D243" s="93"/>
      <c r="E243" s="12"/>
      <c r="I243" s="1" t="s">
        <v>339</v>
      </c>
      <c r="J243" s="197">
        <f t="shared" si="40"/>
        <v>0.2</v>
      </c>
      <c r="L243" s="1" t="s">
        <v>681</v>
      </c>
      <c r="M243" s="1" t="s">
        <v>849</v>
      </c>
      <c r="N243" s="1">
        <f t="shared" ref="N243:N244" si="41">J243/J241</f>
        <v>0.02</v>
      </c>
      <c r="AC243" s="190"/>
      <c r="AD243"/>
      <c r="AE243"/>
      <c r="BR243" s="93"/>
      <c r="BS243" s="12"/>
      <c r="BW243"/>
      <c r="BX243"/>
      <c r="BY243"/>
      <c r="BZ243"/>
      <c r="CA243"/>
      <c r="CB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</row>
    <row r="244" spans="1:188">
      <c r="A244" s="208"/>
      <c r="D244" s="93"/>
      <c r="E244" s="12"/>
      <c r="I244" s="1" t="s">
        <v>908</v>
      </c>
      <c r="J244" s="197">
        <f t="shared" si="40"/>
        <v>0.2</v>
      </c>
      <c r="L244" s="1" t="s">
        <v>178</v>
      </c>
      <c r="M244" s="1" t="s">
        <v>796</v>
      </c>
      <c r="N244" s="1">
        <f t="shared" si="41"/>
        <v>0.02</v>
      </c>
      <c r="P244" s="389" t="s">
        <v>979</v>
      </c>
      <c r="Q244" s="390"/>
      <c r="R244" s="390"/>
      <c r="S244" s="390"/>
      <c r="T244" s="391"/>
      <c r="AC244" s="190"/>
      <c r="AD244"/>
      <c r="AE244"/>
      <c r="BR244" s="93"/>
      <c r="BS244" s="12"/>
      <c r="BW244"/>
      <c r="BX244"/>
      <c r="BY244"/>
      <c r="BZ244"/>
      <c r="CA244"/>
      <c r="CB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</row>
    <row r="245" spans="1:188">
      <c r="A245" s="208"/>
      <c r="B245" s="384" t="s">
        <v>110</v>
      </c>
      <c r="C245" s="384"/>
      <c r="D245" s="384"/>
      <c r="E245" s="384"/>
      <c r="F245" s="384"/>
      <c r="G245" s="384"/>
      <c r="I245" s="1" t="s">
        <v>847</v>
      </c>
      <c r="J245" s="197">
        <f t="shared" si="40"/>
        <v>3</v>
      </c>
      <c r="P245" s="58" t="s">
        <v>647</v>
      </c>
      <c r="Q245" s="58" t="s">
        <v>522</v>
      </c>
      <c r="R245" s="58" t="s">
        <v>36</v>
      </c>
      <c r="S245" s="58" t="s">
        <v>690</v>
      </c>
      <c r="T245" s="58" t="s">
        <v>181</v>
      </c>
      <c r="AC245" s="190"/>
      <c r="AD245"/>
      <c r="AE245"/>
      <c r="BR245" s="93"/>
      <c r="BS245" s="12"/>
      <c r="BW245"/>
      <c r="BX245"/>
      <c r="BY245"/>
      <c r="BZ245"/>
      <c r="CA245"/>
      <c r="CB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</row>
    <row r="246" spans="1:188">
      <c r="A246" s="208"/>
      <c r="B246" s="93"/>
      <c r="C246" s="12" t="s">
        <v>734</v>
      </c>
      <c r="E246" s="1" t="s">
        <v>965</v>
      </c>
      <c r="F246" s="1" t="s">
        <v>654</v>
      </c>
      <c r="G246" s="1" t="s">
        <v>616</v>
      </c>
      <c r="I246" s="1" t="s">
        <v>424</v>
      </c>
      <c r="J246" s="197">
        <f t="shared" si="40"/>
        <v>3</v>
      </c>
      <c r="P246" s="30" t="s">
        <v>33</v>
      </c>
      <c r="Q246" s="30" t="s">
        <v>433</v>
      </c>
      <c r="R246" s="30" t="s">
        <v>852</v>
      </c>
      <c r="S246" s="30" t="s">
        <v>733</v>
      </c>
      <c r="T246" s="30" t="s">
        <v>847</v>
      </c>
      <c r="AC246" s="190"/>
      <c r="AD246"/>
      <c r="AE246"/>
      <c r="BR246" s="93"/>
      <c r="BS246" s="12"/>
      <c r="BZ246" s="11"/>
      <c r="CA246" s="11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</row>
    <row r="247" spans="1:188">
      <c r="A247" s="208" t="s">
        <v>117</v>
      </c>
      <c r="B247" s="93" t="s">
        <v>177</v>
      </c>
      <c r="C247" s="12">
        <f t="shared" ref="C247:C255" si="42">E224+C248</f>
        <v>-27.201000000000001</v>
      </c>
      <c r="D247" s="1" t="s">
        <v>971</v>
      </c>
      <c r="E247" s="12">
        <f t="shared" ref="E247:E254" si="43">G224+E248</f>
        <v>3.5</v>
      </c>
      <c r="F247" s="1" t="str">
        <f t="shared" ref="F247:F248" si="44">IF($B$3=3,G247,0)</f>
        <v>Left 3rd Stage</v>
      </c>
      <c r="G247" s="1" t="s">
        <v>161</v>
      </c>
      <c r="P247" s="30" t="s">
        <v>237</v>
      </c>
      <c r="Q247" s="30" t="s">
        <v>114</v>
      </c>
      <c r="R247" s="30" t="s">
        <v>913</v>
      </c>
      <c r="S247" s="30" t="s">
        <v>791</v>
      </c>
      <c r="T247" s="30" t="s">
        <v>424</v>
      </c>
      <c r="AC247" s="190"/>
      <c r="AD247"/>
      <c r="AE247"/>
      <c r="BR247" s="93"/>
      <c r="BS247" s="12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</row>
    <row r="248" spans="1:188">
      <c r="A248" s="208" t="s">
        <v>35</v>
      </c>
      <c r="B248" s="93" t="s">
        <v>795</v>
      </c>
      <c r="C248" s="12">
        <f t="shared" si="42"/>
        <v>-26.600999999999999</v>
      </c>
      <c r="D248" s="1" t="s">
        <v>28</v>
      </c>
      <c r="E248" s="12">
        <f t="shared" si="43"/>
        <v>3.2</v>
      </c>
      <c r="F248" s="1">
        <f t="shared" si="44"/>
        <v>0</v>
      </c>
      <c r="G248" s="1">
        <v>0</v>
      </c>
      <c r="I248" s="1" t="s">
        <v>354</v>
      </c>
      <c r="J248" s="59">
        <f t="shared" ref="J248:J255" si="45">D36</f>
        <v>1</v>
      </c>
      <c r="P248" s="30" t="s">
        <v>974</v>
      </c>
      <c r="Q248" s="30" t="s">
        <v>432</v>
      </c>
      <c r="R248" s="30" t="s">
        <v>31</v>
      </c>
      <c r="S248" s="30" t="s">
        <v>336</v>
      </c>
      <c r="T248" s="30"/>
      <c r="AC248" s="190"/>
      <c r="AD248"/>
      <c r="AE248"/>
      <c r="BR248" s="93"/>
      <c r="BS248" s="12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</row>
    <row r="249" spans="1:188">
      <c r="A249" s="208" t="s">
        <v>978</v>
      </c>
      <c r="B249" s="93" t="s">
        <v>232</v>
      </c>
      <c r="C249" s="12">
        <f t="shared" si="42"/>
        <v>-16.600999999999999</v>
      </c>
      <c r="D249" s="1" t="s">
        <v>429</v>
      </c>
      <c r="E249" s="12">
        <f t="shared" si="43"/>
        <v>3</v>
      </c>
      <c r="F249" s="1" t="str">
        <f t="shared" ref="F249:F250" si="46">IF(OR($B$3=2,$B$3=3),G249,0)</f>
        <v>Left 2nd Stage</v>
      </c>
      <c r="G249" s="1" t="s">
        <v>832</v>
      </c>
      <c r="I249" s="1" t="s">
        <v>355</v>
      </c>
      <c r="J249" s="59">
        <f t="shared" si="45"/>
        <v>1</v>
      </c>
      <c r="P249" s="30"/>
      <c r="Q249" s="30" t="s">
        <v>915</v>
      </c>
      <c r="R249" s="30" t="s">
        <v>608</v>
      </c>
      <c r="S249" s="30" t="s">
        <v>910</v>
      </c>
      <c r="T249" s="30"/>
      <c r="AC249" s="190"/>
      <c r="AD249"/>
      <c r="AE249"/>
      <c r="BR249" s="93"/>
      <c r="BS249" s="12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</row>
    <row r="250" spans="1:188">
      <c r="A250" s="208" t="s">
        <v>916</v>
      </c>
      <c r="B250" s="93" t="s">
        <v>425</v>
      </c>
      <c r="C250" s="12">
        <f t="shared" si="42"/>
        <v>-15.000999999999999</v>
      </c>
      <c r="D250" s="1" t="s">
        <v>339</v>
      </c>
      <c r="E250" s="12">
        <f t="shared" si="43"/>
        <v>2.2000000000000002</v>
      </c>
      <c r="F250" s="1">
        <f t="shared" si="46"/>
        <v>0</v>
      </c>
      <c r="G250" s="1">
        <v>0</v>
      </c>
      <c r="I250" s="1" t="s">
        <v>356</v>
      </c>
      <c r="J250" s="59">
        <f t="shared" si="45"/>
        <v>1</v>
      </c>
      <c r="P250" s="30"/>
      <c r="Q250" s="30"/>
      <c r="R250" s="30" t="s">
        <v>339</v>
      </c>
      <c r="S250" s="30" t="s">
        <v>28</v>
      </c>
      <c r="T250" s="30"/>
      <c r="AC250" s="190"/>
      <c r="AD250"/>
      <c r="AE250"/>
      <c r="BR250" s="93"/>
      <c r="BS250" s="12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</row>
    <row r="251" spans="1:188">
      <c r="A251" s="208" t="s">
        <v>855</v>
      </c>
      <c r="B251" s="93" t="s">
        <v>680</v>
      </c>
      <c r="C251" s="12">
        <f t="shared" si="42"/>
        <v>-5.0009999999999994</v>
      </c>
      <c r="D251" s="1" t="s">
        <v>334</v>
      </c>
      <c r="E251" s="12">
        <f t="shared" si="43"/>
        <v>2</v>
      </c>
      <c r="F251" s="1" t="s">
        <v>160</v>
      </c>
      <c r="G251" s="1" t="s">
        <v>160</v>
      </c>
      <c r="I251" s="1" t="s">
        <v>43</v>
      </c>
      <c r="J251" s="59">
        <f t="shared" si="45"/>
        <v>1</v>
      </c>
      <c r="P251" s="30"/>
      <c r="Q251" s="30"/>
      <c r="R251" s="30" t="s">
        <v>908</v>
      </c>
      <c r="S251" s="30" t="s">
        <v>603</v>
      </c>
      <c r="T251" s="30"/>
      <c r="V251" s="1">
        <f>2.98*2</f>
        <v>5.96</v>
      </c>
      <c r="AC251" s="190"/>
      <c r="AD251"/>
      <c r="AE251"/>
      <c r="BR251" s="93"/>
      <c r="BS251" s="12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 s="48"/>
      <c r="EC251" s="48"/>
      <c r="ED251" s="48"/>
      <c r="EE251" s="48"/>
      <c r="EF251" s="48"/>
      <c r="EG251" s="48"/>
      <c r="EH251" s="48"/>
      <c r="EI251" s="48"/>
      <c r="EJ251" s="48"/>
      <c r="EK251" s="48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</row>
    <row r="252" spans="1:188">
      <c r="A252" s="208" t="s">
        <v>799</v>
      </c>
      <c r="B252" s="93" t="s">
        <v>108</v>
      </c>
      <c r="C252" s="12">
        <f t="shared" si="42"/>
        <v>-4.0009999999999994</v>
      </c>
      <c r="D252" s="1" t="s">
        <v>970</v>
      </c>
      <c r="E252" s="12">
        <f t="shared" si="43"/>
        <v>1.5</v>
      </c>
      <c r="F252" s="1">
        <v>0</v>
      </c>
      <c r="G252" s="1">
        <v>0</v>
      </c>
      <c r="I252" s="1" t="s">
        <v>692</v>
      </c>
      <c r="J252" s="59">
        <f t="shared" si="45"/>
        <v>1</v>
      </c>
      <c r="AC252" s="190"/>
      <c r="AD252"/>
      <c r="AE252"/>
      <c r="BR252" s="93"/>
      <c r="BS252" s="1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 s="48"/>
      <c r="EC252" s="48"/>
      <c r="ED252" s="48"/>
      <c r="EE252" s="48"/>
      <c r="EF252" s="48"/>
      <c r="EG252" s="48"/>
      <c r="EH252" s="48"/>
      <c r="EI252" s="48"/>
      <c r="EJ252" s="48"/>
      <c r="EK252" s="48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</row>
    <row r="253" spans="1:188">
      <c r="A253" s="208" t="s">
        <v>738</v>
      </c>
      <c r="B253" s="93" t="s">
        <v>494</v>
      </c>
      <c r="C253" s="12">
        <f t="shared" si="42"/>
        <v>-2.0009999999999999</v>
      </c>
      <c r="D253" s="1" t="s">
        <v>292</v>
      </c>
      <c r="E253" s="12">
        <f t="shared" si="43"/>
        <v>1.0009999999999999</v>
      </c>
      <c r="F253" s="1" t="s">
        <v>466</v>
      </c>
      <c r="G253" s="1" t="s">
        <v>466</v>
      </c>
      <c r="I253" s="1" t="s">
        <v>300</v>
      </c>
      <c r="J253" s="59">
        <f t="shared" si="45"/>
        <v>1</v>
      </c>
      <c r="AC253" s="190"/>
      <c r="AD253"/>
      <c r="AE253"/>
      <c r="BR253" s="93"/>
      <c r="BS253" s="12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 s="48"/>
      <c r="EC253" s="48"/>
      <c r="ED253" s="48"/>
      <c r="EE253" s="48"/>
      <c r="EF253" s="48"/>
      <c r="EG253" s="48"/>
      <c r="EH253" s="48"/>
      <c r="EI253" s="48"/>
      <c r="EJ253" s="48"/>
      <c r="EK253" s="48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</row>
    <row r="254" spans="1:188">
      <c r="A254" s="208" t="s">
        <v>689</v>
      </c>
      <c r="B254" s="93" t="s">
        <v>494</v>
      </c>
      <c r="C254" s="12">
        <f t="shared" si="42"/>
        <v>-1.0009999999999999</v>
      </c>
      <c r="D254" s="1" t="s">
        <v>292</v>
      </c>
      <c r="E254" s="12">
        <f t="shared" si="43"/>
        <v>0.5</v>
      </c>
      <c r="F254" s="1">
        <v>0</v>
      </c>
      <c r="G254" s="1">
        <v>0</v>
      </c>
      <c r="I254" s="1" t="s">
        <v>44</v>
      </c>
      <c r="J254" s="59">
        <f t="shared" si="45"/>
        <v>0</v>
      </c>
      <c r="AC254" s="190"/>
      <c r="AD254"/>
      <c r="AE254"/>
      <c r="BR254" s="93"/>
      <c r="BS254" s="12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</row>
    <row r="255" spans="1:188">
      <c r="A255" s="208" t="s">
        <v>613</v>
      </c>
      <c r="B255" s="93" t="s">
        <v>732</v>
      </c>
      <c r="C255" s="12">
        <f t="shared" si="42"/>
        <v>-1E-3</v>
      </c>
      <c r="D255" s="1">
        <v>1E-3</v>
      </c>
      <c r="E255" s="12">
        <f>E256+G232</f>
        <v>1E-3</v>
      </c>
      <c r="F255" s="1">
        <v>0</v>
      </c>
      <c r="G255" s="1">
        <v>0</v>
      </c>
      <c r="I255" s="1" t="s">
        <v>437</v>
      </c>
      <c r="J255" s="59">
        <f t="shared" si="45"/>
        <v>0</v>
      </c>
      <c r="AC255" s="190"/>
      <c r="AD255"/>
      <c r="AE255"/>
      <c r="BR255" s="93"/>
      <c r="BS255" s="12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</row>
    <row r="256" spans="1:188">
      <c r="A256" s="208" t="s">
        <v>854</v>
      </c>
      <c r="B256" s="93" t="s">
        <v>345</v>
      </c>
      <c r="C256" s="12">
        <f>E233+J255</f>
        <v>0</v>
      </c>
      <c r="D256" s="1">
        <f>F233</f>
        <v>0</v>
      </c>
      <c r="E256" s="12">
        <f>G233+J254</f>
        <v>0</v>
      </c>
      <c r="F256" s="1" t="s">
        <v>716</v>
      </c>
      <c r="G256" s="1" t="s">
        <v>716</v>
      </c>
      <c r="AC256" s="190"/>
      <c r="AD256"/>
      <c r="AE256"/>
      <c r="BR256" s="93"/>
      <c r="BS256" s="12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</row>
    <row r="257" spans="1:188">
      <c r="A257" s="208" t="s">
        <v>180</v>
      </c>
      <c r="B257" s="93" t="s">
        <v>732</v>
      </c>
      <c r="C257" s="12">
        <f t="shared" ref="C257:C265" si="47">C256+E234</f>
        <v>1E-3</v>
      </c>
      <c r="D257" s="1">
        <v>1E-3</v>
      </c>
      <c r="E257" s="12">
        <f t="shared" ref="E257:E265" si="48">E256+G234</f>
        <v>1E-3</v>
      </c>
      <c r="F257" s="1">
        <v>0</v>
      </c>
      <c r="G257" s="1">
        <v>0</v>
      </c>
      <c r="I257" s="1" t="s">
        <v>733</v>
      </c>
      <c r="J257" s="197">
        <f t="shared" ref="J257:J264" si="49">IF($B$3=3,D26,0)</f>
        <v>0.5</v>
      </c>
      <c r="L257" s="1" t="s">
        <v>912</v>
      </c>
      <c r="M257" s="1" t="s">
        <v>911</v>
      </c>
      <c r="N257" s="1">
        <f>J258*N259</f>
        <v>0.6</v>
      </c>
      <c r="AC257" s="190"/>
      <c r="AD257"/>
      <c r="AE257"/>
      <c r="BR257" s="93"/>
      <c r="BS257" s="12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</row>
    <row r="258" spans="1:188">
      <c r="A258" s="208" t="s">
        <v>239</v>
      </c>
      <c r="B258" s="93" t="s">
        <v>730</v>
      </c>
      <c r="C258" s="12">
        <f t="shared" si="47"/>
        <v>1.0009999999999999</v>
      </c>
      <c r="D258" s="1" t="s">
        <v>292</v>
      </c>
      <c r="E258" s="12">
        <f t="shared" si="48"/>
        <v>0.5</v>
      </c>
      <c r="F258" s="1">
        <v>0</v>
      </c>
      <c r="G258" s="1">
        <v>0</v>
      </c>
      <c r="I258" s="1" t="s">
        <v>791</v>
      </c>
      <c r="J258" s="197">
        <f t="shared" si="49"/>
        <v>2</v>
      </c>
      <c r="L258" s="1" t="s">
        <v>493</v>
      </c>
      <c r="M258" s="1" t="s">
        <v>492</v>
      </c>
      <c r="N258" s="1">
        <f>J258*N260</f>
        <v>0.6</v>
      </c>
      <c r="AC258" s="190"/>
      <c r="AD258"/>
      <c r="AE258"/>
      <c r="BR258" s="93"/>
      <c r="BS258" s="12"/>
      <c r="CE258" s="11"/>
      <c r="CF258" s="11"/>
      <c r="CG258" s="11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</row>
    <row r="259" spans="1:188">
      <c r="A259" s="208" t="s">
        <v>297</v>
      </c>
      <c r="B259" s="93" t="s">
        <v>730</v>
      </c>
      <c r="C259" s="12">
        <f t="shared" si="47"/>
        <v>2.0009999999999999</v>
      </c>
      <c r="D259" s="1" t="s">
        <v>292</v>
      </c>
      <c r="E259" s="12">
        <f t="shared" si="48"/>
        <v>1.0009999999999999</v>
      </c>
      <c r="F259" s="1" t="s">
        <v>652</v>
      </c>
      <c r="G259" s="1" t="s">
        <v>652</v>
      </c>
      <c r="I259" s="1" t="s">
        <v>336</v>
      </c>
      <c r="J259" s="197">
        <f t="shared" si="49"/>
        <v>10</v>
      </c>
      <c r="L259" s="1" t="s">
        <v>491</v>
      </c>
      <c r="M259" s="1" t="s">
        <v>105</v>
      </c>
      <c r="N259" s="1">
        <f>J257-J261</f>
        <v>0.3</v>
      </c>
      <c r="AC259" s="190"/>
      <c r="AD259"/>
      <c r="AE259"/>
      <c r="BR259" s="384"/>
      <c r="BS259" s="384"/>
      <c r="BT259" s="384"/>
      <c r="BU259" s="384"/>
      <c r="CE259" s="52"/>
      <c r="CF259" s="52"/>
      <c r="CG259" s="52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</row>
    <row r="260" spans="1:188">
      <c r="A260" s="208" t="s">
        <v>344</v>
      </c>
      <c r="B260" s="93" t="s">
        <v>558</v>
      </c>
      <c r="C260" s="12">
        <f t="shared" si="47"/>
        <v>4.0009999999999994</v>
      </c>
      <c r="D260" s="1" t="s">
        <v>970</v>
      </c>
      <c r="E260" s="12">
        <f t="shared" si="48"/>
        <v>1.5</v>
      </c>
      <c r="F260" s="1">
        <v>0</v>
      </c>
      <c r="G260" s="1">
        <v>0</v>
      </c>
      <c r="I260" s="1" t="s">
        <v>910</v>
      </c>
      <c r="J260" s="197">
        <f t="shared" si="49"/>
        <v>10</v>
      </c>
      <c r="L260" s="1" t="s">
        <v>29</v>
      </c>
      <c r="M260" s="1" t="s">
        <v>678</v>
      </c>
      <c r="N260" s="1">
        <f>J257-J262</f>
        <v>0.3</v>
      </c>
      <c r="AC260" s="190"/>
      <c r="AD260"/>
      <c r="AE260"/>
      <c r="BR260" s="93"/>
      <c r="BS260" s="12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</row>
    <row r="261" spans="1:188">
      <c r="A261" s="208" t="s">
        <v>435</v>
      </c>
      <c r="B261" s="93" t="s">
        <v>291</v>
      </c>
      <c r="C261" s="12">
        <f t="shared" si="47"/>
        <v>5.0009999999999994</v>
      </c>
      <c r="D261" s="1" t="s">
        <v>334</v>
      </c>
      <c r="E261" s="12">
        <f t="shared" si="48"/>
        <v>2</v>
      </c>
      <c r="F261" s="1" t="s">
        <v>831</v>
      </c>
      <c r="G261" s="1" t="s">
        <v>831</v>
      </c>
      <c r="I261" s="1" t="s">
        <v>28</v>
      </c>
      <c r="J261" s="197">
        <f t="shared" si="49"/>
        <v>0.2</v>
      </c>
      <c r="L261" s="1" t="s">
        <v>427</v>
      </c>
      <c r="M261" s="1" t="s">
        <v>969</v>
      </c>
      <c r="N261" s="1">
        <f t="shared" ref="N261:N262" si="50">J261/J259</f>
        <v>0.02</v>
      </c>
      <c r="AC261" s="190"/>
      <c r="AD261"/>
      <c r="AE261"/>
      <c r="BR261" s="93"/>
      <c r="BS261" s="12"/>
      <c r="BU261" s="12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</row>
    <row r="262" spans="1:188">
      <c r="A262" s="208" t="s">
        <v>497</v>
      </c>
      <c r="B262" s="93" t="s">
        <v>425</v>
      </c>
      <c r="C262" s="12">
        <f t="shared" si="47"/>
        <v>15.000999999999999</v>
      </c>
      <c r="D262" s="1" t="s">
        <v>908</v>
      </c>
      <c r="E262" s="12">
        <f t="shared" si="48"/>
        <v>2.2000000000000002</v>
      </c>
      <c r="F262" s="1">
        <f t="shared" ref="F262:F263" si="51">IF(OR($B$3=2,$B$3=3),G262,0)</f>
        <v>0</v>
      </c>
      <c r="G262" s="1">
        <v>0</v>
      </c>
      <c r="I262" s="1" t="s">
        <v>603</v>
      </c>
      <c r="J262" s="197">
        <f t="shared" si="49"/>
        <v>0.2</v>
      </c>
      <c r="L262" s="1" t="s">
        <v>967</v>
      </c>
      <c r="M262" s="1" t="s">
        <v>175</v>
      </c>
      <c r="N262" s="1">
        <f t="shared" si="50"/>
        <v>0.02</v>
      </c>
      <c r="AC262" s="190"/>
      <c r="AD262"/>
      <c r="AE262"/>
      <c r="BR262" s="93"/>
      <c r="BS262" s="12"/>
      <c r="BU262" s="1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</row>
    <row r="263" spans="1:188">
      <c r="A263" s="208" t="s">
        <v>564</v>
      </c>
      <c r="B263" s="93" t="s">
        <v>789</v>
      </c>
      <c r="C263" s="12">
        <f t="shared" si="47"/>
        <v>16.600999999999999</v>
      </c>
      <c r="D263" s="1" t="s">
        <v>966</v>
      </c>
      <c r="E263" s="12">
        <f t="shared" si="48"/>
        <v>3</v>
      </c>
      <c r="F263" s="1" t="str">
        <f t="shared" si="51"/>
        <v>Right 2nd Stage</v>
      </c>
      <c r="G263" s="1" t="s">
        <v>82</v>
      </c>
      <c r="I263" s="1" t="s">
        <v>847</v>
      </c>
      <c r="J263" s="197">
        <f t="shared" si="49"/>
        <v>3</v>
      </c>
      <c r="AC263" s="190"/>
      <c r="AD263"/>
      <c r="AE263"/>
      <c r="BR263" s="93"/>
      <c r="BS263" s="12"/>
      <c r="BU263" s="12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</row>
    <row r="264" spans="1:188">
      <c r="A264" s="208" t="s">
        <v>612</v>
      </c>
      <c r="B264" s="93" t="s">
        <v>333</v>
      </c>
      <c r="C264" s="12">
        <f t="shared" si="47"/>
        <v>26.600999999999999</v>
      </c>
      <c r="D264" s="1" t="s">
        <v>603</v>
      </c>
      <c r="E264" s="12">
        <f t="shared" si="48"/>
        <v>3.2</v>
      </c>
      <c r="F264" s="1">
        <f>IF($B$3=3,G248,0)</f>
        <v>0</v>
      </c>
      <c r="G264" s="1">
        <v>0</v>
      </c>
      <c r="I264" s="1" t="s">
        <v>424</v>
      </c>
      <c r="J264" s="197">
        <f t="shared" si="49"/>
        <v>3</v>
      </c>
      <c r="AC264" s="190"/>
      <c r="AD264"/>
      <c r="AE264"/>
      <c r="BR264" s="93"/>
      <c r="BS264" s="12"/>
      <c r="BU264" s="12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</row>
    <row r="265" spans="1:188">
      <c r="A265" s="208" t="s">
        <v>688</v>
      </c>
      <c r="B265" s="93" t="s">
        <v>676</v>
      </c>
      <c r="C265" s="12">
        <f t="shared" si="47"/>
        <v>27.201000000000001</v>
      </c>
      <c r="D265" s="1" t="s">
        <v>555</v>
      </c>
      <c r="E265" s="12">
        <f t="shared" si="48"/>
        <v>3.5</v>
      </c>
      <c r="F265" s="1" t="str">
        <f>IF($B$3=3,G265,0)</f>
        <v>Right 3rd Stage</v>
      </c>
      <c r="G265" s="1" t="s">
        <v>401</v>
      </c>
      <c r="AC265" s="190"/>
      <c r="AD265"/>
      <c r="AE265"/>
      <c r="BR265" s="93"/>
      <c r="BS265" s="12"/>
      <c r="BU265" s="12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</row>
    <row r="266" spans="1:188" ht="15.75" thickBot="1">
      <c r="A266" s="176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C266" s="160"/>
      <c r="AD266"/>
      <c r="AE266"/>
      <c r="BR266" s="93"/>
      <c r="BS266" s="12"/>
      <c r="BU266" s="12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</row>
    <row r="267" spans="1:188" ht="15.75" thickBo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 s="13"/>
      <c r="AB267" s="13"/>
      <c r="AC267"/>
      <c r="AD267"/>
      <c r="AE267"/>
      <c r="BR267" s="93"/>
      <c r="BS267" s="12"/>
      <c r="BU267" s="12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</row>
    <row r="268" spans="1:188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BR268" s="93"/>
      <c r="BS268" s="12"/>
      <c r="BU268" s="12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</row>
    <row r="269" spans="1:188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BR269" s="93"/>
      <c r="BS269" s="12"/>
      <c r="BU269" s="12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</row>
    <row r="270" spans="1:188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BR270" s="93"/>
      <c r="BS270" s="12"/>
      <c r="BU270" s="12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</row>
    <row r="271" spans="1:188" ht="15.75" thickBo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BR271" s="93"/>
      <c r="BS271" s="12"/>
      <c r="BU271" s="12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</row>
    <row r="272" spans="1:188" ht="15.75" thickBot="1">
      <c r="A272" s="303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/>
      <c r="AB272"/>
      <c r="AC272" s="15"/>
      <c r="AD272" s="15"/>
      <c r="AE272" s="182"/>
      <c r="BR272" s="93"/>
      <c r="BS272" s="12"/>
      <c r="BU272" s="1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</row>
    <row r="273" spans="1:188">
      <c r="A273" s="278" t="s">
        <v>115</v>
      </c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 s="15"/>
      <c r="AB273" s="15"/>
      <c r="AC273"/>
      <c r="AD273"/>
      <c r="AE273" s="154"/>
      <c r="BR273" s="93"/>
      <c r="BS273" s="12"/>
      <c r="BU273" s="12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</row>
    <row r="274" spans="1:188">
      <c r="A274" s="208"/>
      <c r="D274" s="93"/>
      <c r="E274" s="12"/>
      <c r="AA274"/>
      <c r="AB274"/>
      <c r="AE274" s="190"/>
      <c r="BR274" s="93"/>
      <c r="BS274" s="12"/>
      <c r="BU274" s="12"/>
      <c r="CC274"/>
      <c r="CD274"/>
      <c r="DA274"/>
      <c r="DB274"/>
      <c r="DC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</row>
    <row r="275" spans="1:188">
      <c r="A275" s="208" t="s">
        <v>238</v>
      </c>
      <c r="D275" s="93"/>
      <c r="E275" s="12"/>
      <c r="K275" s="193" t="s">
        <v>737</v>
      </c>
      <c r="N275" s="5" t="s">
        <v>853</v>
      </c>
      <c r="O275" s="5" t="s">
        <v>496</v>
      </c>
      <c r="R275" s="1" t="s">
        <v>434</v>
      </c>
      <c r="AE275" s="190"/>
      <c r="BR275" s="93"/>
      <c r="BS275" s="12"/>
      <c r="BU275" s="12"/>
      <c r="CC275"/>
      <c r="CD275"/>
      <c r="DA275"/>
      <c r="DB275"/>
      <c r="DC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</row>
    <row r="276" spans="1:188">
      <c r="A276" s="208" t="s">
        <v>490</v>
      </c>
      <c r="B276" s="1" t="s">
        <v>554</v>
      </c>
      <c r="D276" s="93"/>
      <c r="E276" s="12"/>
      <c r="K276" s="1" t="s">
        <v>433</v>
      </c>
      <c r="L276" s="205">
        <f t="shared" ref="L276:L282" si="52">J223</f>
        <v>10</v>
      </c>
      <c r="N276" s="1" t="s">
        <v>563</v>
      </c>
      <c r="O276" s="1" t="s">
        <v>611</v>
      </c>
      <c r="P276" s="1">
        <f>L277-L279</f>
        <v>1.5</v>
      </c>
      <c r="R276" s="1" t="s">
        <v>562</v>
      </c>
      <c r="AE276" s="190"/>
      <c r="BR276" s="93"/>
      <c r="BS276" s="12"/>
      <c r="BU276" s="12"/>
      <c r="CC276"/>
      <c r="CD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</row>
    <row r="277" spans="1:188">
      <c r="A277" s="208" t="s">
        <v>607</v>
      </c>
      <c r="B277" s="1" t="s">
        <v>556</v>
      </c>
      <c r="D277" s="93" t="s">
        <v>296</v>
      </c>
      <c r="E277" s="12">
        <f>-P310</f>
        <v>-0.6</v>
      </c>
      <c r="F277" s="1" t="s">
        <v>971</v>
      </c>
      <c r="G277" s="1">
        <f>L310-L314</f>
        <v>0.3</v>
      </c>
      <c r="K277" s="1" t="s">
        <v>114</v>
      </c>
      <c r="L277" s="205">
        <f t="shared" si="52"/>
        <v>2</v>
      </c>
      <c r="N277" s="1" t="s">
        <v>343</v>
      </c>
      <c r="O277" s="1" t="s">
        <v>798</v>
      </c>
      <c r="P277" s="1">
        <f>L276-2*(L278*P276)</f>
        <v>4</v>
      </c>
      <c r="AE277" s="190"/>
      <c r="BR277" s="93"/>
      <c r="BS277" s="12"/>
      <c r="BU277" s="12"/>
      <c r="CC277"/>
      <c r="CD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</row>
    <row r="278" spans="1:188">
      <c r="A278" s="208" t="s">
        <v>340</v>
      </c>
      <c r="B278" s="1" t="s">
        <v>557</v>
      </c>
      <c r="D278" s="93" t="s">
        <v>113</v>
      </c>
      <c r="E278" s="12">
        <f>-L312</f>
        <v>-10</v>
      </c>
      <c r="F278" s="1" t="s">
        <v>28</v>
      </c>
      <c r="G278" s="1">
        <f>L314</f>
        <v>0.2</v>
      </c>
      <c r="K278" s="1" t="s">
        <v>432</v>
      </c>
      <c r="L278" s="205">
        <f t="shared" si="52"/>
        <v>2</v>
      </c>
      <c r="N278" s="1" t="s">
        <v>610</v>
      </c>
      <c r="O278" s="1" t="s">
        <v>976</v>
      </c>
      <c r="P278" s="1">
        <f>0.5*P277</f>
        <v>2</v>
      </c>
      <c r="AE278" s="190"/>
      <c r="BR278" s="93"/>
      <c r="BS278" s="12"/>
      <c r="BU278" s="12"/>
      <c r="CC278"/>
      <c r="CD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</row>
    <row r="279" spans="1:188">
      <c r="A279" s="208" t="s">
        <v>109</v>
      </c>
      <c r="B279" s="1" t="s">
        <v>729</v>
      </c>
      <c r="D279" s="93" t="s">
        <v>342</v>
      </c>
      <c r="E279" s="12">
        <f>-P290</f>
        <v>-1.6</v>
      </c>
      <c r="F279" s="1" t="s">
        <v>429</v>
      </c>
      <c r="G279" s="1">
        <f>L290-L294</f>
        <v>0.8</v>
      </c>
      <c r="K279" s="1" t="s">
        <v>915</v>
      </c>
      <c r="L279" s="205">
        <f t="shared" si="52"/>
        <v>0.5</v>
      </c>
      <c r="N279" s="1" t="s">
        <v>687</v>
      </c>
      <c r="O279" s="1" t="s">
        <v>609</v>
      </c>
      <c r="P279" s="19">
        <f>L279/P278</f>
        <v>0.25</v>
      </c>
      <c r="AE279" s="190"/>
      <c r="BR279" s="93"/>
      <c r="BS279" s="12"/>
      <c r="BU279" s="12"/>
      <c r="CC279"/>
      <c r="CD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</row>
    <row r="280" spans="1:188">
      <c r="A280" s="208" t="s">
        <v>848</v>
      </c>
      <c r="B280" s="1" t="s">
        <v>790</v>
      </c>
      <c r="D280" s="93" t="s">
        <v>112</v>
      </c>
      <c r="E280" s="12">
        <f>-L292</f>
        <v>-10</v>
      </c>
      <c r="F280" s="1" t="s">
        <v>339</v>
      </c>
      <c r="G280" s="1">
        <f>L294</f>
        <v>0.2</v>
      </c>
      <c r="K280" s="1" t="s">
        <v>684</v>
      </c>
      <c r="L280" s="59">
        <f t="shared" si="52"/>
        <v>0</v>
      </c>
      <c r="N280" s="1" t="s">
        <v>34</v>
      </c>
      <c r="P280" s="205" t="s">
        <v>236</v>
      </c>
      <c r="AE280" s="190"/>
      <c r="BR280" s="93"/>
      <c r="BS280" s="12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</row>
    <row r="281" spans="1:188">
      <c r="A281" s="208" t="s">
        <v>605</v>
      </c>
      <c r="B281" s="1" t="s">
        <v>335</v>
      </c>
      <c r="D281" s="93" t="s">
        <v>680</v>
      </c>
      <c r="E281" s="12">
        <f>-((L278*L301)*(P276*L299))</f>
        <v>-3</v>
      </c>
      <c r="F281" s="1" t="s">
        <v>334</v>
      </c>
      <c r="G281" s="1">
        <f>P276*L299</f>
        <v>1.5</v>
      </c>
      <c r="K281" s="1" t="s">
        <v>33</v>
      </c>
      <c r="L281" s="273">
        <f t="shared" si="52"/>
        <v>4</v>
      </c>
      <c r="N281" s="1" t="s">
        <v>914</v>
      </c>
      <c r="O281" s="1" t="s">
        <v>561</v>
      </c>
      <c r="P281" s="1">
        <f>(L276*0.5)-P282</f>
        <v>2</v>
      </c>
      <c r="AE281" s="190"/>
      <c r="BR281" s="93"/>
      <c r="BS281" s="12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</row>
    <row r="282" spans="1:188">
      <c r="A282" s="208" t="s">
        <v>338</v>
      </c>
      <c r="B282" s="1" t="s">
        <v>103</v>
      </c>
      <c r="D282" s="93" t="s">
        <v>975</v>
      </c>
      <c r="E282" s="12">
        <f>(-0.25+(-0.25*ABS(L284-1)))*(P278+E286)</f>
        <v>-1</v>
      </c>
      <c r="F282" s="1" t="s">
        <v>970</v>
      </c>
      <c r="G282" s="1">
        <f>0.5*(L279*L303)</f>
        <v>0.25</v>
      </c>
      <c r="K282" s="1" t="s">
        <v>237</v>
      </c>
      <c r="L282" s="273">
        <f t="shared" si="52"/>
        <v>1</v>
      </c>
      <c r="N282" s="1" t="s">
        <v>179</v>
      </c>
      <c r="O282" s="1" t="s">
        <v>686</v>
      </c>
      <c r="P282" s="1">
        <f>L278*P284</f>
        <v>3</v>
      </c>
      <c r="AE282" s="190"/>
      <c r="BO282"/>
      <c r="BP282"/>
      <c r="BQ282"/>
      <c r="BR282"/>
      <c r="BS282"/>
      <c r="BT282"/>
      <c r="BU282"/>
      <c r="BV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</row>
    <row r="283" spans="1:188">
      <c r="A283" s="208" t="s">
        <v>30</v>
      </c>
      <c r="B283" s="1" t="s">
        <v>104</v>
      </c>
      <c r="D283" s="93" t="s">
        <v>975</v>
      </c>
      <c r="E283" s="12">
        <f>-0.25*(P278+E286)</f>
        <v>-0.5</v>
      </c>
      <c r="F283" s="1" t="s">
        <v>292</v>
      </c>
      <c r="G283" s="1">
        <f>0.25*L279*L303</f>
        <v>0.125</v>
      </c>
      <c r="K283" s="1" t="s">
        <v>974</v>
      </c>
      <c r="L283" s="273" t="s">
        <v>236</v>
      </c>
      <c r="N283" s="1" t="s">
        <v>431</v>
      </c>
      <c r="O283" s="1" t="s">
        <v>235</v>
      </c>
      <c r="P283" s="1">
        <f>L279</f>
        <v>0.5</v>
      </c>
      <c r="AE283" s="190"/>
      <c r="BO283"/>
      <c r="BP283"/>
      <c r="BQ283"/>
      <c r="BR283"/>
      <c r="BS283"/>
      <c r="BT283"/>
      <c r="BU283"/>
      <c r="BV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</row>
    <row r="284" spans="1:188">
      <c r="A284" s="208" t="s">
        <v>794</v>
      </c>
      <c r="B284" s="1" t="s">
        <v>731</v>
      </c>
      <c r="D284" s="93" t="s">
        <v>295</v>
      </c>
      <c r="E284" s="361">
        <f>-(-0.25+(-0.25*L284))*(E285+E286-P278)</f>
        <v>-0.50024999999999997</v>
      </c>
      <c r="F284" s="1" t="s">
        <v>292</v>
      </c>
      <c r="G284" s="1">
        <f>0.25*L279*L303</f>
        <v>0.125</v>
      </c>
      <c r="K284" s="1" t="s">
        <v>341</v>
      </c>
      <c r="L284" s="273">
        <f>D15</f>
        <v>0</v>
      </c>
      <c r="N284" s="1" t="s">
        <v>685</v>
      </c>
      <c r="O284" s="1" t="s">
        <v>334</v>
      </c>
      <c r="P284" s="1">
        <f>P276</f>
        <v>1.5</v>
      </c>
      <c r="AE284" s="190"/>
      <c r="BO284"/>
      <c r="BP284"/>
      <c r="BQ284"/>
      <c r="BR284"/>
      <c r="BS284"/>
      <c r="BT284"/>
      <c r="BU284"/>
      <c r="BV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</row>
    <row r="285" spans="1:188">
      <c r="A285" s="208" t="s">
        <v>559</v>
      </c>
      <c r="B285" s="1" t="s">
        <v>428</v>
      </c>
      <c r="D285" s="93" t="s">
        <v>732</v>
      </c>
      <c r="E285" s="12" t="s">
        <v>732</v>
      </c>
      <c r="F285" s="1">
        <v>1E-3</v>
      </c>
      <c r="G285" s="1">
        <f>0.001*L303</f>
        <v>1E-3</v>
      </c>
      <c r="K285" s="1" t="s">
        <v>847</v>
      </c>
      <c r="L285" s="59">
        <f t="shared" ref="L285:L286" si="53">J232</f>
        <v>3</v>
      </c>
      <c r="N285" s="1" t="s">
        <v>973</v>
      </c>
      <c r="O285" s="1" t="s">
        <v>797</v>
      </c>
      <c r="P285" s="1">
        <f>2*(P281*P284)+(P281*P283)+(P282*P284)</f>
        <v>11.5</v>
      </c>
      <c r="AE285" s="190"/>
      <c r="BO285"/>
      <c r="BP285"/>
      <c r="BQ285"/>
      <c r="BR285"/>
      <c r="BS285"/>
      <c r="BT285"/>
      <c r="BU285"/>
      <c r="BV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</row>
    <row r="286" spans="1:188">
      <c r="A286" s="208" t="s">
        <v>679</v>
      </c>
      <c r="B286" s="1" t="s">
        <v>793</v>
      </c>
      <c r="D286" s="93" t="s">
        <v>684</v>
      </c>
      <c r="E286" s="12">
        <f>L280</f>
        <v>0</v>
      </c>
      <c r="F286" s="1">
        <v>0</v>
      </c>
      <c r="G286" s="1">
        <v>0</v>
      </c>
      <c r="K286" s="1" t="s">
        <v>424</v>
      </c>
      <c r="L286" s="59">
        <f t="shared" si="53"/>
        <v>3</v>
      </c>
      <c r="N286" s="1" t="s">
        <v>32</v>
      </c>
      <c r="O286" s="1" t="s">
        <v>560</v>
      </c>
      <c r="P286" s="1">
        <f>P285/L276</f>
        <v>1.1499999999999999</v>
      </c>
      <c r="AE286" s="190"/>
      <c r="BO286"/>
      <c r="BP286"/>
      <c r="BQ286"/>
      <c r="BR286"/>
      <c r="BS286"/>
      <c r="BT286"/>
      <c r="BU286"/>
      <c r="BV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</row>
    <row r="287" spans="1:188">
      <c r="A287" s="208" t="s">
        <v>107</v>
      </c>
      <c r="B287" s="1" t="s">
        <v>106</v>
      </c>
      <c r="D287" s="93" t="s">
        <v>736</v>
      </c>
      <c r="E287" s="12" t="s">
        <v>736</v>
      </c>
      <c r="F287" s="1">
        <v>1E-3</v>
      </c>
      <c r="G287" s="1">
        <f>0.001*L304</f>
        <v>1E-3</v>
      </c>
      <c r="N287" s="1" t="s">
        <v>209</v>
      </c>
      <c r="O287" s="1" t="s">
        <v>683</v>
      </c>
      <c r="P287" s="1">
        <f>L276/P286</f>
        <v>8.6956521739130448</v>
      </c>
      <c r="AE287" s="190"/>
      <c r="BO287"/>
      <c r="BP287"/>
      <c r="BQ287"/>
      <c r="BR287"/>
      <c r="BS287"/>
      <c r="BT287"/>
      <c r="BU287"/>
      <c r="BV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</row>
    <row r="288" spans="1:188">
      <c r="A288" s="208" t="s">
        <v>337</v>
      </c>
      <c r="B288" s="1" t="s">
        <v>731</v>
      </c>
      <c r="D288" s="93" t="s">
        <v>111</v>
      </c>
      <c r="E288" s="361">
        <f>(0.25+(0.25*L284))*(P278-E286+E287)</f>
        <v>0.50024999999999997</v>
      </c>
      <c r="F288" s="1" t="s">
        <v>292</v>
      </c>
      <c r="G288" s="1">
        <f>0.25*L279*L304</f>
        <v>0.125</v>
      </c>
      <c r="AE288" s="190"/>
      <c r="BO288"/>
      <c r="BP288"/>
      <c r="BQ288"/>
      <c r="BR288"/>
      <c r="BS288"/>
      <c r="BT288"/>
      <c r="BU288"/>
      <c r="BV288"/>
      <c r="CC288"/>
      <c r="CD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</row>
    <row r="289" spans="1:188">
      <c r="A289" s="208" t="s">
        <v>604</v>
      </c>
      <c r="B289" s="1" t="s">
        <v>104</v>
      </c>
      <c r="D289" s="93" t="s">
        <v>495</v>
      </c>
      <c r="E289" s="12">
        <f>0.25*(P278-E286)</f>
        <v>0.5</v>
      </c>
      <c r="F289" s="1" t="s">
        <v>292</v>
      </c>
      <c r="G289" s="1">
        <f>0.25*L279*L304</f>
        <v>0.125</v>
      </c>
      <c r="AE289" s="190"/>
      <c r="BO289"/>
      <c r="BP289"/>
      <c r="BQ289"/>
      <c r="BR289"/>
      <c r="BS289"/>
      <c r="BT289"/>
      <c r="BU289"/>
      <c r="BV289"/>
      <c r="CC289"/>
      <c r="CD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</row>
    <row r="290" spans="1:188">
      <c r="A290" s="208" t="s">
        <v>909</v>
      </c>
      <c r="B290" s="1" t="s">
        <v>103</v>
      </c>
      <c r="D290" s="93" t="s">
        <v>495</v>
      </c>
      <c r="E290" s="12">
        <f>(0.25+(0.25*ABS(L284-1)))*(P278-E286)</f>
        <v>1</v>
      </c>
      <c r="F290" s="1" t="s">
        <v>970</v>
      </c>
      <c r="G290" s="1">
        <f>0.5*L279*L304</f>
        <v>0.25</v>
      </c>
      <c r="K290" s="1" t="s">
        <v>852</v>
      </c>
      <c r="L290" s="59">
        <f t="shared" ref="L290:L297" si="54">IF(OR($B$3=2,$B$3=3),D17,0)</f>
        <v>1</v>
      </c>
      <c r="N290" s="1" t="s">
        <v>294</v>
      </c>
      <c r="O290" s="1" t="s">
        <v>234</v>
      </c>
      <c r="P290" s="1">
        <f>L291*P292</f>
        <v>1.6</v>
      </c>
      <c r="AE290" s="1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</row>
    <row r="291" spans="1:188">
      <c r="A291" s="208" t="s">
        <v>176</v>
      </c>
      <c r="B291" s="1" t="s">
        <v>335</v>
      </c>
      <c r="D291" s="93" t="s">
        <v>291</v>
      </c>
      <c r="E291" s="12">
        <f>((L278*L302)*(P276*L300))</f>
        <v>3</v>
      </c>
      <c r="F291" s="1" t="s">
        <v>334</v>
      </c>
      <c r="G291" s="1">
        <f>P276*L300</f>
        <v>1.5</v>
      </c>
      <c r="K291" s="1" t="s">
        <v>913</v>
      </c>
      <c r="L291" s="59">
        <f t="shared" si="54"/>
        <v>2</v>
      </c>
      <c r="N291" s="1" t="s">
        <v>851</v>
      </c>
      <c r="O291" s="1" t="s">
        <v>735</v>
      </c>
      <c r="P291" s="1">
        <f>L291*P293</f>
        <v>1.6</v>
      </c>
      <c r="AE291" s="190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</row>
    <row r="292" spans="1:188">
      <c r="A292" s="208" t="s">
        <v>426</v>
      </c>
      <c r="B292" s="1" t="s">
        <v>790</v>
      </c>
      <c r="D292" s="93" t="s">
        <v>972</v>
      </c>
      <c r="E292" s="12">
        <f>L293</f>
        <v>10</v>
      </c>
      <c r="F292" s="1" t="s">
        <v>908</v>
      </c>
      <c r="G292" s="1">
        <f>L295</f>
        <v>0.2</v>
      </c>
      <c r="K292" s="1" t="s">
        <v>31</v>
      </c>
      <c r="L292" s="59">
        <f t="shared" si="54"/>
        <v>10</v>
      </c>
      <c r="N292" s="1" t="s">
        <v>850</v>
      </c>
      <c r="O292" s="1" t="s">
        <v>682</v>
      </c>
      <c r="P292" s="1">
        <f>L290-L294</f>
        <v>0.8</v>
      </c>
      <c r="AE292" s="190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</row>
    <row r="293" spans="1:188">
      <c r="A293" s="208" t="s">
        <v>677</v>
      </c>
      <c r="B293" s="1" t="s">
        <v>729</v>
      </c>
      <c r="D293" s="93" t="s">
        <v>789</v>
      </c>
      <c r="E293" s="12">
        <f>P291</f>
        <v>1.6</v>
      </c>
      <c r="F293" s="1" t="s">
        <v>966</v>
      </c>
      <c r="G293" s="1">
        <f>L290-L295</f>
        <v>0.8</v>
      </c>
      <c r="K293" s="1" t="s">
        <v>608</v>
      </c>
      <c r="L293" s="59">
        <f t="shared" si="54"/>
        <v>10</v>
      </c>
      <c r="N293" s="1" t="s">
        <v>430</v>
      </c>
      <c r="O293" s="1" t="s">
        <v>233</v>
      </c>
      <c r="P293" s="1">
        <f>L290-L295</f>
        <v>0.8</v>
      </c>
      <c r="AE293" s="190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</row>
    <row r="294" spans="1:188">
      <c r="A294" s="208" t="s">
        <v>907</v>
      </c>
      <c r="B294" s="1" t="s">
        <v>557</v>
      </c>
      <c r="D294" s="93" t="s">
        <v>333</v>
      </c>
      <c r="E294" s="12">
        <f>L313</f>
        <v>10</v>
      </c>
      <c r="F294" s="1" t="s">
        <v>603</v>
      </c>
      <c r="G294" s="1">
        <f>L315</f>
        <v>0.2</v>
      </c>
      <c r="K294" s="1" t="s">
        <v>339</v>
      </c>
      <c r="L294" s="59">
        <f t="shared" si="54"/>
        <v>0.2</v>
      </c>
      <c r="N294" s="1" t="s">
        <v>681</v>
      </c>
      <c r="O294" s="1" t="s">
        <v>849</v>
      </c>
      <c r="P294" s="1">
        <f t="shared" ref="P294:P295" si="55">L294/L292</f>
        <v>0.02</v>
      </c>
      <c r="AE294" s="190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</row>
    <row r="295" spans="1:188">
      <c r="A295" s="208" t="s">
        <v>174</v>
      </c>
      <c r="B295" s="1" t="s">
        <v>556</v>
      </c>
      <c r="D295" s="93" t="s">
        <v>676</v>
      </c>
      <c r="E295" s="12">
        <f>P311</f>
        <v>0.6</v>
      </c>
      <c r="F295" s="1" t="s">
        <v>555</v>
      </c>
      <c r="G295" s="1">
        <f>L310-L315</f>
        <v>0.3</v>
      </c>
      <c r="K295" s="1" t="s">
        <v>908</v>
      </c>
      <c r="L295" s="59">
        <f t="shared" si="54"/>
        <v>0.2</v>
      </c>
      <c r="N295" s="1" t="s">
        <v>178</v>
      </c>
      <c r="O295" s="1" t="s">
        <v>796</v>
      </c>
      <c r="P295" s="1">
        <f t="shared" si="55"/>
        <v>0.02</v>
      </c>
      <c r="AE295" s="190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</row>
    <row r="296" spans="1:188">
      <c r="A296" s="208" t="s">
        <v>490</v>
      </c>
      <c r="B296" s="1" t="s">
        <v>554</v>
      </c>
      <c r="D296" s="93"/>
      <c r="E296" s="12"/>
      <c r="K296" s="1" t="s">
        <v>847</v>
      </c>
      <c r="L296" s="59">
        <f t="shared" si="54"/>
        <v>3</v>
      </c>
      <c r="AE296" s="190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</row>
    <row r="297" spans="1:188">
      <c r="A297" s="208"/>
      <c r="D297" s="93"/>
      <c r="E297" s="12"/>
      <c r="K297" s="1" t="s">
        <v>424</v>
      </c>
      <c r="L297" s="59">
        <f t="shared" si="54"/>
        <v>3</v>
      </c>
      <c r="AE297" s="190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DA297"/>
      <c r="DB297"/>
      <c r="DC297"/>
      <c r="DD297"/>
      <c r="DE297"/>
      <c r="DF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</row>
    <row r="298" spans="1:188">
      <c r="A298" s="208"/>
      <c r="D298" s="93"/>
      <c r="E298" s="12"/>
      <c r="AE298" s="190"/>
      <c r="BO298"/>
      <c r="BP298"/>
      <c r="BQ298"/>
      <c r="BR298"/>
      <c r="BS298"/>
      <c r="BT298"/>
      <c r="BU298"/>
      <c r="BV298"/>
      <c r="CC298"/>
      <c r="CD298"/>
      <c r="DA298"/>
      <c r="DB298"/>
      <c r="DC298"/>
      <c r="DD298"/>
      <c r="DE298"/>
      <c r="DF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</row>
    <row r="299" spans="1:188">
      <c r="A299" s="208"/>
      <c r="D299" s="384" t="s">
        <v>110</v>
      </c>
      <c r="E299" s="384"/>
      <c r="F299" s="384"/>
      <c r="G299" s="384"/>
      <c r="K299" s="1" t="s">
        <v>354</v>
      </c>
      <c r="L299" s="59">
        <f t="shared" ref="L299:L306" si="56">D36</f>
        <v>1</v>
      </c>
      <c r="AE299" s="190"/>
      <c r="BO299"/>
      <c r="BP299"/>
      <c r="BQ299"/>
      <c r="BR299"/>
      <c r="BS299"/>
      <c r="BT299"/>
      <c r="BU299"/>
      <c r="BV299"/>
      <c r="CB299" s="11"/>
      <c r="CC299"/>
      <c r="CD299"/>
      <c r="DA299"/>
      <c r="DB299"/>
      <c r="DC299"/>
      <c r="DD299"/>
      <c r="DE299"/>
      <c r="DF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</row>
    <row r="300" spans="1:188">
      <c r="A300" s="208" t="s">
        <v>490</v>
      </c>
      <c r="B300" s="1" t="s">
        <v>554</v>
      </c>
      <c r="D300" s="93"/>
      <c r="E300" s="12" t="s">
        <v>734</v>
      </c>
      <c r="G300" s="1" t="s">
        <v>965</v>
      </c>
      <c r="H300" s="1" t="s">
        <v>654</v>
      </c>
      <c r="I300" s="1" t="s">
        <v>616</v>
      </c>
      <c r="K300" s="1" t="s">
        <v>355</v>
      </c>
      <c r="L300" s="59">
        <f t="shared" si="56"/>
        <v>1</v>
      </c>
      <c r="AE300" s="190"/>
      <c r="BO300"/>
      <c r="BP300"/>
      <c r="BQ300"/>
      <c r="BR300"/>
      <c r="BS300"/>
      <c r="BT300"/>
      <c r="BU300"/>
      <c r="BV300"/>
      <c r="CC300"/>
      <c r="CD300"/>
      <c r="DA300"/>
      <c r="DB300"/>
      <c r="DC300"/>
      <c r="DD300"/>
      <c r="DE300"/>
      <c r="DF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</row>
    <row r="301" spans="1:188">
      <c r="A301" s="208" t="s">
        <v>607</v>
      </c>
      <c r="B301" s="1" t="s">
        <v>556</v>
      </c>
      <c r="D301" s="93" t="s">
        <v>177</v>
      </c>
      <c r="E301" s="361">
        <f t="shared" ref="E301:E309" si="57">E277+E302</f>
        <v>-27.201250000000002</v>
      </c>
      <c r="F301" s="1" t="s">
        <v>971</v>
      </c>
      <c r="G301" s="361">
        <f t="shared" ref="G301:G309" si="58">G277+G302</f>
        <v>3.5010000000000003</v>
      </c>
      <c r="H301" s="1" t="str">
        <f t="shared" ref="H301:H302" si="59">IF($B$3=3,I301,0)</f>
        <v>Left 3rd Stage</v>
      </c>
      <c r="I301" s="1" t="s">
        <v>161</v>
      </c>
      <c r="K301" s="1" t="s">
        <v>356</v>
      </c>
      <c r="L301" s="59">
        <f t="shared" si="56"/>
        <v>1</v>
      </c>
      <c r="AE301" s="190"/>
      <c r="BO301"/>
      <c r="BP301"/>
      <c r="BQ301"/>
      <c r="BR301"/>
      <c r="BS301"/>
      <c r="BT301"/>
      <c r="BU301"/>
      <c r="BV301"/>
      <c r="CC301"/>
      <c r="CD301"/>
      <c r="DA301"/>
      <c r="DB301"/>
      <c r="DC301"/>
      <c r="DD301"/>
      <c r="DE301"/>
      <c r="DF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</row>
    <row r="302" spans="1:188">
      <c r="A302" s="208" t="s">
        <v>340</v>
      </c>
      <c r="B302" s="1" t="s">
        <v>557</v>
      </c>
      <c r="D302" s="93" t="s">
        <v>795</v>
      </c>
      <c r="E302" s="361">
        <f t="shared" si="57"/>
        <v>-26.60125</v>
      </c>
      <c r="F302" s="1" t="s">
        <v>28</v>
      </c>
      <c r="G302" s="361">
        <f t="shared" si="58"/>
        <v>3.2010000000000005</v>
      </c>
      <c r="H302" s="1">
        <f t="shared" si="59"/>
        <v>0</v>
      </c>
      <c r="I302" s="1">
        <v>0</v>
      </c>
      <c r="K302" s="1" t="s">
        <v>43</v>
      </c>
      <c r="L302" s="59">
        <f t="shared" si="56"/>
        <v>1</v>
      </c>
      <c r="AE302" s="190"/>
      <c r="BO302"/>
      <c r="BP302"/>
      <c r="BQ302"/>
      <c r="BR302"/>
      <c r="BS302"/>
      <c r="BT302"/>
      <c r="BU302"/>
      <c r="BV302"/>
      <c r="CC302"/>
      <c r="CD302"/>
      <c r="DA302"/>
      <c r="DB302"/>
      <c r="DC302"/>
      <c r="DD302"/>
      <c r="DE302"/>
      <c r="DF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</row>
    <row r="303" spans="1:188">
      <c r="A303" s="208" t="s">
        <v>109</v>
      </c>
      <c r="B303" s="1" t="s">
        <v>729</v>
      </c>
      <c r="D303" s="93" t="s">
        <v>232</v>
      </c>
      <c r="E303" s="361">
        <f t="shared" si="57"/>
        <v>-16.60125</v>
      </c>
      <c r="F303" s="1" t="s">
        <v>429</v>
      </c>
      <c r="G303" s="361">
        <f t="shared" si="58"/>
        <v>3.0010000000000003</v>
      </c>
      <c r="H303" s="1" t="str">
        <f t="shared" ref="H303:H304" si="60">IF(OR($B$3=2,$B$3=3),I303,0)</f>
        <v>Left 2nd Stage</v>
      </c>
      <c r="I303" s="1" t="s">
        <v>832</v>
      </c>
      <c r="K303" s="1" t="s">
        <v>692</v>
      </c>
      <c r="L303" s="59">
        <f t="shared" si="56"/>
        <v>1</v>
      </c>
      <c r="AE303" s="190"/>
      <c r="BO303"/>
      <c r="BP303"/>
      <c r="BQ303"/>
      <c r="BR303"/>
      <c r="BS303"/>
      <c r="BT303"/>
      <c r="BU303"/>
      <c r="BV303"/>
      <c r="CC303"/>
      <c r="CD303"/>
      <c r="DA303"/>
      <c r="DB303"/>
      <c r="DC303"/>
      <c r="DD303"/>
      <c r="DE303"/>
      <c r="DF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</row>
    <row r="304" spans="1:188">
      <c r="A304" s="208" t="s">
        <v>848</v>
      </c>
      <c r="B304" s="1" t="s">
        <v>790</v>
      </c>
      <c r="D304" s="93" t="s">
        <v>425</v>
      </c>
      <c r="E304" s="361">
        <f t="shared" si="57"/>
        <v>-15.001249999999999</v>
      </c>
      <c r="F304" s="1" t="s">
        <v>339</v>
      </c>
      <c r="G304" s="361">
        <f t="shared" si="58"/>
        <v>2.2010000000000001</v>
      </c>
      <c r="H304" s="1">
        <f t="shared" si="60"/>
        <v>0</v>
      </c>
      <c r="I304" s="1">
        <v>0</v>
      </c>
      <c r="K304" s="1" t="s">
        <v>300</v>
      </c>
      <c r="L304" s="59">
        <f t="shared" si="56"/>
        <v>1</v>
      </c>
      <c r="AE304" s="190"/>
      <c r="BO304"/>
      <c r="BP304"/>
      <c r="BQ304"/>
      <c r="BR304"/>
      <c r="BS304"/>
      <c r="BT304"/>
      <c r="BU304"/>
      <c r="BV304"/>
      <c r="CC304"/>
      <c r="CD304"/>
      <c r="DA304"/>
      <c r="DB304"/>
      <c r="DC304"/>
      <c r="DD304"/>
      <c r="DE304"/>
      <c r="DF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</row>
    <row r="305" spans="1:188">
      <c r="A305" s="208" t="s">
        <v>605</v>
      </c>
      <c r="B305" s="1" t="s">
        <v>335</v>
      </c>
      <c r="D305" s="93" t="s">
        <v>680</v>
      </c>
      <c r="E305" s="361">
        <f t="shared" si="57"/>
        <v>-5.0012499999999998</v>
      </c>
      <c r="F305" s="1" t="s">
        <v>334</v>
      </c>
      <c r="G305" s="361">
        <f t="shared" si="58"/>
        <v>2.0009999999999999</v>
      </c>
      <c r="H305" s="1" t="s">
        <v>160</v>
      </c>
      <c r="I305" s="1" t="s">
        <v>160</v>
      </c>
      <c r="K305" s="1" t="s">
        <v>44</v>
      </c>
      <c r="L305" s="59">
        <f t="shared" si="56"/>
        <v>0</v>
      </c>
      <c r="AE305" s="190"/>
      <c r="BO305"/>
      <c r="BP305"/>
      <c r="BQ305"/>
      <c r="BR305"/>
      <c r="BS305"/>
      <c r="BT305"/>
      <c r="BU305"/>
      <c r="BV305"/>
      <c r="BZ305" s="293"/>
      <c r="CC305"/>
      <c r="CD305"/>
      <c r="DA305"/>
      <c r="DB305"/>
      <c r="DC305"/>
      <c r="DD305"/>
      <c r="DE305"/>
      <c r="DF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</row>
    <row r="306" spans="1:188">
      <c r="A306" s="208" t="s">
        <v>338</v>
      </c>
      <c r="B306" s="1" t="s">
        <v>103</v>
      </c>
      <c r="D306" s="93" t="s">
        <v>108</v>
      </c>
      <c r="E306" s="361">
        <f t="shared" si="57"/>
        <v>-2.0012499999999998</v>
      </c>
      <c r="F306" s="1" t="s">
        <v>970</v>
      </c>
      <c r="G306" s="361">
        <f t="shared" si="58"/>
        <v>0.501</v>
      </c>
      <c r="H306" s="1">
        <v>0</v>
      </c>
      <c r="I306" s="1">
        <v>0</v>
      </c>
      <c r="K306" s="1" t="s">
        <v>437</v>
      </c>
      <c r="L306" s="59">
        <f t="shared" si="56"/>
        <v>0</v>
      </c>
      <c r="AE306" s="190"/>
      <c r="BO306"/>
      <c r="BP306"/>
      <c r="BQ306"/>
      <c r="BR306"/>
      <c r="BS306"/>
      <c r="BT306"/>
      <c r="BU306"/>
      <c r="BV306"/>
      <c r="BZ306" s="293"/>
      <c r="CC306"/>
      <c r="CD306"/>
      <c r="DA306"/>
      <c r="DB306"/>
      <c r="DC306"/>
      <c r="DD306"/>
      <c r="DE306"/>
      <c r="DF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</row>
    <row r="307" spans="1:188">
      <c r="A307" s="208" t="s">
        <v>30</v>
      </c>
      <c r="B307" s="1" t="s">
        <v>104</v>
      </c>
      <c r="D307" s="93" t="s">
        <v>494</v>
      </c>
      <c r="E307" s="361">
        <f t="shared" si="57"/>
        <v>-1.00125</v>
      </c>
      <c r="F307" s="1" t="s">
        <v>292</v>
      </c>
      <c r="G307" s="361">
        <f t="shared" si="58"/>
        <v>0.251</v>
      </c>
      <c r="H307" s="1">
        <v>0</v>
      </c>
      <c r="I307" s="1">
        <v>0</v>
      </c>
      <c r="AE307" s="190"/>
      <c r="BO307"/>
      <c r="BP307"/>
      <c r="BQ307"/>
      <c r="BR307"/>
      <c r="BS307"/>
      <c r="BT307"/>
      <c r="BU307"/>
      <c r="BV307"/>
      <c r="BZ307" s="293"/>
      <c r="CC307"/>
      <c r="CD307"/>
      <c r="DA307"/>
      <c r="DB307"/>
      <c r="DC307"/>
      <c r="DD307"/>
      <c r="DE307"/>
      <c r="DF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</row>
    <row r="308" spans="1:188">
      <c r="A308" s="208" t="s">
        <v>794</v>
      </c>
      <c r="B308" s="1" t="s">
        <v>731</v>
      </c>
      <c r="D308" s="93" t="s">
        <v>494</v>
      </c>
      <c r="E308" s="361">
        <f t="shared" si="57"/>
        <v>-0.50124999999999997</v>
      </c>
      <c r="F308" s="1" t="s">
        <v>292</v>
      </c>
      <c r="G308" s="361">
        <f t="shared" si="58"/>
        <v>0.126</v>
      </c>
      <c r="H308" s="1">
        <v>0</v>
      </c>
      <c r="I308" s="1">
        <v>0</v>
      </c>
      <c r="AE308" s="190"/>
      <c r="BO308"/>
      <c r="BP308"/>
      <c r="BQ308"/>
      <c r="BR308"/>
      <c r="BS308"/>
      <c r="BT308"/>
      <c r="BU308"/>
      <c r="BV308"/>
      <c r="BZ308" s="293"/>
      <c r="CC308"/>
      <c r="CD308"/>
      <c r="DA308"/>
      <c r="DB308"/>
      <c r="DC308"/>
      <c r="DD308"/>
      <c r="DE308"/>
      <c r="DF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</row>
    <row r="309" spans="1:188">
      <c r="A309" s="208" t="s">
        <v>559</v>
      </c>
      <c r="B309" s="1" t="s">
        <v>428</v>
      </c>
      <c r="D309" s="93" t="s">
        <v>732</v>
      </c>
      <c r="E309" s="361">
        <f t="shared" si="57"/>
        <v>-1E-3</v>
      </c>
      <c r="F309" s="1">
        <v>1E-3</v>
      </c>
      <c r="G309" s="361">
        <f t="shared" si="58"/>
        <v>1E-3</v>
      </c>
      <c r="H309" s="1">
        <v>0</v>
      </c>
      <c r="I309" s="1">
        <v>0</v>
      </c>
      <c r="AE309" s="190"/>
      <c r="BO309"/>
      <c r="BP309"/>
      <c r="BQ309"/>
      <c r="BR309"/>
      <c r="BS309"/>
      <c r="BT309"/>
      <c r="BU309"/>
      <c r="BV309"/>
      <c r="CC309"/>
      <c r="CD309"/>
      <c r="DA309"/>
      <c r="DB309"/>
      <c r="DC309"/>
      <c r="DD309"/>
      <c r="DE309"/>
      <c r="DF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</row>
    <row r="310" spans="1:188">
      <c r="A310" s="208" t="s">
        <v>679</v>
      </c>
      <c r="B310" s="1" t="s">
        <v>793</v>
      </c>
      <c r="D310" s="93" t="s">
        <v>792</v>
      </c>
      <c r="E310" s="361">
        <f>E286+L306</f>
        <v>0</v>
      </c>
      <c r="F310" s="1">
        <v>0</v>
      </c>
      <c r="G310" s="361">
        <f>G286+L305</f>
        <v>0</v>
      </c>
      <c r="H310" s="1" t="s">
        <v>716</v>
      </c>
      <c r="I310" s="1" t="s">
        <v>716</v>
      </c>
      <c r="K310" s="1" t="s">
        <v>733</v>
      </c>
      <c r="L310" s="59">
        <f t="shared" ref="L310:L317" si="61">IF($B$3=3,D26,0)</f>
        <v>0.5</v>
      </c>
      <c r="N310" s="1" t="s">
        <v>912</v>
      </c>
      <c r="O310" s="1" t="s">
        <v>911</v>
      </c>
      <c r="P310" s="1">
        <f>L311*P312</f>
        <v>0.6</v>
      </c>
      <c r="AE310" s="190"/>
      <c r="BO310"/>
      <c r="BP310"/>
      <c r="BQ310"/>
      <c r="BR310"/>
      <c r="BS310"/>
      <c r="BT310"/>
      <c r="BU310"/>
      <c r="BV310"/>
      <c r="CC310"/>
      <c r="CD310"/>
      <c r="DA310"/>
      <c r="DB310"/>
      <c r="DC310"/>
      <c r="DD310"/>
      <c r="DE310"/>
      <c r="DF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</row>
    <row r="311" spans="1:188">
      <c r="A311" s="208" t="s">
        <v>107</v>
      </c>
      <c r="B311" s="1" t="s">
        <v>106</v>
      </c>
      <c r="D311" s="93" t="s">
        <v>732</v>
      </c>
      <c r="E311" s="361">
        <f t="shared" ref="E311:E319" si="62">E310+E287</f>
        <v>1E-3</v>
      </c>
      <c r="F311" s="1">
        <v>1E-3</v>
      </c>
      <c r="G311" s="361">
        <f t="shared" ref="G311:G319" si="63">G310+G287</f>
        <v>1E-3</v>
      </c>
      <c r="H311" s="1">
        <v>0</v>
      </c>
      <c r="I311" s="1">
        <v>0</v>
      </c>
      <c r="K311" s="1" t="s">
        <v>791</v>
      </c>
      <c r="L311" s="59">
        <f t="shared" si="61"/>
        <v>2</v>
      </c>
      <c r="N311" s="1" t="s">
        <v>493</v>
      </c>
      <c r="O311" s="1" t="s">
        <v>492</v>
      </c>
      <c r="P311" s="1">
        <f>L311*P313</f>
        <v>0.6</v>
      </c>
      <c r="AE311" s="190"/>
      <c r="BO311"/>
      <c r="BP311"/>
      <c r="BQ311"/>
      <c r="BR311"/>
      <c r="BS311"/>
      <c r="BT311"/>
      <c r="BU311"/>
      <c r="BV311"/>
      <c r="CC311"/>
      <c r="CD311"/>
      <c r="DA311"/>
      <c r="DB311"/>
      <c r="DC311"/>
      <c r="DD311"/>
      <c r="DE311"/>
      <c r="DF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</row>
    <row r="312" spans="1:188">
      <c r="A312" s="208" t="s">
        <v>337</v>
      </c>
      <c r="B312" s="1" t="s">
        <v>731</v>
      </c>
      <c r="D312" s="93" t="s">
        <v>730</v>
      </c>
      <c r="E312" s="361">
        <f t="shared" si="62"/>
        <v>0.50124999999999997</v>
      </c>
      <c r="F312" s="1" t="s">
        <v>292</v>
      </c>
      <c r="G312" s="361">
        <f t="shared" si="63"/>
        <v>0.126</v>
      </c>
      <c r="H312" s="1">
        <v>0</v>
      </c>
      <c r="I312" s="1">
        <v>0</v>
      </c>
      <c r="K312" s="1" t="s">
        <v>336</v>
      </c>
      <c r="L312" s="59">
        <f t="shared" si="61"/>
        <v>10</v>
      </c>
      <c r="N312" s="1" t="s">
        <v>491</v>
      </c>
      <c r="O312" s="1" t="s">
        <v>105</v>
      </c>
      <c r="P312" s="1">
        <f>L310-L314</f>
        <v>0.3</v>
      </c>
      <c r="AE312" s="190"/>
      <c r="BO312"/>
      <c r="BP312"/>
      <c r="BQ312"/>
      <c r="BR312"/>
      <c r="BS312"/>
      <c r="BT312"/>
      <c r="BU312"/>
      <c r="BV312"/>
      <c r="CC312"/>
      <c r="CD312"/>
      <c r="DA312"/>
      <c r="DB312"/>
      <c r="DC312"/>
      <c r="DD312"/>
      <c r="DE312"/>
      <c r="DF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</row>
    <row r="313" spans="1:188">
      <c r="A313" s="208" t="s">
        <v>604</v>
      </c>
      <c r="B313" s="1" t="s">
        <v>104</v>
      </c>
      <c r="D313" s="93" t="s">
        <v>730</v>
      </c>
      <c r="E313" s="361">
        <f t="shared" si="62"/>
        <v>1.00125</v>
      </c>
      <c r="F313" s="1" t="s">
        <v>292</v>
      </c>
      <c r="G313" s="361">
        <f t="shared" si="63"/>
        <v>0.251</v>
      </c>
      <c r="H313" s="1">
        <v>0</v>
      </c>
      <c r="I313" s="1">
        <v>0</v>
      </c>
      <c r="K313" s="1" t="s">
        <v>910</v>
      </c>
      <c r="L313" s="59">
        <f t="shared" si="61"/>
        <v>10</v>
      </c>
      <c r="N313" s="1" t="s">
        <v>29</v>
      </c>
      <c r="O313" s="1" t="s">
        <v>678</v>
      </c>
      <c r="P313" s="1">
        <f>L310-L315</f>
        <v>0.3</v>
      </c>
      <c r="AE313" s="190"/>
      <c r="BO313"/>
      <c r="BP313"/>
      <c r="BQ313"/>
      <c r="BR313"/>
      <c r="BS313"/>
      <c r="BT313"/>
      <c r="BU313"/>
      <c r="BV313"/>
      <c r="CC313"/>
      <c r="CD313"/>
      <c r="DA313"/>
      <c r="DB313"/>
      <c r="DC313"/>
      <c r="DD313"/>
      <c r="DE313"/>
      <c r="DF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</row>
    <row r="314" spans="1:188">
      <c r="A314" s="208" t="s">
        <v>909</v>
      </c>
      <c r="B314" s="1" t="s">
        <v>103</v>
      </c>
      <c r="D314" s="93" t="s">
        <v>558</v>
      </c>
      <c r="E314" s="361">
        <f t="shared" si="62"/>
        <v>2.0012499999999998</v>
      </c>
      <c r="F314" s="1" t="s">
        <v>970</v>
      </c>
      <c r="G314" s="361">
        <f t="shared" si="63"/>
        <v>0.501</v>
      </c>
      <c r="H314" s="1">
        <v>0</v>
      </c>
      <c r="I314" s="1">
        <v>0</v>
      </c>
      <c r="K314" s="1" t="s">
        <v>28</v>
      </c>
      <c r="L314" s="59">
        <f t="shared" si="61"/>
        <v>0.2</v>
      </c>
      <c r="N314" s="1" t="s">
        <v>427</v>
      </c>
      <c r="O314" s="1" t="s">
        <v>969</v>
      </c>
      <c r="P314" s="1">
        <f t="shared" ref="P314:P315" si="64">L314/L312</f>
        <v>0.02</v>
      </c>
      <c r="AE314" s="190"/>
      <c r="BO314"/>
      <c r="BP314"/>
      <c r="BQ314"/>
      <c r="BR314"/>
      <c r="BS314"/>
      <c r="BT314"/>
      <c r="BU314"/>
      <c r="BV314"/>
      <c r="CC314"/>
      <c r="CD314"/>
      <c r="DA314"/>
      <c r="DB314"/>
      <c r="DC314"/>
      <c r="DD314"/>
      <c r="DE314"/>
      <c r="DF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</row>
    <row r="315" spans="1:188">
      <c r="A315" s="208" t="s">
        <v>176</v>
      </c>
      <c r="B315" s="1" t="s">
        <v>335</v>
      </c>
      <c r="D315" s="93" t="s">
        <v>291</v>
      </c>
      <c r="E315" s="361">
        <f t="shared" si="62"/>
        <v>5.0012499999999998</v>
      </c>
      <c r="F315" s="1" t="s">
        <v>334</v>
      </c>
      <c r="G315" s="361">
        <f t="shared" si="63"/>
        <v>2.0009999999999999</v>
      </c>
      <c r="H315" s="1" t="s">
        <v>831</v>
      </c>
      <c r="I315" s="1" t="s">
        <v>831</v>
      </c>
      <c r="K315" s="1" t="s">
        <v>603</v>
      </c>
      <c r="L315" s="59">
        <f t="shared" si="61"/>
        <v>0.2</v>
      </c>
      <c r="N315" s="1" t="s">
        <v>967</v>
      </c>
      <c r="O315" s="1" t="s">
        <v>175</v>
      </c>
      <c r="P315" s="1">
        <f t="shared" si="64"/>
        <v>0.02</v>
      </c>
      <c r="AE315" s="190"/>
      <c r="BO315"/>
      <c r="BP315"/>
      <c r="BQ315"/>
      <c r="BR315"/>
      <c r="BS315"/>
      <c r="BT315"/>
      <c r="BU315"/>
      <c r="BV315"/>
      <c r="CC315"/>
      <c r="CD315"/>
      <c r="DA315"/>
      <c r="DB315"/>
      <c r="DC315"/>
      <c r="DD315"/>
      <c r="DE315"/>
      <c r="DF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</row>
    <row r="316" spans="1:188">
      <c r="A316" s="208" t="s">
        <v>426</v>
      </c>
      <c r="B316" s="1" t="s">
        <v>790</v>
      </c>
      <c r="D316" s="93" t="s">
        <v>425</v>
      </c>
      <c r="E316" s="361">
        <f t="shared" si="62"/>
        <v>15.001249999999999</v>
      </c>
      <c r="F316" s="1" t="s">
        <v>908</v>
      </c>
      <c r="G316" s="361">
        <f t="shared" si="63"/>
        <v>2.2010000000000001</v>
      </c>
      <c r="H316" s="1">
        <f t="shared" ref="H316:H317" si="65">IF(OR($B$3=2,$B$3=3),I316,0)</f>
        <v>0</v>
      </c>
      <c r="I316" s="1">
        <v>0</v>
      </c>
      <c r="K316" s="1" t="s">
        <v>847</v>
      </c>
      <c r="L316" s="59">
        <f t="shared" si="61"/>
        <v>3</v>
      </c>
      <c r="AE316" s="190"/>
      <c r="BO316"/>
      <c r="BP316"/>
      <c r="BQ316"/>
      <c r="BR316"/>
      <c r="BS316"/>
      <c r="BT316"/>
      <c r="BU316"/>
      <c r="BV316"/>
      <c r="CC316"/>
      <c r="CD316"/>
      <c r="DA316"/>
      <c r="DB316"/>
      <c r="DC316"/>
      <c r="DD316"/>
      <c r="DE316"/>
      <c r="DF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</row>
    <row r="317" spans="1:188">
      <c r="A317" s="208" t="s">
        <v>677</v>
      </c>
      <c r="B317" s="1" t="s">
        <v>729</v>
      </c>
      <c r="D317" s="93" t="s">
        <v>789</v>
      </c>
      <c r="E317" s="361">
        <f t="shared" si="62"/>
        <v>16.60125</v>
      </c>
      <c r="F317" s="1" t="s">
        <v>966</v>
      </c>
      <c r="G317" s="361">
        <f t="shared" si="63"/>
        <v>3.0010000000000003</v>
      </c>
      <c r="H317" s="1" t="str">
        <f t="shared" si="65"/>
        <v>Right 2nd Stage</v>
      </c>
      <c r="I317" s="1" t="s">
        <v>82</v>
      </c>
      <c r="K317" s="1" t="s">
        <v>424</v>
      </c>
      <c r="L317" s="59">
        <f t="shared" si="61"/>
        <v>3</v>
      </c>
      <c r="AE317" s="190"/>
      <c r="BO317"/>
      <c r="BP317"/>
      <c r="BQ317"/>
      <c r="BR317"/>
      <c r="BS317"/>
      <c r="BT317"/>
      <c r="BU317"/>
      <c r="BV317"/>
      <c r="CC317"/>
      <c r="CD317"/>
      <c r="DA317"/>
      <c r="DB317"/>
      <c r="DC317"/>
      <c r="DD317"/>
      <c r="DE317"/>
      <c r="DF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</row>
    <row r="318" spans="1:188">
      <c r="A318" s="208" t="s">
        <v>907</v>
      </c>
      <c r="B318" s="1" t="s">
        <v>557</v>
      </c>
      <c r="D318" s="93" t="s">
        <v>333</v>
      </c>
      <c r="E318" s="361">
        <f t="shared" si="62"/>
        <v>26.60125</v>
      </c>
      <c r="F318" s="1" t="s">
        <v>603</v>
      </c>
      <c r="G318" s="361">
        <f t="shared" si="63"/>
        <v>3.2010000000000005</v>
      </c>
      <c r="H318" s="1">
        <f t="shared" ref="H318:H319" si="66">IF($B$3=3,I318,0)</f>
        <v>0</v>
      </c>
      <c r="I318" s="1">
        <v>0</v>
      </c>
      <c r="AE318" s="190"/>
      <c r="BO318"/>
      <c r="BP318"/>
      <c r="BQ318"/>
      <c r="BR318"/>
      <c r="BS318"/>
      <c r="BT318"/>
      <c r="BU318"/>
      <c r="BV318"/>
      <c r="CC318"/>
      <c r="CD318"/>
      <c r="DA318"/>
      <c r="DB318"/>
      <c r="DC318"/>
      <c r="DD318"/>
      <c r="DE318"/>
      <c r="DF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</row>
    <row r="319" spans="1:188">
      <c r="A319" s="208" t="s">
        <v>174</v>
      </c>
      <c r="B319" s="1" t="s">
        <v>556</v>
      </c>
      <c r="D319" s="93" t="s">
        <v>676</v>
      </c>
      <c r="E319" s="361">
        <f t="shared" si="62"/>
        <v>27.201250000000002</v>
      </c>
      <c r="F319" s="1" t="s">
        <v>555</v>
      </c>
      <c r="G319" s="361">
        <f t="shared" si="63"/>
        <v>3.5010000000000003</v>
      </c>
      <c r="H319" s="1" t="str">
        <f t="shared" si="66"/>
        <v>Right 3rd Stage</v>
      </c>
      <c r="I319" s="1" t="s">
        <v>401</v>
      </c>
      <c r="AE319" s="190"/>
      <c r="BO319"/>
      <c r="BP319"/>
      <c r="BQ319"/>
      <c r="BR319"/>
      <c r="BS319"/>
      <c r="BT319"/>
      <c r="BU319"/>
      <c r="BV319"/>
      <c r="CC319"/>
      <c r="CD319"/>
      <c r="DA319"/>
      <c r="DB319"/>
      <c r="DC319"/>
      <c r="DD319"/>
      <c r="DE319"/>
      <c r="DF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</row>
    <row r="320" spans="1:188">
      <c r="A320" s="208" t="s">
        <v>490</v>
      </c>
      <c r="B320" s="1" t="s">
        <v>554</v>
      </c>
      <c r="D320" s="93"/>
      <c r="E320" s="12"/>
      <c r="AE320" s="190"/>
      <c r="BO320"/>
      <c r="BP320"/>
      <c r="BQ320"/>
      <c r="BR320"/>
      <c r="BS320"/>
      <c r="BT320"/>
      <c r="BU320"/>
      <c r="BV320"/>
      <c r="CC320"/>
      <c r="CD320"/>
      <c r="DA320"/>
      <c r="DB320"/>
      <c r="DC320"/>
      <c r="DD320"/>
      <c r="DE320"/>
      <c r="DF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</row>
    <row r="321" spans="1:188">
      <c r="A321" s="208"/>
      <c r="D321" s="93"/>
      <c r="E321" s="12"/>
      <c r="AE321" s="190"/>
      <c r="BO321"/>
      <c r="BP321"/>
      <c r="BQ321"/>
      <c r="BR321"/>
      <c r="BS321"/>
      <c r="BT321"/>
      <c r="BU321"/>
      <c r="BV321"/>
      <c r="CC321"/>
      <c r="CD321"/>
      <c r="DA321"/>
      <c r="DB321"/>
      <c r="DC321"/>
      <c r="DD321"/>
      <c r="DE321"/>
      <c r="DF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</row>
    <row r="322" spans="1:188">
      <c r="A322" s="99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C322"/>
      <c r="AD322"/>
      <c r="AE322" s="154"/>
      <c r="BO322"/>
      <c r="BP322"/>
      <c r="BQ322"/>
      <c r="BR322"/>
      <c r="BS322"/>
      <c r="BT322"/>
      <c r="BU322"/>
      <c r="BV322"/>
      <c r="CC322"/>
      <c r="CD322"/>
      <c r="DA322"/>
      <c r="DB322"/>
      <c r="DC322"/>
      <c r="DD322"/>
      <c r="DE322"/>
      <c r="DF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</row>
    <row r="323" spans="1:188">
      <c r="A323" s="99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 s="154"/>
      <c r="BO323"/>
      <c r="BP323"/>
      <c r="BQ323"/>
      <c r="BR323"/>
      <c r="BS323"/>
      <c r="BT323"/>
      <c r="BU323"/>
      <c r="BV323"/>
      <c r="CC323"/>
      <c r="CD323"/>
      <c r="DA323"/>
      <c r="DB323"/>
      <c r="DC323"/>
      <c r="DD323"/>
      <c r="DE323"/>
      <c r="DF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</row>
    <row r="324" spans="1:188" ht="15.75" thickBot="1">
      <c r="A324" s="176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/>
      <c r="AB324"/>
      <c r="AC324" s="13"/>
      <c r="AD324" s="13"/>
      <c r="AE324" s="160"/>
      <c r="BO324"/>
      <c r="BP324"/>
      <c r="BQ324"/>
      <c r="BR324"/>
      <c r="BS324"/>
      <c r="BT324"/>
      <c r="BU324"/>
      <c r="BV324"/>
      <c r="CC324"/>
      <c r="CD324"/>
      <c r="DA324"/>
      <c r="DB324"/>
      <c r="DC324"/>
      <c r="DD324"/>
      <c r="DE324"/>
      <c r="DF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</row>
    <row r="325" spans="1:188">
      <c r="BO325"/>
      <c r="BP325"/>
      <c r="BQ325"/>
      <c r="BR325"/>
      <c r="BS325"/>
      <c r="BT325"/>
      <c r="BU325"/>
      <c r="BV325"/>
      <c r="CC325"/>
      <c r="CD325"/>
      <c r="DA325"/>
      <c r="DB325"/>
      <c r="DC325"/>
      <c r="DD325"/>
      <c r="DE325"/>
      <c r="DF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</row>
    <row r="326" spans="1:188">
      <c r="BO326"/>
      <c r="BP326"/>
      <c r="BQ326"/>
      <c r="BR326"/>
      <c r="BS326"/>
      <c r="BT326"/>
      <c r="BU326"/>
      <c r="BV326"/>
      <c r="CC326"/>
      <c r="CD326"/>
      <c r="DA326"/>
      <c r="DB326"/>
      <c r="DC326"/>
      <c r="DD326"/>
      <c r="DE326"/>
      <c r="DF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</row>
    <row r="327" spans="1:188">
      <c r="BO327"/>
      <c r="BP327"/>
      <c r="BQ327"/>
      <c r="BR327"/>
      <c r="BS327"/>
      <c r="BT327"/>
      <c r="BU327"/>
      <c r="BV327"/>
      <c r="CC327"/>
      <c r="CD327"/>
      <c r="DA327"/>
      <c r="DB327"/>
      <c r="DC327"/>
      <c r="DD327"/>
      <c r="DE327"/>
      <c r="DF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</row>
    <row r="328" spans="1:188">
      <c r="BO328"/>
      <c r="BP328"/>
      <c r="BQ328"/>
      <c r="BR328"/>
      <c r="BS328"/>
      <c r="BT328"/>
      <c r="BU328"/>
      <c r="BV328"/>
      <c r="CC328"/>
      <c r="CD328"/>
      <c r="DA328"/>
      <c r="DB328"/>
      <c r="DC328"/>
      <c r="DD328"/>
      <c r="DE328"/>
      <c r="DF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</row>
    <row r="329" spans="1:188">
      <c r="BO329"/>
      <c r="BP329"/>
      <c r="BQ329"/>
      <c r="BR329"/>
      <c r="BS329"/>
      <c r="BT329"/>
      <c r="BU329"/>
      <c r="BV329"/>
      <c r="CC329"/>
      <c r="CD329"/>
      <c r="DA329"/>
      <c r="DB329"/>
      <c r="DC329"/>
      <c r="DD329"/>
      <c r="DE329"/>
      <c r="DF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</row>
    <row r="330" spans="1:188">
      <c r="BO330"/>
      <c r="BP330"/>
      <c r="BQ330"/>
      <c r="BR330"/>
      <c r="BS330"/>
      <c r="BT330"/>
      <c r="BU330"/>
      <c r="BV330"/>
      <c r="CC330"/>
      <c r="CD330"/>
      <c r="DA330"/>
      <c r="DB330"/>
      <c r="DC330"/>
      <c r="DD330"/>
      <c r="DE330"/>
      <c r="DF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</row>
    <row r="331" spans="1:188">
      <c r="BO331"/>
      <c r="BP331"/>
      <c r="BQ331"/>
      <c r="BR331"/>
      <c r="BS331"/>
      <c r="BT331"/>
      <c r="BU331"/>
      <c r="BV331"/>
      <c r="CC331"/>
      <c r="CD331"/>
      <c r="DA331"/>
      <c r="DB331"/>
      <c r="DC331"/>
      <c r="DD331"/>
      <c r="DE331"/>
      <c r="DF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</row>
    <row r="332" spans="1:188">
      <c r="BO332"/>
      <c r="BP332"/>
      <c r="BQ332"/>
      <c r="BR332"/>
      <c r="BS332"/>
      <c r="BT332"/>
      <c r="BU332"/>
      <c r="BV332"/>
      <c r="CC332"/>
      <c r="CD332"/>
      <c r="DA332"/>
      <c r="DB332"/>
      <c r="DC332"/>
      <c r="DD332"/>
      <c r="DE332"/>
      <c r="DF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</row>
    <row r="333" spans="1:188">
      <c r="BO333"/>
      <c r="BP333"/>
      <c r="BQ333"/>
      <c r="BR333"/>
      <c r="BS333"/>
      <c r="BT333"/>
      <c r="BU333"/>
      <c r="BV333"/>
      <c r="CC333"/>
      <c r="CD333"/>
      <c r="CZ333"/>
      <c r="DA333"/>
      <c r="DB333"/>
      <c r="DC333"/>
      <c r="DD333"/>
      <c r="DE333"/>
      <c r="DF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</row>
    <row r="334" spans="1:188">
      <c r="BO334"/>
      <c r="BP334"/>
      <c r="BQ334"/>
      <c r="BR334"/>
      <c r="BS334"/>
      <c r="BT334"/>
      <c r="BU334"/>
      <c r="BV334"/>
      <c r="CC334"/>
      <c r="CD334"/>
      <c r="CZ334"/>
      <c r="DA334"/>
      <c r="DB334"/>
      <c r="DC334"/>
      <c r="DD334"/>
      <c r="DE334"/>
      <c r="DF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</row>
    <row r="335" spans="1:188">
      <c r="BO335"/>
      <c r="BP335"/>
      <c r="BQ335"/>
      <c r="BR335"/>
      <c r="BS335"/>
      <c r="BT335"/>
      <c r="BU335"/>
      <c r="BV335"/>
      <c r="CC335"/>
      <c r="CD335"/>
      <c r="CV335"/>
      <c r="CW335"/>
      <c r="CX335"/>
      <c r="CY335"/>
      <c r="CZ335"/>
      <c r="DA335"/>
      <c r="DB335"/>
      <c r="DC335"/>
      <c r="DD335"/>
      <c r="DE335"/>
      <c r="DF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</row>
    <row r="336" spans="1:188">
      <c r="BO336"/>
      <c r="BP336"/>
      <c r="BQ336"/>
      <c r="BR336"/>
      <c r="BS336"/>
      <c r="BT336"/>
      <c r="BU336"/>
      <c r="BV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</row>
    <row r="337" spans="67:188">
      <c r="BO337"/>
      <c r="BP337"/>
      <c r="BQ337"/>
      <c r="BR337"/>
      <c r="BS337"/>
      <c r="BT337"/>
      <c r="BU337"/>
      <c r="BV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</row>
    <row r="338" spans="67:188">
      <c r="BO338"/>
      <c r="BP338"/>
      <c r="BQ338"/>
      <c r="BR338"/>
      <c r="BS338"/>
      <c r="BT338"/>
      <c r="BU338"/>
      <c r="BV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</row>
    <row r="339" spans="67:188">
      <c r="BO339"/>
      <c r="BP339"/>
      <c r="BQ339"/>
      <c r="BR339"/>
      <c r="BS339"/>
      <c r="BT339"/>
      <c r="BU339"/>
      <c r="BV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</row>
    <row r="340" spans="67:188">
      <c r="BO340"/>
      <c r="BP340"/>
      <c r="BQ340"/>
      <c r="BR340"/>
      <c r="BS340"/>
      <c r="BT340"/>
      <c r="BU340"/>
      <c r="BV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</row>
    <row r="341" spans="67:188">
      <c r="BO341"/>
      <c r="BP341"/>
      <c r="BQ341"/>
      <c r="BR341"/>
      <c r="BS341"/>
      <c r="BT341"/>
      <c r="BU341"/>
      <c r="BV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</row>
    <row r="342" spans="67:188">
      <c r="BO342"/>
      <c r="BP342"/>
      <c r="BQ342"/>
      <c r="BR342"/>
      <c r="BS342"/>
      <c r="BT342"/>
      <c r="BU342"/>
      <c r="BV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</row>
    <row r="343" spans="67:188">
      <c r="BO343"/>
      <c r="BP343"/>
      <c r="BQ343"/>
      <c r="BR343"/>
      <c r="BS343"/>
      <c r="BT343"/>
      <c r="BU343"/>
      <c r="BV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</row>
    <row r="344" spans="67:188">
      <c r="BO344"/>
      <c r="BP344"/>
      <c r="BQ344"/>
      <c r="BR344"/>
      <c r="BS344"/>
      <c r="BT344"/>
      <c r="BU344"/>
      <c r="BV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</row>
    <row r="345" spans="67:188">
      <c r="BO345"/>
      <c r="BP345"/>
      <c r="BQ345"/>
      <c r="BR345"/>
      <c r="BS345"/>
      <c r="BT345"/>
      <c r="BU345"/>
      <c r="BV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</row>
    <row r="346" spans="67:188"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</row>
    <row r="347" spans="67:188"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</row>
    <row r="348" spans="67:188"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</row>
    <row r="349" spans="67:188"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</row>
    <row r="350" spans="67:188"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</row>
    <row r="351" spans="67:188"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</row>
    <row r="352" spans="67:188"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</row>
    <row r="353" spans="67:188"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</row>
    <row r="354" spans="67:188"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</row>
    <row r="355" spans="67:188"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</row>
    <row r="356" spans="67:188"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</row>
    <row r="357" spans="67:188"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</row>
    <row r="358" spans="67:188"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</row>
    <row r="359" spans="67:188"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</row>
    <row r="360" spans="67:188"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</row>
    <row r="361" spans="67:188"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</row>
    <row r="362" spans="67:188"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</row>
    <row r="363" spans="67:188"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</row>
    <row r="364" spans="67:188"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</row>
    <row r="365" spans="67:188"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</row>
    <row r="366" spans="67:188"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</row>
    <row r="367" spans="67:188"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</row>
    <row r="368" spans="67:188"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</row>
    <row r="369" spans="67:188"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</row>
    <row r="370" spans="67:188"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</row>
    <row r="371" spans="67:188"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</row>
    <row r="372" spans="67:188"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</row>
    <row r="373" spans="67:188"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</row>
    <row r="374" spans="67:188"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</row>
    <row r="375" spans="67:188"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</row>
    <row r="376" spans="67:188"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</row>
    <row r="377" spans="67:188"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</row>
    <row r="378" spans="67:188"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</row>
    <row r="379" spans="67:188"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</row>
    <row r="380" spans="67:188"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</row>
    <row r="381" spans="67:188"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</row>
    <row r="382" spans="67:188"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</row>
    <row r="383" spans="67:188"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</row>
    <row r="384" spans="67:188"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</row>
    <row r="385" spans="67:188"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</row>
    <row r="386" spans="67:188"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</row>
    <row r="387" spans="67:188"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</row>
    <row r="388" spans="67:188"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</row>
    <row r="389" spans="67:188"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</row>
    <row r="390" spans="67:188"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</row>
    <row r="391" spans="67:188"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</row>
    <row r="392" spans="67:188"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</row>
    <row r="393" spans="67:188"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</row>
    <row r="394" spans="67:188"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</row>
    <row r="395" spans="67:188"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</row>
    <row r="396" spans="67:188"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</row>
    <row r="397" spans="67:188"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</row>
    <row r="398" spans="67:188"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</row>
    <row r="399" spans="67:188"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</row>
    <row r="400" spans="67:188"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</row>
    <row r="401" spans="67:188"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</row>
    <row r="402" spans="67:188"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</row>
    <row r="403" spans="67:188"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</row>
    <row r="404" spans="67:188"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</row>
    <row r="405" spans="67:188"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</row>
    <row r="406" spans="67:188"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</row>
    <row r="407" spans="67:188"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</row>
    <row r="408" spans="67:188"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</row>
    <row r="409" spans="67:188"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</row>
    <row r="410" spans="67:188"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</row>
    <row r="411" spans="67:188"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</row>
    <row r="412" spans="67:188"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</row>
    <row r="413" spans="67:188"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</row>
    <row r="414" spans="67:188"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</row>
    <row r="415" spans="67:188"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</row>
    <row r="416" spans="67:188"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</row>
    <row r="417" spans="67:188"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</row>
    <row r="418" spans="67:188"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</row>
    <row r="419" spans="67:188"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</row>
    <row r="420" spans="67:188"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</row>
    <row r="421" spans="67:188"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</row>
    <row r="422" spans="67:188"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</row>
    <row r="423" spans="67:188"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</row>
    <row r="424" spans="67:188"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</row>
    <row r="425" spans="67:188"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</row>
    <row r="426" spans="67:188"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</row>
    <row r="427" spans="67:188"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</row>
    <row r="428" spans="67:188"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</row>
    <row r="429" spans="67:188"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</row>
    <row r="430" spans="67:188"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</row>
    <row r="431" spans="67:188"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</row>
    <row r="432" spans="67:188"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</row>
    <row r="433" spans="67:188"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</row>
    <row r="434" spans="67:188"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</row>
    <row r="435" spans="67:188"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</row>
    <row r="436" spans="67:188"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</row>
    <row r="437" spans="67:188"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</row>
    <row r="438" spans="67:188"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</row>
    <row r="439" spans="67:188"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</row>
    <row r="440" spans="67:188"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</row>
    <row r="441" spans="67:188"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</row>
    <row r="442" spans="67:188"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</row>
    <row r="443" spans="67:188">
      <c r="BW443"/>
      <c r="BX443"/>
      <c r="BY443"/>
      <c r="BZ443"/>
      <c r="CA443"/>
      <c r="CB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</row>
    <row r="444" spans="67:188">
      <c r="BW444"/>
      <c r="BX444"/>
      <c r="BY444"/>
      <c r="BZ444"/>
      <c r="CA444"/>
      <c r="CB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</row>
    <row r="445" spans="67:188">
      <c r="BW445"/>
      <c r="BX445"/>
      <c r="BY445"/>
      <c r="BZ445"/>
      <c r="CA445"/>
      <c r="CB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</row>
    <row r="446" spans="67:188">
      <c r="BW446"/>
      <c r="BX446"/>
      <c r="BY446"/>
      <c r="BZ446"/>
      <c r="CA446"/>
      <c r="CB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</row>
    <row r="447" spans="67:188">
      <c r="BW447"/>
      <c r="BX447"/>
      <c r="BY447"/>
      <c r="BZ447"/>
      <c r="CA447"/>
      <c r="CB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</row>
    <row r="448" spans="67:188">
      <c r="BW448"/>
      <c r="BX448"/>
      <c r="BY448"/>
      <c r="BZ448"/>
      <c r="CA448"/>
      <c r="CB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</row>
    <row r="449" spans="75:166">
      <c r="BW449"/>
      <c r="BX449"/>
      <c r="BY449"/>
      <c r="BZ449"/>
      <c r="CA449"/>
      <c r="CB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</row>
    <row r="450" spans="75:166">
      <c r="BW450"/>
      <c r="BX450"/>
      <c r="BY450"/>
      <c r="BZ450"/>
      <c r="CA450"/>
      <c r="CB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</row>
    <row r="451" spans="75:166">
      <c r="BW451"/>
      <c r="BX451"/>
      <c r="BY451"/>
      <c r="BZ451"/>
      <c r="CA451"/>
      <c r="CB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</row>
    <row r="452" spans="75:166">
      <c r="BW452"/>
      <c r="BX452"/>
      <c r="BY452"/>
      <c r="BZ452"/>
      <c r="CA452"/>
      <c r="CB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</row>
    <row r="453" spans="75:166">
      <c r="BW453"/>
      <c r="BX453"/>
      <c r="BY453"/>
      <c r="BZ453"/>
      <c r="CA453"/>
      <c r="CB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</row>
    <row r="454" spans="75:166">
      <c r="BW454"/>
      <c r="BX454"/>
      <c r="BY454"/>
      <c r="BZ454"/>
      <c r="CA454"/>
      <c r="CB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</row>
    <row r="455" spans="75:166">
      <c r="BW455"/>
      <c r="BX455"/>
      <c r="BY455"/>
      <c r="BZ455"/>
      <c r="CA455"/>
      <c r="CB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</row>
    <row r="456" spans="75:166">
      <c r="BW456"/>
      <c r="BX456"/>
      <c r="BY456"/>
      <c r="BZ456"/>
      <c r="CA456"/>
      <c r="CB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</row>
    <row r="457" spans="75:166">
      <c r="BW457"/>
      <c r="BX457"/>
      <c r="BY457"/>
      <c r="BZ457"/>
      <c r="CA457"/>
      <c r="CB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</row>
    <row r="458" spans="75:166">
      <c r="BW458"/>
      <c r="BX458"/>
      <c r="BY458"/>
      <c r="BZ458"/>
      <c r="CA458"/>
      <c r="CB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</row>
    <row r="459" spans="75:166">
      <c r="BW459"/>
      <c r="BX459"/>
      <c r="BY459"/>
      <c r="BZ459"/>
      <c r="CA459"/>
      <c r="CB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</row>
    <row r="460" spans="75:166">
      <c r="BW460"/>
      <c r="BX460"/>
      <c r="BY460"/>
      <c r="BZ460"/>
      <c r="CA460"/>
      <c r="CB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</row>
    <row r="461" spans="75:166">
      <c r="BW461"/>
      <c r="BX461"/>
      <c r="BY461"/>
      <c r="BZ461"/>
      <c r="CA461"/>
      <c r="CB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</row>
    <row r="462" spans="75:166">
      <c r="BW462"/>
      <c r="BX462"/>
      <c r="BY462"/>
      <c r="BZ462"/>
      <c r="CA462"/>
      <c r="CB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</row>
    <row r="463" spans="75:166">
      <c r="BW463"/>
      <c r="BX463"/>
      <c r="BY463"/>
      <c r="BZ463"/>
      <c r="CA463"/>
      <c r="CB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</row>
    <row r="464" spans="75:166">
      <c r="BW464"/>
      <c r="BX464"/>
      <c r="BY464"/>
      <c r="BZ464"/>
      <c r="CA464"/>
      <c r="CB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</row>
    <row r="465" spans="75:166">
      <c r="BW465"/>
      <c r="BX465"/>
      <c r="BY465"/>
      <c r="BZ465"/>
      <c r="CA465"/>
      <c r="CB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</row>
    <row r="466" spans="75:166">
      <c r="BW466"/>
      <c r="BX466"/>
      <c r="BY466"/>
      <c r="BZ466"/>
      <c r="CA466"/>
      <c r="CB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</row>
    <row r="467" spans="75:166">
      <c r="BW467"/>
      <c r="BX467"/>
      <c r="BY467"/>
      <c r="BZ467"/>
      <c r="CA467"/>
      <c r="CB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</row>
    <row r="468" spans="75:166">
      <c r="BW468"/>
      <c r="BX468"/>
      <c r="BY468"/>
      <c r="BZ468"/>
      <c r="CA468"/>
      <c r="CB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</row>
    <row r="469" spans="75:166">
      <c r="BW469"/>
      <c r="BX469"/>
      <c r="BY469"/>
      <c r="BZ469"/>
      <c r="CA469"/>
      <c r="CB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</row>
    <row r="470" spans="75:166">
      <c r="BW470"/>
      <c r="BX470"/>
      <c r="BY470"/>
      <c r="BZ470"/>
      <c r="CA470"/>
      <c r="CB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</row>
    <row r="471" spans="75:166">
      <c r="BW471"/>
      <c r="BX471"/>
      <c r="BY471"/>
      <c r="BZ471"/>
      <c r="CA471"/>
      <c r="CB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</row>
    <row r="472" spans="75:166">
      <c r="BW472"/>
      <c r="BX472"/>
      <c r="BY472"/>
      <c r="BZ472"/>
      <c r="CA472"/>
      <c r="CB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</row>
    <row r="473" spans="75:166">
      <c r="BW473"/>
      <c r="BX473"/>
      <c r="BY473"/>
      <c r="BZ473"/>
      <c r="CA473"/>
      <c r="CB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</row>
    <row r="474" spans="75:166">
      <c r="BW474"/>
      <c r="BX474"/>
      <c r="BY474"/>
      <c r="BZ474"/>
      <c r="CA474"/>
      <c r="CB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</row>
    <row r="475" spans="75:166">
      <c r="BW475"/>
      <c r="BX475"/>
      <c r="BY475"/>
      <c r="BZ475"/>
      <c r="CA475"/>
      <c r="CB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</row>
    <row r="476" spans="75:166">
      <c r="BW476"/>
      <c r="BX476"/>
      <c r="BY476"/>
      <c r="BZ476"/>
      <c r="CA476"/>
      <c r="CB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</row>
    <row r="477" spans="75:166">
      <c r="BW477"/>
      <c r="BX477"/>
      <c r="BY477"/>
      <c r="BZ477"/>
      <c r="CA477"/>
      <c r="CB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</row>
    <row r="478" spans="75:166">
      <c r="BW478"/>
      <c r="BX478"/>
      <c r="BY478"/>
      <c r="BZ478"/>
      <c r="CA478"/>
      <c r="CB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</row>
    <row r="479" spans="75:166">
      <c r="BW479"/>
      <c r="BX479"/>
      <c r="BY479"/>
      <c r="BZ479"/>
      <c r="CA479"/>
      <c r="CB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</row>
    <row r="480" spans="75:166">
      <c r="BW480"/>
      <c r="BX480"/>
      <c r="BY480"/>
      <c r="BZ480"/>
      <c r="CA480"/>
      <c r="CB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</row>
    <row r="481" spans="75:166">
      <c r="BW481"/>
      <c r="BX481"/>
      <c r="BY481"/>
      <c r="BZ481"/>
      <c r="CA481"/>
      <c r="CB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</row>
    <row r="482" spans="75:166">
      <c r="BW482"/>
      <c r="BX482"/>
      <c r="BY482"/>
      <c r="BZ482"/>
      <c r="CA482"/>
      <c r="CB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</row>
    <row r="483" spans="75:166">
      <c r="BW483"/>
      <c r="BX483"/>
      <c r="BY483"/>
      <c r="BZ483"/>
      <c r="CA483"/>
      <c r="CB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</row>
    <row r="484" spans="75:166">
      <c r="BW484"/>
      <c r="BX484"/>
      <c r="BY484"/>
      <c r="BZ484"/>
      <c r="CA484"/>
      <c r="CB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</row>
    <row r="485" spans="75:166">
      <c r="BW485"/>
      <c r="BX485"/>
      <c r="BY485"/>
      <c r="BZ485"/>
      <c r="CA485"/>
      <c r="CB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</row>
    <row r="486" spans="75:166">
      <c r="BW486"/>
      <c r="BX486"/>
      <c r="BY486"/>
      <c r="BZ486"/>
      <c r="CA486"/>
      <c r="CB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</row>
    <row r="487" spans="75:166">
      <c r="BW487"/>
      <c r="BX487"/>
      <c r="BY487"/>
      <c r="BZ487"/>
      <c r="CA487"/>
      <c r="CB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</row>
    <row r="488" spans="75:166">
      <c r="BW488"/>
      <c r="BX488"/>
      <c r="BY488"/>
      <c r="BZ488"/>
      <c r="CA488"/>
      <c r="CB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</row>
    <row r="489" spans="75:166">
      <c r="BW489"/>
      <c r="BX489"/>
      <c r="BY489"/>
      <c r="BZ489"/>
      <c r="CA489"/>
      <c r="CB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</row>
    <row r="490" spans="75:166">
      <c r="BW490"/>
      <c r="BX490"/>
      <c r="BY490"/>
      <c r="BZ490"/>
      <c r="CA490"/>
      <c r="CB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</row>
    <row r="491" spans="75:166">
      <c r="BW491"/>
      <c r="BX491"/>
      <c r="BY491"/>
      <c r="BZ491"/>
      <c r="CA491"/>
      <c r="CB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</row>
    <row r="492" spans="75:166">
      <c r="BW492"/>
      <c r="BX492"/>
      <c r="BY492"/>
      <c r="BZ492"/>
      <c r="CA492"/>
      <c r="CB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</row>
    <row r="493" spans="75:166">
      <c r="BW493"/>
      <c r="BX493"/>
      <c r="BY493"/>
      <c r="BZ493"/>
      <c r="CA493"/>
      <c r="CB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</row>
    <row r="494" spans="75:166">
      <c r="BW494"/>
      <c r="BX494"/>
      <c r="BY494"/>
      <c r="BZ494"/>
      <c r="CA494"/>
      <c r="CB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</row>
    <row r="495" spans="75:166">
      <c r="BW495"/>
      <c r="BX495"/>
      <c r="BY495"/>
      <c r="BZ495"/>
      <c r="CA495"/>
      <c r="CB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</row>
    <row r="496" spans="75:166">
      <c r="BW496"/>
      <c r="BX496"/>
      <c r="BY496"/>
      <c r="BZ496"/>
      <c r="CA496"/>
      <c r="CB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</row>
    <row r="497" spans="75:166">
      <c r="BW497"/>
      <c r="BX497"/>
      <c r="BY497"/>
      <c r="BZ497"/>
      <c r="CA497"/>
      <c r="CB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</row>
    <row r="498" spans="75:166">
      <c r="BW498"/>
      <c r="BX498"/>
      <c r="BY498"/>
      <c r="BZ498"/>
      <c r="CA498"/>
      <c r="CB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</row>
    <row r="499" spans="75:166">
      <c r="BW499"/>
      <c r="BX499"/>
      <c r="BY499"/>
      <c r="BZ499"/>
      <c r="CA499"/>
      <c r="CB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</row>
    <row r="500" spans="75:166">
      <c r="BW500"/>
      <c r="BX500"/>
      <c r="BY500"/>
      <c r="BZ500"/>
      <c r="CA500"/>
      <c r="CB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</row>
    <row r="501" spans="75:166">
      <c r="BW501"/>
      <c r="BX501"/>
      <c r="BY501"/>
      <c r="BZ501"/>
      <c r="CA501"/>
      <c r="CB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</row>
    <row r="502" spans="75:166">
      <c r="BW502"/>
      <c r="BX502"/>
      <c r="BY502"/>
      <c r="BZ502"/>
      <c r="CA502"/>
      <c r="CB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</row>
    <row r="503" spans="75:166">
      <c r="BW503"/>
      <c r="BX503"/>
      <c r="BY503"/>
      <c r="BZ503"/>
      <c r="CA503"/>
      <c r="CB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</row>
    <row r="504" spans="75:166">
      <c r="BW504"/>
      <c r="BX504"/>
      <c r="BY504"/>
      <c r="BZ504"/>
      <c r="CA504"/>
      <c r="CB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</row>
    <row r="505" spans="75:166">
      <c r="BW505"/>
      <c r="BX505"/>
      <c r="BY505"/>
      <c r="BZ505"/>
      <c r="CA505"/>
      <c r="CB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</row>
    <row r="506" spans="75:166">
      <c r="BW506"/>
      <c r="BX506"/>
      <c r="BY506"/>
      <c r="BZ506"/>
      <c r="CA506"/>
      <c r="CB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</row>
    <row r="507" spans="75:166"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</row>
  </sheetData>
  <mergeCells count="84">
    <mergeCell ref="B1:D1"/>
    <mergeCell ref="F1:I1"/>
    <mergeCell ref="K1:W1"/>
    <mergeCell ref="AC1:AD1"/>
    <mergeCell ref="AV2:BD2"/>
    <mergeCell ref="FO2:FP2"/>
    <mergeCell ref="Q3:S3"/>
    <mergeCell ref="AV3:AW3"/>
    <mergeCell ref="AY3:BA3"/>
    <mergeCell ref="BC3:BD3"/>
    <mergeCell ref="AX3:AX18"/>
    <mergeCell ref="B5:B6"/>
    <mergeCell ref="B8:B15"/>
    <mergeCell ref="B17:B24"/>
    <mergeCell ref="AV20:BC20"/>
    <mergeCell ref="AV21:AW21"/>
    <mergeCell ref="BG21:BI21"/>
    <mergeCell ref="BK21:BM21"/>
    <mergeCell ref="AA23:AE24"/>
    <mergeCell ref="AA25:AE25"/>
    <mergeCell ref="B26:B33"/>
    <mergeCell ref="Z27:Z28"/>
    <mergeCell ref="Z29:Z33"/>
    <mergeCell ref="Z34:Z38"/>
    <mergeCell ref="B36:B43"/>
    <mergeCell ref="AB38:AC38"/>
    <mergeCell ref="AV38:BC38"/>
    <mergeCell ref="BH40:BI40"/>
    <mergeCell ref="U99:Z99"/>
    <mergeCell ref="BK40:BL40"/>
    <mergeCell ref="S87:Z87"/>
    <mergeCell ref="U88:Z88"/>
    <mergeCell ref="U89:Z89"/>
    <mergeCell ref="U90:Z90"/>
    <mergeCell ref="AV58:AV72"/>
    <mergeCell ref="Q59:R59"/>
    <mergeCell ref="W59:X59"/>
    <mergeCell ref="S95:Z95"/>
    <mergeCell ref="S96:V96"/>
    <mergeCell ref="W96:Z96"/>
    <mergeCell ref="U91:Z91"/>
    <mergeCell ref="S92:Z92"/>
    <mergeCell ref="U93:Z93"/>
    <mergeCell ref="U94:Z94"/>
    <mergeCell ref="W64:X64"/>
    <mergeCell ref="W68:X68"/>
    <mergeCell ref="K86:P86"/>
    <mergeCell ref="BP88:CM88"/>
    <mergeCell ref="AV90:BH90"/>
    <mergeCell ref="AU90:AU111"/>
    <mergeCell ref="AZ91:AZ102"/>
    <mergeCell ref="K95:P95"/>
    <mergeCell ref="K100:P100"/>
    <mergeCell ref="AV104:BM104"/>
    <mergeCell ref="K105:P105"/>
    <mergeCell ref="AY105:AY111"/>
    <mergeCell ref="BC105:BC111"/>
    <mergeCell ref="BG105:BG111"/>
    <mergeCell ref="K109:P109"/>
    <mergeCell ref="S97:V97"/>
    <mergeCell ref="W97:Z97"/>
    <mergeCell ref="U98:Z98"/>
    <mergeCell ref="BD122:BE122"/>
    <mergeCell ref="K125:P125"/>
    <mergeCell ref="BD129:BE129"/>
    <mergeCell ref="AV130:BB130"/>
    <mergeCell ref="AV131:AY131"/>
    <mergeCell ref="BA131:BA132"/>
    <mergeCell ref="BB131:BB132"/>
    <mergeCell ref="AV132:AW132"/>
    <mergeCell ref="AX132:AY132"/>
    <mergeCell ref="BD132:BE132"/>
    <mergeCell ref="BG134:BH134"/>
    <mergeCell ref="AV134:AV138"/>
    <mergeCell ref="AV139:AV147"/>
    <mergeCell ref="AV148:AV151"/>
    <mergeCell ref="AV152:AV155"/>
    <mergeCell ref="BR259:BU259"/>
    <mergeCell ref="D299:G299"/>
    <mergeCell ref="A199:A201"/>
    <mergeCell ref="A203:A205"/>
    <mergeCell ref="A207:A209"/>
    <mergeCell ref="P244:T244"/>
    <mergeCell ref="B245:G245"/>
  </mergeCells>
  <conditionalFormatting sqref="D8:D15 D17:D24 D26:D33">
    <cfRule type="expression" dxfId="12" priority="14">
      <formula>$B$3=3</formula>
    </cfRule>
  </conditionalFormatting>
  <conditionalFormatting sqref="D8:D15 D17:D24">
    <cfRule type="expression" dxfId="11" priority="13">
      <formula>$B$3=2</formula>
    </cfRule>
  </conditionalFormatting>
  <conditionalFormatting sqref="D26:D33">
    <cfRule type="expression" dxfId="10" priority="12">
      <formula>$B$3=2</formula>
    </cfRule>
  </conditionalFormatting>
  <conditionalFormatting sqref="D8:D15">
    <cfRule type="expression" dxfId="9" priority="11">
      <formula>$B$3=1</formula>
    </cfRule>
  </conditionalFormatting>
  <conditionalFormatting sqref="D17:D24 D26:D33">
    <cfRule type="expression" dxfId="8" priority="10">
      <formula>$B$3=1</formula>
    </cfRule>
  </conditionalFormatting>
  <conditionalFormatting sqref="D3">
    <cfRule type="expression" dxfId="7" priority="8">
      <formula>$C$3="Riffle"</formula>
    </cfRule>
    <cfRule type="expression" dxfId="6" priority="9">
      <formula>$C$3&lt;&gt;"Riffle"</formula>
    </cfRule>
  </conditionalFormatting>
  <conditionalFormatting sqref="D5:D6">
    <cfRule type="expression" dxfId="5" priority="15">
      <formula>$D$3="No"</formula>
    </cfRule>
    <cfRule type="expression" dxfId="4" priority="16">
      <formula>$D$3="Yes"</formula>
    </cfRule>
  </conditionalFormatting>
  <dataValidations disablePrompts="1" count="8">
    <dataValidation type="list" allowBlank="1" showInputMessage="1" showErrorMessage="1" sqref="AA41" xr:uid="{00000000-0002-0000-0400-000000000000}">
      <formula1>"Yes,No"</formula1>
    </dataValidation>
    <dataValidation type="list" allowBlank="1" showInputMessage="1" showErrorMessage="1" sqref="AB41" xr:uid="{00000000-0002-0000-0400-000001000000}">
      <formula1>"Target,Maximize"</formula1>
    </dataValidation>
    <dataValidation type="list" allowBlank="1" showInputMessage="1" showErrorMessage="1" sqref="AY9:AY17" xr:uid="{00000000-0002-0000-0400-000002000000}">
      <formula1>$C$27:$C$37</formula1>
    </dataValidation>
    <dataValidation type="list" allowBlank="1" showInputMessage="1" showErrorMessage="1" sqref="BB22" xr:uid="{00000000-0002-0000-0400-000003000000}">
      <formula1>BD$106:BD$107</formula1>
    </dataValidation>
    <dataValidation type="list" allowBlank="1" showInputMessage="1" showErrorMessage="1" sqref="BA22" xr:uid="{00000000-0002-0000-0400-000004000000}">
      <formula1>AZ$106:AZ$108</formula1>
    </dataValidation>
    <dataValidation type="list" allowBlank="1" showInputMessage="1" showErrorMessage="1" sqref="AZ22" xr:uid="{00000000-0002-0000-0400-000005000000}">
      <formula1>$AV$106:$AV$111</formula1>
    </dataValidation>
    <dataValidation type="list" allowBlank="1" showInputMessage="1" showErrorMessage="1" sqref="BC22" xr:uid="{00000000-0002-0000-0400-000006000000}">
      <formula1>BH$106</formula1>
    </dataValidation>
    <dataValidation type="list" allowBlank="1" showInputMessage="1" showErrorMessage="1" sqref="AY5:AY8" xr:uid="{00000000-0002-0000-0400-000007000000}">
      <formula1>$AV$92:$AV$102</formula1>
    </dataValidation>
  </dataValidations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/>
  <dimension ref="B1:DP101"/>
  <sheetViews>
    <sheetView workbookViewId="0">
      <selection activeCell="H42" sqref="H42"/>
    </sheetView>
  </sheetViews>
  <sheetFormatPr defaultRowHeight="12.75"/>
  <cols>
    <col min="5" max="5" width="15.42578125" bestFit="1" customWidth="1"/>
    <col min="6" max="6" width="9.7109375" customWidth="1"/>
  </cols>
  <sheetData>
    <row r="1" spans="2:120" ht="13.5" thickBot="1">
      <c r="J1" s="484" t="str">
        <f>XS_Designer!AV92</f>
        <v>Type II</v>
      </c>
      <c r="K1" s="485"/>
      <c r="L1" s="485"/>
      <c r="M1" s="485"/>
      <c r="N1" s="485"/>
      <c r="O1" s="485"/>
      <c r="P1" s="485"/>
      <c r="Q1" s="485"/>
      <c r="R1" s="485"/>
      <c r="S1" s="485"/>
      <c r="T1" s="486"/>
      <c r="U1" s="484" t="s">
        <v>869</v>
      </c>
      <c r="V1" s="485"/>
      <c r="W1" s="485"/>
      <c r="X1" s="485"/>
      <c r="Y1" s="485"/>
      <c r="Z1" s="485"/>
      <c r="AA1" s="485"/>
      <c r="AB1" s="485"/>
      <c r="AC1" s="485"/>
      <c r="AD1" s="486"/>
      <c r="AE1" s="484" t="str">
        <f>XS_Designer!AV94</f>
        <v>VDOT CL-III</v>
      </c>
      <c r="AF1" s="485"/>
      <c r="AG1" s="485"/>
      <c r="AH1" s="485"/>
      <c r="AI1" s="485"/>
      <c r="AJ1" s="485"/>
      <c r="AK1" s="485"/>
      <c r="AL1" s="485"/>
      <c r="AM1" s="485"/>
      <c r="AN1" s="486"/>
      <c r="AO1" s="484" t="str">
        <f>XS_Designer!AV95</f>
        <v>VDOT CL-II</v>
      </c>
      <c r="AP1" s="485"/>
      <c r="AQ1" s="485"/>
      <c r="AR1" s="485"/>
      <c r="AS1" s="485"/>
      <c r="AT1" s="485"/>
      <c r="AU1" s="485"/>
      <c r="AV1" s="485"/>
      <c r="AW1" s="485"/>
      <c r="AX1" s="486"/>
      <c r="AY1" s="484" t="str">
        <f>XS_Designer!$AV$96</f>
        <v>VDOT CL-I</v>
      </c>
      <c r="AZ1" s="485"/>
      <c r="BA1" s="485"/>
      <c r="BB1" s="485"/>
      <c r="BC1" s="485"/>
      <c r="BD1" s="485"/>
      <c r="BE1" s="485"/>
      <c r="BF1" s="485"/>
      <c r="BG1" s="485"/>
      <c r="BH1" s="486"/>
      <c r="BI1" s="484" t="str">
        <f>XS_Designer!$AV$97</f>
        <v>VDOT CL A1</v>
      </c>
      <c r="BJ1" s="485"/>
      <c r="BK1" s="485"/>
      <c r="BL1" s="485"/>
      <c r="BM1" s="485"/>
      <c r="BN1" s="485"/>
      <c r="BO1" s="485"/>
      <c r="BP1" s="485"/>
      <c r="BQ1" s="485"/>
      <c r="BR1" s="486"/>
      <c r="BS1" s="484" t="str">
        <f>XS_Designer!$AV$98</f>
        <v>Cobble</v>
      </c>
      <c r="BT1" s="485"/>
      <c r="BU1" s="485"/>
      <c r="BV1" s="485"/>
      <c r="BW1" s="485"/>
      <c r="BX1" s="485"/>
      <c r="BY1" s="485"/>
      <c r="BZ1" s="485"/>
      <c r="CA1" s="485"/>
      <c r="CB1" s="486"/>
      <c r="CC1" s="484" t="str">
        <f>XS_Designer!$AV$99</f>
        <v>VDOT #3</v>
      </c>
      <c r="CD1" s="485"/>
      <c r="CE1" s="485"/>
      <c r="CF1" s="485"/>
      <c r="CG1" s="485"/>
      <c r="CH1" s="485"/>
      <c r="CI1" s="485"/>
      <c r="CJ1" s="485"/>
      <c r="CK1" s="485"/>
      <c r="CL1" s="486"/>
      <c r="CM1" s="484" t="str">
        <f>XS_Designer!$AV$100</f>
        <v>Bank Run Gravel</v>
      </c>
      <c r="CN1" s="485"/>
      <c r="CO1" s="485"/>
      <c r="CP1" s="485"/>
      <c r="CQ1" s="485"/>
      <c r="CR1" s="485"/>
      <c r="CS1" s="485"/>
      <c r="CT1" s="485"/>
      <c r="CU1" s="485"/>
      <c r="CV1" s="486"/>
      <c r="CW1" s="484" t="str">
        <f>XS_Designer!AV101</f>
        <v>Coarse Sand</v>
      </c>
      <c r="CX1" s="485"/>
      <c r="CY1" s="485"/>
      <c r="CZ1" s="485"/>
      <c r="DA1" s="485"/>
      <c r="DB1" s="485"/>
      <c r="DC1" s="485"/>
      <c r="DD1" s="485"/>
      <c r="DE1" s="485"/>
      <c r="DF1" s="486"/>
      <c r="DG1" s="484" t="str">
        <f>XS_Designer!AV102</f>
        <v>Topsoil</v>
      </c>
      <c r="DH1" s="485"/>
      <c r="DI1" s="485"/>
      <c r="DJ1" s="485"/>
      <c r="DK1" s="485"/>
      <c r="DL1" s="485"/>
      <c r="DM1" s="485"/>
      <c r="DN1" s="485"/>
      <c r="DO1" s="485"/>
      <c r="DP1" s="486"/>
    </row>
    <row r="2" spans="2:120" ht="15">
      <c r="B2" s="374" t="s">
        <v>697</v>
      </c>
      <c r="C2" s="376"/>
      <c r="D2" s="1"/>
      <c r="E2" s="487" t="s">
        <v>55</v>
      </c>
      <c r="F2" s="488"/>
      <c r="J2" s="4">
        <v>0.01</v>
      </c>
      <c r="K2" s="4" t="str">
        <f>IF(XS_Designer_Bed_Mix!$J2&lt;=XS_Designer!$BN$92,XS_Designer!BA$92,"")</f>
        <v/>
      </c>
      <c r="L2" s="4" t="str">
        <f>IF(XS_Designer_Bed_Mix!$J2&lt;=XS_Designer!$BN$92,XS_Designer!BB$92,"")</f>
        <v/>
      </c>
      <c r="M2" s="4" t="str">
        <f>IF(XS_Designer_Bed_Mix!$J2&lt;=XS_Designer!$BN$92,XS_Designer!BC$92,"")</f>
        <v/>
      </c>
      <c r="N2" s="4" t="str">
        <f>IF(XS_Designer_Bed_Mix!$J2&lt;=XS_Designer!$BN$92,XS_Designer!BD$92,"")</f>
        <v/>
      </c>
      <c r="O2" s="4" t="str">
        <f>IF(XS_Designer_Bed_Mix!$J2&lt;=XS_Designer!$BN$92,XS_Designer!BE$92,"")</f>
        <v/>
      </c>
      <c r="P2" s="4" t="str">
        <f>IF(XS_Designer_Bed_Mix!$J2&lt;=XS_Designer!$BN$92,XS_Designer!BF$92,"")</f>
        <v/>
      </c>
      <c r="Q2" s="4" t="str">
        <f>IF(XS_Designer_Bed_Mix!$J2&lt;=XS_Designer!$BN$92,XS_Designer!BG$92,"")</f>
        <v/>
      </c>
      <c r="R2" s="4" t="str">
        <f>IF(XS_Designer_Bed_Mix!$J2&lt;=XS_Designer!$BN$92,XS_Designer!BH$92,"")</f>
        <v/>
      </c>
      <c r="S2" s="4" t="str">
        <f>IF(XS_Designer_Bed_Mix!$J2&lt;=XS_Designer!$BN$92,XS_Designer!BI$92,"")</f>
        <v/>
      </c>
      <c r="T2" s="4" t="str">
        <f>IF(XS_Designer_Bed_Mix!$J2&lt;=XS_Designer!$BN$92,XS_Designer!BJ$92,"")</f>
        <v/>
      </c>
      <c r="U2" s="4" t="str">
        <f>IF(XS_Designer_Bed_Mix!$J2&lt;=XS_Designer!$BN$93,XS_Designer!BA$93,"")</f>
        <v/>
      </c>
      <c r="V2" s="4" t="str">
        <f>IF(XS_Designer_Bed_Mix!$J2&lt;=XS_Designer!$BN$93,XS_Designer!BB$93,"")</f>
        <v/>
      </c>
      <c r="W2" s="4" t="str">
        <f>IF(XS_Designer_Bed_Mix!$J2&lt;=XS_Designer!$BN$93,XS_Designer!BC$93,"")</f>
        <v/>
      </c>
      <c r="X2" s="4" t="str">
        <f>IF(XS_Designer_Bed_Mix!$J2&lt;=XS_Designer!$BN$93,XS_Designer!BD$93,"")</f>
        <v/>
      </c>
      <c r="Y2" s="4" t="str">
        <f>IF(XS_Designer_Bed_Mix!$J2&lt;=XS_Designer!$BN$93,XS_Designer!BE$93,"")</f>
        <v/>
      </c>
      <c r="Z2" s="4" t="str">
        <f>IF(XS_Designer_Bed_Mix!$J2&lt;=XS_Designer!$BN$93,XS_Designer!BF$93,"")</f>
        <v/>
      </c>
      <c r="AA2" s="4" t="str">
        <f>IF(XS_Designer_Bed_Mix!$J2&lt;=XS_Designer!$BN$93,XS_Designer!BG$93,"")</f>
        <v/>
      </c>
      <c r="AB2" s="4" t="str">
        <f>IF(XS_Designer_Bed_Mix!$J2&lt;=XS_Designer!$BN$93,XS_Designer!BH$93,"")</f>
        <v/>
      </c>
      <c r="AC2" s="4" t="str">
        <f>IF(XS_Designer_Bed_Mix!$J2&lt;=XS_Designer!$BN$93,XS_Designer!BI$93,"")</f>
        <v/>
      </c>
      <c r="AD2" s="4" t="str">
        <f>IF(XS_Designer_Bed_Mix!$J2&lt;=XS_Designer!$BN$93,XS_Designer!BJ$93,"")</f>
        <v/>
      </c>
      <c r="AE2" s="4" t="str">
        <f>IF(XS_Designer_Bed_Mix!$J2&lt;=XS_Designer!$BN$94,XS_Designer!BA$94,"")</f>
        <v/>
      </c>
      <c r="AF2" s="4" t="str">
        <f>IF(XS_Designer_Bed_Mix!$J2&lt;=XS_Designer!$BN$94,XS_Designer!BB$94,"")</f>
        <v/>
      </c>
      <c r="AG2" s="4" t="str">
        <f>IF(XS_Designer_Bed_Mix!$J2&lt;=XS_Designer!$BN$94,XS_Designer!BC$94,"")</f>
        <v/>
      </c>
      <c r="AH2" s="4" t="str">
        <f>IF(XS_Designer_Bed_Mix!$J2&lt;=XS_Designer!$BN$94,XS_Designer!BD$94,"")</f>
        <v/>
      </c>
      <c r="AI2" s="4" t="str">
        <f>IF(XS_Designer_Bed_Mix!$J2&lt;=XS_Designer!$BN$94,XS_Designer!BE$94,"")</f>
        <v/>
      </c>
      <c r="AJ2" s="4" t="str">
        <f>IF(XS_Designer_Bed_Mix!$J2&lt;=XS_Designer!$BN$94,XS_Designer!BF$94,"")</f>
        <v/>
      </c>
      <c r="AK2" s="4" t="str">
        <f>IF(XS_Designer_Bed_Mix!$J2&lt;=XS_Designer!$BN$94,XS_Designer!BG$94,"")</f>
        <v/>
      </c>
      <c r="AL2" s="4" t="str">
        <f>IF(XS_Designer_Bed_Mix!$J2&lt;=XS_Designer!$BN$94,XS_Designer!BH$94,"")</f>
        <v/>
      </c>
      <c r="AM2" s="4" t="str">
        <f>IF(XS_Designer_Bed_Mix!$J2&lt;=XS_Designer!$BN$94,XS_Designer!BI$94,"")</f>
        <v/>
      </c>
      <c r="AN2" s="4" t="str">
        <f>IF(XS_Designer_Bed_Mix!$J2&lt;=XS_Designer!$BN$94,XS_Designer!BJ$94,"")</f>
        <v/>
      </c>
      <c r="AO2" s="4" t="str">
        <f>IF(XS_Designer_Bed_Mix!$J2&lt;=XS_Designer!$BN$95,XS_Designer!BA$95,"")</f>
        <v/>
      </c>
      <c r="AP2" s="4" t="str">
        <f>IF(XS_Designer_Bed_Mix!$J2&lt;=XS_Designer!$BN$95,XS_Designer!BB$95,"")</f>
        <v/>
      </c>
      <c r="AQ2" s="4" t="str">
        <f>IF(XS_Designer_Bed_Mix!$J2&lt;=XS_Designer!$BN$95,XS_Designer!BC$95,"")</f>
        <v/>
      </c>
      <c r="AR2" s="4" t="str">
        <f>IF(XS_Designer_Bed_Mix!$J2&lt;=XS_Designer!$BN$95,XS_Designer!BD$95,"")</f>
        <v/>
      </c>
      <c r="AS2" s="4" t="str">
        <f>IF(XS_Designer_Bed_Mix!$J2&lt;=XS_Designer!$BN$95,XS_Designer!BE$95,"")</f>
        <v/>
      </c>
      <c r="AT2" s="4" t="str">
        <f>IF(XS_Designer_Bed_Mix!$J2&lt;=XS_Designer!$BN$95,XS_Designer!BF$95,"")</f>
        <v/>
      </c>
      <c r="AU2" s="4" t="str">
        <f>IF(XS_Designer_Bed_Mix!$J2&lt;=XS_Designer!$BN$95,XS_Designer!BG$95,"")</f>
        <v/>
      </c>
      <c r="AV2" s="4" t="str">
        <f>IF(XS_Designer_Bed_Mix!$J2&lt;=XS_Designer!$BN$95,XS_Designer!BH$95,"")</f>
        <v/>
      </c>
      <c r="AW2" s="4" t="str">
        <f>IF(XS_Designer_Bed_Mix!$J2&lt;=XS_Designer!$BN$95,XS_Designer!BI$95,"")</f>
        <v/>
      </c>
      <c r="AX2" s="4" t="str">
        <f>IF(XS_Designer_Bed_Mix!$J2&lt;=XS_Designer!$BN$95,XS_Designer!BJ$95,"")</f>
        <v/>
      </c>
      <c r="AY2" s="4">
        <f>IF(XS_Designer_Bed_Mix!$J2&lt;=XS_Designer!$BN$96,XS_Designer!BA$96,"")</f>
        <v>335.28000000000003</v>
      </c>
      <c r="AZ2" s="4">
        <f>IF(XS_Designer_Bed_Mix!$J2&lt;=XS_Designer!$BN$96,XS_Designer!BB$96,"")</f>
        <v>335.28000000000003</v>
      </c>
      <c r="BA2" s="4">
        <f>IF(XS_Designer_Bed_Mix!$J2&lt;=XS_Designer!$BN$96,XS_Designer!BC$96,"")</f>
        <v>335.28000000000003</v>
      </c>
      <c r="BB2" s="4">
        <f>IF(XS_Designer_Bed_Mix!$J2&lt;=XS_Designer!$BN$96,XS_Designer!BD$96,"")</f>
        <v>335.28000000000003</v>
      </c>
      <c r="BC2" s="4">
        <f>IF(XS_Designer_Bed_Mix!$J2&lt;=XS_Designer!$BN$96,XS_Designer!BE$96,"")</f>
        <v>335.28000000000003</v>
      </c>
      <c r="BD2" s="4">
        <f>IF(XS_Designer_Bed_Mix!$J2&lt;=XS_Designer!$BN$96,XS_Designer!BF$96,"")</f>
        <v>335.28000000000003</v>
      </c>
      <c r="BE2" s="4">
        <f>IF(XS_Designer_Bed_Mix!$J2&lt;=XS_Designer!$BN$96,XS_Designer!BG$96,"")</f>
        <v>335.28000000000003</v>
      </c>
      <c r="BF2" s="4">
        <f>IF(XS_Designer_Bed_Mix!$J2&lt;=XS_Designer!$BN$96,XS_Designer!BH$96,"")</f>
        <v>335.28000000000003</v>
      </c>
      <c r="BG2" s="4">
        <f>IF(XS_Designer_Bed_Mix!$J2&lt;=XS_Designer!$BN$96,XS_Designer!BI$96,"")</f>
        <v>335.28000000000003</v>
      </c>
      <c r="BH2" s="4">
        <f>IF(XS_Designer_Bed_Mix!$J2&lt;=XS_Designer!$BN$96,XS_Designer!BJ$96,"")</f>
        <v>335.28000000000003</v>
      </c>
      <c r="BI2" s="4" t="str">
        <f>IF(XS_Designer_Bed_Mix!$J2&lt;=XS_Designer!$BN$97,XS_Designer!BA$97,"")</f>
        <v/>
      </c>
      <c r="BJ2" s="4" t="str">
        <f>IF(XS_Designer_Bed_Mix!$J2&lt;=XS_Designer!$BN$97,XS_Designer!BB$97,"")</f>
        <v/>
      </c>
      <c r="BK2" s="4" t="str">
        <f>IF(XS_Designer_Bed_Mix!$J2&lt;=XS_Designer!$BN$97,XS_Designer!BC$97,"")</f>
        <v/>
      </c>
      <c r="BL2" s="4" t="str">
        <f>IF(XS_Designer_Bed_Mix!$J2&lt;=XS_Designer!$BN$97,XS_Designer!BD$97,"")</f>
        <v/>
      </c>
      <c r="BM2" s="4" t="str">
        <f>IF(XS_Designer_Bed_Mix!$J2&lt;=XS_Designer!$BN$97,XS_Designer!BE$97,"")</f>
        <v/>
      </c>
      <c r="BN2" s="4" t="str">
        <f>IF(XS_Designer_Bed_Mix!$J2&lt;=XS_Designer!$BN$97,XS_Designer!BF$97,"")</f>
        <v/>
      </c>
      <c r="BO2" s="4" t="str">
        <f>IF(XS_Designer_Bed_Mix!$J2&lt;=XS_Designer!$BN$97,XS_Designer!BG$97,"")</f>
        <v/>
      </c>
      <c r="BP2" s="4" t="str">
        <f>IF(XS_Designer_Bed_Mix!$J2&lt;=XS_Designer!$BN$97,XS_Designer!BH$97,"")</f>
        <v/>
      </c>
      <c r="BQ2" s="4" t="str">
        <f>IF(XS_Designer_Bed_Mix!$J2&lt;=XS_Designer!$BN$97,XS_Designer!BI$97,"")</f>
        <v/>
      </c>
      <c r="BR2" s="4" t="str">
        <f>IF(XS_Designer_Bed_Mix!$J2&lt;=XS_Designer!$BN$97,XS_Designer!BJ$97,"")</f>
        <v/>
      </c>
      <c r="BS2" s="4" t="str">
        <f>IF(XS_Designer_Bed_Mix!$J2&lt;=XS_Designer!$BN$98,XS_Designer!BA$98,"")</f>
        <v/>
      </c>
      <c r="BT2" s="4" t="str">
        <f>IF(XS_Designer_Bed_Mix!$J2&lt;=XS_Designer!$BN$98,XS_Designer!BB$98,"")</f>
        <v/>
      </c>
      <c r="BU2" s="4" t="str">
        <f>IF(XS_Designer_Bed_Mix!$J2&lt;=XS_Designer!$BN$98,XS_Designer!BC$98,"")</f>
        <v/>
      </c>
      <c r="BV2" s="4" t="str">
        <f>IF(XS_Designer_Bed_Mix!$J2&lt;=XS_Designer!$BN$98,XS_Designer!BD$98,"")</f>
        <v/>
      </c>
      <c r="BW2" s="4" t="str">
        <f>IF(XS_Designer_Bed_Mix!$J2&lt;=XS_Designer!$BN$98,XS_Designer!BE$98,"")</f>
        <v/>
      </c>
      <c r="BX2" s="4" t="str">
        <f>IF(XS_Designer_Bed_Mix!$J2&lt;=XS_Designer!$BN$98,XS_Designer!BF$98,"")</f>
        <v/>
      </c>
      <c r="BY2" s="4" t="str">
        <f>IF(XS_Designer_Bed_Mix!$J2&lt;=XS_Designer!$BN$98,XS_Designer!BG$98,"")</f>
        <v/>
      </c>
      <c r="BZ2" s="4" t="str">
        <f>IF(XS_Designer_Bed_Mix!$J2&lt;=XS_Designer!$BN$98,XS_Designer!BH$98,"")</f>
        <v/>
      </c>
      <c r="CA2" s="4" t="str">
        <f>IF(XS_Designer_Bed_Mix!$J2&lt;=XS_Designer!$BN$98,XS_Designer!BI$98,"")</f>
        <v/>
      </c>
      <c r="CB2" s="4" t="str">
        <f>IF(XS_Designer_Bed_Mix!$J2&lt;=XS_Designer!$BN$98,XS_Designer!BJ$98,"")</f>
        <v/>
      </c>
      <c r="CC2" s="4" t="str">
        <f>IF(XS_Designer_Bed_Mix!$J2&lt;=XS_Designer!$BN$99,XS_Designer!BA$99,"")</f>
        <v/>
      </c>
      <c r="CD2" s="4" t="str">
        <f>IF(XS_Designer_Bed_Mix!$J2&lt;=XS_Designer!$BN$99,XS_Designer!BB$99,"")</f>
        <v/>
      </c>
      <c r="CE2" s="4" t="str">
        <f>IF(XS_Designer_Bed_Mix!$J2&lt;=XS_Designer!$BN$99,XS_Designer!BC$99,"")</f>
        <v/>
      </c>
      <c r="CF2" s="4" t="str">
        <f>IF(XS_Designer_Bed_Mix!$J2&lt;=XS_Designer!$BN$99,XS_Designer!BD$99,"")</f>
        <v/>
      </c>
      <c r="CG2" s="4" t="str">
        <f>IF(XS_Designer_Bed_Mix!$J2&lt;=XS_Designer!$BN$99,XS_Designer!BE$99,"")</f>
        <v/>
      </c>
      <c r="CH2" s="4" t="str">
        <f>IF(XS_Designer_Bed_Mix!$J2&lt;=XS_Designer!$BN$99,XS_Designer!BF$99,"")</f>
        <v/>
      </c>
      <c r="CI2" s="4" t="str">
        <f>IF(XS_Designer_Bed_Mix!$J2&lt;=XS_Designer!$BN$99,XS_Designer!BG$99,"")</f>
        <v/>
      </c>
      <c r="CJ2" s="4" t="str">
        <f>IF(XS_Designer_Bed_Mix!$J2&lt;=XS_Designer!$BN$99,XS_Designer!BH$99,"")</f>
        <v/>
      </c>
      <c r="CK2" s="4" t="str">
        <f>IF(XS_Designer_Bed_Mix!$J2&lt;=XS_Designer!$BN$99,XS_Designer!BI$99,"")</f>
        <v/>
      </c>
      <c r="CL2" s="4" t="str">
        <f>IF(XS_Designer_Bed_Mix!$J2&lt;=XS_Designer!$BN$99,XS_Designer!BJ$99,"")</f>
        <v/>
      </c>
      <c r="CM2" s="4">
        <f>IF(XS_Designer_Bed_Mix!$J2&lt;=XS_Designer!$BN$100,XS_Designer!BA$100,"")</f>
        <v>64</v>
      </c>
      <c r="CN2" s="4">
        <f>IF(XS_Designer_Bed_Mix!$J2&lt;=XS_Designer!$BN$100,XS_Designer!BB$100,"")</f>
        <v>57.6</v>
      </c>
      <c r="CO2" s="4">
        <f>IF(XS_Designer_Bed_Mix!$J2&lt;=XS_Designer!$BN$100,XS_Designer!BC$100,"")</f>
        <v>51.2</v>
      </c>
      <c r="CP2" s="4">
        <f>IF(XS_Designer_Bed_Mix!$J2&lt;=XS_Designer!$BN$100,XS_Designer!BD$100,"")</f>
        <v>44.800000000000004</v>
      </c>
      <c r="CQ2" s="4">
        <f>IF(XS_Designer_Bed_Mix!$J2&lt;=XS_Designer!$BN$100,XS_Designer!BE$100,"")</f>
        <v>38.400000000000006</v>
      </c>
      <c r="CR2" s="4">
        <f>IF(XS_Designer_Bed_Mix!$J2&lt;=XS_Designer!$BN$100,XS_Designer!BF$100,"")</f>
        <v>32</v>
      </c>
      <c r="CS2" s="4">
        <f>IF(XS_Designer_Bed_Mix!$J2&lt;=XS_Designer!$BN$100,XS_Designer!BG$100,"")</f>
        <v>26</v>
      </c>
      <c r="CT2" s="4">
        <f>IF(XS_Designer_Bed_Mix!$J2&lt;=XS_Designer!$BN$100,XS_Designer!BH$100,"")</f>
        <v>20</v>
      </c>
      <c r="CU2" s="4">
        <f>IF(XS_Designer_Bed_Mix!$J2&lt;=XS_Designer!$BN$100,XS_Designer!BI$100,"")</f>
        <v>14</v>
      </c>
      <c r="CV2" s="4">
        <f>IF(XS_Designer_Bed_Mix!$J2&lt;=XS_Designer!$BN$100,XS_Designer!BJ$100,"")</f>
        <v>8</v>
      </c>
      <c r="CW2" s="4">
        <f>IF(XS_Designer_Bed_Mix!$J2&lt;=XS_Designer!$BN$101,XS_Designer!BA$101,"")</f>
        <v>2</v>
      </c>
      <c r="CX2" s="4">
        <f>IF(XS_Designer_Bed_Mix!$J2&lt;=XS_Designer!$BN$101,XS_Designer!BB$101,"")</f>
        <v>1.9</v>
      </c>
      <c r="CY2" s="4">
        <f>IF(XS_Designer_Bed_Mix!$J2&lt;=XS_Designer!$BN$101,XS_Designer!BC$101,"")</f>
        <v>1.7999999999999998</v>
      </c>
      <c r="CZ2" s="4">
        <f>IF(XS_Designer_Bed_Mix!$J2&lt;=XS_Designer!$BN$101,XS_Designer!BD$101,"")</f>
        <v>1.6999999999999997</v>
      </c>
      <c r="DA2" s="4">
        <f>IF(XS_Designer_Bed_Mix!$J2&lt;=XS_Designer!$BN$101,XS_Designer!BE$101,"")</f>
        <v>1.5999999999999996</v>
      </c>
      <c r="DB2" s="4">
        <f>IF(XS_Designer_Bed_Mix!$J2&lt;=XS_Designer!$BN$101,XS_Designer!BF$101,"")</f>
        <v>1.5</v>
      </c>
      <c r="DC2" s="4">
        <f>IF(XS_Designer_Bed_Mix!$J2&lt;=XS_Designer!$BN$101,XS_Designer!BG$101,"")</f>
        <v>1.4</v>
      </c>
      <c r="DD2" s="4">
        <f>IF(XS_Designer_Bed_Mix!$J2&lt;=XS_Designer!$BN$101,XS_Designer!BH$101,"")</f>
        <v>1.2999999999999998</v>
      </c>
      <c r="DE2" s="4">
        <f>IF(XS_Designer_Bed_Mix!$J2&lt;=XS_Designer!$BN$101,XS_Designer!BI$101,"")</f>
        <v>1.1999999999999997</v>
      </c>
      <c r="DF2" s="4">
        <f>IF(XS_Designer_Bed_Mix!$J2&lt;=XS_Designer!$BN$101,XS_Designer!BJ$101,"")</f>
        <v>1.0999999999999996</v>
      </c>
      <c r="DG2" s="4">
        <f>IF(XS_Designer_Bed_Mix!$J2&lt;=XS_Designer!$BN$102,XS_Designer!BA$102,"")</f>
        <v>1</v>
      </c>
      <c r="DH2" s="4">
        <f>IF(XS_Designer_Bed_Mix!$J2&lt;=XS_Designer!$BN$102,XS_Designer!BB$102,"")</f>
        <v>0.9</v>
      </c>
      <c r="DI2" s="4">
        <f>IF(XS_Designer_Bed_Mix!$J2&lt;=XS_Designer!$BN$102,XS_Designer!BC$102,"")</f>
        <v>0.8</v>
      </c>
      <c r="DJ2" s="4">
        <f>IF(XS_Designer_Bed_Mix!$J2&lt;=XS_Designer!$BN$102,XS_Designer!BD$102,"")</f>
        <v>0.70000000000000007</v>
      </c>
      <c r="DK2" s="4">
        <f>IF(XS_Designer_Bed_Mix!$J2&lt;=XS_Designer!$BN$102,XS_Designer!BE$102,"")</f>
        <v>0.60000000000000009</v>
      </c>
      <c r="DL2" s="4">
        <f>IF(XS_Designer_Bed_Mix!$J2&lt;=XS_Designer!$BN$102,XS_Designer!BF$102,"")</f>
        <v>0.5</v>
      </c>
      <c r="DM2" s="4">
        <f>IF(XS_Designer_Bed_Mix!$J2&lt;=XS_Designer!$BN$102,XS_Designer!BG$102,"")</f>
        <v>0.40039999999999998</v>
      </c>
      <c r="DN2" s="4">
        <f>IF(XS_Designer_Bed_Mix!$J2&lt;=XS_Designer!$BN$102,XS_Designer!BH$102,"")</f>
        <v>0.30079999999999996</v>
      </c>
      <c r="DO2" s="4">
        <f>IF(XS_Designer_Bed_Mix!$J2&lt;=XS_Designer!$BN$102,XS_Designer!BI$102,"")</f>
        <v>0.20119999999999996</v>
      </c>
      <c r="DP2" s="4">
        <f>IF(XS_Designer_Bed_Mix!$J2&lt;=XS_Designer!$BN$102,XS_Designer!BJ$102,"")</f>
        <v>0.10159999999999997</v>
      </c>
    </row>
    <row r="3" spans="2:120" ht="15">
      <c r="B3" s="5" t="s">
        <v>507</v>
      </c>
      <c r="C3" s="6" t="s">
        <v>306</v>
      </c>
      <c r="D3" s="1"/>
      <c r="E3" s="5" t="s">
        <v>252</v>
      </c>
      <c r="F3" s="194">
        <f>GEOMEAN($K$2:$DP$101)</f>
        <v>60.420807017721998</v>
      </c>
      <c r="J3" s="3">
        <v>0.02</v>
      </c>
      <c r="K3" s="4" t="str">
        <f>IF(XS_Designer_Bed_Mix!$J3&lt;=XS_Designer!$BN$92,XS_Designer!BA$92,"")</f>
        <v/>
      </c>
      <c r="L3" s="4" t="str">
        <f>IF(XS_Designer_Bed_Mix!$J3&lt;=XS_Designer!$BN$92,XS_Designer!BB$92,"")</f>
        <v/>
      </c>
      <c r="M3" s="4" t="str">
        <f>IF(XS_Designer_Bed_Mix!$J3&lt;=XS_Designer!$BN$92,XS_Designer!BC$92,"")</f>
        <v/>
      </c>
      <c r="N3" s="4" t="str">
        <f>IF(XS_Designer_Bed_Mix!$J3&lt;=XS_Designer!$BN$92,XS_Designer!BD$92,"")</f>
        <v/>
      </c>
      <c r="O3" s="4" t="str">
        <f>IF(XS_Designer_Bed_Mix!$J3&lt;=XS_Designer!$BN$92,XS_Designer!BE$92,"")</f>
        <v/>
      </c>
      <c r="P3" s="4" t="str">
        <f>IF(XS_Designer_Bed_Mix!$J3&lt;=XS_Designer!$BN$92,XS_Designer!BF$92,"")</f>
        <v/>
      </c>
      <c r="Q3" s="4" t="str">
        <f>IF(XS_Designer_Bed_Mix!$J3&lt;=XS_Designer!$BN$92,XS_Designer!BG$92,"")</f>
        <v/>
      </c>
      <c r="R3" s="4" t="str">
        <f>IF(XS_Designer_Bed_Mix!$J3&lt;=XS_Designer!$BN$92,XS_Designer!BH$92,"")</f>
        <v/>
      </c>
      <c r="S3" s="4" t="str">
        <f>IF(XS_Designer_Bed_Mix!$J3&lt;=XS_Designer!$BN$92,XS_Designer!BI$92,"")</f>
        <v/>
      </c>
      <c r="T3" s="4" t="str">
        <f>IF(XS_Designer_Bed_Mix!$J3&lt;=XS_Designer!$BN$92,XS_Designer!BJ$92,"")</f>
        <v/>
      </c>
      <c r="U3" s="4" t="str">
        <f>IF(XS_Designer_Bed_Mix!$J3&lt;=XS_Designer!$BN$93,XS_Designer!BA$93,"")</f>
        <v/>
      </c>
      <c r="V3" s="4" t="str">
        <f>IF(XS_Designer_Bed_Mix!$J3&lt;=XS_Designer!$BN$93,XS_Designer!BB$93,"")</f>
        <v/>
      </c>
      <c r="W3" s="4" t="str">
        <f>IF(XS_Designer_Bed_Mix!$J3&lt;=XS_Designer!$BN$93,XS_Designer!BC$93,"")</f>
        <v/>
      </c>
      <c r="X3" s="4" t="str">
        <f>IF(XS_Designer_Bed_Mix!$J3&lt;=XS_Designer!$BN$93,XS_Designer!BD$93,"")</f>
        <v/>
      </c>
      <c r="Y3" s="4" t="str">
        <f>IF(XS_Designer_Bed_Mix!$J3&lt;=XS_Designer!$BN$93,XS_Designer!BE$93,"")</f>
        <v/>
      </c>
      <c r="Z3" s="4" t="str">
        <f>IF(XS_Designer_Bed_Mix!$J3&lt;=XS_Designer!$BN$93,XS_Designer!BF$93,"")</f>
        <v/>
      </c>
      <c r="AA3" s="4" t="str">
        <f>IF(XS_Designer_Bed_Mix!$J3&lt;=XS_Designer!$BN$93,XS_Designer!BG$93,"")</f>
        <v/>
      </c>
      <c r="AB3" s="4" t="str">
        <f>IF(XS_Designer_Bed_Mix!$J3&lt;=XS_Designer!$BN$93,XS_Designer!BH$93,"")</f>
        <v/>
      </c>
      <c r="AC3" s="4" t="str">
        <f>IF(XS_Designer_Bed_Mix!$J3&lt;=XS_Designer!$BN$93,XS_Designer!BI$93,"")</f>
        <v/>
      </c>
      <c r="AD3" s="4" t="str">
        <f>IF(XS_Designer_Bed_Mix!$J3&lt;=XS_Designer!$BN$93,XS_Designer!BJ$93,"")</f>
        <v/>
      </c>
      <c r="AE3" s="4" t="str">
        <f>IF(XS_Designer_Bed_Mix!$J3&lt;=XS_Designer!$BN$94,XS_Designer!BA$94,"")</f>
        <v/>
      </c>
      <c r="AF3" s="4" t="str">
        <f>IF(XS_Designer_Bed_Mix!$J3&lt;=XS_Designer!$BN$94,XS_Designer!BB$94,"")</f>
        <v/>
      </c>
      <c r="AG3" s="4" t="str">
        <f>IF(XS_Designer_Bed_Mix!$J3&lt;=XS_Designer!$BN$94,XS_Designer!BC$94,"")</f>
        <v/>
      </c>
      <c r="AH3" s="4" t="str">
        <f>IF(XS_Designer_Bed_Mix!$J3&lt;=XS_Designer!$BN$94,XS_Designer!BD$94,"")</f>
        <v/>
      </c>
      <c r="AI3" s="4" t="str">
        <f>IF(XS_Designer_Bed_Mix!$J3&lt;=XS_Designer!$BN$94,XS_Designer!BE$94,"")</f>
        <v/>
      </c>
      <c r="AJ3" s="4" t="str">
        <f>IF(XS_Designer_Bed_Mix!$J3&lt;=XS_Designer!$BN$94,XS_Designer!BF$94,"")</f>
        <v/>
      </c>
      <c r="AK3" s="4" t="str">
        <f>IF(XS_Designer_Bed_Mix!$J3&lt;=XS_Designer!$BN$94,XS_Designer!BG$94,"")</f>
        <v/>
      </c>
      <c r="AL3" s="4" t="str">
        <f>IF(XS_Designer_Bed_Mix!$J3&lt;=XS_Designer!$BN$94,XS_Designer!BH$94,"")</f>
        <v/>
      </c>
      <c r="AM3" s="4" t="str">
        <f>IF(XS_Designer_Bed_Mix!$J3&lt;=XS_Designer!$BN$94,XS_Designer!BI$94,"")</f>
        <v/>
      </c>
      <c r="AN3" s="4" t="str">
        <f>IF(XS_Designer_Bed_Mix!$J3&lt;=XS_Designer!$BN$94,XS_Designer!BJ$94,"")</f>
        <v/>
      </c>
      <c r="AO3" s="4" t="str">
        <f>IF(XS_Designer_Bed_Mix!$J3&lt;=XS_Designer!$BN$95,XS_Designer!BA$95,"")</f>
        <v/>
      </c>
      <c r="AP3" s="4" t="str">
        <f>IF(XS_Designer_Bed_Mix!$J3&lt;=XS_Designer!$BN$95,XS_Designer!BB$95,"")</f>
        <v/>
      </c>
      <c r="AQ3" s="4" t="str">
        <f>IF(XS_Designer_Bed_Mix!$J3&lt;=XS_Designer!$BN$95,XS_Designer!BC$95,"")</f>
        <v/>
      </c>
      <c r="AR3" s="4" t="str">
        <f>IF(XS_Designer_Bed_Mix!$J3&lt;=XS_Designer!$BN$95,XS_Designer!BD$95,"")</f>
        <v/>
      </c>
      <c r="AS3" s="4" t="str">
        <f>IF(XS_Designer_Bed_Mix!$J3&lt;=XS_Designer!$BN$95,XS_Designer!BE$95,"")</f>
        <v/>
      </c>
      <c r="AT3" s="4" t="str">
        <f>IF(XS_Designer_Bed_Mix!$J3&lt;=XS_Designer!$BN$95,XS_Designer!BF$95,"")</f>
        <v/>
      </c>
      <c r="AU3" s="4" t="str">
        <f>IF(XS_Designer_Bed_Mix!$J3&lt;=XS_Designer!$BN$95,XS_Designer!BG$95,"")</f>
        <v/>
      </c>
      <c r="AV3" s="4" t="str">
        <f>IF(XS_Designer_Bed_Mix!$J3&lt;=XS_Designer!$BN$95,XS_Designer!BH$95,"")</f>
        <v/>
      </c>
      <c r="AW3" s="4" t="str">
        <f>IF(XS_Designer_Bed_Mix!$J3&lt;=XS_Designer!$BN$95,XS_Designer!BI$95,"")</f>
        <v/>
      </c>
      <c r="AX3" s="4" t="str">
        <f>IF(XS_Designer_Bed_Mix!$J3&lt;=XS_Designer!$BN$95,XS_Designer!BJ$95,"")</f>
        <v/>
      </c>
      <c r="AY3" s="4">
        <f>IF(XS_Designer_Bed_Mix!$J3&lt;=XS_Designer!$BN$96,XS_Designer!BA$96,"")</f>
        <v>335.28000000000003</v>
      </c>
      <c r="AZ3" s="4">
        <f>IF(XS_Designer_Bed_Mix!$J3&lt;=XS_Designer!$BN$96,XS_Designer!BB$96,"")</f>
        <v>335.28000000000003</v>
      </c>
      <c r="BA3" s="4">
        <f>IF(XS_Designer_Bed_Mix!$J3&lt;=XS_Designer!$BN$96,XS_Designer!BC$96,"")</f>
        <v>335.28000000000003</v>
      </c>
      <c r="BB3" s="4">
        <f>IF(XS_Designer_Bed_Mix!$J3&lt;=XS_Designer!$BN$96,XS_Designer!BD$96,"")</f>
        <v>335.28000000000003</v>
      </c>
      <c r="BC3" s="4">
        <f>IF(XS_Designer_Bed_Mix!$J3&lt;=XS_Designer!$BN$96,XS_Designer!BE$96,"")</f>
        <v>335.28000000000003</v>
      </c>
      <c r="BD3" s="4">
        <f>IF(XS_Designer_Bed_Mix!$J3&lt;=XS_Designer!$BN$96,XS_Designer!BF$96,"")</f>
        <v>335.28000000000003</v>
      </c>
      <c r="BE3" s="4">
        <f>IF(XS_Designer_Bed_Mix!$J3&lt;=XS_Designer!$BN$96,XS_Designer!BG$96,"")</f>
        <v>335.28000000000003</v>
      </c>
      <c r="BF3" s="4">
        <f>IF(XS_Designer_Bed_Mix!$J3&lt;=XS_Designer!$BN$96,XS_Designer!BH$96,"")</f>
        <v>335.28000000000003</v>
      </c>
      <c r="BG3" s="4">
        <f>IF(XS_Designer_Bed_Mix!$J3&lt;=XS_Designer!$BN$96,XS_Designer!BI$96,"")</f>
        <v>335.28000000000003</v>
      </c>
      <c r="BH3" s="4">
        <f>IF(XS_Designer_Bed_Mix!$J3&lt;=XS_Designer!$BN$96,XS_Designer!BJ$96,"")</f>
        <v>335.28000000000003</v>
      </c>
      <c r="BI3" s="4" t="str">
        <f>IF(XS_Designer_Bed_Mix!$J3&lt;=XS_Designer!$BN$97,XS_Designer!BA$97,"")</f>
        <v/>
      </c>
      <c r="BJ3" s="4" t="str">
        <f>IF(XS_Designer_Bed_Mix!$J3&lt;=XS_Designer!$BN$97,XS_Designer!BB$97,"")</f>
        <v/>
      </c>
      <c r="BK3" s="4" t="str">
        <f>IF(XS_Designer_Bed_Mix!$J3&lt;=XS_Designer!$BN$97,XS_Designer!BC$97,"")</f>
        <v/>
      </c>
      <c r="BL3" s="4" t="str">
        <f>IF(XS_Designer_Bed_Mix!$J3&lt;=XS_Designer!$BN$97,XS_Designer!BD$97,"")</f>
        <v/>
      </c>
      <c r="BM3" s="4" t="str">
        <f>IF(XS_Designer_Bed_Mix!$J3&lt;=XS_Designer!$BN$97,XS_Designer!BE$97,"")</f>
        <v/>
      </c>
      <c r="BN3" s="4" t="str">
        <f>IF(XS_Designer_Bed_Mix!$J3&lt;=XS_Designer!$BN$97,XS_Designer!BF$97,"")</f>
        <v/>
      </c>
      <c r="BO3" s="4" t="str">
        <f>IF(XS_Designer_Bed_Mix!$J3&lt;=XS_Designer!$BN$97,XS_Designer!BG$97,"")</f>
        <v/>
      </c>
      <c r="BP3" s="4" t="str">
        <f>IF(XS_Designer_Bed_Mix!$J3&lt;=XS_Designer!$BN$97,XS_Designer!BH$97,"")</f>
        <v/>
      </c>
      <c r="BQ3" s="4" t="str">
        <f>IF(XS_Designer_Bed_Mix!$J3&lt;=XS_Designer!$BN$97,XS_Designer!BI$97,"")</f>
        <v/>
      </c>
      <c r="BR3" s="4" t="str">
        <f>IF(XS_Designer_Bed_Mix!$J3&lt;=XS_Designer!$BN$97,XS_Designer!BJ$97,"")</f>
        <v/>
      </c>
      <c r="BS3" s="4" t="str">
        <f>IF(XS_Designer_Bed_Mix!$J3&lt;=XS_Designer!$BN$98,XS_Designer!BA$98,"")</f>
        <v/>
      </c>
      <c r="BT3" s="4" t="str">
        <f>IF(XS_Designer_Bed_Mix!$J3&lt;=XS_Designer!$BN$98,XS_Designer!BB$98,"")</f>
        <v/>
      </c>
      <c r="BU3" s="4" t="str">
        <f>IF(XS_Designer_Bed_Mix!$J3&lt;=XS_Designer!$BN$98,XS_Designer!BC$98,"")</f>
        <v/>
      </c>
      <c r="BV3" s="4" t="str">
        <f>IF(XS_Designer_Bed_Mix!$J3&lt;=XS_Designer!$BN$98,XS_Designer!BD$98,"")</f>
        <v/>
      </c>
      <c r="BW3" s="4" t="str">
        <f>IF(XS_Designer_Bed_Mix!$J3&lt;=XS_Designer!$BN$98,XS_Designer!BE$98,"")</f>
        <v/>
      </c>
      <c r="BX3" s="4" t="str">
        <f>IF(XS_Designer_Bed_Mix!$J3&lt;=XS_Designer!$BN$98,XS_Designer!BF$98,"")</f>
        <v/>
      </c>
      <c r="BY3" s="4" t="str">
        <f>IF(XS_Designer_Bed_Mix!$J3&lt;=XS_Designer!$BN$98,XS_Designer!BG$98,"")</f>
        <v/>
      </c>
      <c r="BZ3" s="4" t="str">
        <f>IF(XS_Designer_Bed_Mix!$J3&lt;=XS_Designer!$BN$98,XS_Designer!BH$98,"")</f>
        <v/>
      </c>
      <c r="CA3" s="4" t="str">
        <f>IF(XS_Designer_Bed_Mix!$J3&lt;=XS_Designer!$BN$98,XS_Designer!BI$98,"")</f>
        <v/>
      </c>
      <c r="CB3" s="4" t="str">
        <f>IF(XS_Designer_Bed_Mix!$J3&lt;=XS_Designer!$BN$98,XS_Designer!BJ$98,"")</f>
        <v/>
      </c>
      <c r="CC3" s="4" t="str">
        <f>IF(XS_Designer_Bed_Mix!$J3&lt;=XS_Designer!$BN$99,XS_Designer!BA$99,"")</f>
        <v/>
      </c>
      <c r="CD3" s="4" t="str">
        <f>IF(XS_Designer_Bed_Mix!$J3&lt;=XS_Designer!$BN$99,XS_Designer!BB$99,"")</f>
        <v/>
      </c>
      <c r="CE3" s="4" t="str">
        <f>IF(XS_Designer_Bed_Mix!$J3&lt;=XS_Designer!$BN$99,XS_Designer!BC$99,"")</f>
        <v/>
      </c>
      <c r="CF3" s="4" t="str">
        <f>IF(XS_Designer_Bed_Mix!$J3&lt;=XS_Designer!$BN$99,XS_Designer!BD$99,"")</f>
        <v/>
      </c>
      <c r="CG3" s="4" t="str">
        <f>IF(XS_Designer_Bed_Mix!$J3&lt;=XS_Designer!$BN$99,XS_Designer!BE$99,"")</f>
        <v/>
      </c>
      <c r="CH3" s="4" t="str">
        <f>IF(XS_Designer_Bed_Mix!$J3&lt;=XS_Designer!$BN$99,XS_Designer!BF$99,"")</f>
        <v/>
      </c>
      <c r="CI3" s="4" t="str">
        <f>IF(XS_Designer_Bed_Mix!$J3&lt;=XS_Designer!$BN$99,XS_Designer!BG$99,"")</f>
        <v/>
      </c>
      <c r="CJ3" s="4" t="str">
        <f>IF(XS_Designer_Bed_Mix!$J3&lt;=XS_Designer!$BN$99,XS_Designer!BH$99,"")</f>
        <v/>
      </c>
      <c r="CK3" s="4" t="str">
        <f>IF(XS_Designer_Bed_Mix!$J3&lt;=XS_Designer!$BN$99,XS_Designer!BI$99,"")</f>
        <v/>
      </c>
      <c r="CL3" s="4" t="str">
        <f>IF(XS_Designer_Bed_Mix!$J3&lt;=XS_Designer!$BN$99,XS_Designer!BJ$99,"")</f>
        <v/>
      </c>
      <c r="CM3" s="4">
        <f>IF(XS_Designer_Bed_Mix!$J3&lt;=XS_Designer!$BN$100,XS_Designer!BA$100,"")</f>
        <v>64</v>
      </c>
      <c r="CN3" s="4">
        <f>IF(XS_Designer_Bed_Mix!$J3&lt;=XS_Designer!$BN$100,XS_Designer!BB$100,"")</f>
        <v>57.6</v>
      </c>
      <c r="CO3" s="4">
        <f>IF(XS_Designer_Bed_Mix!$J3&lt;=XS_Designer!$BN$100,XS_Designer!BC$100,"")</f>
        <v>51.2</v>
      </c>
      <c r="CP3" s="4">
        <f>IF(XS_Designer_Bed_Mix!$J3&lt;=XS_Designer!$BN$100,XS_Designer!BD$100,"")</f>
        <v>44.800000000000004</v>
      </c>
      <c r="CQ3" s="4">
        <f>IF(XS_Designer_Bed_Mix!$J3&lt;=XS_Designer!$BN$100,XS_Designer!BE$100,"")</f>
        <v>38.400000000000006</v>
      </c>
      <c r="CR3" s="4">
        <f>IF(XS_Designer_Bed_Mix!$J3&lt;=XS_Designer!$BN$100,XS_Designer!BF$100,"")</f>
        <v>32</v>
      </c>
      <c r="CS3" s="4">
        <f>IF(XS_Designer_Bed_Mix!$J3&lt;=XS_Designer!$BN$100,XS_Designer!BG$100,"")</f>
        <v>26</v>
      </c>
      <c r="CT3" s="4">
        <f>IF(XS_Designer_Bed_Mix!$J3&lt;=XS_Designer!$BN$100,XS_Designer!BH$100,"")</f>
        <v>20</v>
      </c>
      <c r="CU3" s="4">
        <f>IF(XS_Designer_Bed_Mix!$J3&lt;=XS_Designer!$BN$100,XS_Designer!BI$100,"")</f>
        <v>14</v>
      </c>
      <c r="CV3" s="4">
        <f>IF(XS_Designer_Bed_Mix!$J3&lt;=XS_Designer!$BN$100,XS_Designer!BJ$100,"")</f>
        <v>8</v>
      </c>
      <c r="CW3" s="4">
        <f>IF(XS_Designer_Bed_Mix!$J3&lt;=XS_Designer!$BN$101,XS_Designer!BA$101,"")</f>
        <v>2</v>
      </c>
      <c r="CX3" s="4">
        <f>IF(XS_Designer_Bed_Mix!$J3&lt;=XS_Designer!$BN$101,XS_Designer!BB$101,"")</f>
        <v>1.9</v>
      </c>
      <c r="CY3" s="4">
        <f>IF(XS_Designer_Bed_Mix!$J3&lt;=XS_Designer!$BN$101,XS_Designer!BC$101,"")</f>
        <v>1.7999999999999998</v>
      </c>
      <c r="CZ3" s="4">
        <f>IF(XS_Designer_Bed_Mix!$J3&lt;=XS_Designer!$BN$101,XS_Designer!BD$101,"")</f>
        <v>1.6999999999999997</v>
      </c>
      <c r="DA3" s="4">
        <f>IF(XS_Designer_Bed_Mix!$J3&lt;=XS_Designer!$BN$101,XS_Designer!BE$101,"")</f>
        <v>1.5999999999999996</v>
      </c>
      <c r="DB3" s="4">
        <f>IF(XS_Designer_Bed_Mix!$J3&lt;=XS_Designer!$BN$101,XS_Designer!BF$101,"")</f>
        <v>1.5</v>
      </c>
      <c r="DC3" s="4">
        <f>IF(XS_Designer_Bed_Mix!$J3&lt;=XS_Designer!$BN$101,XS_Designer!BG$101,"")</f>
        <v>1.4</v>
      </c>
      <c r="DD3" s="4">
        <f>IF(XS_Designer_Bed_Mix!$J3&lt;=XS_Designer!$BN$101,XS_Designer!BH$101,"")</f>
        <v>1.2999999999999998</v>
      </c>
      <c r="DE3" s="4">
        <f>IF(XS_Designer_Bed_Mix!$J3&lt;=XS_Designer!$BN$101,XS_Designer!BI$101,"")</f>
        <v>1.1999999999999997</v>
      </c>
      <c r="DF3" s="4">
        <f>IF(XS_Designer_Bed_Mix!$J3&lt;=XS_Designer!$BN$101,XS_Designer!BJ$101,"")</f>
        <v>1.0999999999999996</v>
      </c>
      <c r="DG3" s="4">
        <f>IF(XS_Designer_Bed_Mix!$J3&lt;=XS_Designer!$BN$102,XS_Designer!BA$102,"")</f>
        <v>1</v>
      </c>
      <c r="DH3" s="4">
        <f>IF(XS_Designer_Bed_Mix!$J3&lt;=XS_Designer!$BN$102,XS_Designer!BB$102,"")</f>
        <v>0.9</v>
      </c>
      <c r="DI3" s="4">
        <f>IF(XS_Designer_Bed_Mix!$J3&lt;=XS_Designer!$BN$102,XS_Designer!BC$102,"")</f>
        <v>0.8</v>
      </c>
      <c r="DJ3" s="4">
        <f>IF(XS_Designer_Bed_Mix!$J3&lt;=XS_Designer!$BN$102,XS_Designer!BD$102,"")</f>
        <v>0.70000000000000007</v>
      </c>
      <c r="DK3" s="4">
        <f>IF(XS_Designer_Bed_Mix!$J3&lt;=XS_Designer!$BN$102,XS_Designer!BE$102,"")</f>
        <v>0.60000000000000009</v>
      </c>
      <c r="DL3" s="4">
        <f>IF(XS_Designer_Bed_Mix!$J3&lt;=XS_Designer!$BN$102,XS_Designer!BF$102,"")</f>
        <v>0.5</v>
      </c>
      <c r="DM3" s="4">
        <f>IF(XS_Designer_Bed_Mix!$J3&lt;=XS_Designer!$BN$102,XS_Designer!BG$102,"")</f>
        <v>0.40039999999999998</v>
      </c>
      <c r="DN3" s="4">
        <f>IF(XS_Designer_Bed_Mix!$J3&lt;=XS_Designer!$BN$102,XS_Designer!BH$102,"")</f>
        <v>0.30079999999999996</v>
      </c>
      <c r="DO3" s="4">
        <f>IF(XS_Designer_Bed_Mix!$J3&lt;=XS_Designer!$BN$102,XS_Designer!BI$102,"")</f>
        <v>0.20119999999999996</v>
      </c>
      <c r="DP3" s="4">
        <f>IF(XS_Designer_Bed_Mix!$J3&lt;=XS_Designer!$BN$102,XS_Designer!BJ$102,"")</f>
        <v>0.10159999999999997</v>
      </c>
    </row>
    <row r="4" spans="2:120" ht="15">
      <c r="B4" s="5">
        <v>1</v>
      </c>
      <c r="C4" s="8"/>
      <c r="D4" s="1"/>
      <c r="E4" s="6" t="s">
        <v>130</v>
      </c>
      <c r="F4" s="89">
        <f>_xlfn.STDEV.S($K$2:$DP$101)</f>
        <v>155.83578771645273</v>
      </c>
      <c r="J4" s="3">
        <v>0.03</v>
      </c>
      <c r="K4" s="4" t="str">
        <f>IF(XS_Designer_Bed_Mix!$J4&lt;=XS_Designer!$BN$92,XS_Designer!BA$92,"")</f>
        <v/>
      </c>
      <c r="L4" s="4" t="str">
        <f>IF(XS_Designer_Bed_Mix!$J4&lt;=XS_Designer!$BN$92,XS_Designer!BB$92,"")</f>
        <v/>
      </c>
      <c r="M4" s="4" t="str">
        <f>IF(XS_Designer_Bed_Mix!$J4&lt;=XS_Designer!$BN$92,XS_Designer!BC$92,"")</f>
        <v/>
      </c>
      <c r="N4" s="4" t="str">
        <f>IF(XS_Designer_Bed_Mix!$J4&lt;=XS_Designer!$BN$92,XS_Designer!BD$92,"")</f>
        <v/>
      </c>
      <c r="O4" s="4" t="str">
        <f>IF(XS_Designer_Bed_Mix!$J4&lt;=XS_Designer!$BN$92,XS_Designer!BE$92,"")</f>
        <v/>
      </c>
      <c r="P4" s="4" t="str">
        <f>IF(XS_Designer_Bed_Mix!$J4&lt;=XS_Designer!$BN$92,XS_Designer!BF$92,"")</f>
        <v/>
      </c>
      <c r="Q4" s="4" t="str">
        <f>IF(XS_Designer_Bed_Mix!$J4&lt;=XS_Designer!$BN$92,XS_Designer!BG$92,"")</f>
        <v/>
      </c>
      <c r="R4" s="4" t="str">
        <f>IF(XS_Designer_Bed_Mix!$J4&lt;=XS_Designer!$BN$92,XS_Designer!BH$92,"")</f>
        <v/>
      </c>
      <c r="S4" s="4" t="str">
        <f>IF(XS_Designer_Bed_Mix!$J4&lt;=XS_Designer!$BN$92,XS_Designer!BI$92,"")</f>
        <v/>
      </c>
      <c r="T4" s="4" t="str">
        <f>IF(XS_Designer_Bed_Mix!$J4&lt;=XS_Designer!$BN$92,XS_Designer!BJ$92,"")</f>
        <v/>
      </c>
      <c r="U4" s="4" t="str">
        <f>IF(XS_Designer_Bed_Mix!$J4&lt;=XS_Designer!$BN$93,XS_Designer!BA$93,"")</f>
        <v/>
      </c>
      <c r="V4" s="4" t="str">
        <f>IF(XS_Designer_Bed_Mix!$J4&lt;=XS_Designer!$BN$93,XS_Designer!BB$93,"")</f>
        <v/>
      </c>
      <c r="W4" s="4" t="str">
        <f>IF(XS_Designer_Bed_Mix!$J4&lt;=XS_Designer!$BN$93,XS_Designer!BC$93,"")</f>
        <v/>
      </c>
      <c r="X4" s="4" t="str">
        <f>IF(XS_Designer_Bed_Mix!$J4&lt;=XS_Designer!$BN$93,XS_Designer!BD$93,"")</f>
        <v/>
      </c>
      <c r="Y4" s="4" t="str">
        <f>IF(XS_Designer_Bed_Mix!$J4&lt;=XS_Designer!$BN$93,XS_Designer!BE$93,"")</f>
        <v/>
      </c>
      <c r="Z4" s="4" t="str">
        <f>IF(XS_Designer_Bed_Mix!$J4&lt;=XS_Designer!$BN$93,XS_Designer!BF$93,"")</f>
        <v/>
      </c>
      <c r="AA4" s="4" t="str">
        <f>IF(XS_Designer_Bed_Mix!$J4&lt;=XS_Designer!$BN$93,XS_Designer!BG$93,"")</f>
        <v/>
      </c>
      <c r="AB4" s="4" t="str">
        <f>IF(XS_Designer_Bed_Mix!$J4&lt;=XS_Designer!$BN$93,XS_Designer!BH$93,"")</f>
        <v/>
      </c>
      <c r="AC4" s="4" t="str">
        <f>IF(XS_Designer_Bed_Mix!$J4&lt;=XS_Designer!$BN$93,XS_Designer!BI$93,"")</f>
        <v/>
      </c>
      <c r="AD4" s="4" t="str">
        <f>IF(XS_Designer_Bed_Mix!$J4&lt;=XS_Designer!$BN$93,XS_Designer!BJ$93,"")</f>
        <v/>
      </c>
      <c r="AE4" s="4" t="str">
        <f>IF(XS_Designer_Bed_Mix!$J4&lt;=XS_Designer!$BN$94,XS_Designer!BA$94,"")</f>
        <v/>
      </c>
      <c r="AF4" s="4" t="str">
        <f>IF(XS_Designer_Bed_Mix!$J4&lt;=XS_Designer!$BN$94,XS_Designer!BB$94,"")</f>
        <v/>
      </c>
      <c r="AG4" s="4" t="str">
        <f>IF(XS_Designer_Bed_Mix!$J4&lt;=XS_Designer!$BN$94,XS_Designer!BC$94,"")</f>
        <v/>
      </c>
      <c r="AH4" s="4" t="str">
        <f>IF(XS_Designer_Bed_Mix!$J4&lt;=XS_Designer!$BN$94,XS_Designer!BD$94,"")</f>
        <v/>
      </c>
      <c r="AI4" s="4" t="str">
        <f>IF(XS_Designer_Bed_Mix!$J4&lt;=XS_Designer!$BN$94,XS_Designer!BE$94,"")</f>
        <v/>
      </c>
      <c r="AJ4" s="4" t="str">
        <f>IF(XS_Designer_Bed_Mix!$J4&lt;=XS_Designer!$BN$94,XS_Designer!BF$94,"")</f>
        <v/>
      </c>
      <c r="AK4" s="4" t="str">
        <f>IF(XS_Designer_Bed_Mix!$J4&lt;=XS_Designer!$BN$94,XS_Designer!BG$94,"")</f>
        <v/>
      </c>
      <c r="AL4" s="4" t="str">
        <f>IF(XS_Designer_Bed_Mix!$J4&lt;=XS_Designer!$BN$94,XS_Designer!BH$94,"")</f>
        <v/>
      </c>
      <c r="AM4" s="4" t="str">
        <f>IF(XS_Designer_Bed_Mix!$J4&lt;=XS_Designer!$BN$94,XS_Designer!BI$94,"")</f>
        <v/>
      </c>
      <c r="AN4" s="4" t="str">
        <f>IF(XS_Designer_Bed_Mix!$J4&lt;=XS_Designer!$BN$94,XS_Designer!BJ$94,"")</f>
        <v/>
      </c>
      <c r="AO4" s="4" t="str">
        <f>IF(XS_Designer_Bed_Mix!$J4&lt;=XS_Designer!$BN$95,XS_Designer!BA$95,"")</f>
        <v/>
      </c>
      <c r="AP4" s="4" t="str">
        <f>IF(XS_Designer_Bed_Mix!$J4&lt;=XS_Designer!$BN$95,XS_Designer!BB$95,"")</f>
        <v/>
      </c>
      <c r="AQ4" s="4" t="str">
        <f>IF(XS_Designer_Bed_Mix!$J4&lt;=XS_Designer!$BN$95,XS_Designer!BC$95,"")</f>
        <v/>
      </c>
      <c r="AR4" s="4" t="str">
        <f>IF(XS_Designer_Bed_Mix!$J4&lt;=XS_Designer!$BN$95,XS_Designer!BD$95,"")</f>
        <v/>
      </c>
      <c r="AS4" s="4" t="str">
        <f>IF(XS_Designer_Bed_Mix!$J4&lt;=XS_Designer!$BN$95,XS_Designer!BE$95,"")</f>
        <v/>
      </c>
      <c r="AT4" s="4" t="str">
        <f>IF(XS_Designer_Bed_Mix!$J4&lt;=XS_Designer!$BN$95,XS_Designer!BF$95,"")</f>
        <v/>
      </c>
      <c r="AU4" s="4" t="str">
        <f>IF(XS_Designer_Bed_Mix!$J4&lt;=XS_Designer!$BN$95,XS_Designer!BG$95,"")</f>
        <v/>
      </c>
      <c r="AV4" s="4" t="str">
        <f>IF(XS_Designer_Bed_Mix!$J4&lt;=XS_Designer!$BN$95,XS_Designer!BH$95,"")</f>
        <v/>
      </c>
      <c r="AW4" s="4" t="str">
        <f>IF(XS_Designer_Bed_Mix!$J4&lt;=XS_Designer!$BN$95,XS_Designer!BI$95,"")</f>
        <v/>
      </c>
      <c r="AX4" s="4" t="str">
        <f>IF(XS_Designer_Bed_Mix!$J4&lt;=XS_Designer!$BN$95,XS_Designer!BJ$95,"")</f>
        <v/>
      </c>
      <c r="AY4" s="4">
        <f>IF(XS_Designer_Bed_Mix!$J4&lt;=XS_Designer!$BN$96,XS_Designer!BA$96,"")</f>
        <v>335.28000000000003</v>
      </c>
      <c r="AZ4" s="4">
        <f>IF(XS_Designer_Bed_Mix!$J4&lt;=XS_Designer!$BN$96,XS_Designer!BB$96,"")</f>
        <v>335.28000000000003</v>
      </c>
      <c r="BA4" s="4">
        <f>IF(XS_Designer_Bed_Mix!$J4&lt;=XS_Designer!$BN$96,XS_Designer!BC$96,"")</f>
        <v>335.28000000000003</v>
      </c>
      <c r="BB4" s="4">
        <f>IF(XS_Designer_Bed_Mix!$J4&lt;=XS_Designer!$BN$96,XS_Designer!BD$96,"")</f>
        <v>335.28000000000003</v>
      </c>
      <c r="BC4" s="4">
        <f>IF(XS_Designer_Bed_Mix!$J4&lt;=XS_Designer!$BN$96,XS_Designer!BE$96,"")</f>
        <v>335.28000000000003</v>
      </c>
      <c r="BD4" s="4">
        <f>IF(XS_Designer_Bed_Mix!$J4&lt;=XS_Designer!$BN$96,XS_Designer!BF$96,"")</f>
        <v>335.28000000000003</v>
      </c>
      <c r="BE4" s="4">
        <f>IF(XS_Designer_Bed_Mix!$J4&lt;=XS_Designer!$BN$96,XS_Designer!BG$96,"")</f>
        <v>335.28000000000003</v>
      </c>
      <c r="BF4" s="4">
        <f>IF(XS_Designer_Bed_Mix!$J4&lt;=XS_Designer!$BN$96,XS_Designer!BH$96,"")</f>
        <v>335.28000000000003</v>
      </c>
      <c r="BG4" s="4">
        <f>IF(XS_Designer_Bed_Mix!$J4&lt;=XS_Designer!$BN$96,XS_Designer!BI$96,"")</f>
        <v>335.28000000000003</v>
      </c>
      <c r="BH4" s="4">
        <f>IF(XS_Designer_Bed_Mix!$J4&lt;=XS_Designer!$BN$96,XS_Designer!BJ$96,"")</f>
        <v>335.28000000000003</v>
      </c>
      <c r="BI4" s="4" t="str">
        <f>IF(XS_Designer_Bed_Mix!$J4&lt;=XS_Designer!$BN$97,XS_Designer!BA$97,"")</f>
        <v/>
      </c>
      <c r="BJ4" s="4" t="str">
        <f>IF(XS_Designer_Bed_Mix!$J4&lt;=XS_Designer!$BN$97,XS_Designer!BB$97,"")</f>
        <v/>
      </c>
      <c r="BK4" s="4" t="str">
        <f>IF(XS_Designer_Bed_Mix!$J4&lt;=XS_Designer!$BN$97,XS_Designer!BC$97,"")</f>
        <v/>
      </c>
      <c r="BL4" s="4" t="str">
        <f>IF(XS_Designer_Bed_Mix!$J4&lt;=XS_Designer!$BN$97,XS_Designer!BD$97,"")</f>
        <v/>
      </c>
      <c r="BM4" s="4" t="str">
        <f>IF(XS_Designer_Bed_Mix!$J4&lt;=XS_Designer!$BN$97,XS_Designer!BE$97,"")</f>
        <v/>
      </c>
      <c r="BN4" s="4" t="str">
        <f>IF(XS_Designer_Bed_Mix!$J4&lt;=XS_Designer!$BN$97,XS_Designer!BF$97,"")</f>
        <v/>
      </c>
      <c r="BO4" s="4" t="str">
        <f>IF(XS_Designer_Bed_Mix!$J4&lt;=XS_Designer!$BN$97,XS_Designer!BG$97,"")</f>
        <v/>
      </c>
      <c r="BP4" s="4" t="str">
        <f>IF(XS_Designer_Bed_Mix!$J4&lt;=XS_Designer!$BN$97,XS_Designer!BH$97,"")</f>
        <v/>
      </c>
      <c r="BQ4" s="4" t="str">
        <f>IF(XS_Designer_Bed_Mix!$J4&lt;=XS_Designer!$BN$97,XS_Designer!BI$97,"")</f>
        <v/>
      </c>
      <c r="BR4" s="4" t="str">
        <f>IF(XS_Designer_Bed_Mix!$J4&lt;=XS_Designer!$BN$97,XS_Designer!BJ$97,"")</f>
        <v/>
      </c>
      <c r="BS4" s="4" t="str">
        <f>IF(XS_Designer_Bed_Mix!$J4&lt;=XS_Designer!$BN$98,XS_Designer!BA$98,"")</f>
        <v/>
      </c>
      <c r="BT4" s="4" t="str">
        <f>IF(XS_Designer_Bed_Mix!$J4&lt;=XS_Designer!$BN$98,XS_Designer!BB$98,"")</f>
        <v/>
      </c>
      <c r="BU4" s="4" t="str">
        <f>IF(XS_Designer_Bed_Mix!$J4&lt;=XS_Designer!$BN$98,XS_Designer!BC$98,"")</f>
        <v/>
      </c>
      <c r="BV4" s="4" t="str">
        <f>IF(XS_Designer_Bed_Mix!$J4&lt;=XS_Designer!$BN$98,XS_Designer!BD$98,"")</f>
        <v/>
      </c>
      <c r="BW4" s="4" t="str">
        <f>IF(XS_Designer_Bed_Mix!$J4&lt;=XS_Designer!$BN$98,XS_Designer!BE$98,"")</f>
        <v/>
      </c>
      <c r="BX4" s="4" t="str">
        <f>IF(XS_Designer_Bed_Mix!$J4&lt;=XS_Designer!$BN$98,XS_Designer!BF$98,"")</f>
        <v/>
      </c>
      <c r="BY4" s="4" t="str">
        <f>IF(XS_Designer_Bed_Mix!$J4&lt;=XS_Designer!$BN$98,XS_Designer!BG$98,"")</f>
        <v/>
      </c>
      <c r="BZ4" s="4" t="str">
        <f>IF(XS_Designer_Bed_Mix!$J4&lt;=XS_Designer!$BN$98,XS_Designer!BH$98,"")</f>
        <v/>
      </c>
      <c r="CA4" s="4" t="str">
        <f>IF(XS_Designer_Bed_Mix!$J4&lt;=XS_Designer!$BN$98,XS_Designer!BI$98,"")</f>
        <v/>
      </c>
      <c r="CB4" s="4" t="str">
        <f>IF(XS_Designer_Bed_Mix!$J4&lt;=XS_Designer!$BN$98,XS_Designer!BJ$98,"")</f>
        <v/>
      </c>
      <c r="CC4" s="4" t="str">
        <f>IF(XS_Designer_Bed_Mix!$J4&lt;=XS_Designer!$BN$99,XS_Designer!BA$99,"")</f>
        <v/>
      </c>
      <c r="CD4" s="4" t="str">
        <f>IF(XS_Designer_Bed_Mix!$J4&lt;=XS_Designer!$BN$99,XS_Designer!BB$99,"")</f>
        <v/>
      </c>
      <c r="CE4" s="4" t="str">
        <f>IF(XS_Designer_Bed_Mix!$J4&lt;=XS_Designer!$BN$99,XS_Designer!BC$99,"")</f>
        <v/>
      </c>
      <c r="CF4" s="4" t="str">
        <f>IF(XS_Designer_Bed_Mix!$J4&lt;=XS_Designer!$BN$99,XS_Designer!BD$99,"")</f>
        <v/>
      </c>
      <c r="CG4" s="4" t="str">
        <f>IF(XS_Designer_Bed_Mix!$J4&lt;=XS_Designer!$BN$99,XS_Designer!BE$99,"")</f>
        <v/>
      </c>
      <c r="CH4" s="4" t="str">
        <f>IF(XS_Designer_Bed_Mix!$J4&lt;=XS_Designer!$BN$99,XS_Designer!BF$99,"")</f>
        <v/>
      </c>
      <c r="CI4" s="4" t="str">
        <f>IF(XS_Designer_Bed_Mix!$J4&lt;=XS_Designer!$BN$99,XS_Designer!BG$99,"")</f>
        <v/>
      </c>
      <c r="CJ4" s="4" t="str">
        <f>IF(XS_Designer_Bed_Mix!$J4&lt;=XS_Designer!$BN$99,XS_Designer!BH$99,"")</f>
        <v/>
      </c>
      <c r="CK4" s="4" t="str">
        <f>IF(XS_Designer_Bed_Mix!$J4&lt;=XS_Designer!$BN$99,XS_Designer!BI$99,"")</f>
        <v/>
      </c>
      <c r="CL4" s="4" t="str">
        <f>IF(XS_Designer_Bed_Mix!$J4&lt;=XS_Designer!$BN$99,XS_Designer!BJ$99,"")</f>
        <v/>
      </c>
      <c r="CM4" s="4">
        <f>IF(XS_Designer_Bed_Mix!$J4&lt;=XS_Designer!$BN$100,XS_Designer!BA$100,"")</f>
        <v>64</v>
      </c>
      <c r="CN4" s="4">
        <f>IF(XS_Designer_Bed_Mix!$J4&lt;=XS_Designer!$BN$100,XS_Designer!BB$100,"")</f>
        <v>57.6</v>
      </c>
      <c r="CO4" s="4">
        <f>IF(XS_Designer_Bed_Mix!$J4&lt;=XS_Designer!$BN$100,XS_Designer!BC$100,"")</f>
        <v>51.2</v>
      </c>
      <c r="CP4" s="4">
        <f>IF(XS_Designer_Bed_Mix!$J4&lt;=XS_Designer!$BN$100,XS_Designer!BD$100,"")</f>
        <v>44.800000000000004</v>
      </c>
      <c r="CQ4" s="4">
        <f>IF(XS_Designer_Bed_Mix!$J4&lt;=XS_Designer!$BN$100,XS_Designer!BE$100,"")</f>
        <v>38.400000000000006</v>
      </c>
      <c r="CR4" s="4">
        <f>IF(XS_Designer_Bed_Mix!$J4&lt;=XS_Designer!$BN$100,XS_Designer!BF$100,"")</f>
        <v>32</v>
      </c>
      <c r="CS4" s="4">
        <f>IF(XS_Designer_Bed_Mix!$J4&lt;=XS_Designer!$BN$100,XS_Designer!BG$100,"")</f>
        <v>26</v>
      </c>
      <c r="CT4" s="4">
        <f>IF(XS_Designer_Bed_Mix!$J4&lt;=XS_Designer!$BN$100,XS_Designer!BH$100,"")</f>
        <v>20</v>
      </c>
      <c r="CU4" s="4">
        <f>IF(XS_Designer_Bed_Mix!$J4&lt;=XS_Designer!$BN$100,XS_Designer!BI$100,"")</f>
        <v>14</v>
      </c>
      <c r="CV4" s="4">
        <f>IF(XS_Designer_Bed_Mix!$J4&lt;=XS_Designer!$BN$100,XS_Designer!BJ$100,"")</f>
        <v>8</v>
      </c>
      <c r="CW4" s="4">
        <f>IF(XS_Designer_Bed_Mix!$J4&lt;=XS_Designer!$BN$101,XS_Designer!BA$101,"")</f>
        <v>2</v>
      </c>
      <c r="CX4" s="4">
        <f>IF(XS_Designer_Bed_Mix!$J4&lt;=XS_Designer!$BN$101,XS_Designer!BB$101,"")</f>
        <v>1.9</v>
      </c>
      <c r="CY4" s="4">
        <f>IF(XS_Designer_Bed_Mix!$J4&lt;=XS_Designer!$BN$101,XS_Designer!BC$101,"")</f>
        <v>1.7999999999999998</v>
      </c>
      <c r="CZ4" s="4">
        <f>IF(XS_Designer_Bed_Mix!$J4&lt;=XS_Designer!$BN$101,XS_Designer!BD$101,"")</f>
        <v>1.6999999999999997</v>
      </c>
      <c r="DA4" s="4">
        <f>IF(XS_Designer_Bed_Mix!$J4&lt;=XS_Designer!$BN$101,XS_Designer!BE$101,"")</f>
        <v>1.5999999999999996</v>
      </c>
      <c r="DB4" s="4">
        <f>IF(XS_Designer_Bed_Mix!$J4&lt;=XS_Designer!$BN$101,XS_Designer!BF$101,"")</f>
        <v>1.5</v>
      </c>
      <c r="DC4" s="4">
        <f>IF(XS_Designer_Bed_Mix!$J4&lt;=XS_Designer!$BN$101,XS_Designer!BG$101,"")</f>
        <v>1.4</v>
      </c>
      <c r="DD4" s="4">
        <f>IF(XS_Designer_Bed_Mix!$J4&lt;=XS_Designer!$BN$101,XS_Designer!BH$101,"")</f>
        <v>1.2999999999999998</v>
      </c>
      <c r="DE4" s="4">
        <f>IF(XS_Designer_Bed_Mix!$J4&lt;=XS_Designer!$BN$101,XS_Designer!BI$101,"")</f>
        <v>1.1999999999999997</v>
      </c>
      <c r="DF4" s="4">
        <f>IF(XS_Designer_Bed_Mix!$J4&lt;=XS_Designer!$BN$101,XS_Designer!BJ$101,"")</f>
        <v>1.0999999999999996</v>
      </c>
      <c r="DG4" s="4">
        <f>IF(XS_Designer_Bed_Mix!$J4&lt;=XS_Designer!$BN$102,XS_Designer!BA$102,"")</f>
        <v>1</v>
      </c>
      <c r="DH4" s="4">
        <f>IF(XS_Designer_Bed_Mix!$J4&lt;=XS_Designer!$BN$102,XS_Designer!BB$102,"")</f>
        <v>0.9</v>
      </c>
      <c r="DI4" s="4">
        <f>IF(XS_Designer_Bed_Mix!$J4&lt;=XS_Designer!$BN$102,XS_Designer!BC$102,"")</f>
        <v>0.8</v>
      </c>
      <c r="DJ4" s="4">
        <f>IF(XS_Designer_Bed_Mix!$J4&lt;=XS_Designer!$BN$102,XS_Designer!BD$102,"")</f>
        <v>0.70000000000000007</v>
      </c>
      <c r="DK4" s="4">
        <f>IF(XS_Designer_Bed_Mix!$J4&lt;=XS_Designer!$BN$102,XS_Designer!BE$102,"")</f>
        <v>0.60000000000000009</v>
      </c>
      <c r="DL4" s="4">
        <f>IF(XS_Designer_Bed_Mix!$J4&lt;=XS_Designer!$BN$102,XS_Designer!BF$102,"")</f>
        <v>0.5</v>
      </c>
      <c r="DM4" s="4">
        <f>IF(XS_Designer_Bed_Mix!$J4&lt;=XS_Designer!$BN$102,XS_Designer!BG$102,"")</f>
        <v>0.40039999999999998</v>
      </c>
      <c r="DN4" s="4">
        <f>IF(XS_Designer_Bed_Mix!$J4&lt;=XS_Designer!$BN$102,XS_Designer!BH$102,"")</f>
        <v>0.30079999999999996</v>
      </c>
      <c r="DO4" s="4">
        <f>IF(XS_Designer_Bed_Mix!$J4&lt;=XS_Designer!$BN$102,XS_Designer!BI$102,"")</f>
        <v>0.20119999999999996</v>
      </c>
      <c r="DP4" s="4">
        <f>IF(XS_Designer_Bed_Mix!$J4&lt;=XS_Designer!$BN$102,XS_Designer!BJ$102,"")</f>
        <v>0.10159999999999997</v>
      </c>
    </row>
    <row r="5" spans="2:120" ht="15">
      <c r="B5" s="5">
        <v>2</v>
      </c>
      <c r="C5" s="8"/>
      <c r="D5" s="1"/>
      <c r="E5" s="6" t="s">
        <v>809</v>
      </c>
      <c r="F5" s="187">
        <f t="shared" ref="F5:F15" si="0">_xlfn.PERCENTILE.EXC($K$2:$DP$101,H5)</f>
        <v>0.10159999999999997</v>
      </c>
      <c r="G5">
        <v>0</v>
      </c>
      <c r="H5">
        <v>1E-3</v>
      </c>
      <c r="J5" s="3">
        <v>0.04</v>
      </c>
      <c r="K5" s="4" t="str">
        <f>IF(XS_Designer_Bed_Mix!$J5&lt;=XS_Designer!$BN$92,XS_Designer!BA$92,"")</f>
        <v/>
      </c>
      <c r="L5" s="4" t="str">
        <f>IF(XS_Designer_Bed_Mix!$J5&lt;=XS_Designer!$BN$92,XS_Designer!BB$92,"")</f>
        <v/>
      </c>
      <c r="M5" s="4" t="str">
        <f>IF(XS_Designer_Bed_Mix!$J5&lt;=XS_Designer!$BN$92,XS_Designer!BC$92,"")</f>
        <v/>
      </c>
      <c r="N5" s="4" t="str">
        <f>IF(XS_Designer_Bed_Mix!$J5&lt;=XS_Designer!$BN$92,XS_Designer!BD$92,"")</f>
        <v/>
      </c>
      <c r="O5" s="4" t="str">
        <f>IF(XS_Designer_Bed_Mix!$J5&lt;=XS_Designer!$BN$92,XS_Designer!BE$92,"")</f>
        <v/>
      </c>
      <c r="P5" s="4" t="str">
        <f>IF(XS_Designer_Bed_Mix!$J5&lt;=XS_Designer!$BN$92,XS_Designer!BF$92,"")</f>
        <v/>
      </c>
      <c r="Q5" s="4" t="str">
        <f>IF(XS_Designer_Bed_Mix!$J5&lt;=XS_Designer!$BN$92,XS_Designer!BG$92,"")</f>
        <v/>
      </c>
      <c r="R5" s="4" t="str">
        <f>IF(XS_Designer_Bed_Mix!$J5&lt;=XS_Designer!$BN$92,XS_Designer!BH$92,"")</f>
        <v/>
      </c>
      <c r="S5" s="4" t="str">
        <f>IF(XS_Designer_Bed_Mix!$J5&lt;=XS_Designer!$BN$92,XS_Designer!BI$92,"")</f>
        <v/>
      </c>
      <c r="T5" s="4" t="str">
        <f>IF(XS_Designer_Bed_Mix!$J5&lt;=XS_Designer!$BN$92,XS_Designer!BJ$92,"")</f>
        <v/>
      </c>
      <c r="U5" s="4" t="str">
        <f>IF(XS_Designer_Bed_Mix!$J5&lt;=XS_Designer!$BN$93,XS_Designer!BA$93,"")</f>
        <v/>
      </c>
      <c r="V5" s="4" t="str">
        <f>IF(XS_Designer_Bed_Mix!$J5&lt;=XS_Designer!$BN$93,XS_Designer!BB$93,"")</f>
        <v/>
      </c>
      <c r="W5" s="4" t="str">
        <f>IF(XS_Designer_Bed_Mix!$J5&lt;=XS_Designer!$BN$93,XS_Designer!BC$93,"")</f>
        <v/>
      </c>
      <c r="X5" s="4" t="str">
        <f>IF(XS_Designer_Bed_Mix!$J5&lt;=XS_Designer!$BN$93,XS_Designer!BD$93,"")</f>
        <v/>
      </c>
      <c r="Y5" s="4" t="str">
        <f>IF(XS_Designer_Bed_Mix!$J5&lt;=XS_Designer!$BN$93,XS_Designer!BE$93,"")</f>
        <v/>
      </c>
      <c r="Z5" s="4" t="str">
        <f>IF(XS_Designer_Bed_Mix!$J5&lt;=XS_Designer!$BN$93,XS_Designer!BF$93,"")</f>
        <v/>
      </c>
      <c r="AA5" s="4" t="str">
        <f>IF(XS_Designer_Bed_Mix!$J5&lt;=XS_Designer!$BN$93,XS_Designer!BG$93,"")</f>
        <v/>
      </c>
      <c r="AB5" s="4" t="str">
        <f>IF(XS_Designer_Bed_Mix!$J5&lt;=XS_Designer!$BN$93,XS_Designer!BH$93,"")</f>
        <v/>
      </c>
      <c r="AC5" s="4" t="str">
        <f>IF(XS_Designer_Bed_Mix!$J5&lt;=XS_Designer!$BN$93,XS_Designer!BI$93,"")</f>
        <v/>
      </c>
      <c r="AD5" s="4" t="str">
        <f>IF(XS_Designer_Bed_Mix!$J5&lt;=XS_Designer!$BN$93,XS_Designer!BJ$93,"")</f>
        <v/>
      </c>
      <c r="AE5" s="4" t="str">
        <f>IF(XS_Designer_Bed_Mix!$J5&lt;=XS_Designer!$BN$94,XS_Designer!BA$94,"")</f>
        <v/>
      </c>
      <c r="AF5" s="4" t="str">
        <f>IF(XS_Designer_Bed_Mix!$J5&lt;=XS_Designer!$BN$94,XS_Designer!BB$94,"")</f>
        <v/>
      </c>
      <c r="AG5" s="4" t="str">
        <f>IF(XS_Designer_Bed_Mix!$J5&lt;=XS_Designer!$BN$94,XS_Designer!BC$94,"")</f>
        <v/>
      </c>
      <c r="AH5" s="4" t="str">
        <f>IF(XS_Designer_Bed_Mix!$J5&lt;=XS_Designer!$BN$94,XS_Designer!BD$94,"")</f>
        <v/>
      </c>
      <c r="AI5" s="4" t="str">
        <f>IF(XS_Designer_Bed_Mix!$J5&lt;=XS_Designer!$BN$94,XS_Designer!BE$94,"")</f>
        <v/>
      </c>
      <c r="AJ5" s="4" t="str">
        <f>IF(XS_Designer_Bed_Mix!$J5&lt;=XS_Designer!$BN$94,XS_Designer!BF$94,"")</f>
        <v/>
      </c>
      <c r="AK5" s="4" t="str">
        <f>IF(XS_Designer_Bed_Mix!$J5&lt;=XS_Designer!$BN$94,XS_Designer!BG$94,"")</f>
        <v/>
      </c>
      <c r="AL5" s="4" t="str">
        <f>IF(XS_Designer_Bed_Mix!$J5&lt;=XS_Designer!$BN$94,XS_Designer!BH$94,"")</f>
        <v/>
      </c>
      <c r="AM5" s="4" t="str">
        <f>IF(XS_Designer_Bed_Mix!$J5&lt;=XS_Designer!$BN$94,XS_Designer!BI$94,"")</f>
        <v/>
      </c>
      <c r="AN5" s="4" t="str">
        <f>IF(XS_Designer_Bed_Mix!$J5&lt;=XS_Designer!$BN$94,XS_Designer!BJ$94,"")</f>
        <v/>
      </c>
      <c r="AO5" s="4" t="str">
        <f>IF(XS_Designer_Bed_Mix!$J5&lt;=XS_Designer!$BN$95,XS_Designer!BA$95,"")</f>
        <v/>
      </c>
      <c r="AP5" s="4" t="str">
        <f>IF(XS_Designer_Bed_Mix!$J5&lt;=XS_Designer!$BN$95,XS_Designer!BB$95,"")</f>
        <v/>
      </c>
      <c r="AQ5" s="4" t="str">
        <f>IF(XS_Designer_Bed_Mix!$J5&lt;=XS_Designer!$BN$95,XS_Designer!BC$95,"")</f>
        <v/>
      </c>
      <c r="AR5" s="4" t="str">
        <f>IF(XS_Designer_Bed_Mix!$J5&lt;=XS_Designer!$BN$95,XS_Designer!BD$95,"")</f>
        <v/>
      </c>
      <c r="AS5" s="4" t="str">
        <f>IF(XS_Designer_Bed_Mix!$J5&lt;=XS_Designer!$BN$95,XS_Designer!BE$95,"")</f>
        <v/>
      </c>
      <c r="AT5" s="4" t="str">
        <f>IF(XS_Designer_Bed_Mix!$J5&lt;=XS_Designer!$BN$95,XS_Designer!BF$95,"")</f>
        <v/>
      </c>
      <c r="AU5" s="4" t="str">
        <f>IF(XS_Designer_Bed_Mix!$J5&lt;=XS_Designer!$BN$95,XS_Designer!BG$95,"")</f>
        <v/>
      </c>
      <c r="AV5" s="4" t="str">
        <f>IF(XS_Designer_Bed_Mix!$J5&lt;=XS_Designer!$BN$95,XS_Designer!BH$95,"")</f>
        <v/>
      </c>
      <c r="AW5" s="4" t="str">
        <f>IF(XS_Designer_Bed_Mix!$J5&lt;=XS_Designer!$BN$95,XS_Designer!BI$95,"")</f>
        <v/>
      </c>
      <c r="AX5" s="4" t="str">
        <f>IF(XS_Designer_Bed_Mix!$J5&lt;=XS_Designer!$BN$95,XS_Designer!BJ$95,"")</f>
        <v/>
      </c>
      <c r="AY5" s="4">
        <f>IF(XS_Designer_Bed_Mix!$J5&lt;=XS_Designer!$BN$96,XS_Designer!BA$96,"")</f>
        <v>335.28000000000003</v>
      </c>
      <c r="AZ5" s="4">
        <f>IF(XS_Designer_Bed_Mix!$J5&lt;=XS_Designer!$BN$96,XS_Designer!BB$96,"")</f>
        <v>335.28000000000003</v>
      </c>
      <c r="BA5" s="4">
        <f>IF(XS_Designer_Bed_Mix!$J5&lt;=XS_Designer!$BN$96,XS_Designer!BC$96,"")</f>
        <v>335.28000000000003</v>
      </c>
      <c r="BB5" s="4">
        <f>IF(XS_Designer_Bed_Mix!$J5&lt;=XS_Designer!$BN$96,XS_Designer!BD$96,"")</f>
        <v>335.28000000000003</v>
      </c>
      <c r="BC5" s="4">
        <f>IF(XS_Designer_Bed_Mix!$J5&lt;=XS_Designer!$BN$96,XS_Designer!BE$96,"")</f>
        <v>335.28000000000003</v>
      </c>
      <c r="BD5" s="4">
        <f>IF(XS_Designer_Bed_Mix!$J5&lt;=XS_Designer!$BN$96,XS_Designer!BF$96,"")</f>
        <v>335.28000000000003</v>
      </c>
      <c r="BE5" s="4">
        <f>IF(XS_Designer_Bed_Mix!$J5&lt;=XS_Designer!$BN$96,XS_Designer!BG$96,"")</f>
        <v>335.28000000000003</v>
      </c>
      <c r="BF5" s="4">
        <f>IF(XS_Designer_Bed_Mix!$J5&lt;=XS_Designer!$BN$96,XS_Designer!BH$96,"")</f>
        <v>335.28000000000003</v>
      </c>
      <c r="BG5" s="4">
        <f>IF(XS_Designer_Bed_Mix!$J5&lt;=XS_Designer!$BN$96,XS_Designer!BI$96,"")</f>
        <v>335.28000000000003</v>
      </c>
      <c r="BH5" s="4">
        <f>IF(XS_Designer_Bed_Mix!$J5&lt;=XS_Designer!$BN$96,XS_Designer!BJ$96,"")</f>
        <v>335.28000000000003</v>
      </c>
      <c r="BI5" s="4" t="str">
        <f>IF(XS_Designer_Bed_Mix!$J5&lt;=XS_Designer!$BN$97,XS_Designer!BA$97,"")</f>
        <v/>
      </c>
      <c r="BJ5" s="4" t="str">
        <f>IF(XS_Designer_Bed_Mix!$J5&lt;=XS_Designer!$BN$97,XS_Designer!BB$97,"")</f>
        <v/>
      </c>
      <c r="BK5" s="4" t="str">
        <f>IF(XS_Designer_Bed_Mix!$J5&lt;=XS_Designer!$BN$97,XS_Designer!BC$97,"")</f>
        <v/>
      </c>
      <c r="BL5" s="4" t="str">
        <f>IF(XS_Designer_Bed_Mix!$J5&lt;=XS_Designer!$BN$97,XS_Designer!BD$97,"")</f>
        <v/>
      </c>
      <c r="BM5" s="4" t="str">
        <f>IF(XS_Designer_Bed_Mix!$J5&lt;=XS_Designer!$BN$97,XS_Designer!BE$97,"")</f>
        <v/>
      </c>
      <c r="BN5" s="4" t="str">
        <f>IF(XS_Designer_Bed_Mix!$J5&lt;=XS_Designer!$BN$97,XS_Designer!BF$97,"")</f>
        <v/>
      </c>
      <c r="BO5" s="4" t="str">
        <f>IF(XS_Designer_Bed_Mix!$J5&lt;=XS_Designer!$BN$97,XS_Designer!BG$97,"")</f>
        <v/>
      </c>
      <c r="BP5" s="4" t="str">
        <f>IF(XS_Designer_Bed_Mix!$J5&lt;=XS_Designer!$BN$97,XS_Designer!BH$97,"")</f>
        <v/>
      </c>
      <c r="BQ5" s="4" t="str">
        <f>IF(XS_Designer_Bed_Mix!$J5&lt;=XS_Designer!$BN$97,XS_Designer!BI$97,"")</f>
        <v/>
      </c>
      <c r="BR5" s="4" t="str">
        <f>IF(XS_Designer_Bed_Mix!$J5&lt;=XS_Designer!$BN$97,XS_Designer!BJ$97,"")</f>
        <v/>
      </c>
      <c r="BS5" s="4" t="str">
        <f>IF(XS_Designer_Bed_Mix!$J5&lt;=XS_Designer!$BN$98,XS_Designer!BA$98,"")</f>
        <v/>
      </c>
      <c r="BT5" s="4" t="str">
        <f>IF(XS_Designer_Bed_Mix!$J5&lt;=XS_Designer!$BN$98,XS_Designer!BB$98,"")</f>
        <v/>
      </c>
      <c r="BU5" s="4" t="str">
        <f>IF(XS_Designer_Bed_Mix!$J5&lt;=XS_Designer!$BN$98,XS_Designer!BC$98,"")</f>
        <v/>
      </c>
      <c r="BV5" s="4" t="str">
        <f>IF(XS_Designer_Bed_Mix!$J5&lt;=XS_Designer!$BN$98,XS_Designer!BD$98,"")</f>
        <v/>
      </c>
      <c r="BW5" s="4" t="str">
        <f>IF(XS_Designer_Bed_Mix!$J5&lt;=XS_Designer!$BN$98,XS_Designer!BE$98,"")</f>
        <v/>
      </c>
      <c r="BX5" s="4" t="str">
        <f>IF(XS_Designer_Bed_Mix!$J5&lt;=XS_Designer!$BN$98,XS_Designer!BF$98,"")</f>
        <v/>
      </c>
      <c r="BY5" s="4" t="str">
        <f>IF(XS_Designer_Bed_Mix!$J5&lt;=XS_Designer!$BN$98,XS_Designer!BG$98,"")</f>
        <v/>
      </c>
      <c r="BZ5" s="4" t="str">
        <f>IF(XS_Designer_Bed_Mix!$J5&lt;=XS_Designer!$BN$98,XS_Designer!BH$98,"")</f>
        <v/>
      </c>
      <c r="CA5" s="4" t="str">
        <f>IF(XS_Designer_Bed_Mix!$J5&lt;=XS_Designer!$BN$98,XS_Designer!BI$98,"")</f>
        <v/>
      </c>
      <c r="CB5" s="4" t="str">
        <f>IF(XS_Designer_Bed_Mix!$J5&lt;=XS_Designer!$BN$98,XS_Designer!BJ$98,"")</f>
        <v/>
      </c>
      <c r="CC5" s="4" t="str">
        <f>IF(XS_Designer_Bed_Mix!$J5&lt;=XS_Designer!$BN$99,XS_Designer!BA$99,"")</f>
        <v/>
      </c>
      <c r="CD5" s="4" t="str">
        <f>IF(XS_Designer_Bed_Mix!$J5&lt;=XS_Designer!$BN$99,XS_Designer!BB$99,"")</f>
        <v/>
      </c>
      <c r="CE5" s="4" t="str">
        <f>IF(XS_Designer_Bed_Mix!$J5&lt;=XS_Designer!$BN$99,XS_Designer!BC$99,"")</f>
        <v/>
      </c>
      <c r="CF5" s="4" t="str">
        <f>IF(XS_Designer_Bed_Mix!$J5&lt;=XS_Designer!$BN$99,XS_Designer!BD$99,"")</f>
        <v/>
      </c>
      <c r="CG5" s="4" t="str">
        <f>IF(XS_Designer_Bed_Mix!$J5&lt;=XS_Designer!$BN$99,XS_Designer!BE$99,"")</f>
        <v/>
      </c>
      <c r="CH5" s="4" t="str">
        <f>IF(XS_Designer_Bed_Mix!$J5&lt;=XS_Designer!$BN$99,XS_Designer!BF$99,"")</f>
        <v/>
      </c>
      <c r="CI5" s="4" t="str">
        <f>IF(XS_Designer_Bed_Mix!$J5&lt;=XS_Designer!$BN$99,XS_Designer!BG$99,"")</f>
        <v/>
      </c>
      <c r="CJ5" s="4" t="str">
        <f>IF(XS_Designer_Bed_Mix!$J5&lt;=XS_Designer!$BN$99,XS_Designer!BH$99,"")</f>
        <v/>
      </c>
      <c r="CK5" s="4" t="str">
        <f>IF(XS_Designer_Bed_Mix!$J5&lt;=XS_Designer!$BN$99,XS_Designer!BI$99,"")</f>
        <v/>
      </c>
      <c r="CL5" s="4" t="str">
        <f>IF(XS_Designer_Bed_Mix!$J5&lt;=XS_Designer!$BN$99,XS_Designer!BJ$99,"")</f>
        <v/>
      </c>
      <c r="CM5" s="4">
        <f>IF(XS_Designer_Bed_Mix!$J5&lt;=XS_Designer!$BN$100,XS_Designer!BA$100,"")</f>
        <v>64</v>
      </c>
      <c r="CN5" s="4">
        <f>IF(XS_Designer_Bed_Mix!$J5&lt;=XS_Designer!$BN$100,XS_Designer!BB$100,"")</f>
        <v>57.6</v>
      </c>
      <c r="CO5" s="4">
        <f>IF(XS_Designer_Bed_Mix!$J5&lt;=XS_Designer!$BN$100,XS_Designer!BC$100,"")</f>
        <v>51.2</v>
      </c>
      <c r="CP5" s="4">
        <f>IF(XS_Designer_Bed_Mix!$J5&lt;=XS_Designer!$BN$100,XS_Designer!BD$100,"")</f>
        <v>44.800000000000004</v>
      </c>
      <c r="CQ5" s="4">
        <f>IF(XS_Designer_Bed_Mix!$J5&lt;=XS_Designer!$BN$100,XS_Designer!BE$100,"")</f>
        <v>38.400000000000006</v>
      </c>
      <c r="CR5" s="4">
        <f>IF(XS_Designer_Bed_Mix!$J5&lt;=XS_Designer!$BN$100,XS_Designer!BF$100,"")</f>
        <v>32</v>
      </c>
      <c r="CS5" s="4">
        <f>IF(XS_Designer_Bed_Mix!$J5&lt;=XS_Designer!$BN$100,XS_Designer!BG$100,"")</f>
        <v>26</v>
      </c>
      <c r="CT5" s="4">
        <f>IF(XS_Designer_Bed_Mix!$J5&lt;=XS_Designer!$BN$100,XS_Designer!BH$100,"")</f>
        <v>20</v>
      </c>
      <c r="CU5" s="4">
        <f>IF(XS_Designer_Bed_Mix!$J5&lt;=XS_Designer!$BN$100,XS_Designer!BI$100,"")</f>
        <v>14</v>
      </c>
      <c r="CV5" s="4">
        <f>IF(XS_Designer_Bed_Mix!$J5&lt;=XS_Designer!$BN$100,XS_Designer!BJ$100,"")</f>
        <v>8</v>
      </c>
      <c r="CW5" s="4">
        <f>IF(XS_Designer_Bed_Mix!$J5&lt;=XS_Designer!$BN$101,XS_Designer!BA$101,"")</f>
        <v>2</v>
      </c>
      <c r="CX5" s="4">
        <f>IF(XS_Designer_Bed_Mix!$J5&lt;=XS_Designer!$BN$101,XS_Designer!BB$101,"")</f>
        <v>1.9</v>
      </c>
      <c r="CY5" s="4">
        <f>IF(XS_Designer_Bed_Mix!$J5&lt;=XS_Designer!$BN$101,XS_Designer!BC$101,"")</f>
        <v>1.7999999999999998</v>
      </c>
      <c r="CZ5" s="4">
        <f>IF(XS_Designer_Bed_Mix!$J5&lt;=XS_Designer!$BN$101,XS_Designer!BD$101,"")</f>
        <v>1.6999999999999997</v>
      </c>
      <c r="DA5" s="4">
        <f>IF(XS_Designer_Bed_Mix!$J5&lt;=XS_Designer!$BN$101,XS_Designer!BE$101,"")</f>
        <v>1.5999999999999996</v>
      </c>
      <c r="DB5" s="4">
        <f>IF(XS_Designer_Bed_Mix!$J5&lt;=XS_Designer!$BN$101,XS_Designer!BF$101,"")</f>
        <v>1.5</v>
      </c>
      <c r="DC5" s="4">
        <f>IF(XS_Designer_Bed_Mix!$J5&lt;=XS_Designer!$BN$101,XS_Designer!BG$101,"")</f>
        <v>1.4</v>
      </c>
      <c r="DD5" s="4">
        <f>IF(XS_Designer_Bed_Mix!$J5&lt;=XS_Designer!$BN$101,XS_Designer!BH$101,"")</f>
        <v>1.2999999999999998</v>
      </c>
      <c r="DE5" s="4">
        <f>IF(XS_Designer_Bed_Mix!$J5&lt;=XS_Designer!$BN$101,XS_Designer!BI$101,"")</f>
        <v>1.1999999999999997</v>
      </c>
      <c r="DF5" s="4">
        <f>IF(XS_Designer_Bed_Mix!$J5&lt;=XS_Designer!$BN$101,XS_Designer!BJ$101,"")</f>
        <v>1.0999999999999996</v>
      </c>
      <c r="DG5" s="4">
        <f>IF(XS_Designer_Bed_Mix!$J5&lt;=XS_Designer!$BN$102,XS_Designer!BA$102,"")</f>
        <v>1</v>
      </c>
      <c r="DH5" s="4">
        <f>IF(XS_Designer_Bed_Mix!$J5&lt;=XS_Designer!$BN$102,XS_Designer!BB$102,"")</f>
        <v>0.9</v>
      </c>
      <c r="DI5" s="4">
        <f>IF(XS_Designer_Bed_Mix!$J5&lt;=XS_Designer!$BN$102,XS_Designer!BC$102,"")</f>
        <v>0.8</v>
      </c>
      <c r="DJ5" s="4">
        <f>IF(XS_Designer_Bed_Mix!$J5&lt;=XS_Designer!$BN$102,XS_Designer!BD$102,"")</f>
        <v>0.70000000000000007</v>
      </c>
      <c r="DK5" s="4">
        <f>IF(XS_Designer_Bed_Mix!$J5&lt;=XS_Designer!$BN$102,XS_Designer!BE$102,"")</f>
        <v>0.60000000000000009</v>
      </c>
      <c r="DL5" s="4">
        <f>IF(XS_Designer_Bed_Mix!$J5&lt;=XS_Designer!$BN$102,XS_Designer!BF$102,"")</f>
        <v>0.5</v>
      </c>
      <c r="DM5" s="4">
        <f>IF(XS_Designer_Bed_Mix!$J5&lt;=XS_Designer!$BN$102,XS_Designer!BG$102,"")</f>
        <v>0.40039999999999998</v>
      </c>
      <c r="DN5" s="4">
        <f>IF(XS_Designer_Bed_Mix!$J5&lt;=XS_Designer!$BN$102,XS_Designer!BH$102,"")</f>
        <v>0.30079999999999996</v>
      </c>
      <c r="DO5" s="4">
        <f>IF(XS_Designer_Bed_Mix!$J5&lt;=XS_Designer!$BN$102,XS_Designer!BI$102,"")</f>
        <v>0.20119999999999996</v>
      </c>
      <c r="DP5" s="4">
        <f>IF(XS_Designer_Bed_Mix!$J5&lt;=XS_Designer!$BN$102,XS_Designer!BJ$102,"")</f>
        <v>0.10159999999999997</v>
      </c>
    </row>
    <row r="6" spans="2:120" ht="15">
      <c r="B6" s="5">
        <v>4</v>
      </c>
      <c r="C6" s="8"/>
      <c r="D6" s="1"/>
      <c r="E6" s="6" t="s">
        <v>623</v>
      </c>
      <c r="F6" s="187">
        <f t="shared" si="0"/>
        <v>1.5100000000000009</v>
      </c>
      <c r="G6">
        <v>10</v>
      </c>
      <c r="H6">
        <f t="shared" ref="H6:H14" si="1">G6/100</f>
        <v>0.1</v>
      </c>
      <c r="J6" s="3">
        <v>0.05</v>
      </c>
      <c r="K6" s="4" t="str">
        <f>IF(XS_Designer_Bed_Mix!$J6&lt;=XS_Designer!$BN$92,XS_Designer!BA$92,"")</f>
        <v/>
      </c>
      <c r="L6" s="4" t="str">
        <f>IF(XS_Designer_Bed_Mix!$J6&lt;=XS_Designer!$BN$92,XS_Designer!BB$92,"")</f>
        <v/>
      </c>
      <c r="M6" s="4" t="str">
        <f>IF(XS_Designer_Bed_Mix!$J6&lt;=XS_Designer!$BN$92,XS_Designer!BC$92,"")</f>
        <v/>
      </c>
      <c r="N6" s="4" t="str">
        <f>IF(XS_Designer_Bed_Mix!$J6&lt;=XS_Designer!$BN$92,XS_Designer!BD$92,"")</f>
        <v/>
      </c>
      <c r="O6" s="4" t="str">
        <f>IF(XS_Designer_Bed_Mix!$J6&lt;=XS_Designer!$BN$92,XS_Designer!BE$92,"")</f>
        <v/>
      </c>
      <c r="P6" s="4" t="str">
        <f>IF(XS_Designer_Bed_Mix!$J6&lt;=XS_Designer!$BN$92,XS_Designer!BF$92,"")</f>
        <v/>
      </c>
      <c r="Q6" s="4" t="str">
        <f>IF(XS_Designer_Bed_Mix!$J6&lt;=XS_Designer!$BN$92,XS_Designer!BG$92,"")</f>
        <v/>
      </c>
      <c r="R6" s="4" t="str">
        <f>IF(XS_Designer_Bed_Mix!$J6&lt;=XS_Designer!$BN$92,XS_Designer!BH$92,"")</f>
        <v/>
      </c>
      <c r="S6" s="4" t="str">
        <f>IF(XS_Designer_Bed_Mix!$J6&lt;=XS_Designer!$BN$92,XS_Designer!BI$92,"")</f>
        <v/>
      </c>
      <c r="T6" s="4" t="str">
        <f>IF(XS_Designer_Bed_Mix!$J6&lt;=XS_Designer!$BN$92,XS_Designer!BJ$92,"")</f>
        <v/>
      </c>
      <c r="U6" s="4" t="str">
        <f>IF(XS_Designer_Bed_Mix!$J6&lt;=XS_Designer!$BN$93,XS_Designer!BA$93,"")</f>
        <v/>
      </c>
      <c r="V6" s="4" t="str">
        <f>IF(XS_Designer_Bed_Mix!$J6&lt;=XS_Designer!$BN$93,XS_Designer!BB$93,"")</f>
        <v/>
      </c>
      <c r="W6" s="4" t="str">
        <f>IF(XS_Designer_Bed_Mix!$J6&lt;=XS_Designer!$BN$93,XS_Designer!BC$93,"")</f>
        <v/>
      </c>
      <c r="X6" s="4" t="str">
        <f>IF(XS_Designer_Bed_Mix!$J6&lt;=XS_Designer!$BN$93,XS_Designer!BD$93,"")</f>
        <v/>
      </c>
      <c r="Y6" s="4" t="str">
        <f>IF(XS_Designer_Bed_Mix!$J6&lt;=XS_Designer!$BN$93,XS_Designer!BE$93,"")</f>
        <v/>
      </c>
      <c r="Z6" s="4" t="str">
        <f>IF(XS_Designer_Bed_Mix!$J6&lt;=XS_Designer!$BN$93,XS_Designer!BF$93,"")</f>
        <v/>
      </c>
      <c r="AA6" s="4" t="str">
        <f>IF(XS_Designer_Bed_Mix!$J6&lt;=XS_Designer!$BN$93,XS_Designer!BG$93,"")</f>
        <v/>
      </c>
      <c r="AB6" s="4" t="str">
        <f>IF(XS_Designer_Bed_Mix!$J6&lt;=XS_Designer!$BN$93,XS_Designer!BH$93,"")</f>
        <v/>
      </c>
      <c r="AC6" s="4" t="str">
        <f>IF(XS_Designer_Bed_Mix!$J6&lt;=XS_Designer!$BN$93,XS_Designer!BI$93,"")</f>
        <v/>
      </c>
      <c r="AD6" s="4" t="str">
        <f>IF(XS_Designer_Bed_Mix!$J6&lt;=XS_Designer!$BN$93,XS_Designer!BJ$93,"")</f>
        <v/>
      </c>
      <c r="AE6" s="4" t="str">
        <f>IF(XS_Designer_Bed_Mix!$J6&lt;=XS_Designer!$BN$94,XS_Designer!BA$94,"")</f>
        <v/>
      </c>
      <c r="AF6" s="4" t="str">
        <f>IF(XS_Designer_Bed_Mix!$J6&lt;=XS_Designer!$BN$94,XS_Designer!BB$94,"")</f>
        <v/>
      </c>
      <c r="AG6" s="4" t="str">
        <f>IF(XS_Designer_Bed_Mix!$J6&lt;=XS_Designer!$BN$94,XS_Designer!BC$94,"")</f>
        <v/>
      </c>
      <c r="AH6" s="4" t="str">
        <f>IF(XS_Designer_Bed_Mix!$J6&lt;=XS_Designer!$BN$94,XS_Designer!BD$94,"")</f>
        <v/>
      </c>
      <c r="AI6" s="4" t="str">
        <f>IF(XS_Designer_Bed_Mix!$J6&lt;=XS_Designer!$BN$94,XS_Designer!BE$94,"")</f>
        <v/>
      </c>
      <c r="AJ6" s="4" t="str">
        <f>IF(XS_Designer_Bed_Mix!$J6&lt;=XS_Designer!$BN$94,XS_Designer!BF$94,"")</f>
        <v/>
      </c>
      <c r="AK6" s="4" t="str">
        <f>IF(XS_Designer_Bed_Mix!$J6&lt;=XS_Designer!$BN$94,XS_Designer!BG$94,"")</f>
        <v/>
      </c>
      <c r="AL6" s="4" t="str">
        <f>IF(XS_Designer_Bed_Mix!$J6&lt;=XS_Designer!$BN$94,XS_Designer!BH$94,"")</f>
        <v/>
      </c>
      <c r="AM6" s="4" t="str">
        <f>IF(XS_Designer_Bed_Mix!$J6&lt;=XS_Designer!$BN$94,XS_Designer!BI$94,"")</f>
        <v/>
      </c>
      <c r="AN6" s="4" t="str">
        <f>IF(XS_Designer_Bed_Mix!$J6&lt;=XS_Designer!$BN$94,XS_Designer!BJ$94,"")</f>
        <v/>
      </c>
      <c r="AO6" s="4" t="str">
        <f>IF(XS_Designer_Bed_Mix!$J6&lt;=XS_Designer!$BN$95,XS_Designer!BA$95,"")</f>
        <v/>
      </c>
      <c r="AP6" s="4" t="str">
        <f>IF(XS_Designer_Bed_Mix!$J6&lt;=XS_Designer!$BN$95,XS_Designer!BB$95,"")</f>
        <v/>
      </c>
      <c r="AQ6" s="4" t="str">
        <f>IF(XS_Designer_Bed_Mix!$J6&lt;=XS_Designer!$BN$95,XS_Designer!BC$95,"")</f>
        <v/>
      </c>
      <c r="AR6" s="4" t="str">
        <f>IF(XS_Designer_Bed_Mix!$J6&lt;=XS_Designer!$BN$95,XS_Designer!BD$95,"")</f>
        <v/>
      </c>
      <c r="AS6" s="4" t="str">
        <f>IF(XS_Designer_Bed_Mix!$J6&lt;=XS_Designer!$BN$95,XS_Designer!BE$95,"")</f>
        <v/>
      </c>
      <c r="AT6" s="4" t="str">
        <f>IF(XS_Designer_Bed_Mix!$J6&lt;=XS_Designer!$BN$95,XS_Designer!BF$95,"")</f>
        <v/>
      </c>
      <c r="AU6" s="4" t="str">
        <f>IF(XS_Designer_Bed_Mix!$J6&lt;=XS_Designer!$BN$95,XS_Designer!BG$95,"")</f>
        <v/>
      </c>
      <c r="AV6" s="4" t="str">
        <f>IF(XS_Designer_Bed_Mix!$J6&lt;=XS_Designer!$BN$95,XS_Designer!BH$95,"")</f>
        <v/>
      </c>
      <c r="AW6" s="4" t="str">
        <f>IF(XS_Designer_Bed_Mix!$J6&lt;=XS_Designer!$BN$95,XS_Designer!BI$95,"")</f>
        <v/>
      </c>
      <c r="AX6" s="4" t="str">
        <f>IF(XS_Designer_Bed_Mix!$J6&lt;=XS_Designer!$BN$95,XS_Designer!BJ$95,"")</f>
        <v/>
      </c>
      <c r="AY6" s="4">
        <f>IF(XS_Designer_Bed_Mix!$J6&lt;=XS_Designer!$BN$96,XS_Designer!BA$96,"")</f>
        <v>335.28000000000003</v>
      </c>
      <c r="AZ6" s="4">
        <f>IF(XS_Designer_Bed_Mix!$J6&lt;=XS_Designer!$BN$96,XS_Designer!BB$96,"")</f>
        <v>335.28000000000003</v>
      </c>
      <c r="BA6" s="4">
        <f>IF(XS_Designer_Bed_Mix!$J6&lt;=XS_Designer!$BN$96,XS_Designer!BC$96,"")</f>
        <v>335.28000000000003</v>
      </c>
      <c r="BB6" s="4">
        <f>IF(XS_Designer_Bed_Mix!$J6&lt;=XS_Designer!$BN$96,XS_Designer!BD$96,"")</f>
        <v>335.28000000000003</v>
      </c>
      <c r="BC6" s="4">
        <f>IF(XS_Designer_Bed_Mix!$J6&lt;=XS_Designer!$BN$96,XS_Designer!BE$96,"")</f>
        <v>335.28000000000003</v>
      </c>
      <c r="BD6" s="4">
        <f>IF(XS_Designer_Bed_Mix!$J6&lt;=XS_Designer!$BN$96,XS_Designer!BF$96,"")</f>
        <v>335.28000000000003</v>
      </c>
      <c r="BE6" s="4">
        <f>IF(XS_Designer_Bed_Mix!$J6&lt;=XS_Designer!$BN$96,XS_Designer!BG$96,"")</f>
        <v>335.28000000000003</v>
      </c>
      <c r="BF6" s="4">
        <f>IF(XS_Designer_Bed_Mix!$J6&lt;=XS_Designer!$BN$96,XS_Designer!BH$96,"")</f>
        <v>335.28000000000003</v>
      </c>
      <c r="BG6" s="4">
        <f>IF(XS_Designer_Bed_Mix!$J6&lt;=XS_Designer!$BN$96,XS_Designer!BI$96,"")</f>
        <v>335.28000000000003</v>
      </c>
      <c r="BH6" s="4">
        <f>IF(XS_Designer_Bed_Mix!$J6&lt;=XS_Designer!$BN$96,XS_Designer!BJ$96,"")</f>
        <v>335.28000000000003</v>
      </c>
      <c r="BI6" s="4" t="str">
        <f>IF(XS_Designer_Bed_Mix!$J6&lt;=XS_Designer!$BN$97,XS_Designer!BA$97,"")</f>
        <v/>
      </c>
      <c r="BJ6" s="4" t="str">
        <f>IF(XS_Designer_Bed_Mix!$J6&lt;=XS_Designer!$BN$97,XS_Designer!BB$97,"")</f>
        <v/>
      </c>
      <c r="BK6" s="4" t="str">
        <f>IF(XS_Designer_Bed_Mix!$J6&lt;=XS_Designer!$BN$97,XS_Designer!BC$97,"")</f>
        <v/>
      </c>
      <c r="BL6" s="4" t="str">
        <f>IF(XS_Designer_Bed_Mix!$J6&lt;=XS_Designer!$BN$97,XS_Designer!BD$97,"")</f>
        <v/>
      </c>
      <c r="BM6" s="4" t="str">
        <f>IF(XS_Designer_Bed_Mix!$J6&lt;=XS_Designer!$BN$97,XS_Designer!BE$97,"")</f>
        <v/>
      </c>
      <c r="BN6" s="4" t="str">
        <f>IF(XS_Designer_Bed_Mix!$J6&lt;=XS_Designer!$BN$97,XS_Designer!BF$97,"")</f>
        <v/>
      </c>
      <c r="BO6" s="4" t="str">
        <f>IF(XS_Designer_Bed_Mix!$J6&lt;=XS_Designer!$BN$97,XS_Designer!BG$97,"")</f>
        <v/>
      </c>
      <c r="BP6" s="4" t="str">
        <f>IF(XS_Designer_Bed_Mix!$J6&lt;=XS_Designer!$BN$97,XS_Designer!BH$97,"")</f>
        <v/>
      </c>
      <c r="BQ6" s="4" t="str">
        <f>IF(XS_Designer_Bed_Mix!$J6&lt;=XS_Designer!$BN$97,XS_Designer!BI$97,"")</f>
        <v/>
      </c>
      <c r="BR6" s="4" t="str">
        <f>IF(XS_Designer_Bed_Mix!$J6&lt;=XS_Designer!$BN$97,XS_Designer!BJ$97,"")</f>
        <v/>
      </c>
      <c r="BS6" s="4" t="str">
        <f>IF(XS_Designer_Bed_Mix!$J6&lt;=XS_Designer!$BN$98,XS_Designer!BA$98,"")</f>
        <v/>
      </c>
      <c r="BT6" s="4" t="str">
        <f>IF(XS_Designer_Bed_Mix!$J6&lt;=XS_Designer!$BN$98,XS_Designer!BB$98,"")</f>
        <v/>
      </c>
      <c r="BU6" s="4" t="str">
        <f>IF(XS_Designer_Bed_Mix!$J6&lt;=XS_Designer!$BN$98,XS_Designer!BC$98,"")</f>
        <v/>
      </c>
      <c r="BV6" s="4" t="str">
        <f>IF(XS_Designer_Bed_Mix!$J6&lt;=XS_Designer!$BN$98,XS_Designer!BD$98,"")</f>
        <v/>
      </c>
      <c r="BW6" s="4" t="str">
        <f>IF(XS_Designer_Bed_Mix!$J6&lt;=XS_Designer!$BN$98,XS_Designer!BE$98,"")</f>
        <v/>
      </c>
      <c r="BX6" s="4" t="str">
        <f>IF(XS_Designer_Bed_Mix!$J6&lt;=XS_Designer!$BN$98,XS_Designer!BF$98,"")</f>
        <v/>
      </c>
      <c r="BY6" s="4" t="str">
        <f>IF(XS_Designer_Bed_Mix!$J6&lt;=XS_Designer!$BN$98,XS_Designer!BG$98,"")</f>
        <v/>
      </c>
      <c r="BZ6" s="4" t="str">
        <f>IF(XS_Designer_Bed_Mix!$J6&lt;=XS_Designer!$BN$98,XS_Designer!BH$98,"")</f>
        <v/>
      </c>
      <c r="CA6" s="4" t="str">
        <f>IF(XS_Designer_Bed_Mix!$J6&lt;=XS_Designer!$BN$98,XS_Designer!BI$98,"")</f>
        <v/>
      </c>
      <c r="CB6" s="4" t="str">
        <f>IF(XS_Designer_Bed_Mix!$J6&lt;=XS_Designer!$BN$98,XS_Designer!BJ$98,"")</f>
        <v/>
      </c>
      <c r="CC6" s="4" t="str">
        <f>IF(XS_Designer_Bed_Mix!$J6&lt;=XS_Designer!$BN$99,XS_Designer!BA$99,"")</f>
        <v/>
      </c>
      <c r="CD6" s="4" t="str">
        <f>IF(XS_Designer_Bed_Mix!$J6&lt;=XS_Designer!$BN$99,XS_Designer!BB$99,"")</f>
        <v/>
      </c>
      <c r="CE6" s="4" t="str">
        <f>IF(XS_Designer_Bed_Mix!$J6&lt;=XS_Designer!$BN$99,XS_Designer!BC$99,"")</f>
        <v/>
      </c>
      <c r="CF6" s="4" t="str">
        <f>IF(XS_Designer_Bed_Mix!$J6&lt;=XS_Designer!$BN$99,XS_Designer!BD$99,"")</f>
        <v/>
      </c>
      <c r="CG6" s="4" t="str">
        <f>IF(XS_Designer_Bed_Mix!$J6&lt;=XS_Designer!$BN$99,XS_Designer!BE$99,"")</f>
        <v/>
      </c>
      <c r="CH6" s="4" t="str">
        <f>IF(XS_Designer_Bed_Mix!$J6&lt;=XS_Designer!$BN$99,XS_Designer!BF$99,"")</f>
        <v/>
      </c>
      <c r="CI6" s="4" t="str">
        <f>IF(XS_Designer_Bed_Mix!$J6&lt;=XS_Designer!$BN$99,XS_Designer!BG$99,"")</f>
        <v/>
      </c>
      <c r="CJ6" s="4" t="str">
        <f>IF(XS_Designer_Bed_Mix!$J6&lt;=XS_Designer!$BN$99,XS_Designer!BH$99,"")</f>
        <v/>
      </c>
      <c r="CK6" s="4" t="str">
        <f>IF(XS_Designer_Bed_Mix!$J6&lt;=XS_Designer!$BN$99,XS_Designer!BI$99,"")</f>
        <v/>
      </c>
      <c r="CL6" s="4" t="str">
        <f>IF(XS_Designer_Bed_Mix!$J6&lt;=XS_Designer!$BN$99,XS_Designer!BJ$99,"")</f>
        <v/>
      </c>
      <c r="CM6" s="4">
        <f>IF(XS_Designer_Bed_Mix!$J6&lt;=XS_Designer!$BN$100,XS_Designer!BA$100,"")</f>
        <v>64</v>
      </c>
      <c r="CN6" s="4">
        <f>IF(XS_Designer_Bed_Mix!$J6&lt;=XS_Designer!$BN$100,XS_Designer!BB$100,"")</f>
        <v>57.6</v>
      </c>
      <c r="CO6" s="4">
        <f>IF(XS_Designer_Bed_Mix!$J6&lt;=XS_Designer!$BN$100,XS_Designer!BC$100,"")</f>
        <v>51.2</v>
      </c>
      <c r="CP6" s="4">
        <f>IF(XS_Designer_Bed_Mix!$J6&lt;=XS_Designer!$BN$100,XS_Designer!BD$100,"")</f>
        <v>44.800000000000004</v>
      </c>
      <c r="CQ6" s="4">
        <f>IF(XS_Designer_Bed_Mix!$J6&lt;=XS_Designer!$BN$100,XS_Designer!BE$100,"")</f>
        <v>38.400000000000006</v>
      </c>
      <c r="CR6" s="4">
        <f>IF(XS_Designer_Bed_Mix!$J6&lt;=XS_Designer!$BN$100,XS_Designer!BF$100,"")</f>
        <v>32</v>
      </c>
      <c r="CS6" s="4">
        <f>IF(XS_Designer_Bed_Mix!$J6&lt;=XS_Designer!$BN$100,XS_Designer!BG$100,"")</f>
        <v>26</v>
      </c>
      <c r="CT6" s="4">
        <f>IF(XS_Designer_Bed_Mix!$J6&lt;=XS_Designer!$BN$100,XS_Designer!BH$100,"")</f>
        <v>20</v>
      </c>
      <c r="CU6" s="4">
        <f>IF(XS_Designer_Bed_Mix!$J6&lt;=XS_Designer!$BN$100,XS_Designer!BI$100,"")</f>
        <v>14</v>
      </c>
      <c r="CV6" s="4">
        <f>IF(XS_Designer_Bed_Mix!$J6&lt;=XS_Designer!$BN$100,XS_Designer!BJ$100,"")</f>
        <v>8</v>
      </c>
      <c r="CW6" s="4">
        <f>IF(XS_Designer_Bed_Mix!$J6&lt;=XS_Designer!$BN$101,XS_Designer!BA$101,"")</f>
        <v>2</v>
      </c>
      <c r="CX6" s="4">
        <f>IF(XS_Designer_Bed_Mix!$J6&lt;=XS_Designer!$BN$101,XS_Designer!BB$101,"")</f>
        <v>1.9</v>
      </c>
      <c r="CY6" s="4">
        <f>IF(XS_Designer_Bed_Mix!$J6&lt;=XS_Designer!$BN$101,XS_Designer!BC$101,"")</f>
        <v>1.7999999999999998</v>
      </c>
      <c r="CZ6" s="4">
        <f>IF(XS_Designer_Bed_Mix!$J6&lt;=XS_Designer!$BN$101,XS_Designer!BD$101,"")</f>
        <v>1.6999999999999997</v>
      </c>
      <c r="DA6" s="4">
        <f>IF(XS_Designer_Bed_Mix!$J6&lt;=XS_Designer!$BN$101,XS_Designer!BE$101,"")</f>
        <v>1.5999999999999996</v>
      </c>
      <c r="DB6" s="4">
        <f>IF(XS_Designer_Bed_Mix!$J6&lt;=XS_Designer!$BN$101,XS_Designer!BF$101,"")</f>
        <v>1.5</v>
      </c>
      <c r="DC6" s="4">
        <f>IF(XS_Designer_Bed_Mix!$J6&lt;=XS_Designer!$BN$101,XS_Designer!BG$101,"")</f>
        <v>1.4</v>
      </c>
      <c r="DD6" s="4">
        <f>IF(XS_Designer_Bed_Mix!$J6&lt;=XS_Designer!$BN$101,XS_Designer!BH$101,"")</f>
        <v>1.2999999999999998</v>
      </c>
      <c r="DE6" s="4">
        <f>IF(XS_Designer_Bed_Mix!$J6&lt;=XS_Designer!$BN$101,XS_Designer!BI$101,"")</f>
        <v>1.1999999999999997</v>
      </c>
      <c r="DF6" s="4">
        <f>IF(XS_Designer_Bed_Mix!$J6&lt;=XS_Designer!$BN$101,XS_Designer!BJ$101,"")</f>
        <v>1.0999999999999996</v>
      </c>
      <c r="DG6" s="4">
        <f>IF(XS_Designer_Bed_Mix!$J6&lt;=XS_Designer!$BN$102,XS_Designer!BA$102,"")</f>
        <v>1</v>
      </c>
      <c r="DH6" s="4">
        <f>IF(XS_Designer_Bed_Mix!$J6&lt;=XS_Designer!$BN$102,XS_Designer!BB$102,"")</f>
        <v>0.9</v>
      </c>
      <c r="DI6" s="4">
        <f>IF(XS_Designer_Bed_Mix!$J6&lt;=XS_Designer!$BN$102,XS_Designer!BC$102,"")</f>
        <v>0.8</v>
      </c>
      <c r="DJ6" s="4">
        <f>IF(XS_Designer_Bed_Mix!$J6&lt;=XS_Designer!$BN$102,XS_Designer!BD$102,"")</f>
        <v>0.70000000000000007</v>
      </c>
      <c r="DK6" s="4">
        <f>IF(XS_Designer_Bed_Mix!$J6&lt;=XS_Designer!$BN$102,XS_Designer!BE$102,"")</f>
        <v>0.60000000000000009</v>
      </c>
      <c r="DL6" s="4">
        <f>IF(XS_Designer_Bed_Mix!$J6&lt;=XS_Designer!$BN$102,XS_Designer!BF$102,"")</f>
        <v>0.5</v>
      </c>
      <c r="DM6" s="4">
        <f>IF(XS_Designer_Bed_Mix!$J6&lt;=XS_Designer!$BN$102,XS_Designer!BG$102,"")</f>
        <v>0.40039999999999998</v>
      </c>
      <c r="DN6" s="4">
        <f>IF(XS_Designer_Bed_Mix!$J6&lt;=XS_Designer!$BN$102,XS_Designer!BH$102,"")</f>
        <v>0.30079999999999996</v>
      </c>
      <c r="DO6" s="4">
        <f>IF(XS_Designer_Bed_Mix!$J6&lt;=XS_Designer!$BN$102,XS_Designer!BI$102,"")</f>
        <v>0.20119999999999996</v>
      </c>
      <c r="DP6" s="4">
        <f>IF(XS_Designer_Bed_Mix!$J6&lt;=XS_Designer!$BN$102,XS_Designer!BJ$102,"")</f>
        <v>0.10159999999999997</v>
      </c>
    </row>
    <row r="7" spans="2:120" ht="15">
      <c r="B7" s="5">
        <v>8</v>
      </c>
      <c r="C7" s="8"/>
      <c r="D7" s="1"/>
      <c r="E7" s="6" t="s">
        <v>576</v>
      </c>
      <c r="F7" s="187">
        <f t="shared" si="0"/>
        <v>8</v>
      </c>
      <c r="G7">
        <v>16</v>
      </c>
      <c r="H7">
        <f t="shared" si="1"/>
        <v>0.16</v>
      </c>
      <c r="J7" s="3">
        <v>0.06</v>
      </c>
      <c r="K7" s="4" t="str">
        <f>IF(XS_Designer_Bed_Mix!$J7&lt;=XS_Designer!$BN$92,XS_Designer!BA$92,"")</f>
        <v/>
      </c>
      <c r="L7" s="4" t="str">
        <f>IF(XS_Designer_Bed_Mix!$J7&lt;=XS_Designer!$BN$92,XS_Designer!BB$92,"")</f>
        <v/>
      </c>
      <c r="M7" s="4" t="str">
        <f>IF(XS_Designer_Bed_Mix!$J7&lt;=XS_Designer!$BN$92,XS_Designer!BC$92,"")</f>
        <v/>
      </c>
      <c r="N7" s="4" t="str">
        <f>IF(XS_Designer_Bed_Mix!$J7&lt;=XS_Designer!$BN$92,XS_Designer!BD$92,"")</f>
        <v/>
      </c>
      <c r="O7" s="4" t="str">
        <f>IF(XS_Designer_Bed_Mix!$J7&lt;=XS_Designer!$BN$92,XS_Designer!BE$92,"")</f>
        <v/>
      </c>
      <c r="P7" s="4" t="str">
        <f>IF(XS_Designer_Bed_Mix!$J7&lt;=XS_Designer!$BN$92,XS_Designer!BF$92,"")</f>
        <v/>
      </c>
      <c r="Q7" s="4" t="str">
        <f>IF(XS_Designer_Bed_Mix!$J7&lt;=XS_Designer!$BN$92,XS_Designer!BG$92,"")</f>
        <v/>
      </c>
      <c r="R7" s="4" t="str">
        <f>IF(XS_Designer_Bed_Mix!$J7&lt;=XS_Designer!$BN$92,XS_Designer!BH$92,"")</f>
        <v/>
      </c>
      <c r="S7" s="4" t="str">
        <f>IF(XS_Designer_Bed_Mix!$J7&lt;=XS_Designer!$BN$92,XS_Designer!BI$92,"")</f>
        <v/>
      </c>
      <c r="T7" s="4" t="str">
        <f>IF(XS_Designer_Bed_Mix!$J7&lt;=XS_Designer!$BN$92,XS_Designer!BJ$92,"")</f>
        <v/>
      </c>
      <c r="U7" s="4" t="str">
        <f>IF(XS_Designer_Bed_Mix!$J7&lt;=XS_Designer!$BN$93,XS_Designer!BA$93,"")</f>
        <v/>
      </c>
      <c r="V7" s="4" t="str">
        <f>IF(XS_Designer_Bed_Mix!$J7&lt;=XS_Designer!$BN$93,XS_Designer!BB$93,"")</f>
        <v/>
      </c>
      <c r="W7" s="4" t="str">
        <f>IF(XS_Designer_Bed_Mix!$J7&lt;=XS_Designer!$BN$93,XS_Designer!BC$93,"")</f>
        <v/>
      </c>
      <c r="X7" s="4" t="str">
        <f>IF(XS_Designer_Bed_Mix!$J7&lt;=XS_Designer!$BN$93,XS_Designer!BD$93,"")</f>
        <v/>
      </c>
      <c r="Y7" s="4" t="str">
        <f>IF(XS_Designer_Bed_Mix!$J7&lt;=XS_Designer!$BN$93,XS_Designer!BE$93,"")</f>
        <v/>
      </c>
      <c r="Z7" s="4" t="str">
        <f>IF(XS_Designer_Bed_Mix!$J7&lt;=XS_Designer!$BN$93,XS_Designer!BF$93,"")</f>
        <v/>
      </c>
      <c r="AA7" s="4" t="str">
        <f>IF(XS_Designer_Bed_Mix!$J7&lt;=XS_Designer!$BN$93,XS_Designer!BG$93,"")</f>
        <v/>
      </c>
      <c r="AB7" s="4" t="str">
        <f>IF(XS_Designer_Bed_Mix!$J7&lt;=XS_Designer!$BN$93,XS_Designer!BH$93,"")</f>
        <v/>
      </c>
      <c r="AC7" s="4" t="str">
        <f>IF(XS_Designer_Bed_Mix!$J7&lt;=XS_Designer!$BN$93,XS_Designer!BI$93,"")</f>
        <v/>
      </c>
      <c r="AD7" s="4" t="str">
        <f>IF(XS_Designer_Bed_Mix!$J7&lt;=XS_Designer!$BN$93,XS_Designer!BJ$93,"")</f>
        <v/>
      </c>
      <c r="AE7" s="4" t="str">
        <f>IF(XS_Designer_Bed_Mix!$J7&lt;=XS_Designer!$BN$94,XS_Designer!BA$94,"")</f>
        <v/>
      </c>
      <c r="AF7" s="4" t="str">
        <f>IF(XS_Designer_Bed_Mix!$J7&lt;=XS_Designer!$BN$94,XS_Designer!BB$94,"")</f>
        <v/>
      </c>
      <c r="AG7" s="4" t="str">
        <f>IF(XS_Designer_Bed_Mix!$J7&lt;=XS_Designer!$BN$94,XS_Designer!BC$94,"")</f>
        <v/>
      </c>
      <c r="AH7" s="4" t="str">
        <f>IF(XS_Designer_Bed_Mix!$J7&lt;=XS_Designer!$BN$94,XS_Designer!BD$94,"")</f>
        <v/>
      </c>
      <c r="AI7" s="4" t="str">
        <f>IF(XS_Designer_Bed_Mix!$J7&lt;=XS_Designer!$BN$94,XS_Designer!BE$94,"")</f>
        <v/>
      </c>
      <c r="AJ7" s="4" t="str">
        <f>IF(XS_Designer_Bed_Mix!$J7&lt;=XS_Designer!$BN$94,XS_Designer!BF$94,"")</f>
        <v/>
      </c>
      <c r="AK7" s="4" t="str">
        <f>IF(XS_Designer_Bed_Mix!$J7&lt;=XS_Designer!$BN$94,XS_Designer!BG$94,"")</f>
        <v/>
      </c>
      <c r="AL7" s="4" t="str">
        <f>IF(XS_Designer_Bed_Mix!$J7&lt;=XS_Designer!$BN$94,XS_Designer!BH$94,"")</f>
        <v/>
      </c>
      <c r="AM7" s="4" t="str">
        <f>IF(XS_Designer_Bed_Mix!$J7&lt;=XS_Designer!$BN$94,XS_Designer!BI$94,"")</f>
        <v/>
      </c>
      <c r="AN7" s="4" t="str">
        <f>IF(XS_Designer_Bed_Mix!$J7&lt;=XS_Designer!$BN$94,XS_Designer!BJ$94,"")</f>
        <v/>
      </c>
      <c r="AO7" s="4" t="str">
        <f>IF(XS_Designer_Bed_Mix!$J7&lt;=XS_Designer!$BN$95,XS_Designer!BA$95,"")</f>
        <v/>
      </c>
      <c r="AP7" s="4" t="str">
        <f>IF(XS_Designer_Bed_Mix!$J7&lt;=XS_Designer!$BN$95,XS_Designer!BB$95,"")</f>
        <v/>
      </c>
      <c r="AQ7" s="4" t="str">
        <f>IF(XS_Designer_Bed_Mix!$J7&lt;=XS_Designer!$BN$95,XS_Designer!BC$95,"")</f>
        <v/>
      </c>
      <c r="AR7" s="4" t="str">
        <f>IF(XS_Designer_Bed_Mix!$J7&lt;=XS_Designer!$BN$95,XS_Designer!BD$95,"")</f>
        <v/>
      </c>
      <c r="AS7" s="4" t="str">
        <f>IF(XS_Designer_Bed_Mix!$J7&lt;=XS_Designer!$BN$95,XS_Designer!BE$95,"")</f>
        <v/>
      </c>
      <c r="AT7" s="4" t="str">
        <f>IF(XS_Designer_Bed_Mix!$J7&lt;=XS_Designer!$BN$95,XS_Designer!BF$95,"")</f>
        <v/>
      </c>
      <c r="AU7" s="4" t="str">
        <f>IF(XS_Designer_Bed_Mix!$J7&lt;=XS_Designer!$BN$95,XS_Designer!BG$95,"")</f>
        <v/>
      </c>
      <c r="AV7" s="4" t="str">
        <f>IF(XS_Designer_Bed_Mix!$J7&lt;=XS_Designer!$BN$95,XS_Designer!BH$95,"")</f>
        <v/>
      </c>
      <c r="AW7" s="4" t="str">
        <f>IF(XS_Designer_Bed_Mix!$J7&lt;=XS_Designer!$BN$95,XS_Designer!BI$95,"")</f>
        <v/>
      </c>
      <c r="AX7" s="4" t="str">
        <f>IF(XS_Designer_Bed_Mix!$J7&lt;=XS_Designer!$BN$95,XS_Designer!BJ$95,"")</f>
        <v/>
      </c>
      <c r="AY7" s="4">
        <f>IF(XS_Designer_Bed_Mix!$J7&lt;=XS_Designer!$BN$96,XS_Designer!BA$96,"")</f>
        <v>335.28000000000003</v>
      </c>
      <c r="AZ7" s="4">
        <f>IF(XS_Designer_Bed_Mix!$J7&lt;=XS_Designer!$BN$96,XS_Designer!BB$96,"")</f>
        <v>335.28000000000003</v>
      </c>
      <c r="BA7" s="4">
        <f>IF(XS_Designer_Bed_Mix!$J7&lt;=XS_Designer!$BN$96,XS_Designer!BC$96,"")</f>
        <v>335.28000000000003</v>
      </c>
      <c r="BB7" s="4">
        <f>IF(XS_Designer_Bed_Mix!$J7&lt;=XS_Designer!$BN$96,XS_Designer!BD$96,"")</f>
        <v>335.28000000000003</v>
      </c>
      <c r="BC7" s="4">
        <f>IF(XS_Designer_Bed_Mix!$J7&lt;=XS_Designer!$BN$96,XS_Designer!BE$96,"")</f>
        <v>335.28000000000003</v>
      </c>
      <c r="BD7" s="4">
        <f>IF(XS_Designer_Bed_Mix!$J7&lt;=XS_Designer!$BN$96,XS_Designer!BF$96,"")</f>
        <v>335.28000000000003</v>
      </c>
      <c r="BE7" s="4">
        <f>IF(XS_Designer_Bed_Mix!$J7&lt;=XS_Designer!$BN$96,XS_Designer!BG$96,"")</f>
        <v>335.28000000000003</v>
      </c>
      <c r="BF7" s="4">
        <f>IF(XS_Designer_Bed_Mix!$J7&lt;=XS_Designer!$BN$96,XS_Designer!BH$96,"")</f>
        <v>335.28000000000003</v>
      </c>
      <c r="BG7" s="4">
        <f>IF(XS_Designer_Bed_Mix!$J7&lt;=XS_Designer!$BN$96,XS_Designer!BI$96,"")</f>
        <v>335.28000000000003</v>
      </c>
      <c r="BH7" s="4">
        <f>IF(XS_Designer_Bed_Mix!$J7&lt;=XS_Designer!$BN$96,XS_Designer!BJ$96,"")</f>
        <v>335.28000000000003</v>
      </c>
      <c r="BI7" s="4" t="str">
        <f>IF(XS_Designer_Bed_Mix!$J7&lt;=XS_Designer!$BN$97,XS_Designer!BA$97,"")</f>
        <v/>
      </c>
      <c r="BJ7" s="4" t="str">
        <f>IF(XS_Designer_Bed_Mix!$J7&lt;=XS_Designer!$BN$97,XS_Designer!BB$97,"")</f>
        <v/>
      </c>
      <c r="BK7" s="4" t="str">
        <f>IF(XS_Designer_Bed_Mix!$J7&lt;=XS_Designer!$BN$97,XS_Designer!BC$97,"")</f>
        <v/>
      </c>
      <c r="BL7" s="4" t="str">
        <f>IF(XS_Designer_Bed_Mix!$J7&lt;=XS_Designer!$BN$97,XS_Designer!BD$97,"")</f>
        <v/>
      </c>
      <c r="BM7" s="4" t="str">
        <f>IF(XS_Designer_Bed_Mix!$J7&lt;=XS_Designer!$BN$97,XS_Designer!BE$97,"")</f>
        <v/>
      </c>
      <c r="BN7" s="4" t="str">
        <f>IF(XS_Designer_Bed_Mix!$J7&lt;=XS_Designer!$BN$97,XS_Designer!BF$97,"")</f>
        <v/>
      </c>
      <c r="BO7" s="4" t="str">
        <f>IF(XS_Designer_Bed_Mix!$J7&lt;=XS_Designer!$BN$97,XS_Designer!BG$97,"")</f>
        <v/>
      </c>
      <c r="BP7" s="4" t="str">
        <f>IF(XS_Designer_Bed_Mix!$J7&lt;=XS_Designer!$BN$97,XS_Designer!BH$97,"")</f>
        <v/>
      </c>
      <c r="BQ7" s="4" t="str">
        <f>IF(XS_Designer_Bed_Mix!$J7&lt;=XS_Designer!$BN$97,XS_Designer!BI$97,"")</f>
        <v/>
      </c>
      <c r="BR7" s="4" t="str">
        <f>IF(XS_Designer_Bed_Mix!$J7&lt;=XS_Designer!$BN$97,XS_Designer!BJ$97,"")</f>
        <v/>
      </c>
      <c r="BS7" s="4" t="str">
        <f>IF(XS_Designer_Bed_Mix!$J7&lt;=XS_Designer!$BN$98,XS_Designer!BA$98,"")</f>
        <v/>
      </c>
      <c r="BT7" s="4" t="str">
        <f>IF(XS_Designer_Bed_Mix!$J7&lt;=XS_Designer!$BN$98,XS_Designer!BB$98,"")</f>
        <v/>
      </c>
      <c r="BU7" s="4" t="str">
        <f>IF(XS_Designer_Bed_Mix!$J7&lt;=XS_Designer!$BN$98,XS_Designer!BC$98,"")</f>
        <v/>
      </c>
      <c r="BV7" s="4" t="str">
        <f>IF(XS_Designer_Bed_Mix!$J7&lt;=XS_Designer!$BN$98,XS_Designer!BD$98,"")</f>
        <v/>
      </c>
      <c r="BW7" s="4" t="str">
        <f>IF(XS_Designer_Bed_Mix!$J7&lt;=XS_Designer!$BN$98,XS_Designer!BE$98,"")</f>
        <v/>
      </c>
      <c r="BX7" s="4" t="str">
        <f>IF(XS_Designer_Bed_Mix!$J7&lt;=XS_Designer!$BN$98,XS_Designer!BF$98,"")</f>
        <v/>
      </c>
      <c r="BY7" s="4" t="str">
        <f>IF(XS_Designer_Bed_Mix!$J7&lt;=XS_Designer!$BN$98,XS_Designer!BG$98,"")</f>
        <v/>
      </c>
      <c r="BZ7" s="4" t="str">
        <f>IF(XS_Designer_Bed_Mix!$J7&lt;=XS_Designer!$BN$98,XS_Designer!BH$98,"")</f>
        <v/>
      </c>
      <c r="CA7" s="4" t="str">
        <f>IF(XS_Designer_Bed_Mix!$J7&lt;=XS_Designer!$BN$98,XS_Designer!BI$98,"")</f>
        <v/>
      </c>
      <c r="CB7" s="4" t="str">
        <f>IF(XS_Designer_Bed_Mix!$J7&lt;=XS_Designer!$BN$98,XS_Designer!BJ$98,"")</f>
        <v/>
      </c>
      <c r="CC7" s="4" t="str">
        <f>IF(XS_Designer_Bed_Mix!$J7&lt;=XS_Designer!$BN$99,XS_Designer!BA$99,"")</f>
        <v/>
      </c>
      <c r="CD7" s="4" t="str">
        <f>IF(XS_Designer_Bed_Mix!$J7&lt;=XS_Designer!$BN$99,XS_Designer!BB$99,"")</f>
        <v/>
      </c>
      <c r="CE7" s="4" t="str">
        <f>IF(XS_Designer_Bed_Mix!$J7&lt;=XS_Designer!$BN$99,XS_Designer!BC$99,"")</f>
        <v/>
      </c>
      <c r="CF7" s="4" t="str">
        <f>IF(XS_Designer_Bed_Mix!$J7&lt;=XS_Designer!$BN$99,XS_Designer!BD$99,"")</f>
        <v/>
      </c>
      <c r="CG7" s="4" t="str">
        <f>IF(XS_Designer_Bed_Mix!$J7&lt;=XS_Designer!$BN$99,XS_Designer!BE$99,"")</f>
        <v/>
      </c>
      <c r="CH7" s="4" t="str">
        <f>IF(XS_Designer_Bed_Mix!$J7&lt;=XS_Designer!$BN$99,XS_Designer!BF$99,"")</f>
        <v/>
      </c>
      <c r="CI7" s="4" t="str">
        <f>IF(XS_Designer_Bed_Mix!$J7&lt;=XS_Designer!$BN$99,XS_Designer!BG$99,"")</f>
        <v/>
      </c>
      <c r="CJ7" s="4" t="str">
        <f>IF(XS_Designer_Bed_Mix!$J7&lt;=XS_Designer!$BN$99,XS_Designer!BH$99,"")</f>
        <v/>
      </c>
      <c r="CK7" s="4" t="str">
        <f>IF(XS_Designer_Bed_Mix!$J7&lt;=XS_Designer!$BN$99,XS_Designer!BI$99,"")</f>
        <v/>
      </c>
      <c r="CL7" s="4" t="str">
        <f>IF(XS_Designer_Bed_Mix!$J7&lt;=XS_Designer!$BN$99,XS_Designer!BJ$99,"")</f>
        <v/>
      </c>
      <c r="CM7" s="4">
        <f>IF(XS_Designer_Bed_Mix!$J7&lt;=XS_Designer!$BN$100,XS_Designer!BA$100,"")</f>
        <v>64</v>
      </c>
      <c r="CN7" s="4">
        <f>IF(XS_Designer_Bed_Mix!$J7&lt;=XS_Designer!$BN$100,XS_Designer!BB$100,"")</f>
        <v>57.6</v>
      </c>
      <c r="CO7" s="4">
        <f>IF(XS_Designer_Bed_Mix!$J7&lt;=XS_Designer!$BN$100,XS_Designer!BC$100,"")</f>
        <v>51.2</v>
      </c>
      <c r="CP7" s="4">
        <f>IF(XS_Designer_Bed_Mix!$J7&lt;=XS_Designer!$BN$100,XS_Designer!BD$100,"")</f>
        <v>44.800000000000004</v>
      </c>
      <c r="CQ7" s="4">
        <f>IF(XS_Designer_Bed_Mix!$J7&lt;=XS_Designer!$BN$100,XS_Designer!BE$100,"")</f>
        <v>38.400000000000006</v>
      </c>
      <c r="CR7" s="4">
        <f>IF(XS_Designer_Bed_Mix!$J7&lt;=XS_Designer!$BN$100,XS_Designer!BF$100,"")</f>
        <v>32</v>
      </c>
      <c r="CS7" s="4">
        <f>IF(XS_Designer_Bed_Mix!$J7&lt;=XS_Designer!$BN$100,XS_Designer!BG$100,"")</f>
        <v>26</v>
      </c>
      <c r="CT7" s="4">
        <f>IF(XS_Designer_Bed_Mix!$J7&lt;=XS_Designer!$BN$100,XS_Designer!BH$100,"")</f>
        <v>20</v>
      </c>
      <c r="CU7" s="4">
        <f>IF(XS_Designer_Bed_Mix!$J7&lt;=XS_Designer!$BN$100,XS_Designer!BI$100,"")</f>
        <v>14</v>
      </c>
      <c r="CV7" s="4">
        <f>IF(XS_Designer_Bed_Mix!$J7&lt;=XS_Designer!$BN$100,XS_Designer!BJ$100,"")</f>
        <v>8</v>
      </c>
      <c r="CW7" s="4">
        <f>IF(XS_Designer_Bed_Mix!$J7&lt;=XS_Designer!$BN$101,XS_Designer!BA$101,"")</f>
        <v>2</v>
      </c>
      <c r="CX7" s="4">
        <f>IF(XS_Designer_Bed_Mix!$J7&lt;=XS_Designer!$BN$101,XS_Designer!BB$101,"")</f>
        <v>1.9</v>
      </c>
      <c r="CY7" s="4">
        <f>IF(XS_Designer_Bed_Mix!$J7&lt;=XS_Designer!$BN$101,XS_Designer!BC$101,"")</f>
        <v>1.7999999999999998</v>
      </c>
      <c r="CZ7" s="4">
        <f>IF(XS_Designer_Bed_Mix!$J7&lt;=XS_Designer!$BN$101,XS_Designer!BD$101,"")</f>
        <v>1.6999999999999997</v>
      </c>
      <c r="DA7" s="4">
        <f>IF(XS_Designer_Bed_Mix!$J7&lt;=XS_Designer!$BN$101,XS_Designer!BE$101,"")</f>
        <v>1.5999999999999996</v>
      </c>
      <c r="DB7" s="4">
        <f>IF(XS_Designer_Bed_Mix!$J7&lt;=XS_Designer!$BN$101,XS_Designer!BF$101,"")</f>
        <v>1.5</v>
      </c>
      <c r="DC7" s="4">
        <f>IF(XS_Designer_Bed_Mix!$J7&lt;=XS_Designer!$BN$101,XS_Designer!BG$101,"")</f>
        <v>1.4</v>
      </c>
      <c r="DD7" s="4">
        <f>IF(XS_Designer_Bed_Mix!$J7&lt;=XS_Designer!$BN$101,XS_Designer!BH$101,"")</f>
        <v>1.2999999999999998</v>
      </c>
      <c r="DE7" s="4">
        <f>IF(XS_Designer_Bed_Mix!$J7&lt;=XS_Designer!$BN$101,XS_Designer!BI$101,"")</f>
        <v>1.1999999999999997</v>
      </c>
      <c r="DF7" s="4">
        <f>IF(XS_Designer_Bed_Mix!$J7&lt;=XS_Designer!$BN$101,XS_Designer!BJ$101,"")</f>
        <v>1.0999999999999996</v>
      </c>
      <c r="DG7" s="4" t="str">
        <f>IF(XS_Designer_Bed_Mix!$J7&lt;=XS_Designer!$BN$102,XS_Designer!BA$102,"")</f>
        <v/>
      </c>
      <c r="DH7" s="4" t="str">
        <f>IF(XS_Designer_Bed_Mix!$J7&lt;=XS_Designer!$BN$102,XS_Designer!BB$102,"")</f>
        <v/>
      </c>
      <c r="DI7" s="4" t="str">
        <f>IF(XS_Designer_Bed_Mix!$J7&lt;=XS_Designer!$BN$102,XS_Designer!BC$102,"")</f>
        <v/>
      </c>
      <c r="DJ7" s="4" t="str">
        <f>IF(XS_Designer_Bed_Mix!$J7&lt;=XS_Designer!$BN$102,XS_Designer!BD$102,"")</f>
        <v/>
      </c>
      <c r="DK7" s="4" t="str">
        <f>IF(XS_Designer_Bed_Mix!$J7&lt;=XS_Designer!$BN$102,XS_Designer!BE$102,"")</f>
        <v/>
      </c>
      <c r="DL7" s="4" t="str">
        <f>IF(XS_Designer_Bed_Mix!$J7&lt;=XS_Designer!$BN$102,XS_Designer!BF$102,"")</f>
        <v/>
      </c>
      <c r="DM7" s="4" t="str">
        <f>IF(XS_Designer_Bed_Mix!$J7&lt;=XS_Designer!$BN$102,XS_Designer!BG$102,"")</f>
        <v/>
      </c>
      <c r="DN7" s="4" t="str">
        <f>IF(XS_Designer_Bed_Mix!$J7&lt;=XS_Designer!$BN$102,XS_Designer!BH$102,"")</f>
        <v/>
      </c>
      <c r="DO7" s="4" t="str">
        <f>IF(XS_Designer_Bed_Mix!$J7&lt;=XS_Designer!$BN$102,XS_Designer!BI$102,"")</f>
        <v/>
      </c>
      <c r="DP7" s="4" t="str">
        <f>IF(XS_Designer_Bed_Mix!$J7&lt;=XS_Designer!$BN$102,XS_Designer!BJ$102,"")</f>
        <v/>
      </c>
    </row>
    <row r="8" spans="2:120" ht="15">
      <c r="B8" s="5">
        <v>16</v>
      </c>
      <c r="C8" s="8"/>
      <c r="D8" s="1"/>
      <c r="E8" s="6" t="s">
        <v>371</v>
      </c>
      <c r="F8" s="187">
        <f t="shared" si="0"/>
        <v>20</v>
      </c>
      <c r="G8">
        <v>25</v>
      </c>
      <c r="H8">
        <f t="shared" si="1"/>
        <v>0.25</v>
      </c>
      <c r="J8" s="3">
        <v>7.0000000000000007E-2</v>
      </c>
      <c r="K8" s="4" t="str">
        <f>IF(XS_Designer_Bed_Mix!$J8&lt;=XS_Designer!$BN$92,XS_Designer!BA$92,"")</f>
        <v/>
      </c>
      <c r="L8" s="4" t="str">
        <f>IF(XS_Designer_Bed_Mix!$J8&lt;=XS_Designer!$BN$92,XS_Designer!BB$92,"")</f>
        <v/>
      </c>
      <c r="M8" s="4" t="str">
        <f>IF(XS_Designer_Bed_Mix!$J8&lt;=XS_Designer!$BN$92,XS_Designer!BC$92,"")</f>
        <v/>
      </c>
      <c r="N8" s="4" t="str">
        <f>IF(XS_Designer_Bed_Mix!$J8&lt;=XS_Designer!$BN$92,XS_Designer!BD$92,"")</f>
        <v/>
      </c>
      <c r="O8" s="4" t="str">
        <f>IF(XS_Designer_Bed_Mix!$J8&lt;=XS_Designer!$BN$92,XS_Designer!BE$92,"")</f>
        <v/>
      </c>
      <c r="P8" s="4" t="str">
        <f>IF(XS_Designer_Bed_Mix!$J8&lt;=XS_Designer!$BN$92,XS_Designer!BF$92,"")</f>
        <v/>
      </c>
      <c r="Q8" s="4" t="str">
        <f>IF(XS_Designer_Bed_Mix!$J8&lt;=XS_Designer!$BN$92,XS_Designer!BG$92,"")</f>
        <v/>
      </c>
      <c r="R8" s="4" t="str">
        <f>IF(XS_Designer_Bed_Mix!$J8&lt;=XS_Designer!$BN$92,XS_Designer!BH$92,"")</f>
        <v/>
      </c>
      <c r="S8" s="4" t="str">
        <f>IF(XS_Designer_Bed_Mix!$J8&lt;=XS_Designer!$BN$92,XS_Designer!BI$92,"")</f>
        <v/>
      </c>
      <c r="T8" s="4" t="str">
        <f>IF(XS_Designer_Bed_Mix!$J8&lt;=XS_Designer!$BN$92,XS_Designer!BJ$92,"")</f>
        <v/>
      </c>
      <c r="U8" s="4" t="str">
        <f>IF(XS_Designer_Bed_Mix!$J8&lt;=XS_Designer!$BN$93,XS_Designer!BA$93,"")</f>
        <v/>
      </c>
      <c r="V8" s="4" t="str">
        <f>IF(XS_Designer_Bed_Mix!$J8&lt;=XS_Designer!$BN$93,XS_Designer!BB$93,"")</f>
        <v/>
      </c>
      <c r="W8" s="4" t="str">
        <f>IF(XS_Designer_Bed_Mix!$J8&lt;=XS_Designer!$BN$93,XS_Designer!BC$93,"")</f>
        <v/>
      </c>
      <c r="X8" s="4" t="str">
        <f>IF(XS_Designer_Bed_Mix!$J8&lt;=XS_Designer!$BN$93,XS_Designer!BD$93,"")</f>
        <v/>
      </c>
      <c r="Y8" s="4" t="str">
        <f>IF(XS_Designer_Bed_Mix!$J8&lt;=XS_Designer!$BN$93,XS_Designer!BE$93,"")</f>
        <v/>
      </c>
      <c r="Z8" s="4" t="str">
        <f>IF(XS_Designer_Bed_Mix!$J8&lt;=XS_Designer!$BN$93,XS_Designer!BF$93,"")</f>
        <v/>
      </c>
      <c r="AA8" s="4" t="str">
        <f>IF(XS_Designer_Bed_Mix!$J8&lt;=XS_Designer!$BN$93,XS_Designer!BG$93,"")</f>
        <v/>
      </c>
      <c r="AB8" s="4" t="str">
        <f>IF(XS_Designer_Bed_Mix!$J8&lt;=XS_Designer!$BN$93,XS_Designer!BH$93,"")</f>
        <v/>
      </c>
      <c r="AC8" s="4" t="str">
        <f>IF(XS_Designer_Bed_Mix!$J8&lt;=XS_Designer!$BN$93,XS_Designer!BI$93,"")</f>
        <v/>
      </c>
      <c r="AD8" s="4" t="str">
        <f>IF(XS_Designer_Bed_Mix!$J8&lt;=XS_Designer!$BN$93,XS_Designer!BJ$93,"")</f>
        <v/>
      </c>
      <c r="AE8" s="4" t="str">
        <f>IF(XS_Designer_Bed_Mix!$J8&lt;=XS_Designer!$BN$94,XS_Designer!BA$94,"")</f>
        <v/>
      </c>
      <c r="AF8" s="4" t="str">
        <f>IF(XS_Designer_Bed_Mix!$J8&lt;=XS_Designer!$BN$94,XS_Designer!BB$94,"")</f>
        <v/>
      </c>
      <c r="AG8" s="4" t="str">
        <f>IF(XS_Designer_Bed_Mix!$J8&lt;=XS_Designer!$BN$94,XS_Designer!BC$94,"")</f>
        <v/>
      </c>
      <c r="AH8" s="4" t="str">
        <f>IF(XS_Designer_Bed_Mix!$J8&lt;=XS_Designer!$BN$94,XS_Designer!BD$94,"")</f>
        <v/>
      </c>
      <c r="AI8" s="4" t="str">
        <f>IF(XS_Designer_Bed_Mix!$J8&lt;=XS_Designer!$BN$94,XS_Designer!BE$94,"")</f>
        <v/>
      </c>
      <c r="AJ8" s="4" t="str">
        <f>IF(XS_Designer_Bed_Mix!$J8&lt;=XS_Designer!$BN$94,XS_Designer!BF$94,"")</f>
        <v/>
      </c>
      <c r="AK8" s="4" t="str">
        <f>IF(XS_Designer_Bed_Mix!$J8&lt;=XS_Designer!$BN$94,XS_Designer!BG$94,"")</f>
        <v/>
      </c>
      <c r="AL8" s="4" t="str">
        <f>IF(XS_Designer_Bed_Mix!$J8&lt;=XS_Designer!$BN$94,XS_Designer!BH$94,"")</f>
        <v/>
      </c>
      <c r="AM8" s="4" t="str">
        <f>IF(XS_Designer_Bed_Mix!$J8&lt;=XS_Designer!$BN$94,XS_Designer!BI$94,"")</f>
        <v/>
      </c>
      <c r="AN8" s="4" t="str">
        <f>IF(XS_Designer_Bed_Mix!$J8&lt;=XS_Designer!$BN$94,XS_Designer!BJ$94,"")</f>
        <v/>
      </c>
      <c r="AO8" s="4" t="str">
        <f>IF(XS_Designer_Bed_Mix!$J8&lt;=XS_Designer!$BN$95,XS_Designer!BA$95,"")</f>
        <v/>
      </c>
      <c r="AP8" s="4" t="str">
        <f>IF(XS_Designer_Bed_Mix!$J8&lt;=XS_Designer!$BN$95,XS_Designer!BB$95,"")</f>
        <v/>
      </c>
      <c r="AQ8" s="4" t="str">
        <f>IF(XS_Designer_Bed_Mix!$J8&lt;=XS_Designer!$BN$95,XS_Designer!BC$95,"")</f>
        <v/>
      </c>
      <c r="AR8" s="4" t="str">
        <f>IF(XS_Designer_Bed_Mix!$J8&lt;=XS_Designer!$BN$95,XS_Designer!BD$95,"")</f>
        <v/>
      </c>
      <c r="AS8" s="4" t="str">
        <f>IF(XS_Designer_Bed_Mix!$J8&lt;=XS_Designer!$BN$95,XS_Designer!BE$95,"")</f>
        <v/>
      </c>
      <c r="AT8" s="4" t="str">
        <f>IF(XS_Designer_Bed_Mix!$J8&lt;=XS_Designer!$BN$95,XS_Designer!BF$95,"")</f>
        <v/>
      </c>
      <c r="AU8" s="4" t="str">
        <f>IF(XS_Designer_Bed_Mix!$J8&lt;=XS_Designer!$BN$95,XS_Designer!BG$95,"")</f>
        <v/>
      </c>
      <c r="AV8" s="4" t="str">
        <f>IF(XS_Designer_Bed_Mix!$J8&lt;=XS_Designer!$BN$95,XS_Designer!BH$95,"")</f>
        <v/>
      </c>
      <c r="AW8" s="4" t="str">
        <f>IF(XS_Designer_Bed_Mix!$J8&lt;=XS_Designer!$BN$95,XS_Designer!BI$95,"")</f>
        <v/>
      </c>
      <c r="AX8" s="4" t="str">
        <f>IF(XS_Designer_Bed_Mix!$J8&lt;=XS_Designer!$BN$95,XS_Designer!BJ$95,"")</f>
        <v/>
      </c>
      <c r="AY8" s="4">
        <f>IF(XS_Designer_Bed_Mix!$J8&lt;=XS_Designer!$BN$96,XS_Designer!BA$96,"")</f>
        <v>335.28000000000003</v>
      </c>
      <c r="AZ8" s="4">
        <f>IF(XS_Designer_Bed_Mix!$J8&lt;=XS_Designer!$BN$96,XS_Designer!BB$96,"")</f>
        <v>335.28000000000003</v>
      </c>
      <c r="BA8" s="4">
        <f>IF(XS_Designer_Bed_Mix!$J8&lt;=XS_Designer!$BN$96,XS_Designer!BC$96,"")</f>
        <v>335.28000000000003</v>
      </c>
      <c r="BB8" s="4">
        <f>IF(XS_Designer_Bed_Mix!$J8&lt;=XS_Designer!$BN$96,XS_Designer!BD$96,"")</f>
        <v>335.28000000000003</v>
      </c>
      <c r="BC8" s="4">
        <f>IF(XS_Designer_Bed_Mix!$J8&lt;=XS_Designer!$BN$96,XS_Designer!BE$96,"")</f>
        <v>335.28000000000003</v>
      </c>
      <c r="BD8" s="4">
        <f>IF(XS_Designer_Bed_Mix!$J8&lt;=XS_Designer!$BN$96,XS_Designer!BF$96,"")</f>
        <v>335.28000000000003</v>
      </c>
      <c r="BE8" s="4">
        <f>IF(XS_Designer_Bed_Mix!$J8&lt;=XS_Designer!$BN$96,XS_Designer!BG$96,"")</f>
        <v>335.28000000000003</v>
      </c>
      <c r="BF8" s="4">
        <f>IF(XS_Designer_Bed_Mix!$J8&lt;=XS_Designer!$BN$96,XS_Designer!BH$96,"")</f>
        <v>335.28000000000003</v>
      </c>
      <c r="BG8" s="4">
        <f>IF(XS_Designer_Bed_Mix!$J8&lt;=XS_Designer!$BN$96,XS_Designer!BI$96,"")</f>
        <v>335.28000000000003</v>
      </c>
      <c r="BH8" s="4">
        <f>IF(XS_Designer_Bed_Mix!$J8&lt;=XS_Designer!$BN$96,XS_Designer!BJ$96,"")</f>
        <v>335.28000000000003</v>
      </c>
      <c r="BI8" s="4" t="str">
        <f>IF(XS_Designer_Bed_Mix!$J8&lt;=XS_Designer!$BN$97,XS_Designer!BA$97,"")</f>
        <v/>
      </c>
      <c r="BJ8" s="4" t="str">
        <f>IF(XS_Designer_Bed_Mix!$J8&lt;=XS_Designer!$BN$97,XS_Designer!BB$97,"")</f>
        <v/>
      </c>
      <c r="BK8" s="4" t="str">
        <f>IF(XS_Designer_Bed_Mix!$J8&lt;=XS_Designer!$BN$97,XS_Designer!BC$97,"")</f>
        <v/>
      </c>
      <c r="BL8" s="4" t="str">
        <f>IF(XS_Designer_Bed_Mix!$J8&lt;=XS_Designer!$BN$97,XS_Designer!BD$97,"")</f>
        <v/>
      </c>
      <c r="BM8" s="4" t="str">
        <f>IF(XS_Designer_Bed_Mix!$J8&lt;=XS_Designer!$BN$97,XS_Designer!BE$97,"")</f>
        <v/>
      </c>
      <c r="BN8" s="4" t="str">
        <f>IF(XS_Designer_Bed_Mix!$J8&lt;=XS_Designer!$BN$97,XS_Designer!BF$97,"")</f>
        <v/>
      </c>
      <c r="BO8" s="4" t="str">
        <f>IF(XS_Designer_Bed_Mix!$J8&lt;=XS_Designer!$BN$97,XS_Designer!BG$97,"")</f>
        <v/>
      </c>
      <c r="BP8" s="4" t="str">
        <f>IF(XS_Designer_Bed_Mix!$J8&lt;=XS_Designer!$BN$97,XS_Designer!BH$97,"")</f>
        <v/>
      </c>
      <c r="BQ8" s="4" t="str">
        <f>IF(XS_Designer_Bed_Mix!$J8&lt;=XS_Designer!$BN$97,XS_Designer!BI$97,"")</f>
        <v/>
      </c>
      <c r="BR8" s="4" t="str">
        <f>IF(XS_Designer_Bed_Mix!$J8&lt;=XS_Designer!$BN$97,XS_Designer!BJ$97,"")</f>
        <v/>
      </c>
      <c r="BS8" s="4" t="str">
        <f>IF(XS_Designer_Bed_Mix!$J8&lt;=XS_Designer!$BN$98,XS_Designer!BA$98,"")</f>
        <v/>
      </c>
      <c r="BT8" s="4" t="str">
        <f>IF(XS_Designer_Bed_Mix!$J8&lt;=XS_Designer!$BN$98,XS_Designer!BB$98,"")</f>
        <v/>
      </c>
      <c r="BU8" s="4" t="str">
        <f>IF(XS_Designer_Bed_Mix!$J8&lt;=XS_Designer!$BN$98,XS_Designer!BC$98,"")</f>
        <v/>
      </c>
      <c r="BV8" s="4" t="str">
        <f>IF(XS_Designer_Bed_Mix!$J8&lt;=XS_Designer!$BN$98,XS_Designer!BD$98,"")</f>
        <v/>
      </c>
      <c r="BW8" s="4" t="str">
        <f>IF(XS_Designer_Bed_Mix!$J8&lt;=XS_Designer!$BN$98,XS_Designer!BE$98,"")</f>
        <v/>
      </c>
      <c r="BX8" s="4" t="str">
        <f>IF(XS_Designer_Bed_Mix!$J8&lt;=XS_Designer!$BN$98,XS_Designer!BF$98,"")</f>
        <v/>
      </c>
      <c r="BY8" s="4" t="str">
        <f>IF(XS_Designer_Bed_Mix!$J8&lt;=XS_Designer!$BN$98,XS_Designer!BG$98,"")</f>
        <v/>
      </c>
      <c r="BZ8" s="4" t="str">
        <f>IF(XS_Designer_Bed_Mix!$J8&lt;=XS_Designer!$BN$98,XS_Designer!BH$98,"")</f>
        <v/>
      </c>
      <c r="CA8" s="4" t="str">
        <f>IF(XS_Designer_Bed_Mix!$J8&lt;=XS_Designer!$BN$98,XS_Designer!BI$98,"")</f>
        <v/>
      </c>
      <c r="CB8" s="4" t="str">
        <f>IF(XS_Designer_Bed_Mix!$J8&lt;=XS_Designer!$BN$98,XS_Designer!BJ$98,"")</f>
        <v/>
      </c>
      <c r="CC8" s="4" t="str">
        <f>IF(XS_Designer_Bed_Mix!$J8&lt;=XS_Designer!$BN$99,XS_Designer!BA$99,"")</f>
        <v/>
      </c>
      <c r="CD8" s="4" t="str">
        <f>IF(XS_Designer_Bed_Mix!$J8&lt;=XS_Designer!$BN$99,XS_Designer!BB$99,"")</f>
        <v/>
      </c>
      <c r="CE8" s="4" t="str">
        <f>IF(XS_Designer_Bed_Mix!$J8&lt;=XS_Designer!$BN$99,XS_Designer!BC$99,"")</f>
        <v/>
      </c>
      <c r="CF8" s="4" t="str">
        <f>IF(XS_Designer_Bed_Mix!$J8&lt;=XS_Designer!$BN$99,XS_Designer!BD$99,"")</f>
        <v/>
      </c>
      <c r="CG8" s="4" t="str">
        <f>IF(XS_Designer_Bed_Mix!$J8&lt;=XS_Designer!$BN$99,XS_Designer!BE$99,"")</f>
        <v/>
      </c>
      <c r="CH8" s="4" t="str">
        <f>IF(XS_Designer_Bed_Mix!$J8&lt;=XS_Designer!$BN$99,XS_Designer!BF$99,"")</f>
        <v/>
      </c>
      <c r="CI8" s="4" t="str">
        <f>IF(XS_Designer_Bed_Mix!$J8&lt;=XS_Designer!$BN$99,XS_Designer!BG$99,"")</f>
        <v/>
      </c>
      <c r="CJ8" s="4" t="str">
        <f>IF(XS_Designer_Bed_Mix!$J8&lt;=XS_Designer!$BN$99,XS_Designer!BH$99,"")</f>
        <v/>
      </c>
      <c r="CK8" s="4" t="str">
        <f>IF(XS_Designer_Bed_Mix!$J8&lt;=XS_Designer!$BN$99,XS_Designer!BI$99,"")</f>
        <v/>
      </c>
      <c r="CL8" s="4" t="str">
        <f>IF(XS_Designer_Bed_Mix!$J8&lt;=XS_Designer!$BN$99,XS_Designer!BJ$99,"")</f>
        <v/>
      </c>
      <c r="CM8" s="4">
        <f>IF(XS_Designer_Bed_Mix!$J8&lt;=XS_Designer!$BN$100,XS_Designer!BA$100,"")</f>
        <v>64</v>
      </c>
      <c r="CN8" s="4">
        <f>IF(XS_Designer_Bed_Mix!$J8&lt;=XS_Designer!$BN$100,XS_Designer!BB$100,"")</f>
        <v>57.6</v>
      </c>
      <c r="CO8" s="4">
        <f>IF(XS_Designer_Bed_Mix!$J8&lt;=XS_Designer!$BN$100,XS_Designer!BC$100,"")</f>
        <v>51.2</v>
      </c>
      <c r="CP8" s="4">
        <f>IF(XS_Designer_Bed_Mix!$J8&lt;=XS_Designer!$BN$100,XS_Designer!BD$100,"")</f>
        <v>44.800000000000004</v>
      </c>
      <c r="CQ8" s="4">
        <f>IF(XS_Designer_Bed_Mix!$J8&lt;=XS_Designer!$BN$100,XS_Designer!BE$100,"")</f>
        <v>38.400000000000006</v>
      </c>
      <c r="CR8" s="4">
        <f>IF(XS_Designer_Bed_Mix!$J8&lt;=XS_Designer!$BN$100,XS_Designer!BF$100,"")</f>
        <v>32</v>
      </c>
      <c r="CS8" s="4">
        <f>IF(XS_Designer_Bed_Mix!$J8&lt;=XS_Designer!$BN$100,XS_Designer!BG$100,"")</f>
        <v>26</v>
      </c>
      <c r="CT8" s="4">
        <f>IF(XS_Designer_Bed_Mix!$J8&lt;=XS_Designer!$BN$100,XS_Designer!BH$100,"")</f>
        <v>20</v>
      </c>
      <c r="CU8" s="4">
        <f>IF(XS_Designer_Bed_Mix!$J8&lt;=XS_Designer!$BN$100,XS_Designer!BI$100,"")</f>
        <v>14</v>
      </c>
      <c r="CV8" s="4">
        <f>IF(XS_Designer_Bed_Mix!$J8&lt;=XS_Designer!$BN$100,XS_Designer!BJ$100,"")</f>
        <v>8</v>
      </c>
      <c r="CW8" s="4">
        <f>IF(XS_Designer_Bed_Mix!$J8&lt;=XS_Designer!$BN$101,XS_Designer!BA$101,"")</f>
        <v>2</v>
      </c>
      <c r="CX8" s="4">
        <f>IF(XS_Designer_Bed_Mix!$J8&lt;=XS_Designer!$BN$101,XS_Designer!BB$101,"")</f>
        <v>1.9</v>
      </c>
      <c r="CY8" s="4">
        <f>IF(XS_Designer_Bed_Mix!$J8&lt;=XS_Designer!$BN$101,XS_Designer!BC$101,"")</f>
        <v>1.7999999999999998</v>
      </c>
      <c r="CZ8" s="4">
        <f>IF(XS_Designer_Bed_Mix!$J8&lt;=XS_Designer!$BN$101,XS_Designer!BD$101,"")</f>
        <v>1.6999999999999997</v>
      </c>
      <c r="DA8" s="4">
        <f>IF(XS_Designer_Bed_Mix!$J8&lt;=XS_Designer!$BN$101,XS_Designer!BE$101,"")</f>
        <v>1.5999999999999996</v>
      </c>
      <c r="DB8" s="4">
        <f>IF(XS_Designer_Bed_Mix!$J8&lt;=XS_Designer!$BN$101,XS_Designer!BF$101,"")</f>
        <v>1.5</v>
      </c>
      <c r="DC8" s="4">
        <f>IF(XS_Designer_Bed_Mix!$J8&lt;=XS_Designer!$BN$101,XS_Designer!BG$101,"")</f>
        <v>1.4</v>
      </c>
      <c r="DD8" s="4">
        <f>IF(XS_Designer_Bed_Mix!$J8&lt;=XS_Designer!$BN$101,XS_Designer!BH$101,"")</f>
        <v>1.2999999999999998</v>
      </c>
      <c r="DE8" s="4">
        <f>IF(XS_Designer_Bed_Mix!$J8&lt;=XS_Designer!$BN$101,XS_Designer!BI$101,"")</f>
        <v>1.1999999999999997</v>
      </c>
      <c r="DF8" s="4">
        <f>IF(XS_Designer_Bed_Mix!$J8&lt;=XS_Designer!$BN$101,XS_Designer!BJ$101,"")</f>
        <v>1.0999999999999996</v>
      </c>
      <c r="DG8" s="4" t="str">
        <f>IF(XS_Designer_Bed_Mix!$J8&lt;=XS_Designer!$BN$102,XS_Designer!BA$102,"")</f>
        <v/>
      </c>
      <c r="DH8" s="4" t="str">
        <f>IF(XS_Designer_Bed_Mix!$J8&lt;=XS_Designer!$BN$102,XS_Designer!BB$102,"")</f>
        <v/>
      </c>
      <c r="DI8" s="4" t="str">
        <f>IF(XS_Designer_Bed_Mix!$J8&lt;=XS_Designer!$BN$102,XS_Designer!BC$102,"")</f>
        <v/>
      </c>
      <c r="DJ8" s="4" t="str">
        <f>IF(XS_Designer_Bed_Mix!$J8&lt;=XS_Designer!$BN$102,XS_Designer!BD$102,"")</f>
        <v/>
      </c>
      <c r="DK8" s="4" t="str">
        <f>IF(XS_Designer_Bed_Mix!$J8&lt;=XS_Designer!$BN$102,XS_Designer!BE$102,"")</f>
        <v/>
      </c>
      <c r="DL8" s="4" t="str">
        <f>IF(XS_Designer_Bed_Mix!$J8&lt;=XS_Designer!$BN$102,XS_Designer!BF$102,"")</f>
        <v/>
      </c>
      <c r="DM8" s="4" t="str">
        <f>IF(XS_Designer_Bed_Mix!$J8&lt;=XS_Designer!$BN$102,XS_Designer!BG$102,"")</f>
        <v/>
      </c>
      <c r="DN8" s="4" t="str">
        <f>IF(XS_Designer_Bed_Mix!$J8&lt;=XS_Designer!$BN$102,XS_Designer!BH$102,"")</f>
        <v/>
      </c>
      <c r="DO8" s="4" t="str">
        <f>IF(XS_Designer_Bed_Mix!$J8&lt;=XS_Designer!$BN$102,XS_Designer!BI$102,"")</f>
        <v/>
      </c>
      <c r="DP8" s="4" t="str">
        <f>IF(XS_Designer_Bed_Mix!$J8&lt;=XS_Designer!$BN$102,XS_Designer!BJ$102,"")</f>
        <v/>
      </c>
    </row>
    <row r="9" spans="2:120" ht="15">
      <c r="B9" s="5">
        <v>32</v>
      </c>
      <c r="C9" s="8"/>
      <c r="D9" s="1"/>
      <c r="E9" s="6" t="s">
        <v>989</v>
      </c>
      <c r="F9" s="187">
        <f t="shared" si="0"/>
        <v>38.400000000000006</v>
      </c>
      <c r="G9">
        <v>35</v>
      </c>
      <c r="H9">
        <f t="shared" si="1"/>
        <v>0.35</v>
      </c>
      <c r="J9" s="3">
        <v>0.08</v>
      </c>
      <c r="K9" s="4" t="str">
        <f>IF(XS_Designer_Bed_Mix!$J9&lt;=XS_Designer!$BN$92,XS_Designer!BA$92,"")</f>
        <v/>
      </c>
      <c r="L9" s="4" t="str">
        <f>IF(XS_Designer_Bed_Mix!$J9&lt;=XS_Designer!$BN$92,XS_Designer!BB$92,"")</f>
        <v/>
      </c>
      <c r="M9" s="4" t="str">
        <f>IF(XS_Designer_Bed_Mix!$J9&lt;=XS_Designer!$BN$92,XS_Designer!BC$92,"")</f>
        <v/>
      </c>
      <c r="N9" s="4" t="str">
        <f>IF(XS_Designer_Bed_Mix!$J9&lt;=XS_Designer!$BN$92,XS_Designer!BD$92,"")</f>
        <v/>
      </c>
      <c r="O9" s="4" t="str">
        <f>IF(XS_Designer_Bed_Mix!$J9&lt;=XS_Designer!$BN$92,XS_Designer!BE$92,"")</f>
        <v/>
      </c>
      <c r="P9" s="4" t="str">
        <f>IF(XS_Designer_Bed_Mix!$J9&lt;=XS_Designer!$BN$92,XS_Designer!BF$92,"")</f>
        <v/>
      </c>
      <c r="Q9" s="4" t="str">
        <f>IF(XS_Designer_Bed_Mix!$J9&lt;=XS_Designer!$BN$92,XS_Designer!BG$92,"")</f>
        <v/>
      </c>
      <c r="R9" s="4" t="str">
        <f>IF(XS_Designer_Bed_Mix!$J9&lt;=XS_Designer!$BN$92,XS_Designer!BH$92,"")</f>
        <v/>
      </c>
      <c r="S9" s="4" t="str">
        <f>IF(XS_Designer_Bed_Mix!$J9&lt;=XS_Designer!$BN$92,XS_Designer!BI$92,"")</f>
        <v/>
      </c>
      <c r="T9" s="4" t="str">
        <f>IF(XS_Designer_Bed_Mix!$J9&lt;=XS_Designer!$BN$92,XS_Designer!BJ$92,"")</f>
        <v/>
      </c>
      <c r="U9" s="4" t="str">
        <f>IF(XS_Designer_Bed_Mix!$J9&lt;=XS_Designer!$BN$93,XS_Designer!BA$93,"")</f>
        <v/>
      </c>
      <c r="V9" s="4" t="str">
        <f>IF(XS_Designer_Bed_Mix!$J9&lt;=XS_Designer!$BN$93,XS_Designer!BB$93,"")</f>
        <v/>
      </c>
      <c r="W9" s="4" t="str">
        <f>IF(XS_Designer_Bed_Mix!$J9&lt;=XS_Designer!$BN$93,XS_Designer!BC$93,"")</f>
        <v/>
      </c>
      <c r="X9" s="4" t="str">
        <f>IF(XS_Designer_Bed_Mix!$J9&lt;=XS_Designer!$BN$93,XS_Designer!BD$93,"")</f>
        <v/>
      </c>
      <c r="Y9" s="4" t="str">
        <f>IF(XS_Designer_Bed_Mix!$J9&lt;=XS_Designer!$BN$93,XS_Designer!BE$93,"")</f>
        <v/>
      </c>
      <c r="Z9" s="4" t="str">
        <f>IF(XS_Designer_Bed_Mix!$J9&lt;=XS_Designer!$BN$93,XS_Designer!BF$93,"")</f>
        <v/>
      </c>
      <c r="AA9" s="4" t="str">
        <f>IF(XS_Designer_Bed_Mix!$J9&lt;=XS_Designer!$BN$93,XS_Designer!BG$93,"")</f>
        <v/>
      </c>
      <c r="AB9" s="4" t="str">
        <f>IF(XS_Designer_Bed_Mix!$J9&lt;=XS_Designer!$BN$93,XS_Designer!BH$93,"")</f>
        <v/>
      </c>
      <c r="AC9" s="4" t="str">
        <f>IF(XS_Designer_Bed_Mix!$J9&lt;=XS_Designer!$BN$93,XS_Designer!BI$93,"")</f>
        <v/>
      </c>
      <c r="AD9" s="4" t="str">
        <f>IF(XS_Designer_Bed_Mix!$J9&lt;=XS_Designer!$BN$93,XS_Designer!BJ$93,"")</f>
        <v/>
      </c>
      <c r="AE9" s="4" t="str">
        <f>IF(XS_Designer_Bed_Mix!$J9&lt;=XS_Designer!$BN$94,XS_Designer!BA$94,"")</f>
        <v/>
      </c>
      <c r="AF9" s="4" t="str">
        <f>IF(XS_Designer_Bed_Mix!$J9&lt;=XS_Designer!$BN$94,XS_Designer!BB$94,"")</f>
        <v/>
      </c>
      <c r="AG9" s="4" t="str">
        <f>IF(XS_Designer_Bed_Mix!$J9&lt;=XS_Designer!$BN$94,XS_Designer!BC$94,"")</f>
        <v/>
      </c>
      <c r="AH9" s="4" t="str">
        <f>IF(XS_Designer_Bed_Mix!$J9&lt;=XS_Designer!$BN$94,XS_Designer!BD$94,"")</f>
        <v/>
      </c>
      <c r="AI9" s="4" t="str">
        <f>IF(XS_Designer_Bed_Mix!$J9&lt;=XS_Designer!$BN$94,XS_Designer!BE$94,"")</f>
        <v/>
      </c>
      <c r="AJ9" s="4" t="str">
        <f>IF(XS_Designer_Bed_Mix!$J9&lt;=XS_Designer!$BN$94,XS_Designer!BF$94,"")</f>
        <v/>
      </c>
      <c r="AK9" s="4" t="str">
        <f>IF(XS_Designer_Bed_Mix!$J9&lt;=XS_Designer!$BN$94,XS_Designer!BG$94,"")</f>
        <v/>
      </c>
      <c r="AL9" s="4" t="str">
        <f>IF(XS_Designer_Bed_Mix!$J9&lt;=XS_Designer!$BN$94,XS_Designer!BH$94,"")</f>
        <v/>
      </c>
      <c r="AM9" s="4" t="str">
        <f>IF(XS_Designer_Bed_Mix!$J9&lt;=XS_Designer!$BN$94,XS_Designer!BI$94,"")</f>
        <v/>
      </c>
      <c r="AN9" s="4" t="str">
        <f>IF(XS_Designer_Bed_Mix!$J9&lt;=XS_Designer!$BN$94,XS_Designer!BJ$94,"")</f>
        <v/>
      </c>
      <c r="AO9" s="4" t="str">
        <f>IF(XS_Designer_Bed_Mix!$J9&lt;=XS_Designer!$BN$95,XS_Designer!BA$95,"")</f>
        <v/>
      </c>
      <c r="AP9" s="4" t="str">
        <f>IF(XS_Designer_Bed_Mix!$J9&lt;=XS_Designer!$BN$95,XS_Designer!BB$95,"")</f>
        <v/>
      </c>
      <c r="AQ9" s="4" t="str">
        <f>IF(XS_Designer_Bed_Mix!$J9&lt;=XS_Designer!$BN$95,XS_Designer!BC$95,"")</f>
        <v/>
      </c>
      <c r="AR9" s="4" t="str">
        <f>IF(XS_Designer_Bed_Mix!$J9&lt;=XS_Designer!$BN$95,XS_Designer!BD$95,"")</f>
        <v/>
      </c>
      <c r="AS9" s="4" t="str">
        <f>IF(XS_Designer_Bed_Mix!$J9&lt;=XS_Designer!$BN$95,XS_Designer!BE$95,"")</f>
        <v/>
      </c>
      <c r="AT9" s="4" t="str">
        <f>IF(XS_Designer_Bed_Mix!$J9&lt;=XS_Designer!$BN$95,XS_Designer!BF$95,"")</f>
        <v/>
      </c>
      <c r="AU9" s="4" t="str">
        <f>IF(XS_Designer_Bed_Mix!$J9&lt;=XS_Designer!$BN$95,XS_Designer!BG$95,"")</f>
        <v/>
      </c>
      <c r="AV9" s="4" t="str">
        <f>IF(XS_Designer_Bed_Mix!$J9&lt;=XS_Designer!$BN$95,XS_Designer!BH$95,"")</f>
        <v/>
      </c>
      <c r="AW9" s="4" t="str">
        <f>IF(XS_Designer_Bed_Mix!$J9&lt;=XS_Designer!$BN$95,XS_Designer!BI$95,"")</f>
        <v/>
      </c>
      <c r="AX9" s="4" t="str">
        <f>IF(XS_Designer_Bed_Mix!$J9&lt;=XS_Designer!$BN$95,XS_Designer!BJ$95,"")</f>
        <v/>
      </c>
      <c r="AY9" s="4">
        <f>IF(XS_Designer_Bed_Mix!$J9&lt;=XS_Designer!$BN$96,XS_Designer!BA$96,"")</f>
        <v>335.28000000000003</v>
      </c>
      <c r="AZ9" s="4">
        <f>IF(XS_Designer_Bed_Mix!$J9&lt;=XS_Designer!$BN$96,XS_Designer!BB$96,"")</f>
        <v>335.28000000000003</v>
      </c>
      <c r="BA9" s="4">
        <f>IF(XS_Designer_Bed_Mix!$J9&lt;=XS_Designer!$BN$96,XS_Designer!BC$96,"")</f>
        <v>335.28000000000003</v>
      </c>
      <c r="BB9" s="4">
        <f>IF(XS_Designer_Bed_Mix!$J9&lt;=XS_Designer!$BN$96,XS_Designer!BD$96,"")</f>
        <v>335.28000000000003</v>
      </c>
      <c r="BC9" s="4">
        <f>IF(XS_Designer_Bed_Mix!$J9&lt;=XS_Designer!$BN$96,XS_Designer!BE$96,"")</f>
        <v>335.28000000000003</v>
      </c>
      <c r="BD9" s="4">
        <f>IF(XS_Designer_Bed_Mix!$J9&lt;=XS_Designer!$BN$96,XS_Designer!BF$96,"")</f>
        <v>335.28000000000003</v>
      </c>
      <c r="BE9" s="4">
        <f>IF(XS_Designer_Bed_Mix!$J9&lt;=XS_Designer!$BN$96,XS_Designer!BG$96,"")</f>
        <v>335.28000000000003</v>
      </c>
      <c r="BF9" s="4">
        <f>IF(XS_Designer_Bed_Mix!$J9&lt;=XS_Designer!$BN$96,XS_Designer!BH$96,"")</f>
        <v>335.28000000000003</v>
      </c>
      <c r="BG9" s="4">
        <f>IF(XS_Designer_Bed_Mix!$J9&lt;=XS_Designer!$BN$96,XS_Designer!BI$96,"")</f>
        <v>335.28000000000003</v>
      </c>
      <c r="BH9" s="4">
        <f>IF(XS_Designer_Bed_Mix!$J9&lt;=XS_Designer!$BN$96,XS_Designer!BJ$96,"")</f>
        <v>335.28000000000003</v>
      </c>
      <c r="BI9" s="4" t="str">
        <f>IF(XS_Designer_Bed_Mix!$J9&lt;=XS_Designer!$BN$97,XS_Designer!BA$97,"")</f>
        <v/>
      </c>
      <c r="BJ9" s="4" t="str">
        <f>IF(XS_Designer_Bed_Mix!$J9&lt;=XS_Designer!$BN$97,XS_Designer!BB$97,"")</f>
        <v/>
      </c>
      <c r="BK9" s="4" t="str">
        <f>IF(XS_Designer_Bed_Mix!$J9&lt;=XS_Designer!$BN$97,XS_Designer!BC$97,"")</f>
        <v/>
      </c>
      <c r="BL9" s="4" t="str">
        <f>IF(XS_Designer_Bed_Mix!$J9&lt;=XS_Designer!$BN$97,XS_Designer!BD$97,"")</f>
        <v/>
      </c>
      <c r="BM9" s="4" t="str">
        <f>IF(XS_Designer_Bed_Mix!$J9&lt;=XS_Designer!$BN$97,XS_Designer!BE$97,"")</f>
        <v/>
      </c>
      <c r="BN9" s="4" t="str">
        <f>IF(XS_Designer_Bed_Mix!$J9&lt;=XS_Designer!$BN$97,XS_Designer!BF$97,"")</f>
        <v/>
      </c>
      <c r="BO9" s="4" t="str">
        <f>IF(XS_Designer_Bed_Mix!$J9&lt;=XS_Designer!$BN$97,XS_Designer!BG$97,"")</f>
        <v/>
      </c>
      <c r="BP9" s="4" t="str">
        <f>IF(XS_Designer_Bed_Mix!$J9&lt;=XS_Designer!$BN$97,XS_Designer!BH$97,"")</f>
        <v/>
      </c>
      <c r="BQ9" s="4" t="str">
        <f>IF(XS_Designer_Bed_Mix!$J9&lt;=XS_Designer!$BN$97,XS_Designer!BI$97,"")</f>
        <v/>
      </c>
      <c r="BR9" s="4" t="str">
        <f>IF(XS_Designer_Bed_Mix!$J9&lt;=XS_Designer!$BN$97,XS_Designer!BJ$97,"")</f>
        <v/>
      </c>
      <c r="BS9" s="4" t="str">
        <f>IF(XS_Designer_Bed_Mix!$J9&lt;=XS_Designer!$BN$98,XS_Designer!BA$98,"")</f>
        <v/>
      </c>
      <c r="BT9" s="4" t="str">
        <f>IF(XS_Designer_Bed_Mix!$J9&lt;=XS_Designer!$BN$98,XS_Designer!BB$98,"")</f>
        <v/>
      </c>
      <c r="BU9" s="4" t="str">
        <f>IF(XS_Designer_Bed_Mix!$J9&lt;=XS_Designer!$BN$98,XS_Designer!BC$98,"")</f>
        <v/>
      </c>
      <c r="BV9" s="4" t="str">
        <f>IF(XS_Designer_Bed_Mix!$J9&lt;=XS_Designer!$BN$98,XS_Designer!BD$98,"")</f>
        <v/>
      </c>
      <c r="BW9" s="4" t="str">
        <f>IF(XS_Designer_Bed_Mix!$J9&lt;=XS_Designer!$BN$98,XS_Designer!BE$98,"")</f>
        <v/>
      </c>
      <c r="BX9" s="4" t="str">
        <f>IF(XS_Designer_Bed_Mix!$J9&lt;=XS_Designer!$BN$98,XS_Designer!BF$98,"")</f>
        <v/>
      </c>
      <c r="BY9" s="4" t="str">
        <f>IF(XS_Designer_Bed_Mix!$J9&lt;=XS_Designer!$BN$98,XS_Designer!BG$98,"")</f>
        <v/>
      </c>
      <c r="BZ9" s="4" t="str">
        <f>IF(XS_Designer_Bed_Mix!$J9&lt;=XS_Designer!$BN$98,XS_Designer!BH$98,"")</f>
        <v/>
      </c>
      <c r="CA9" s="4" t="str">
        <f>IF(XS_Designer_Bed_Mix!$J9&lt;=XS_Designer!$BN$98,XS_Designer!BI$98,"")</f>
        <v/>
      </c>
      <c r="CB9" s="4" t="str">
        <f>IF(XS_Designer_Bed_Mix!$J9&lt;=XS_Designer!$BN$98,XS_Designer!BJ$98,"")</f>
        <v/>
      </c>
      <c r="CC9" s="4" t="str">
        <f>IF(XS_Designer_Bed_Mix!$J9&lt;=XS_Designer!$BN$99,XS_Designer!BA$99,"")</f>
        <v/>
      </c>
      <c r="CD9" s="4" t="str">
        <f>IF(XS_Designer_Bed_Mix!$J9&lt;=XS_Designer!$BN$99,XS_Designer!BB$99,"")</f>
        <v/>
      </c>
      <c r="CE9" s="4" t="str">
        <f>IF(XS_Designer_Bed_Mix!$J9&lt;=XS_Designer!$BN$99,XS_Designer!BC$99,"")</f>
        <v/>
      </c>
      <c r="CF9" s="4" t="str">
        <f>IF(XS_Designer_Bed_Mix!$J9&lt;=XS_Designer!$BN$99,XS_Designer!BD$99,"")</f>
        <v/>
      </c>
      <c r="CG9" s="4" t="str">
        <f>IF(XS_Designer_Bed_Mix!$J9&lt;=XS_Designer!$BN$99,XS_Designer!BE$99,"")</f>
        <v/>
      </c>
      <c r="CH9" s="4" t="str">
        <f>IF(XS_Designer_Bed_Mix!$J9&lt;=XS_Designer!$BN$99,XS_Designer!BF$99,"")</f>
        <v/>
      </c>
      <c r="CI9" s="4" t="str">
        <f>IF(XS_Designer_Bed_Mix!$J9&lt;=XS_Designer!$BN$99,XS_Designer!BG$99,"")</f>
        <v/>
      </c>
      <c r="CJ9" s="4" t="str">
        <f>IF(XS_Designer_Bed_Mix!$J9&lt;=XS_Designer!$BN$99,XS_Designer!BH$99,"")</f>
        <v/>
      </c>
      <c r="CK9" s="4" t="str">
        <f>IF(XS_Designer_Bed_Mix!$J9&lt;=XS_Designer!$BN$99,XS_Designer!BI$99,"")</f>
        <v/>
      </c>
      <c r="CL9" s="4" t="str">
        <f>IF(XS_Designer_Bed_Mix!$J9&lt;=XS_Designer!$BN$99,XS_Designer!BJ$99,"")</f>
        <v/>
      </c>
      <c r="CM9" s="4">
        <f>IF(XS_Designer_Bed_Mix!$J9&lt;=XS_Designer!$BN$100,XS_Designer!BA$100,"")</f>
        <v>64</v>
      </c>
      <c r="CN9" s="4">
        <f>IF(XS_Designer_Bed_Mix!$J9&lt;=XS_Designer!$BN$100,XS_Designer!BB$100,"")</f>
        <v>57.6</v>
      </c>
      <c r="CO9" s="4">
        <f>IF(XS_Designer_Bed_Mix!$J9&lt;=XS_Designer!$BN$100,XS_Designer!BC$100,"")</f>
        <v>51.2</v>
      </c>
      <c r="CP9" s="4">
        <f>IF(XS_Designer_Bed_Mix!$J9&lt;=XS_Designer!$BN$100,XS_Designer!BD$100,"")</f>
        <v>44.800000000000004</v>
      </c>
      <c r="CQ9" s="4">
        <f>IF(XS_Designer_Bed_Mix!$J9&lt;=XS_Designer!$BN$100,XS_Designer!BE$100,"")</f>
        <v>38.400000000000006</v>
      </c>
      <c r="CR9" s="4">
        <f>IF(XS_Designer_Bed_Mix!$J9&lt;=XS_Designer!$BN$100,XS_Designer!BF$100,"")</f>
        <v>32</v>
      </c>
      <c r="CS9" s="4">
        <f>IF(XS_Designer_Bed_Mix!$J9&lt;=XS_Designer!$BN$100,XS_Designer!BG$100,"")</f>
        <v>26</v>
      </c>
      <c r="CT9" s="4">
        <f>IF(XS_Designer_Bed_Mix!$J9&lt;=XS_Designer!$BN$100,XS_Designer!BH$100,"")</f>
        <v>20</v>
      </c>
      <c r="CU9" s="4">
        <f>IF(XS_Designer_Bed_Mix!$J9&lt;=XS_Designer!$BN$100,XS_Designer!BI$100,"")</f>
        <v>14</v>
      </c>
      <c r="CV9" s="4">
        <f>IF(XS_Designer_Bed_Mix!$J9&lt;=XS_Designer!$BN$100,XS_Designer!BJ$100,"")</f>
        <v>8</v>
      </c>
      <c r="CW9" s="4">
        <f>IF(XS_Designer_Bed_Mix!$J9&lt;=XS_Designer!$BN$101,XS_Designer!BA$101,"")</f>
        <v>2</v>
      </c>
      <c r="CX9" s="4">
        <f>IF(XS_Designer_Bed_Mix!$J9&lt;=XS_Designer!$BN$101,XS_Designer!BB$101,"")</f>
        <v>1.9</v>
      </c>
      <c r="CY9" s="4">
        <f>IF(XS_Designer_Bed_Mix!$J9&lt;=XS_Designer!$BN$101,XS_Designer!BC$101,"")</f>
        <v>1.7999999999999998</v>
      </c>
      <c r="CZ9" s="4">
        <f>IF(XS_Designer_Bed_Mix!$J9&lt;=XS_Designer!$BN$101,XS_Designer!BD$101,"")</f>
        <v>1.6999999999999997</v>
      </c>
      <c r="DA9" s="4">
        <f>IF(XS_Designer_Bed_Mix!$J9&lt;=XS_Designer!$BN$101,XS_Designer!BE$101,"")</f>
        <v>1.5999999999999996</v>
      </c>
      <c r="DB9" s="4">
        <f>IF(XS_Designer_Bed_Mix!$J9&lt;=XS_Designer!$BN$101,XS_Designer!BF$101,"")</f>
        <v>1.5</v>
      </c>
      <c r="DC9" s="4">
        <f>IF(XS_Designer_Bed_Mix!$J9&lt;=XS_Designer!$BN$101,XS_Designer!BG$101,"")</f>
        <v>1.4</v>
      </c>
      <c r="DD9" s="4">
        <f>IF(XS_Designer_Bed_Mix!$J9&lt;=XS_Designer!$BN$101,XS_Designer!BH$101,"")</f>
        <v>1.2999999999999998</v>
      </c>
      <c r="DE9" s="4">
        <f>IF(XS_Designer_Bed_Mix!$J9&lt;=XS_Designer!$BN$101,XS_Designer!BI$101,"")</f>
        <v>1.1999999999999997</v>
      </c>
      <c r="DF9" s="4">
        <f>IF(XS_Designer_Bed_Mix!$J9&lt;=XS_Designer!$BN$101,XS_Designer!BJ$101,"")</f>
        <v>1.0999999999999996</v>
      </c>
      <c r="DG9" s="4" t="str">
        <f>IF(XS_Designer_Bed_Mix!$J9&lt;=XS_Designer!$BN$102,XS_Designer!BA$102,"")</f>
        <v/>
      </c>
      <c r="DH9" s="4" t="str">
        <f>IF(XS_Designer_Bed_Mix!$J9&lt;=XS_Designer!$BN$102,XS_Designer!BB$102,"")</f>
        <v/>
      </c>
      <c r="DI9" s="4" t="str">
        <f>IF(XS_Designer_Bed_Mix!$J9&lt;=XS_Designer!$BN$102,XS_Designer!BC$102,"")</f>
        <v/>
      </c>
      <c r="DJ9" s="4" t="str">
        <f>IF(XS_Designer_Bed_Mix!$J9&lt;=XS_Designer!$BN$102,XS_Designer!BD$102,"")</f>
        <v/>
      </c>
      <c r="DK9" s="4" t="str">
        <f>IF(XS_Designer_Bed_Mix!$J9&lt;=XS_Designer!$BN$102,XS_Designer!BE$102,"")</f>
        <v/>
      </c>
      <c r="DL9" s="4" t="str">
        <f>IF(XS_Designer_Bed_Mix!$J9&lt;=XS_Designer!$BN$102,XS_Designer!BF$102,"")</f>
        <v/>
      </c>
      <c r="DM9" s="4" t="str">
        <f>IF(XS_Designer_Bed_Mix!$J9&lt;=XS_Designer!$BN$102,XS_Designer!BG$102,"")</f>
        <v/>
      </c>
      <c r="DN9" s="4" t="str">
        <f>IF(XS_Designer_Bed_Mix!$J9&lt;=XS_Designer!$BN$102,XS_Designer!BH$102,"")</f>
        <v/>
      </c>
      <c r="DO9" s="4" t="str">
        <f>IF(XS_Designer_Bed_Mix!$J9&lt;=XS_Designer!$BN$102,XS_Designer!BI$102,"")</f>
        <v/>
      </c>
      <c r="DP9" s="4" t="str">
        <f>IF(XS_Designer_Bed_Mix!$J9&lt;=XS_Designer!$BN$102,XS_Designer!BJ$102,"")</f>
        <v/>
      </c>
    </row>
    <row r="10" spans="2:120" ht="15">
      <c r="B10" s="5">
        <v>64</v>
      </c>
      <c r="C10" s="8"/>
      <c r="D10" s="1"/>
      <c r="E10" s="6" t="s">
        <v>54</v>
      </c>
      <c r="F10" s="187">
        <f t="shared" si="0"/>
        <v>199.64000000000001</v>
      </c>
      <c r="G10">
        <v>50</v>
      </c>
      <c r="H10">
        <f t="shared" si="1"/>
        <v>0.5</v>
      </c>
      <c r="J10" s="3">
        <v>0.09</v>
      </c>
      <c r="K10" s="4" t="str">
        <f>IF(XS_Designer_Bed_Mix!$J10&lt;=XS_Designer!$BN$92,XS_Designer!BA$92,"")</f>
        <v/>
      </c>
      <c r="L10" s="4" t="str">
        <f>IF(XS_Designer_Bed_Mix!$J10&lt;=XS_Designer!$BN$92,XS_Designer!BB$92,"")</f>
        <v/>
      </c>
      <c r="M10" s="4" t="str">
        <f>IF(XS_Designer_Bed_Mix!$J10&lt;=XS_Designer!$BN$92,XS_Designer!BC$92,"")</f>
        <v/>
      </c>
      <c r="N10" s="4" t="str">
        <f>IF(XS_Designer_Bed_Mix!$J10&lt;=XS_Designer!$BN$92,XS_Designer!BD$92,"")</f>
        <v/>
      </c>
      <c r="O10" s="4" t="str">
        <f>IF(XS_Designer_Bed_Mix!$J10&lt;=XS_Designer!$BN$92,XS_Designer!BE$92,"")</f>
        <v/>
      </c>
      <c r="P10" s="4" t="str">
        <f>IF(XS_Designer_Bed_Mix!$J10&lt;=XS_Designer!$BN$92,XS_Designer!BF$92,"")</f>
        <v/>
      </c>
      <c r="Q10" s="4" t="str">
        <f>IF(XS_Designer_Bed_Mix!$J10&lt;=XS_Designer!$BN$92,XS_Designer!BG$92,"")</f>
        <v/>
      </c>
      <c r="R10" s="4" t="str">
        <f>IF(XS_Designer_Bed_Mix!$J10&lt;=XS_Designer!$BN$92,XS_Designer!BH$92,"")</f>
        <v/>
      </c>
      <c r="S10" s="4" t="str">
        <f>IF(XS_Designer_Bed_Mix!$J10&lt;=XS_Designer!$BN$92,XS_Designer!BI$92,"")</f>
        <v/>
      </c>
      <c r="T10" s="4" t="str">
        <f>IF(XS_Designer_Bed_Mix!$J10&lt;=XS_Designer!$BN$92,XS_Designer!BJ$92,"")</f>
        <v/>
      </c>
      <c r="U10" s="4" t="str">
        <f>IF(XS_Designer_Bed_Mix!$J10&lt;=XS_Designer!$BN$93,XS_Designer!BA$93,"")</f>
        <v/>
      </c>
      <c r="V10" s="4" t="str">
        <f>IF(XS_Designer_Bed_Mix!$J10&lt;=XS_Designer!$BN$93,XS_Designer!BB$93,"")</f>
        <v/>
      </c>
      <c r="W10" s="4" t="str">
        <f>IF(XS_Designer_Bed_Mix!$J10&lt;=XS_Designer!$BN$93,XS_Designer!BC$93,"")</f>
        <v/>
      </c>
      <c r="X10" s="4" t="str">
        <f>IF(XS_Designer_Bed_Mix!$J10&lt;=XS_Designer!$BN$93,XS_Designer!BD$93,"")</f>
        <v/>
      </c>
      <c r="Y10" s="4" t="str">
        <f>IF(XS_Designer_Bed_Mix!$J10&lt;=XS_Designer!$BN$93,XS_Designer!BE$93,"")</f>
        <v/>
      </c>
      <c r="Z10" s="4" t="str">
        <f>IF(XS_Designer_Bed_Mix!$J10&lt;=XS_Designer!$BN$93,XS_Designer!BF$93,"")</f>
        <v/>
      </c>
      <c r="AA10" s="4" t="str">
        <f>IF(XS_Designer_Bed_Mix!$J10&lt;=XS_Designer!$BN$93,XS_Designer!BG$93,"")</f>
        <v/>
      </c>
      <c r="AB10" s="4" t="str">
        <f>IF(XS_Designer_Bed_Mix!$J10&lt;=XS_Designer!$BN$93,XS_Designer!BH$93,"")</f>
        <v/>
      </c>
      <c r="AC10" s="4" t="str">
        <f>IF(XS_Designer_Bed_Mix!$J10&lt;=XS_Designer!$BN$93,XS_Designer!BI$93,"")</f>
        <v/>
      </c>
      <c r="AD10" s="4" t="str">
        <f>IF(XS_Designer_Bed_Mix!$J10&lt;=XS_Designer!$BN$93,XS_Designer!BJ$93,"")</f>
        <v/>
      </c>
      <c r="AE10" s="4" t="str">
        <f>IF(XS_Designer_Bed_Mix!$J10&lt;=XS_Designer!$BN$94,XS_Designer!BA$94,"")</f>
        <v/>
      </c>
      <c r="AF10" s="4" t="str">
        <f>IF(XS_Designer_Bed_Mix!$J10&lt;=XS_Designer!$BN$94,XS_Designer!BB$94,"")</f>
        <v/>
      </c>
      <c r="AG10" s="4" t="str">
        <f>IF(XS_Designer_Bed_Mix!$J10&lt;=XS_Designer!$BN$94,XS_Designer!BC$94,"")</f>
        <v/>
      </c>
      <c r="AH10" s="4" t="str">
        <f>IF(XS_Designer_Bed_Mix!$J10&lt;=XS_Designer!$BN$94,XS_Designer!BD$94,"")</f>
        <v/>
      </c>
      <c r="AI10" s="4" t="str">
        <f>IF(XS_Designer_Bed_Mix!$J10&lt;=XS_Designer!$BN$94,XS_Designer!BE$94,"")</f>
        <v/>
      </c>
      <c r="AJ10" s="4" t="str">
        <f>IF(XS_Designer_Bed_Mix!$J10&lt;=XS_Designer!$BN$94,XS_Designer!BF$94,"")</f>
        <v/>
      </c>
      <c r="AK10" s="4" t="str">
        <f>IF(XS_Designer_Bed_Mix!$J10&lt;=XS_Designer!$BN$94,XS_Designer!BG$94,"")</f>
        <v/>
      </c>
      <c r="AL10" s="4" t="str">
        <f>IF(XS_Designer_Bed_Mix!$J10&lt;=XS_Designer!$BN$94,XS_Designer!BH$94,"")</f>
        <v/>
      </c>
      <c r="AM10" s="4" t="str">
        <f>IF(XS_Designer_Bed_Mix!$J10&lt;=XS_Designer!$BN$94,XS_Designer!BI$94,"")</f>
        <v/>
      </c>
      <c r="AN10" s="4" t="str">
        <f>IF(XS_Designer_Bed_Mix!$J10&lt;=XS_Designer!$BN$94,XS_Designer!BJ$94,"")</f>
        <v/>
      </c>
      <c r="AO10" s="4" t="str">
        <f>IF(XS_Designer_Bed_Mix!$J10&lt;=XS_Designer!$BN$95,XS_Designer!BA$95,"")</f>
        <v/>
      </c>
      <c r="AP10" s="4" t="str">
        <f>IF(XS_Designer_Bed_Mix!$J10&lt;=XS_Designer!$BN$95,XS_Designer!BB$95,"")</f>
        <v/>
      </c>
      <c r="AQ10" s="4" t="str">
        <f>IF(XS_Designer_Bed_Mix!$J10&lt;=XS_Designer!$BN$95,XS_Designer!BC$95,"")</f>
        <v/>
      </c>
      <c r="AR10" s="4" t="str">
        <f>IF(XS_Designer_Bed_Mix!$J10&lt;=XS_Designer!$BN$95,XS_Designer!BD$95,"")</f>
        <v/>
      </c>
      <c r="AS10" s="4" t="str">
        <f>IF(XS_Designer_Bed_Mix!$J10&lt;=XS_Designer!$BN$95,XS_Designer!BE$95,"")</f>
        <v/>
      </c>
      <c r="AT10" s="4" t="str">
        <f>IF(XS_Designer_Bed_Mix!$J10&lt;=XS_Designer!$BN$95,XS_Designer!BF$95,"")</f>
        <v/>
      </c>
      <c r="AU10" s="4" t="str">
        <f>IF(XS_Designer_Bed_Mix!$J10&lt;=XS_Designer!$BN$95,XS_Designer!BG$95,"")</f>
        <v/>
      </c>
      <c r="AV10" s="4" t="str">
        <f>IF(XS_Designer_Bed_Mix!$J10&lt;=XS_Designer!$BN$95,XS_Designer!BH$95,"")</f>
        <v/>
      </c>
      <c r="AW10" s="4" t="str">
        <f>IF(XS_Designer_Bed_Mix!$J10&lt;=XS_Designer!$BN$95,XS_Designer!BI$95,"")</f>
        <v/>
      </c>
      <c r="AX10" s="4" t="str">
        <f>IF(XS_Designer_Bed_Mix!$J10&lt;=XS_Designer!$BN$95,XS_Designer!BJ$95,"")</f>
        <v/>
      </c>
      <c r="AY10" s="4">
        <f>IF(XS_Designer_Bed_Mix!$J10&lt;=XS_Designer!$BN$96,XS_Designer!BA$96,"")</f>
        <v>335.28000000000003</v>
      </c>
      <c r="AZ10" s="4">
        <f>IF(XS_Designer_Bed_Mix!$J10&lt;=XS_Designer!$BN$96,XS_Designer!BB$96,"")</f>
        <v>335.28000000000003</v>
      </c>
      <c r="BA10" s="4">
        <f>IF(XS_Designer_Bed_Mix!$J10&lt;=XS_Designer!$BN$96,XS_Designer!BC$96,"")</f>
        <v>335.28000000000003</v>
      </c>
      <c r="BB10" s="4">
        <f>IF(XS_Designer_Bed_Mix!$J10&lt;=XS_Designer!$BN$96,XS_Designer!BD$96,"")</f>
        <v>335.28000000000003</v>
      </c>
      <c r="BC10" s="4">
        <f>IF(XS_Designer_Bed_Mix!$J10&lt;=XS_Designer!$BN$96,XS_Designer!BE$96,"")</f>
        <v>335.28000000000003</v>
      </c>
      <c r="BD10" s="4">
        <f>IF(XS_Designer_Bed_Mix!$J10&lt;=XS_Designer!$BN$96,XS_Designer!BF$96,"")</f>
        <v>335.28000000000003</v>
      </c>
      <c r="BE10" s="4">
        <f>IF(XS_Designer_Bed_Mix!$J10&lt;=XS_Designer!$BN$96,XS_Designer!BG$96,"")</f>
        <v>335.28000000000003</v>
      </c>
      <c r="BF10" s="4">
        <f>IF(XS_Designer_Bed_Mix!$J10&lt;=XS_Designer!$BN$96,XS_Designer!BH$96,"")</f>
        <v>335.28000000000003</v>
      </c>
      <c r="BG10" s="4">
        <f>IF(XS_Designer_Bed_Mix!$J10&lt;=XS_Designer!$BN$96,XS_Designer!BI$96,"")</f>
        <v>335.28000000000003</v>
      </c>
      <c r="BH10" s="4">
        <f>IF(XS_Designer_Bed_Mix!$J10&lt;=XS_Designer!$BN$96,XS_Designer!BJ$96,"")</f>
        <v>335.28000000000003</v>
      </c>
      <c r="BI10" s="4" t="str">
        <f>IF(XS_Designer_Bed_Mix!$J10&lt;=XS_Designer!$BN$97,XS_Designer!BA$97,"")</f>
        <v/>
      </c>
      <c r="BJ10" s="4" t="str">
        <f>IF(XS_Designer_Bed_Mix!$J10&lt;=XS_Designer!$BN$97,XS_Designer!BB$97,"")</f>
        <v/>
      </c>
      <c r="BK10" s="4" t="str">
        <f>IF(XS_Designer_Bed_Mix!$J10&lt;=XS_Designer!$BN$97,XS_Designer!BC$97,"")</f>
        <v/>
      </c>
      <c r="BL10" s="4" t="str">
        <f>IF(XS_Designer_Bed_Mix!$J10&lt;=XS_Designer!$BN$97,XS_Designer!BD$97,"")</f>
        <v/>
      </c>
      <c r="BM10" s="4" t="str">
        <f>IF(XS_Designer_Bed_Mix!$J10&lt;=XS_Designer!$BN$97,XS_Designer!BE$97,"")</f>
        <v/>
      </c>
      <c r="BN10" s="4" t="str">
        <f>IF(XS_Designer_Bed_Mix!$J10&lt;=XS_Designer!$BN$97,XS_Designer!BF$97,"")</f>
        <v/>
      </c>
      <c r="BO10" s="4" t="str">
        <f>IF(XS_Designer_Bed_Mix!$J10&lt;=XS_Designer!$BN$97,XS_Designer!BG$97,"")</f>
        <v/>
      </c>
      <c r="BP10" s="4" t="str">
        <f>IF(XS_Designer_Bed_Mix!$J10&lt;=XS_Designer!$BN$97,XS_Designer!BH$97,"")</f>
        <v/>
      </c>
      <c r="BQ10" s="4" t="str">
        <f>IF(XS_Designer_Bed_Mix!$J10&lt;=XS_Designer!$BN$97,XS_Designer!BI$97,"")</f>
        <v/>
      </c>
      <c r="BR10" s="4" t="str">
        <f>IF(XS_Designer_Bed_Mix!$J10&lt;=XS_Designer!$BN$97,XS_Designer!BJ$97,"")</f>
        <v/>
      </c>
      <c r="BS10" s="4" t="str">
        <f>IF(XS_Designer_Bed_Mix!$J10&lt;=XS_Designer!$BN$98,XS_Designer!BA$98,"")</f>
        <v/>
      </c>
      <c r="BT10" s="4" t="str">
        <f>IF(XS_Designer_Bed_Mix!$J10&lt;=XS_Designer!$BN$98,XS_Designer!BB$98,"")</f>
        <v/>
      </c>
      <c r="BU10" s="4" t="str">
        <f>IF(XS_Designer_Bed_Mix!$J10&lt;=XS_Designer!$BN$98,XS_Designer!BC$98,"")</f>
        <v/>
      </c>
      <c r="BV10" s="4" t="str">
        <f>IF(XS_Designer_Bed_Mix!$J10&lt;=XS_Designer!$BN$98,XS_Designer!BD$98,"")</f>
        <v/>
      </c>
      <c r="BW10" s="4" t="str">
        <f>IF(XS_Designer_Bed_Mix!$J10&lt;=XS_Designer!$BN$98,XS_Designer!BE$98,"")</f>
        <v/>
      </c>
      <c r="BX10" s="4" t="str">
        <f>IF(XS_Designer_Bed_Mix!$J10&lt;=XS_Designer!$BN$98,XS_Designer!BF$98,"")</f>
        <v/>
      </c>
      <c r="BY10" s="4" t="str">
        <f>IF(XS_Designer_Bed_Mix!$J10&lt;=XS_Designer!$BN$98,XS_Designer!BG$98,"")</f>
        <v/>
      </c>
      <c r="BZ10" s="4" t="str">
        <f>IF(XS_Designer_Bed_Mix!$J10&lt;=XS_Designer!$BN$98,XS_Designer!BH$98,"")</f>
        <v/>
      </c>
      <c r="CA10" s="4" t="str">
        <f>IF(XS_Designer_Bed_Mix!$J10&lt;=XS_Designer!$BN$98,XS_Designer!BI$98,"")</f>
        <v/>
      </c>
      <c r="CB10" s="4" t="str">
        <f>IF(XS_Designer_Bed_Mix!$J10&lt;=XS_Designer!$BN$98,XS_Designer!BJ$98,"")</f>
        <v/>
      </c>
      <c r="CC10" s="4" t="str">
        <f>IF(XS_Designer_Bed_Mix!$J10&lt;=XS_Designer!$BN$99,XS_Designer!BA$99,"")</f>
        <v/>
      </c>
      <c r="CD10" s="4" t="str">
        <f>IF(XS_Designer_Bed_Mix!$J10&lt;=XS_Designer!$BN$99,XS_Designer!BB$99,"")</f>
        <v/>
      </c>
      <c r="CE10" s="4" t="str">
        <f>IF(XS_Designer_Bed_Mix!$J10&lt;=XS_Designer!$BN$99,XS_Designer!BC$99,"")</f>
        <v/>
      </c>
      <c r="CF10" s="4" t="str">
        <f>IF(XS_Designer_Bed_Mix!$J10&lt;=XS_Designer!$BN$99,XS_Designer!BD$99,"")</f>
        <v/>
      </c>
      <c r="CG10" s="4" t="str">
        <f>IF(XS_Designer_Bed_Mix!$J10&lt;=XS_Designer!$BN$99,XS_Designer!BE$99,"")</f>
        <v/>
      </c>
      <c r="CH10" s="4" t="str">
        <f>IF(XS_Designer_Bed_Mix!$J10&lt;=XS_Designer!$BN$99,XS_Designer!BF$99,"")</f>
        <v/>
      </c>
      <c r="CI10" s="4" t="str">
        <f>IF(XS_Designer_Bed_Mix!$J10&lt;=XS_Designer!$BN$99,XS_Designer!BG$99,"")</f>
        <v/>
      </c>
      <c r="CJ10" s="4" t="str">
        <f>IF(XS_Designer_Bed_Mix!$J10&lt;=XS_Designer!$BN$99,XS_Designer!BH$99,"")</f>
        <v/>
      </c>
      <c r="CK10" s="4" t="str">
        <f>IF(XS_Designer_Bed_Mix!$J10&lt;=XS_Designer!$BN$99,XS_Designer!BI$99,"")</f>
        <v/>
      </c>
      <c r="CL10" s="4" t="str">
        <f>IF(XS_Designer_Bed_Mix!$J10&lt;=XS_Designer!$BN$99,XS_Designer!BJ$99,"")</f>
        <v/>
      </c>
      <c r="CM10" s="4">
        <f>IF(XS_Designer_Bed_Mix!$J10&lt;=XS_Designer!$BN$100,XS_Designer!BA$100,"")</f>
        <v>64</v>
      </c>
      <c r="CN10" s="4">
        <f>IF(XS_Designer_Bed_Mix!$J10&lt;=XS_Designer!$BN$100,XS_Designer!BB$100,"")</f>
        <v>57.6</v>
      </c>
      <c r="CO10" s="4">
        <f>IF(XS_Designer_Bed_Mix!$J10&lt;=XS_Designer!$BN$100,XS_Designer!BC$100,"")</f>
        <v>51.2</v>
      </c>
      <c r="CP10" s="4">
        <f>IF(XS_Designer_Bed_Mix!$J10&lt;=XS_Designer!$BN$100,XS_Designer!BD$100,"")</f>
        <v>44.800000000000004</v>
      </c>
      <c r="CQ10" s="4">
        <f>IF(XS_Designer_Bed_Mix!$J10&lt;=XS_Designer!$BN$100,XS_Designer!BE$100,"")</f>
        <v>38.400000000000006</v>
      </c>
      <c r="CR10" s="4">
        <f>IF(XS_Designer_Bed_Mix!$J10&lt;=XS_Designer!$BN$100,XS_Designer!BF$100,"")</f>
        <v>32</v>
      </c>
      <c r="CS10" s="4">
        <f>IF(XS_Designer_Bed_Mix!$J10&lt;=XS_Designer!$BN$100,XS_Designer!BG$100,"")</f>
        <v>26</v>
      </c>
      <c r="CT10" s="4">
        <f>IF(XS_Designer_Bed_Mix!$J10&lt;=XS_Designer!$BN$100,XS_Designer!BH$100,"")</f>
        <v>20</v>
      </c>
      <c r="CU10" s="4">
        <f>IF(XS_Designer_Bed_Mix!$J10&lt;=XS_Designer!$BN$100,XS_Designer!BI$100,"")</f>
        <v>14</v>
      </c>
      <c r="CV10" s="4">
        <f>IF(XS_Designer_Bed_Mix!$J10&lt;=XS_Designer!$BN$100,XS_Designer!BJ$100,"")</f>
        <v>8</v>
      </c>
      <c r="CW10" s="4">
        <f>IF(XS_Designer_Bed_Mix!$J10&lt;=XS_Designer!$BN$101,XS_Designer!BA$101,"")</f>
        <v>2</v>
      </c>
      <c r="CX10" s="4">
        <f>IF(XS_Designer_Bed_Mix!$J10&lt;=XS_Designer!$BN$101,XS_Designer!BB$101,"")</f>
        <v>1.9</v>
      </c>
      <c r="CY10" s="4">
        <f>IF(XS_Designer_Bed_Mix!$J10&lt;=XS_Designer!$BN$101,XS_Designer!BC$101,"")</f>
        <v>1.7999999999999998</v>
      </c>
      <c r="CZ10" s="4">
        <f>IF(XS_Designer_Bed_Mix!$J10&lt;=XS_Designer!$BN$101,XS_Designer!BD$101,"")</f>
        <v>1.6999999999999997</v>
      </c>
      <c r="DA10" s="4">
        <f>IF(XS_Designer_Bed_Mix!$J10&lt;=XS_Designer!$BN$101,XS_Designer!BE$101,"")</f>
        <v>1.5999999999999996</v>
      </c>
      <c r="DB10" s="4">
        <f>IF(XS_Designer_Bed_Mix!$J10&lt;=XS_Designer!$BN$101,XS_Designer!BF$101,"")</f>
        <v>1.5</v>
      </c>
      <c r="DC10" s="4">
        <f>IF(XS_Designer_Bed_Mix!$J10&lt;=XS_Designer!$BN$101,XS_Designer!BG$101,"")</f>
        <v>1.4</v>
      </c>
      <c r="DD10" s="4">
        <f>IF(XS_Designer_Bed_Mix!$J10&lt;=XS_Designer!$BN$101,XS_Designer!BH$101,"")</f>
        <v>1.2999999999999998</v>
      </c>
      <c r="DE10" s="4">
        <f>IF(XS_Designer_Bed_Mix!$J10&lt;=XS_Designer!$BN$101,XS_Designer!BI$101,"")</f>
        <v>1.1999999999999997</v>
      </c>
      <c r="DF10" s="4">
        <f>IF(XS_Designer_Bed_Mix!$J10&lt;=XS_Designer!$BN$101,XS_Designer!BJ$101,"")</f>
        <v>1.0999999999999996</v>
      </c>
      <c r="DG10" s="4" t="str">
        <f>IF(XS_Designer_Bed_Mix!$J10&lt;=XS_Designer!$BN$102,XS_Designer!BA$102,"")</f>
        <v/>
      </c>
      <c r="DH10" s="4" t="str">
        <f>IF(XS_Designer_Bed_Mix!$J10&lt;=XS_Designer!$BN$102,XS_Designer!BB$102,"")</f>
        <v/>
      </c>
      <c r="DI10" s="4" t="str">
        <f>IF(XS_Designer_Bed_Mix!$J10&lt;=XS_Designer!$BN$102,XS_Designer!BC$102,"")</f>
        <v/>
      </c>
      <c r="DJ10" s="4" t="str">
        <f>IF(XS_Designer_Bed_Mix!$J10&lt;=XS_Designer!$BN$102,XS_Designer!BD$102,"")</f>
        <v/>
      </c>
      <c r="DK10" s="4" t="str">
        <f>IF(XS_Designer_Bed_Mix!$J10&lt;=XS_Designer!$BN$102,XS_Designer!BE$102,"")</f>
        <v/>
      </c>
      <c r="DL10" s="4" t="str">
        <f>IF(XS_Designer_Bed_Mix!$J10&lt;=XS_Designer!$BN$102,XS_Designer!BF$102,"")</f>
        <v/>
      </c>
      <c r="DM10" s="4" t="str">
        <f>IF(XS_Designer_Bed_Mix!$J10&lt;=XS_Designer!$BN$102,XS_Designer!BG$102,"")</f>
        <v/>
      </c>
      <c r="DN10" s="4" t="str">
        <f>IF(XS_Designer_Bed_Mix!$J10&lt;=XS_Designer!$BN$102,XS_Designer!BH$102,"")</f>
        <v/>
      </c>
      <c r="DO10" s="4" t="str">
        <f>IF(XS_Designer_Bed_Mix!$J10&lt;=XS_Designer!$BN$102,XS_Designer!BI$102,"")</f>
        <v/>
      </c>
      <c r="DP10" s="4" t="str">
        <f>IF(XS_Designer_Bed_Mix!$J10&lt;=XS_Designer!$BN$102,XS_Designer!BJ$102,"")</f>
        <v/>
      </c>
    </row>
    <row r="11" spans="2:120" ht="15">
      <c r="B11" s="5">
        <v>128</v>
      </c>
      <c r="C11" s="8"/>
      <c r="D11" s="1"/>
      <c r="E11" s="6" t="s">
        <v>807</v>
      </c>
      <c r="F11" s="187">
        <f t="shared" si="0"/>
        <v>335.28000000000003</v>
      </c>
      <c r="G11">
        <v>65</v>
      </c>
      <c r="H11">
        <f t="shared" si="1"/>
        <v>0.65</v>
      </c>
      <c r="J11" s="3">
        <v>0.1</v>
      </c>
      <c r="K11" s="4" t="str">
        <f>IF(XS_Designer_Bed_Mix!$J11&lt;=XS_Designer!$BN$92,XS_Designer!BA$92,"")</f>
        <v/>
      </c>
      <c r="L11" s="4" t="str">
        <f>IF(XS_Designer_Bed_Mix!$J11&lt;=XS_Designer!$BN$92,XS_Designer!BB$92,"")</f>
        <v/>
      </c>
      <c r="M11" s="4" t="str">
        <f>IF(XS_Designer_Bed_Mix!$J11&lt;=XS_Designer!$BN$92,XS_Designer!BC$92,"")</f>
        <v/>
      </c>
      <c r="N11" s="4" t="str">
        <f>IF(XS_Designer_Bed_Mix!$J11&lt;=XS_Designer!$BN$92,XS_Designer!BD$92,"")</f>
        <v/>
      </c>
      <c r="O11" s="4" t="str">
        <f>IF(XS_Designer_Bed_Mix!$J11&lt;=XS_Designer!$BN$92,XS_Designer!BE$92,"")</f>
        <v/>
      </c>
      <c r="P11" s="4" t="str">
        <f>IF(XS_Designer_Bed_Mix!$J11&lt;=XS_Designer!$BN$92,XS_Designer!BF$92,"")</f>
        <v/>
      </c>
      <c r="Q11" s="4" t="str">
        <f>IF(XS_Designer_Bed_Mix!$J11&lt;=XS_Designer!$BN$92,XS_Designer!BG$92,"")</f>
        <v/>
      </c>
      <c r="R11" s="4" t="str">
        <f>IF(XS_Designer_Bed_Mix!$J11&lt;=XS_Designer!$BN$92,XS_Designer!BH$92,"")</f>
        <v/>
      </c>
      <c r="S11" s="4" t="str">
        <f>IF(XS_Designer_Bed_Mix!$J11&lt;=XS_Designer!$BN$92,XS_Designer!BI$92,"")</f>
        <v/>
      </c>
      <c r="T11" s="4" t="str">
        <f>IF(XS_Designer_Bed_Mix!$J11&lt;=XS_Designer!$BN$92,XS_Designer!BJ$92,"")</f>
        <v/>
      </c>
      <c r="U11" s="4" t="str">
        <f>IF(XS_Designer_Bed_Mix!$J11&lt;=XS_Designer!$BN$93,XS_Designer!BA$93,"")</f>
        <v/>
      </c>
      <c r="V11" s="4" t="str">
        <f>IF(XS_Designer_Bed_Mix!$J11&lt;=XS_Designer!$BN$93,XS_Designer!BB$93,"")</f>
        <v/>
      </c>
      <c r="W11" s="4" t="str">
        <f>IF(XS_Designer_Bed_Mix!$J11&lt;=XS_Designer!$BN$93,XS_Designer!BC$93,"")</f>
        <v/>
      </c>
      <c r="X11" s="4" t="str">
        <f>IF(XS_Designer_Bed_Mix!$J11&lt;=XS_Designer!$BN$93,XS_Designer!BD$93,"")</f>
        <v/>
      </c>
      <c r="Y11" s="4" t="str">
        <f>IF(XS_Designer_Bed_Mix!$J11&lt;=XS_Designer!$BN$93,XS_Designer!BE$93,"")</f>
        <v/>
      </c>
      <c r="Z11" s="4" t="str">
        <f>IF(XS_Designer_Bed_Mix!$J11&lt;=XS_Designer!$BN$93,XS_Designer!BF$93,"")</f>
        <v/>
      </c>
      <c r="AA11" s="4" t="str">
        <f>IF(XS_Designer_Bed_Mix!$J11&lt;=XS_Designer!$BN$93,XS_Designer!BG$93,"")</f>
        <v/>
      </c>
      <c r="AB11" s="4" t="str">
        <f>IF(XS_Designer_Bed_Mix!$J11&lt;=XS_Designer!$BN$93,XS_Designer!BH$93,"")</f>
        <v/>
      </c>
      <c r="AC11" s="4" t="str">
        <f>IF(XS_Designer_Bed_Mix!$J11&lt;=XS_Designer!$BN$93,XS_Designer!BI$93,"")</f>
        <v/>
      </c>
      <c r="AD11" s="4" t="str">
        <f>IF(XS_Designer_Bed_Mix!$J11&lt;=XS_Designer!$BN$93,XS_Designer!BJ$93,"")</f>
        <v/>
      </c>
      <c r="AE11" s="4" t="str">
        <f>IF(XS_Designer_Bed_Mix!$J11&lt;=XS_Designer!$BN$94,XS_Designer!BA$94,"")</f>
        <v/>
      </c>
      <c r="AF11" s="4" t="str">
        <f>IF(XS_Designer_Bed_Mix!$J11&lt;=XS_Designer!$BN$94,XS_Designer!BB$94,"")</f>
        <v/>
      </c>
      <c r="AG11" s="4" t="str">
        <f>IF(XS_Designer_Bed_Mix!$J11&lt;=XS_Designer!$BN$94,XS_Designer!BC$94,"")</f>
        <v/>
      </c>
      <c r="AH11" s="4" t="str">
        <f>IF(XS_Designer_Bed_Mix!$J11&lt;=XS_Designer!$BN$94,XS_Designer!BD$94,"")</f>
        <v/>
      </c>
      <c r="AI11" s="4" t="str">
        <f>IF(XS_Designer_Bed_Mix!$J11&lt;=XS_Designer!$BN$94,XS_Designer!BE$94,"")</f>
        <v/>
      </c>
      <c r="AJ11" s="4" t="str">
        <f>IF(XS_Designer_Bed_Mix!$J11&lt;=XS_Designer!$BN$94,XS_Designer!BF$94,"")</f>
        <v/>
      </c>
      <c r="AK11" s="4" t="str">
        <f>IF(XS_Designer_Bed_Mix!$J11&lt;=XS_Designer!$BN$94,XS_Designer!BG$94,"")</f>
        <v/>
      </c>
      <c r="AL11" s="4" t="str">
        <f>IF(XS_Designer_Bed_Mix!$J11&lt;=XS_Designer!$BN$94,XS_Designer!BH$94,"")</f>
        <v/>
      </c>
      <c r="AM11" s="4" t="str">
        <f>IF(XS_Designer_Bed_Mix!$J11&lt;=XS_Designer!$BN$94,XS_Designer!BI$94,"")</f>
        <v/>
      </c>
      <c r="AN11" s="4" t="str">
        <f>IF(XS_Designer_Bed_Mix!$J11&lt;=XS_Designer!$BN$94,XS_Designer!BJ$94,"")</f>
        <v/>
      </c>
      <c r="AO11" s="4" t="str">
        <f>IF(XS_Designer_Bed_Mix!$J11&lt;=XS_Designer!$BN$95,XS_Designer!BA$95,"")</f>
        <v/>
      </c>
      <c r="AP11" s="4" t="str">
        <f>IF(XS_Designer_Bed_Mix!$J11&lt;=XS_Designer!$BN$95,XS_Designer!BB$95,"")</f>
        <v/>
      </c>
      <c r="AQ11" s="4" t="str">
        <f>IF(XS_Designer_Bed_Mix!$J11&lt;=XS_Designer!$BN$95,XS_Designer!BC$95,"")</f>
        <v/>
      </c>
      <c r="AR11" s="4" t="str">
        <f>IF(XS_Designer_Bed_Mix!$J11&lt;=XS_Designer!$BN$95,XS_Designer!BD$95,"")</f>
        <v/>
      </c>
      <c r="AS11" s="4" t="str">
        <f>IF(XS_Designer_Bed_Mix!$J11&lt;=XS_Designer!$BN$95,XS_Designer!BE$95,"")</f>
        <v/>
      </c>
      <c r="AT11" s="4" t="str">
        <f>IF(XS_Designer_Bed_Mix!$J11&lt;=XS_Designer!$BN$95,XS_Designer!BF$95,"")</f>
        <v/>
      </c>
      <c r="AU11" s="4" t="str">
        <f>IF(XS_Designer_Bed_Mix!$J11&lt;=XS_Designer!$BN$95,XS_Designer!BG$95,"")</f>
        <v/>
      </c>
      <c r="AV11" s="4" t="str">
        <f>IF(XS_Designer_Bed_Mix!$J11&lt;=XS_Designer!$BN$95,XS_Designer!BH$95,"")</f>
        <v/>
      </c>
      <c r="AW11" s="4" t="str">
        <f>IF(XS_Designer_Bed_Mix!$J11&lt;=XS_Designer!$BN$95,XS_Designer!BI$95,"")</f>
        <v/>
      </c>
      <c r="AX11" s="4" t="str">
        <f>IF(XS_Designer_Bed_Mix!$J11&lt;=XS_Designer!$BN$95,XS_Designer!BJ$95,"")</f>
        <v/>
      </c>
      <c r="AY11" s="4">
        <f>IF(XS_Designer_Bed_Mix!$J11&lt;=XS_Designer!$BN$96,XS_Designer!BA$96,"")</f>
        <v>335.28000000000003</v>
      </c>
      <c r="AZ11" s="4">
        <f>IF(XS_Designer_Bed_Mix!$J11&lt;=XS_Designer!$BN$96,XS_Designer!BB$96,"")</f>
        <v>335.28000000000003</v>
      </c>
      <c r="BA11" s="4">
        <f>IF(XS_Designer_Bed_Mix!$J11&lt;=XS_Designer!$BN$96,XS_Designer!BC$96,"")</f>
        <v>335.28000000000003</v>
      </c>
      <c r="BB11" s="4">
        <f>IF(XS_Designer_Bed_Mix!$J11&lt;=XS_Designer!$BN$96,XS_Designer!BD$96,"")</f>
        <v>335.28000000000003</v>
      </c>
      <c r="BC11" s="4">
        <f>IF(XS_Designer_Bed_Mix!$J11&lt;=XS_Designer!$BN$96,XS_Designer!BE$96,"")</f>
        <v>335.28000000000003</v>
      </c>
      <c r="BD11" s="4">
        <f>IF(XS_Designer_Bed_Mix!$J11&lt;=XS_Designer!$BN$96,XS_Designer!BF$96,"")</f>
        <v>335.28000000000003</v>
      </c>
      <c r="BE11" s="4">
        <f>IF(XS_Designer_Bed_Mix!$J11&lt;=XS_Designer!$BN$96,XS_Designer!BG$96,"")</f>
        <v>335.28000000000003</v>
      </c>
      <c r="BF11" s="4">
        <f>IF(XS_Designer_Bed_Mix!$J11&lt;=XS_Designer!$BN$96,XS_Designer!BH$96,"")</f>
        <v>335.28000000000003</v>
      </c>
      <c r="BG11" s="4">
        <f>IF(XS_Designer_Bed_Mix!$J11&lt;=XS_Designer!$BN$96,XS_Designer!BI$96,"")</f>
        <v>335.28000000000003</v>
      </c>
      <c r="BH11" s="4">
        <f>IF(XS_Designer_Bed_Mix!$J11&lt;=XS_Designer!$BN$96,XS_Designer!BJ$96,"")</f>
        <v>335.28000000000003</v>
      </c>
      <c r="BI11" s="4" t="str">
        <f>IF(XS_Designer_Bed_Mix!$J11&lt;=XS_Designer!$BN$97,XS_Designer!BA$97,"")</f>
        <v/>
      </c>
      <c r="BJ11" s="4" t="str">
        <f>IF(XS_Designer_Bed_Mix!$J11&lt;=XS_Designer!$BN$97,XS_Designer!BB$97,"")</f>
        <v/>
      </c>
      <c r="BK11" s="4" t="str">
        <f>IF(XS_Designer_Bed_Mix!$J11&lt;=XS_Designer!$BN$97,XS_Designer!BC$97,"")</f>
        <v/>
      </c>
      <c r="BL11" s="4" t="str">
        <f>IF(XS_Designer_Bed_Mix!$J11&lt;=XS_Designer!$BN$97,XS_Designer!BD$97,"")</f>
        <v/>
      </c>
      <c r="BM11" s="4" t="str">
        <f>IF(XS_Designer_Bed_Mix!$J11&lt;=XS_Designer!$BN$97,XS_Designer!BE$97,"")</f>
        <v/>
      </c>
      <c r="BN11" s="4" t="str">
        <f>IF(XS_Designer_Bed_Mix!$J11&lt;=XS_Designer!$BN$97,XS_Designer!BF$97,"")</f>
        <v/>
      </c>
      <c r="BO11" s="4" t="str">
        <f>IF(XS_Designer_Bed_Mix!$J11&lt;=XS_Designer!$BN$97,XS_Designer!BG$97,"")</f>
        <v/>
      </c>
      <c r="BP11" s="4" t="str">
        <f>IF(XS_Designer_Bed_Mix!$J11&lt;=XS_Designer!$BN$97,XS_Designer!BH$97,"")</f>
        <v/>
      </c>
      <c r="BQ11" s="4" t="str">
        <f>IF(XS_Designer_Bed_Mix!$J11&lt;=XS_Designer!$BN$97,XS_Designer!BI$97,"")</f>
        <v/>
      </c>
      <c r="BR11" s="4" t="str">
        <f>IF(XS_Designer_Bed_Mix!$J11&lt;=XS_Designer!$BN$97,XS_Designer!BJ$97,"")</f>
        <v/>
      </c>
      <c r="BS11" s="4" t="str">
        <f>IF(XS_Designer_Bed_Mix!$J11&lt;=XS_Designer!$BN$98,XS_Designer!BA$98,"")</f>
        <v/>
      </c>
      <c r="BT11" s="4" t="str">
        <f>IF(XS_Designer_Bed_Mix!$J11&lt;=XS_Designer!$BN$98,XS_Designer!BB$98,"")</f>
        <v/>
      </c>
      <c r="BU11" s="4" t="str">
        <f>IF(XS_Designer_Bed_Mix!$J11&lt;=XS_Designer!$BN$98,XS_Designer!BC$98,"")</f>
        <v/>
      </c>
      <c r="BV11" s="4" t="str">
        <f>IF(XS_Designer_Bed_Mix!$J11&lt;=XS_Designer!$BN$98,XS_Designer!BD$98,"")</f>
        <v/>
      </c>
      <c r="BW11" s="4" t="str">
        <f>IF(XS_Designer_Bed_Mix!$J11&lt;=XS_Designer!$BN$98,XS_Designer!BE$98,"")</f>
        <v/>
      </c>
      <c r="BX11" s="4" t="str">
        <f>IF(XS_Designer_Bed_Mix!$J11&lt;=XS_Designer!$BN$98,XS_Designer!BF$98,"")</f>
        <v/>
      </c>
      <c r="BY11" s="4" t="str">
        <f>IF(XS_Designer_Bed_Mix!$J11&lt;=XS_Designer!$BN$98,XS_Designer!BG$98,"")</f>
        <v/>
      </c>
      <c r="BZ11" s="4" t="str">
        <f>IF(XS_Designer_Bed_Mix!$J11&lt;=XS_Designer!$BN$98,XS_Designer!BH$98,"")</f>
        <v/>
      </c>
      <c r="CA11" s="4" t="str">
        <f>IF(XS_Designer_Bed_Mix!$J11&lt;=XS_Designer!$BN$98,XS_Designer!BI$98,"")</f>
        <v/>
      </c>
      <c r="CB11" s="4" t="str">
        <f>IF(XS_Designer_Bed_Mix!$J11&lt;=XS_Designer!$BN$98,XS_Designer!BJ$98,"")</f>
        <v/>
      </c>
      <c r="CC11" s="4" t="str">
        <f>IF(XS_Designer_Bed_Mix!$J11&lt;=XS_Designer!$BN$99,XS_Designer!BA$99,"")</f>
        <v/>
      </c>
      <c r="CD11" s="4" t="str">
        <f>IF(XS_Designer_Bed_Mix!$J11&lt;=XS_Designer!$BN$99,XS_Designer!BB$99,"")</f>
        <v/>
      </c>
      <c r="CE11" s="4" t="str">
        <f>IF(XS_Designer_Bed_Mix!$J11&lt;=XS_Designer!$BN$99,XS_Designer!BC$99,"")</f>
        <v/>
      </c>
      <c r="CF11" s="4" t="str">
        <f>IF(XS_Designer_Bed_Mix!$J11&lt;=XS_Designer!$BN$99,XS_Designer!BD$99,"")</f>
        <v/>
      </c>
      <c r="CG11" s="4" t="str">
        <f>IF(XS_Designer_Bed_Mix!$J11&lt;=XS_Designer!$BN$99,XS_Designer!BE$99,"")</f>
        <v/>
      </c>
      <c r="CH11" s="4" t="str">
        <f>IF(XS_Designer_Bed_Mix!$J11&lt;=XS_Designer!$BN$99,XS_Designer!BF$99,"")</f>
        <v/>
      </c>
      <c r="CI11" s="4" t="str">
        <f>IF(XS_Designer_Bed_Mix!$J11&lt;=XS_Designer!$BN$99,XS_Designer!BG$99,"")</f>
        <v/>
      </c>
      <c r="CJ11" s="4" t="str">
        <f>IF(XS_Designer_Bed_Mix!$J11&lt;=XS_Designer!$BN$99,XS_Designer!BH$99,"")</f>
        <v/>
      </c>
      <c r="CK11" s="4" t="str">
        <f>IF(XS_Designer_Bed_Mix!$J11&lt;=XS_Designer!$BN$99,XS_Designer!BI$99,"")</f>
        <v/>
      </c>
      <c r="CL11" s="4" t="str">
        <f>IF(XS_Designer_Bed_Mix!$J11&lt;=XS_Designer!$BN$99,XS_Designer!BJ$99,"")</f>
        <v/>
      </c>
      <c r="CM11" s="4">
        <f>IF(XS_Designer_Bed_Mix!$J11&lt;=XS_Designer!$BN$100,XS_Designer!BA$100,"")</f>
        <v>64</v>
      </c>
      <c r="CN11" s="4">
        <f>IF(XS_Designer_Bed_Mix!$J11&lt;=XS_Designer!$BN$100,XS_Designer!BB$100,"")</f>
        <v>57.6</v>
      </c>
      <c r="CO11" s="4">
        <f>IF(XS_Designer_Bed_Mix!$J11&lt;=XS_Designer!$BN$100,XS_Designer!BC$100,"")</f>
        <v>51.2</v>
      </c>
      <c r="CP11" s="4">
        <f>IF(XS_Designer_Bed_Mix!$J11&lt;=XS_Designer!$BN$100,XS_Designer!BD$100,"")</f>
        <v>44.800000000000004</v>
      </c>
      <c r="CQ11" s="4">
        <f>IF(XS_Designer_Bed_Mix!$J11&lt;=XS_Designer!$BN$100,XS_Designer!BE$100,"")</f>
        <v>38.400000000000006</v>
      </c>
      <c r="CR11" s="4">
        <f>IF(XS_Designer_Bed_Mix!$J11&lt;=XS_Designer!$BN$100,XS_Designer!BF$100,"")</f>
        <v>32</v>
      </c>
      <c r="CS11" s="4">
        <f>IF(XS_Designer_Bed_Mix!$J11&lt;=XS_Designer!$BN$100,XS_Designer!BG$100,"")</f>
        <v>26</v>
      </c>
      <c r="CT11" s="4">
        <f>IF(XS_Designer_Bed_Mix!$J11&lt;=XS_Designer!$BN$100,XS_Designer!BH$100,"")</f>
        <v>20</v>
      </c>
      <c r="CU11" s="4">
        <f>IF(XS_Designer_Bed_Mix!$J11&lt;=XS_Designer!$BN$100,XS_Designer!BI$100,"")</f>
        <v>14</v>
      </c>
      <c r="CV11" s="4">
        <f>IF(XS_Designer_Bed_Mix!$J11&lt;=XS_Designer!$BN$100,XS_Designer!BJ$100,"")</f>
        <v>8</v>
      </c>
      <c r="CW11" s="4">
        <f>IF(XS_Designer_Bed_Mix!$J11&lt;=XS_Designer!$BN$101,XS_Designer!BA$101,"")</f>
        <v>2</v>
      </c>
      <c r="CX11" s="4">
        <f>IF(XS_Designer_Bed_Mix!$J11&lt;=XS_Designer!$BN$101,XS_Designer!BB$101,"")</f>
        <v>1.9</v>
      </c>
      <c r="CY11" s="4">
        <f>IF(XS_Designer_Bed_Mix!$J11&lt;=XS_Designer!$BN$101,XS_Designer!BC$101,"")</f>
        <v>1.7999999999999998</v>
      </c>
      <c r="CZ11" s="4">
        <f>IF(XS_Designer_Bed_Mix!$J11&lt;=XS_Designer!$BN$101,XS_Designer!BD$101,"")</f>
        <v>1.6999999999999997</v>
      </c>
      <c r="DA11" s="4">
        <f>IF(XS_Designer_Bed_Mix!$J11&lt;=XS_Designer!$BN$101,XS_Designer!BE$101,"")</f>
        <v>1.5999999999999996</v>
      </c>
      <c r="DB11" s="4">
        <f>IF(XS_Designer_Bed_Mix!$J11&lt;=XS_Designer!$BN$101,XS_Designer!BF$101,"")</f>
        <v>1.5</v>
      </c>
      <c r="DC11" s="4">
        <f>IF(XS_Designer_Bed_Mix!$J11&lt;=XS_Designer!$BN$101,XS_Designer!BG$101,"")</f>
        <v>1.4</v>
      </c>
      <c r="DD11" s="4">
        <f>IF(XS_Designer_Bed_Mix!$J11&lt;=XS_Designer!$BN$101,XS_Designer!BH$101,"")</f>
        <v>1.2999999999999998</v>
      </c>
      <c r="DE11" s="4">
        <f>IF(XS_Designer_Bed_Mix!$J11&lt;=XS_Designer!$BN$101,XS_Designer!BI$101,"")</f>
        <v>1.1999999999999997</v>
      </c>
      <c r="DF11" s="4">
        <f>IF(XS_Designer_Bed_Mix!$J11&lt;=XS_Designer!$BN$101,XS_Designer!BJ$101,"")</f>
        <v>1.0999999999999996</v>
      </c>
      <c r="DG11" s="4" t="str">
        <f>IF(XS_Designer_Bed_Mix!$J11&lt;=XS_Designer!$BN$102,XS_Designer!BA$102,"")</f>
        <v/>
      </c>
      <c r="DH11" s="4" t="str">
        <f>IF(XS_Designer_Bed_Mix!$J11&lt;=XS_Designer!$BN$102,XS_Designer!BB$102,"")</f>
        <v/>
      </c>
      <c r="DI11" s="4" t="str">
        <f>IF(XS_Designer_Bed_Mix!$J11&lt;=XS_Designer!$BN$102,XS_Designer!BC$102,"")</f>
        <v/>
      </c>
      <c r="DJ11" s="4" t="str">
        <f>IF(XS_Designer_Bed_Mix!$J11&lt;=XS_Designer!$BN$102,XS_Designer!BD$102,"")</f>
        <v/>
      </c>
      <c r="DK11" s="4" t="str">
        <f>IF(XS_Designer_Bed_Mix!$J11&lt;=XS_Designer!$BN$102,XS_Designer!BE$102,"")</f>
        <v/>
      </c>
      <c r="DL11" s="4" t="str">
        <f>IF(XS_Designer_Bed_Mix!$J11&lt;=XS_Designer!$BN$102,XS_Designer!BF$102,"")</f>
        <v/>
      </c>
      <c r="DM11" s="4" t="str">
        <f>IF(XS_Designer_Bed_Mix!$J11&lt;=XS_Designer!$BN$102,XS_Designer!BG$102,"")</f>
        <v/>
      </c>
      <c r="DN11" s="4" t="str">
        <f>IF(XS_Designer_Bed_Mix!$J11&lt;=XS_Designer!$BN$102,XS_Designer!BH$102,"")</f>
        <v/>
      </c>
      <c r="DO11" s="4" t="str">
        <f>IF(XS_Designer_Bed_Mix!$J11&lt;=XS_Designer!$BN$102,XS_Designer!BI$102,"")</f>
        <v/>
      </c>
      <c r="DP11" s="4" t="str">
        <f>IF(XS_Designer_Bed_Mix!$J11&lt;=XS_Designer!$BN$102,XS_Designer!BJ$102,"")</f>
        <v/>
      </c>
    </row>
    <row r="12" spans="2:120" ht="15">
      <c r="B12" s="5">
        <v>256</v>
      </c>
      <c r="C12" s="8"/>
      <c r="D12" s="1"/>
      <c r="E12" s="5" t="s">
        <v>372</v>
      </c>
      <c r="F12" s="187">
        <f t="shared" si="0"/>
        <v>335.28000000000003</v>
      </c>
      <c r="G12">
        <v>75</v>
      </c>
      <c r="H12">
        <f t="shared" si="1"/>
        <v>0.75</v>
      </c>
      <c r="J12" s="3">
        <v>0.11</v>
      </c>
      <c r="K12" s="4" t="str">
        <f>IF(XS_Designer_Bed_Mix!$J12&lt;=XS_Designer!$BN$92,XS_Designer!BA$92,"")</f>
        <v/>
      </c>
      <c r="L12" s="4" t="str">
        <f>IF(XS_Designer_Bed_Mix!$J12&lt;=XS_Designer!$BN$92,XS_Designer!BB$92,"")</f>
        <v/>
      </c>
      <c r="M12" s="4" t="str">
        <f>IF(XS_Designer_Bed_Mix!$J12&lt;=XS_Designer!$BN$92,XS_Designer!BC$92,"")</f>
        <v/>
      </c>
      <c r="N12" s="4" t="str">
        <f>IF(XS_Designer_Bed_Mix!$J12&lt;=XS_Designer!$BN$92,XS_Designer!BD$92,"")</f>
        <v/>
      </c>
      <c r="O12" s="4" t="str">
        <f>IF(XS_Designer_Bed_Mix!$J12&lt;=XS_Designer!$BN$92,XS_Designer!BE$92,"")</f>
        <v/>
      </c>
      <c r="P12" s="4" t="str">
        <f>IF(XS_Designer_Bed_Mix!$J12&lt;=XS_Designer!$BN$92,XS_Designer!BF$92,"")</f>
        <v/>
      </c>
      <c r="Q12" s="4" t="str">
        <f>IF(XS_Designer_Bed_Mix!$J12&lt;=XS_Designer!$BN$92,XS_Designer!BG$92,"")</f>
        <v/>
      </c>
      <c r="R12" s="4" t="str">
        <f>IF(XS_Designer_Bed_Mix!$J12&lt;=XS_Designer!$BN$92,XS_Designer!BH$92,"")</f>
        <v/>
      </c>
      <c r="S12" s="4" t="str">
        <f>IF(XS_Designer_Bed_Mix!$J12&lt;=XS_Designer!$BN$92,XS_Designer!BI$92,"")</f>
        <v/>
      </c>
      <c r="T12" s="4" t="str">
        <f>IF(XS_Designer_Bed_Mix!$J12&lt;=XS_Designer!$BN$92,XS_Designer!BJ$92,"")</f>
        <v/>
      </c>
      <c r="U12" s="4" t="str">
        <f>IF(XS_Designer_Bed_Mix!$J12&lt;=XS_Designer!$BN$93,XS_Designer!BA$93,"")</f>
        <v/>
      </c>
      <c r="V12" s="4" t="str">
        <f>IF(XS_Designer_Bed_Mix!$J12&lt;=XS_Designer!$BN$93,XS_Designer!BB$93,"")</f>
        <v/>
      </c>
      <c r="W12" s="4" t="str">
        <f>IF(XS_Designer_Bed_Mix!$J12&lt;=XS_Designer!$BN$93,XS_Designer!BC$93,"")</f>
        <v/>
      </c>
      <c r="X12" s="4" t="str">
        <f>IF(XS_Designer_Bed_Mix!$J12&lt;=XS_Designer!$BN$93,XS_Designer!BD$93,"")</f>
        <v/>
      </c>
      <c r="Y12" s="4" t="str">
        <f>IF(XS_Designer_Bed_Mix!$J12&lt;=XS_Designer!$BN$93,XS_Designer!BE$93,"")</f>
        <v/>
      </c>
      <c r="Z12" s="4" t="str">
        <f>IF(XS_Designer_Bed_Mix!$J12&lt;=XS_Designer!$BN$93,XS_Designer!BF$93,"")</f>
        <v/>
      </c>
      <c r="AA12" s="4" t="str">
        <f>IF(XS_Designer_Bed_Mix!$J12&lt;=XS_Designer!$BN$93,XS_Designer!BG$93,"")</f>
        <v/>
      </c>
      <c r="AB12" s="4" t="str">
        <f>IF(XS_Designer_Bed_Mix!$J12&lt;=XS_Designer!$BN$93,XS_Designer!BH$93,"")</f>
        <v/>
      </c>
      <c r="AC12" s="4" t="str">
        <f>IF(XS_Designer_Bed_Mix!$J12&lt;=XS_Designer!$BN$93,XS_Designer!BI$93,"")</f>
        <v/>
      </c>
      <c r="AD12" s="4" t="str">
        <f>IF(XS_Designer_Bed_Mix!$J12&lt;=XS_Designer!$BN$93,XS_Designer!BJ$93,"")</f>
        <v/>
      </c>
      <c r="AE12" s="4" t="str">
        <f>IF(XS_Designer_Bed_Mix!$J12&lt;=XS_Designer!$BN$94,XS_Designer!BA$94,"")</f>
        <v/>
      </c>
      <c r="AF12" s="4" t="str">
        <f>IF(XS_Designer_Bed_Mix!$J12&lt;=XS_Designer!$BN$94,XS_Designer!BB$94,"")</f>
        <v/>
      </c>
      <c r="AG12" s="4" t="str">
        <f>IF(XS_Designer_Bed_Mix!$J12&lt;=XS_Designer!$BN$94,XS_Designer!BC$94,"")</f>
        <v/>
      </c>
      <c r="AH12" s="4" t="str">
        <f>IF(XS_Designer_Bed_Mix!$J12&lt;=XS_Designer!$BN$94,XS_Designer!BD$94,"")</f>
        <v/>
      </c>
      <c r="AI12" s="4" t="str">
        <f>IF(XS_Designer_Bed_Mix!$J12&lt;=XS_Designer!$BN$94,XS_Designer!BE$94,"")</f>
        <v/>
      </c>
      <c r="AJ12" s="4" t="str">
        <f>IF(XS_Designer_Bed_Mix!$J12&lt;=XS_Designer!$BN$94,XS_Designer!BF$94,"")</f>
        <v/>
      </c>
      <c r="AK12" s="4" t="str">
        <f>IF(XS_Designer_Bed_Mix!$J12&lt;=XS_Designer!$BN$94,XS_Designer!BG$94,"")</f>
        <v/>
      </c>
      <c r="AL12" s="4" t="str">
        <f>IF(XS_Designer_Bed_Mix!$J12&lt;=XS_Designer!$BN$94,XS_Designer!BH$94,"")</f>
        <v/>
      </c>
      <c r="AM12" s="4" t="str">
        <f>IF(XS_Designer_Bed_Mix!$J12&lt;=XS_Designer!$BN$94,XS_Designer!BI$94,"")</f>
        <v/>
      </c>
      <c r="AN12" s="4" t="str">
        <f>IF(XS_Designer_Bed_Mix!$J12&lt;=XS_Designer!$BN$94,XS_Designer!BJ$94,"")</f>
        <v/>
      </c>
      <c r="AO12" s="4" t="str">
        <f>IF(XS_Designer_Bed_Mix!$J12&lt;=XS_Designer!$BN$95,XS_Designer!BA$95,"")</f>
        <v/>
      </c>
      <c r="AP12" s="4" t="str">
        <f>IF(XS_Designer_Bed_Mix!$J12&lt;=XS_Designer!$BN$95,XS_Designer!BB$95,"")</f>
        <v/>
      </c>
      <c r="AQ12" s="4" t="str">
        <f>IF(XS_Designer_Bed_Mix!$J12&lt;=XS_Designer!$BN$95,XS_Designer!BC$95,"")</f>
        <v/>
      </c>
      <c r="AR12" s="4" t="str">
        <f>IF(XS_Designer_Bed_Mix!$J12&lt;=XS_Designer!$BN$95,XS_Designer!BD$95,"")</f>
        <v/>
      </c>
      <c r="AS12" s="4" t="str">
        <f>IF(XS_Designer_Bed_Mix!$J12&lt;=XS_Designer!$BN$95,XS_Designer!BE$95,"")</f>
        <v/>
      </c>
      <c r="AT12" s="4" t="str">
        <f>IF(XS_Designer_Bed_Mix!$J12&lt;=XS_Designer!$BN$95,XS_Designer!BF$95,"")</f>
        <v/>
      </c>
      <c r="AU12" s="4" t="str">
        <f>IF(XS_Designer_Bed_Mix!$J12&lt;=XS_Designer!$BN$95,XS_Designer!BG$95,"")</f>
        <v/>
      </c>
      <c r="AV12" s="4" t="str">
        <f>IF(XS_Designer_Bed_Mix!$J12&lt;=XS_Designer!$BN$95,XS_Designer!BH$95,"")</f>
        <v/>
      </c>
      <c r="AW12" s="4" t="str">
        <f>IF(XS_Designer_Bed_Mix!$J12&lt;=XS_Designer!$BN$95,XS_Designer!BI$95,"")</f>
        <v/>
      </c>
      <c r="AX12" s="4" t="str">
        <f>IF(XS_Designer_Bed_Mix!$J12&lt;=XS_Designer!$BN$95,XS_Designer!BJ$95,"")</f>
        <v/>
      </c>
      <c r="AY12" s="4">
        <f>IF(XS_Designer_Bed_Mix!$J12&lt;=XS_Designer!$BN$96,XS_Designer!BA$96,"")</f>
        <v>335.28000000000003</v>
      </c>
      <c r="AZ12" s="4">
        <f>IF(XS_Designer_Bed_Mix!$J12&lt;=XS_Designer!$BN$96,XS_Designer!BB$96,"")</f>
        <v>335.28000000000003</v>
      </c>
      <c r="BA12" s="4">
        <f>IF(XS_Designer_Bed_Mix!$J12&lt;=XS_Designer!$BN$96,XS_Designer!BC$96,"")</f>
        <v>335.28000000000003</v>
      </c>
      <c r="BB12" s="4">
        <f>IF(XS_Designer_Bed_Mix!$J12&lt;=XS_Designer!$BN$96,XS_Designer!BD$96,"")</f>
        <v>335.28000000000003</v>
      </c>
      <c r="BC12" s="4">
        <f>IF(XS_Designer_Bed_Mix!$J12&lt;=XS_Designer!$BN$96,XS_Designer!BE$96,"")</f>
        <v>335.28000000000003</v>
      </c>
      <c r="BD12" s="4">
        <f>IF(XS_Designer_Bed_Mix!$J12&lt;=XS_Designer!$BN$96,XS_Designer!BF$96,"")</f>
        <v>335.28000000000003</v>
      </c>
      <c r="BE12" s="4">
        <f>IF(XS_Designer_Bed_Mix!$J12&lt;=XS_Designer!$BN$96,XS_Designer!BG$96,"")</f>
        <v>335.28000000000003</v>
      </c>
      <c r="BF12" s="4">
        <f>IF(XS_Designer_Bed_Mix!$J12&lt;=XS_Designer!$BN$96,XS_Designer!BH$96,"")</f>
        <v>335.28000000000003</v>
      </c>
      <c r="BG12" s="4">
        <f>IF(XS_Designer_Bed_Mix!$J12&lt;=XS_Designer!$BN$96,XS_Designer!BI$96,"")</f>
        <v>335.28000000000003</v>
      </c>
      <c r="BH12" s="4">
        <f>IF(XS_Designer_Bed_Mix!$J12&lt;=XS_Designer!$BN$96,XS_Designer!BJ$96,"")</f>
        <v>335.28000000000003</v>
      </c>
      <c r="BI12" s="4" t="str">
        <f>IF(XS_Designer_Bed_Mix!$J12&lt;=XS_Designer!$BN$97,XS_Designer!BA$97,"")</f>
        <v/>
      </c>
      <c r="BJ12" s="4" t="str">
        <f>IF(XS_Designer_Bed_Mix!$J12&lt;=XS_Designer!$BN$97,XS_Designer!BB$97,"")</f>
        <v/>
      </c>
      <c r="BK12" s="4" t="str">
        <f>IF(XS_Designer_Bed_Mix!$J12&lt;=XS_Designer!$BN$97,XS_Designer!BC$97,"")</f>
        <v/>
      </c>
      <c r="BL12" s="4" t="str">
        <f>IF(XS_Designer_Bed_Mix!$J12&lt;=XS_Designer!$BN$97,XS_Designer!BD$97,"")</f>
        <v/>
      </c>
      <c r="BM12" s="4" t="str">
        <f>IF(XS_Designer_Bed_Mix!$J12&lt;=XS_Designer!$BN$97,XS_Designer!BE$97,"")</f>
        <v/>
      </c>
      <c r="BN12" s="4" t="str">
        <f>IF(XS_Designer_Bed_Mix!$J12&lt;=XS_Designer!$BN$97,XS_Designer!BF$97,"")</f>
        <v/>
      </c>
      <c r="BO12" s="4" t="str">
        <f>IF(XS_Designer_Bed_Mix!$J12&lt;=XS_Designer!$BN$97,XS_Designer!BG$97,"")</f>
        <v/>
      </c>
      <c r="BP12" s="4" t="str">
        <f>IF(XS_Designer_Bed_Mix!$J12&lt;=XS_Designer!$BN$97,XS_Designer!BH$97,"")</f>
        <v/>
      </c>
      <c r="BQ12" s="4" t="str">
        <f>IF(XS_Designer_Bed_Mix!$J12&lt;=XS_Designer!$BN$97,XS_Designer!BI$97,"")</f>
        <v/>
      </c>
      <c r="BR12" s="4" t="str">
        <f>IF(XS_Designer_Bed_Mix!$J12&lt;=XS_Designer!$BN$97,XS_Designer!BJ$97,"")</f>
        <v/>
      </c>
      <c r="BS12" s="4" t="str">
        <f>IF(XS_Designer_Bed_Mix!$J12&lt;=XS_Designer!$BN$98,XS_Designer!BA$98,"")</f>
        <v/>
      </c>
      <c r="BT12" s="4" t="str">
        <f>IF(XS_Designer_Bed_Mix!$J12&lt;=XS_Designer!$BN$98,XS_Designer!BB$98,"")</f>
        <v/>
      </c>
      <c r="BU12" s="4" t="str">
        <f>IF(XS_Designer_Bed_Mix!$J12&lt;=XS_Designer!$BN$98,XS_Designer!BC$98,"")</f>
        <v/>
      </c>
      <c r="BV12" s="4" t="str">
        <f>IF(XS_Designer_Bed_Mix!$J12&lt;=XS_Designer!$BN$98,XS_Designer!BD$98,"")</f>
        <v/>
      </c>
      <c r="BW12" s="4" t="str">
        <f>IF(XS_Designer_Bed_Mix!$J12&lt;=XS_Designer!$BN$98,XS_Designer!BE$98,"")</f>
        <v/>
      </c>
      <c r="BX12" s="4" t="str">
        <f>IF(XS_Designer_Bed_Mix!$J12&lt;=XS_Designer!$BN$98,XS_Designer!BF$98,"")</f>
        <v/>
      </c>
      <c r="BY12" s="4" t="str">
        <f>IF(XS_Designer_Bed_Mix!$J12&lt;=XS_Designer!$BN$98,XS_Designer!BG$98,"")</f>
        <v/>
      </c>
      <c r="BZ12" s="4" t="str">
        <f>IF(XS_Designer_Bed_Mix!$J12&lt;=XS_Designer!$BN$98,XS_Designer!BH$98,"")</f>
        <v/>
      </c>
      <c r="CA12" s="4" t="str">
        <f>IF(XS_Designer_Bed_Mix!$J12&lt;=XS_Designer!$BN$98,XS_Designer!BI$98,"")</f>
        <v/>
      </c>
      <c r="CB12" s="4" t="str">
        <f>IF(XS_Designer_Bed_Mix!$J12&lt;=XS_Designer!$BN$98,XS_Designer!BJ$98,"")</f>
        <v/>
      </c>
      <c r="CC12" s="4" t="str">
        <f>IF(XS_Designer_Bed_Mix!$J12&lt;=XS_Designer!$BN$99,XS_Designer!BA$99,"")</f>
        <v/>
      </c>
      <c r="CD12" s="4" t="str">
        <f>IF(XS_Designer_Bed_Mix!$J12&lt;=XS_Designer!$BN$99,XS_Designer!BB$99,"")</f>
        <v/>
      </c>
      <c r="CE12" s="4" t="str">
        <f>IF(XS_Designer_Bed_Mix!$J12&lt;=XS_Designer!$BN$99,XS_Designer!BC$99,"")</f>
        <v/>
      </c>
      <c r="CF12" s="4" t="str">
        <f>IF(XS_Designer_Bed_Mix!$J12&lt;=XS_Designer!$BN$99,XS_Designer!BD$99,"")</f>
        <v/>
      </c>
      <c r="CG12" s="4" t="str">
        <f>IF(XS_Designer_Bed_Mix!$J12&lt;=XS_Designer!$BN$99,XS_Designer!BE$99,"")</f>
        <v/>
      </c>
      <c r="CH12" s="4" t="str">
        <f>IF(XS_Designer_Bed_Mix!$J12&lt;=XS_Designer!$BN$99,XS_Designer!BF$99,"")</f>
        <v/>
      </c>
      <c r="CI12" s="4" t="str">
        <f>IF(XS_Designer_Bed_Mix!$J12&lt;=XS_Designer!$BN$99,XS_Designer!BG$99,"")</f>
        <v/>
      </c>
      <c r="CJ12" s="4" t="str">
        <f>IF(XS_Designer_Bed_Mix!$J12&lt;=XS_Designer!$BN$99,XS_Designer!BH$99,"")</f>
        <v/>
      </c>
      <c r="CK12" s="4" t="str">
        <f>IF(XS_Designer_Bed_Mix!$J12&lt;=XS_Designer!$BN$99,XS_Designer!BI$99,"")</f>
        <v/>
      </c>
      <c r="CL12" s="4" t="str">
        <f>IF(XS_Designer_Bed_Mix!$J12&lt;=XS_Designer!$BN$99,XS_Designer!BJ$99,"")</f>
        <v/>
      </c>
      <c r="CM12" s="4">
        <f>IF(XS_Designer_Bed_Mix!$J12&lt;=XS_Designer!$BN$100,XS_Designer!BA$100,"")</f>
        <v>64</v>
      </c>
      <c r="CN12" s="4">
        <f>IF(XS_Designer_Bed_Mix!$J12&lt;=XS_Designer!$BN$100,XS_Designer!BB$100,"")</f>
        <v>57.6</v>
      </c>
      <c r="CO12" s="4">
        <f>IF(XS_Designer_Bed_Mix!$J12&lt;=XS_Designer!$BN$100,XS_Designer!BC$100,"")</f>
        <v>51.2</v>
      </c>
      <c r="CP12" s="4">
        <f>IF(XS_Designer_Bed_Mix!$J12&lt;=XS_Designer!$BN$100,XS_Designer!BD$100,"")</f>
        <v>44.800000000000004</v>
      </c>
      <c r="CQ12" s="4">
        <f>IF(XS_Designer_Bed_Mix!$J12&lt;=XS_Designer!$BN$100,XS_Designer!BE$100,"")</f>
        <v>38.400000000000006</v>
      </c>
      <c r="CR12" s="4">
        <f>IF(XS_Designer_Bed_Mix!$J12&lt;=XS_Designer!$BN$100,XS_Designer!BF$100,"")</f>
        <v>32</v>
      </c>
      <c r="CS12" s="4">
        <f>IF(XS_Designer_Bed_Mix!$J12&lt;=XS_Designer!$BN$100,XS_Designer!BG$100,"")</f>
        <v>26</v>
      </c>
      <c r="CT12" s="4">
        <f>IF(XS_Designer_Bed_Mix!$J12&lt;=XS_Designer!$BN$100,XS_Designer!BH$100,"")</f>
        <v>20</v>
      </c>
      <c r="CU12" s="4">
        <f>IF(XS_Designer_Bed_Mix!$J12&lt;=XS_Designer!$BN$100,XS_Designer!BI$100,"")</f>
        <v>14</v>
      </c>
      <c r="CV12" s="4">
        <f>IF(XS_Designer_Bed_Mix!$J12&lt;=XS_Designer!$BN$100,XS_Designer!BJ$100,"")</f>
        <v>8</v>
      </c>
      <c r="CW12" s="4" t="str">
        <f>IF(XS_Designer_Bed_Mix!$J12&lt;=XS_Designer!$BN$101,XS_Designer!BA$101,"")</f>
        <v/>
      </c>
      <c r="CX12" s="4" t="str">
        <f>IF(XS_Designer_Bed_Mix!$J12&lt;=XS_Designer!$BN$101,XS_Designer!BB$101,"")</f>
        <v/>
      </c>
      <c r="CY12" s="4" t="str">
        <f>IF(XS_Designer_Bed_Mix!$J12&lt;=XS_Designer!$BN$101,XS_Designer!BC$101,"")</f>
        <v/>
      </c>
      <c r="CZ12" s="4" t="str">
        <f>IF(XS_Designer_Bed_Mix!$J12&lt;=XS_Designer!$BN$101,XS_Designer!BD$101,"")</f>
        <v/>
      </c>
      <c r="DA12" s="4" t="str">
        <f>IF(XS_Designer_Bed_Mix!$J12&lt;=XS_Designer!$BN$101,XS_Designer!BE$101,"")</f>
        <v/>
      </c>
      <c r="DB12" s="4" t="str">
        <f>IF(XS_Designer_Bed_Mix!$J12&lt;=XS_Designer!$BN$101,XS_Designer!BF$101,"")</f>
        <v/>
      </c>
      <c r="DC12" s="4" t="str">
        <f>IF(XS_Designer_Bed_Mix!$J12&lt;=XS_Designer!$BN$101,XS_Designer!BG$101,"")</f>
        <v/>
      </c>
      <c r="DD12" s="4" t="str">
        <f>IF(XS_Designer_Bed_Mix!$J12&lt;=XS_Designer!$BN$101,XS_Designer!BH$101,"")</f>
        <v/>
      </c>
      <c r="DE12" s="4" t="str">
        <f>IF(XS_Designer_Bed_Mix!$J12&lt;=XS_Designer!$BN$101,XS_Designer!BI$101,"")</f>
        <v/>
      </c>
      <c r="DF12" s="4" t="str">
        <f>IF(XS_Designer_Bed_Mix!$J12&lt;=XS_Designer!$BN$101,XS_Designer!BJ$101,"")</f>
        <v/>
      </c>
      <c r="DG12" s="4" t="str">
        <f>IF(XS_Designer_Bed_Mix!$J12&lt;=XS_Designer!$BN$102,XS_Designer!BA$102,"")</f>
        <v/>
      </c>
      <c r="DH12" s="4" t="str">
        <f>IF(XS_Designer_Bed_Mix!$J12&lt;=XS_Designer!$BN$102,XS_Designer!BB$102,"")</f>
        <v/>
      </c>
      <c r="DI12" s="4" t="str">
        <f>IF(XS_Designer_Bed_Mix!$J12&lt;=XS_Designer!$BN$102,XS_Designer!BC$102,"")</f>
        <v/>
      </c>
      <c r="DJ12" s="4" t="str">
        <f>IF(XS_Designer_Bed_Mix!$J12&lt;=XS_Designer!$BN$102,XS_Designer!BD$102,"")</f>
        <v/>
      </c>
      <c r="DK12" s="4" t="str">
        <f>IF(XS_Designer_Bed_Mix!$J12&lt;=XS_Designer!$BN$102,XS_Designer!BE$102,"")</f>
        <v/>
      </c>
      <c r="DL12" s="4" t="str">
        <f>IF(XS_Designer_Bed_Mix!$J12&lt;=XS_Designer!$BN$102,XS_Designer!BF$102,"")</f>
        <v/>
      </c>
      <c r="DM12" s="4" t="str">
        <f>IF(XS_Designer_Bed_Mix!$J12&lt;=XS_Designer!$BN$102,XS_Designer!BG$102,"")</f>
        <v/>
      </c>
      <c r="DN12" s="4" t="str">
        <f>IF(XS_Designer_Bed_Mix!$J12&lt;=XS_Designer!$BN$102,XS_Designer!BH$102,"")</f>
        <v/>
      </c>
      <c r="DO12" s="4" t="str">
        <f>IF(XS_Designer_Bed_Mix!$J12&lt;=XS_Designer!$BN$102,XS_Designer!BI$102,"")</f>
        <v/>
      </c>
      <c r="DP12" s="4" t="str">
        <f>IF(XS_Designer_Bed_Mix!$J12&lt;=XS_Designer!$BN$102,XS_Designer!BJ$102,"")</f>
        <v/>
      </c>
    </row>
    <row r="13" spans="2:120" ht="15">
      <c r="B13" s="5">
        <v>512</v>
      </c>
      <c r="C13" s="37"/>
      <c r="D13" s="1"/>
      <c r="E13" s="6" t="s">
        <v>192</v>
      </c>
      <c r="F13" s="187">
        <f t="shared" si="0"/>
        <v>335.28000000000003</v>
      </c>
      <c r="G13">
        <v>84</v>
      </c>
      <c r="H13">
        <f t="shared" si="1"/>
        <v>0.84</v>
      </c>
      <c r="J13" s="3">
        <v>0.12</v>
      </c>
      <c r="K13" s="4" t="str">
        <f>IF(XS_Designer_Bed_Mix!$J13&lt;=XS_Designer!$BN$92,XS_Designer!BA$92,"")</f>
        <v/>
      </c>
      <c r="L13" s="4" t="str">
        <f>IF(XS_Designer_Bed_Mix!$J13&lt;=XS_Designer!$BN$92,XS_Designer!BB$92,"")</f>
        <v/>
      </c>
      <c r="M13" s="4" t="str">
        <f>IF(XS_Designer_Bed_Mix!$J13&lt;=XS_Designer!$BN$92,XS_Designer!BC$92,"")</f>
        <v/>
      </c>
      <c r="N13" s="4" t="str">
        <f>IF(XS_Designer_Bed_Mix!$J13&lt;=XS_Designer!$BN$92,XS_Designer!BD$92,"")</f>
        <v/>
      </c>
      <c r="O13" s="4" t="str">
        <f>IF(XS_Designer_Bed_Mix!$J13&lt;=XS_Designer!$BN$92,XS_Designer!BE$92,"")</f>
        <v/>
      </c>
      <c r="P13" s="4" t="str">
        <f>IF(XS_Designer_Bed_Mix!$J13&lt;=XS_Designer!$BN$92,XS_Designer!BF$92,"")</f>
        <v/>
      </c>
      <c r="Q13" s="4" t="str">
        <f>IF(XS_Designer_Bed_Mix!$J13&lt;=XS_Designer!$BN$92,XS_Designer!BG$92,"")</f>
        <v/>
      </c>
      <c r="R13" s="4" t="str">
        <f>IF(XS_Designer_Bed_Mix!$J13&lt;=XS_Designer!$BN$92,XS_Designer!BH$92,"")</f>
        <v/>
      </c>
      <c r="S13" s="4" t="str">
        <f>IF(XS_Designer_Bed_Mix!$J13&lt;=XS_Designer!$BN$92,XS_Designer!BI$92,"")</f>
        <v/>
      </c>
      <c r="T13" s="4" t="str">
        <f>IF(XS_Designer_Bed_Mix!$J13&lt;=XS_Designer!$BN$92,XS_Designer!BJ$92,"")</f>
        <v/>
      </c>
      <c r="U13" s="4" t="str">
        <f>IF(XS_Designer_Bed_Mix!$J13&lt;=XS_Designer!$BN$93,XS_Designer!BA$93,"")</f>
        <v/>
      </c>
      <c r="V13" s="4" t="str">
        <f>IF(XS_Designer_Bed_Mix!$J13&lt;=XS_Designer!$BN$93,XS_Designer!BB$93,"")</f>
        <v/>
      </c>
      <c r="W13" s="4" t="str">
        <f>IF(XS_Designer_Bed_Mix!$J13&lt;=XS_Designer!$BN$93,XS_Designer!BC$93,"")</f>
        <v/>
      </c>
      <c r="X13" s="4" t="str">
        <f>IF(XS_Designer_Bed_Mix!$J13&lt;=XS_Designer!$BN$93,XS_Designer!BD$93,"")</f>
        <v/>
      </c>
      <c r="Y13" s="4" t="str">
        <f>IF(XS_Designer_Bed_Mix!$J13&lt;=XS_Designer!$BN$93,XS_Designer!BE$93,"")</f>
        <v/>
      </c>
      <c r="Z13" s="4" t="str">
        <f>IF(XS_Designer_Bed_Mix!$J13&lt;=XS_Designer!$BN$93,XS_Designer!BF$93,"")</f>
        <v/>
      </c>
      <c r="AA13" s="4" t="str">
        <f>IF(XS_Designer_Bed_Mix!$J13&lt;=XS_Designer!$BN$93,XS_Designer!BG$93,"")</f>
        <v/>
      </c>
      <c r="AB13" s="4" t="str">
        <f>IF(XS_Designer_Bed_Mix!$J13&lt;=XS_Designer!$BN$93,XS_Designer!BH$93,"")</f>
        <v/>
      </c>
      <c r="AC13" s="4" t="str">
        <f>IF(XS_Designer_Bed_Mix!$J13&lt;=XS_Designer!$BN$93,XS_Designer!BI$93,"")</f>
        <v/>
      </c>
      <c r="AD13" s="4" t="str">
        <f>IF(XS_Designer_Bed_Mix!$J13&lt;=XS_Designer!$BN$93,XS_Designer!BJ$93,"")</f>
        <v/>
      </c>
      <c r="AE13" s="4" t="str">
        <f>IF(XS_Designer_Bed_Mix!$J13&lt;=XS_Designer!$BN$94,XS_Designer!BA$94,"")</f>
        <v/>
      </c>
      <c r="AF13" s="4" t="str">
        <f>IF(XS_Designer_Bed_Mix!$J13&lt;=XS_Designer!$BN$94,XS_Designer!BB$94,"")</f>
        <v/>
      </c>
      <c r="AG13" s="4" t="str">
        <f>IF(XS_Designer_Bed_Mix!$J13&lt;=XS_Designer!$BN$94,XS_Designer!BC$94,"")</f>
        <v/>
      </c>
      <c r="AH13" s="4" t="str">
        <f>IF(XS_Designer_Bed_Mix!$J13&lt;=XS_Designer!$BN$94,XS_Designer!BD$94,"")</f>
        <v/>
      </c>
      <c r="AI13" s="4" t="str">
        <f>IF(XS_Designer_Bed_Mix!$J13&lt;=XS_Designer!$BN$94,XS_Designer!BE$94,"")</f>
        <v/>
      </c>
      <c r="AJ13" s="4" t="str">
        <f>IF(XS_Designer_Bed_Mix!$J13&lt;=XS_Designer!$BN$94,XS_Designer!BF$94,"")</f>
        <v/>
      </c>
      <c r="AK13" s="4" t="str">
        <f>IF(XS_Designer_Bed_Mix!$J13&lt;=XS_Designer!$BN$94,XS_Designer!BG$94,"")</f>
        <v/>
      </c>
      <c r="AL13" s="4" t="str">
        <f>IF(XS_Designer_Bed_Mix!$J13&lt;=XS_Designer!$BN$94,XS_Designer!BH$94,"")</f>
        <v/>
      </c>
      <c r="AM13" s="4" t="str">
        <f>IF(XS_Designer_Bed_Mix!$J13&lt;=XS_Designer!$BN$94,XS_Designer!BI$94,"")</f>
        <v/>
      </c>
      <c r="AN13" s="4" t="str">
        <f>IF(XS_Designer_Bed_Mix!$J13&lt;=XS_Designer!$BN$94,XS_Designer!BJ$94,"")</f>
        <v/>
      </c>
      <c r="AO13" s="4" t="str">
        <f>IF(XS_Designer_Bed_Mix!$J13&lt;=XS_Designer!$BN$95,XS_Designer!BA$95,"")</f>
        <v/>
      </c>
      <c r="AP13" s="4" t="str">
        <f>IF(XS_Designer_Bed_Mix!$J13&lt;=XS_Designer!$BN$95,XS_Designer!BB$95,"")</f>
        <v/>
      </c>
      <c r="AQ13" s="4" t="str">
        <f>IF(XS_Designer_Bed_Mix!$J13&lt;=XS_Designer!$BN$95,XS_Designer!BC$95,"")</f>
        <v/>
      </c>
      <c r="AR13" s="4" t="str">
        <f>IF(XS_Designer_Bed_Mix!$J13&lt;=XS_Designer!$BN$95,XS_Designer!BD$95,"")</f>
        <v/>
      </c>
      <c r="AS13" s="4" t="str">
        <f>IF(XS_Designer_Bed_Mix!$J13&lt;=XS_Designer!$BN$95,XS_Designer!BE$95,"")</f>
        <v/>
      </c>
      <c r="AT13" s="4" t="str">
        <f>IF(XS_Designer_Bed_Mix!$J13&lt;=XS_Designer!$BN$95,XS_Designer!BF$95,"")</f>
        <v/>
      </c>
      <c r="AU13" s="4" t="str">
        <f>IF(XS_Designer_Bed_Mix!$J13&lt;=XS_Designer!$BN$95,XS_Designer!BG$95,"")</f>
        <v/>
      </c>
      <c r="AV13" s="4" t="str">
        <f>IF(XS_Designer_Bed_Mix!$J13&lt;=XS_Designer!$BN$95,XS_Designer!BH$95,"")</f>
        <v/>
      </c>
      <c r="AW13" s="4" t="str">
        <f>IF(XS_Designer_Bed_Mix!$J13&lt;=XS_Designer!$BN$95,XS_Designer!BI$95,"")</f>
        <v/>
      </c>
      <c r="AX13" s="4" t="str">
        <f>IF(XS_Designer_Bed_Mix!$J13&lt;=XS_Designer!$BN$95,XS_Designer!BJ$95,"")</f>
        <v/>
      </c>
      <c r="AY13" s="4">
        <f>IF(XS_Designer_Bed_Mix!$J13&lt;=XS_Designer!$BN$96,XS_Designer!BA$96,"")</f>
        <v>335.28000000000003</v>
      </c>
      <c r="AZ13" s="4">
        <f>IF(XS_Designer_Bed_Mix!$J13&lt;=XS_Designer!$BN$96,XS_Designer!BB$96,"")</f>
        <v>335.28000000000003</v>
      </c>
      <c r="BA13" s="4">
        <f>IF(XS_Designer_Bed_Mix!$J13&lt;=XS_Designer!$BN$96,XS_Designer!BC$96,"")</f>
        <v>335.28000000000003</v>
      </c>
      <c r="BB13" s="4">
        <f>IF(XS_Designer_Bed_Mix!$J13&lt;=XS_Designer!$BN$96,XS_Designer!BD$96,"")</f>
        <v>335.28000000000003</v>
      </c>
      <c r="BC13" s="4">
        <f>IF(XS_Designer_Bed_Mix!$J13&lt;=XS_Designer!$BN$96,XS_Designer!BE$96,"")</f>
        <v>335.28000000000003</v>
      </c>
      <c r="BD13" s="4">
        <f>IF(XS_Designer_Bed_Mix!$J13&lt;=XS_Designer!$BN$96,XS_Designer!BF$96,"")</f>
        <v>335.28000000000003</v>
      </c>
      <c r="BE13" s="4">
        <f>IF(XS_Designer_Bed_Mix!$J13&lt;=XS_Designer!$BN$96,XS_Designer!BG$96,"")</f>
        <v>335.28000000000003</v>
      </c>
      <c r="BF13" s="4">
        <f>IF(XS_Designer_Bed_Mix!$J13&lt;=XS_Designer!$BN$96,XS_Designer!BH$96,"")</f>
        <v>335.28000000000003</v>
      </c>
      <c r="BG13" s="4">
        <f>IF(XS_Designer_Bed_Mix!$J13&lt;=XS_Designer!$BN$96,XS_Designer!BI$96,"")</f>
        <v>335.28000000000003</v>
      </c>
      <c r="BH13" s="4">
        <f>IF(XS_Designer_Bed_Mix!$J13&lt;=XS_Designer!$BN$96,XS_Designer!BJ$96,"")</f>
        <v>335.28000000000003</v>
      </c>
      <c r="BI13" s="4" t="str">
        <f>IF(XS_Designer_Bed_Mix!$J13&lt;=XS_Designer!$BN$97,XS_Designer!BA$97,"")</f>
        <v/>
      </c>
      <c r="BJ13" s="4" t="str">
        <f>IF(XS_Designer_Bed_Mix!$J13&lt;=XS_Designer!$BN$97,XS_Designer!BB$97,"")</f>
        <v/>
      </c>
      <c r="BK13" s="4" t="str">
        <f>IF(XS_Designer_Bed_Mix!$J13&lt;=XS_Designer!$BN$97,XS_Designer!BC$97,"")</f>
        <v/>
      </c>
      <c r="BL13" s="4" t="str">
        <f>IF(XS_Designer_Bed_Mix!$J13&lt;=XS_Designer!$BN$97,XS_Designer!BD$97,"")</f>
        <v/>
      </c>
      <c r="BM13" s="4" t="str">
        <f>IF(XS_Designer_Bed_Mix!$J13&lt;=XS_Designer!$BN$97,XS_Designer!BE$97,"")</f>
        <v/>
      </c>
      <c r="BN13" s="4" t="str">
        <f>IF(XS_Designer_Bed_Mix!$J13&lt;=XS_Designer!$BN$97,XS_Designer!BF$97,"")</f>
        <v/>
      </c>
      <c r="BO13" s="4" t="str">
        <f>IF(XS_Designer_Bed_Mix!$J13&lt;=XS_Designer!$BN$97,XS_Designer!BG$97,"")</f>
        <v/>
      </c>
      <c r="BP13" s="4" t="str">
        <f>IF(XS_Designer_Bed_Mix!$J13&lt;=XS_Designer!$BN$97,XS_Designer!BH$97,"")</f>
        <v/>
      </c>
      <c r="BQ13" s="4" t="str">
        <f>IF(XS_Designer_Bed_Mix!$J13&lt;=XS_Designer!$BN$97,XS_Designer!BI$97,"")</f>
        <v/>
      </c>
      <c r="BR13" s="4" t="str">
        <f>IF(XS_Designer_Bed_Mix!$J13&lt;=XS_Designer!$BN$97,XS_Designer!BJ$97,"")</f>
        <v/>
      </c>
      <c r="BS13" s="4" t="str">
        <f>IF(XS_Designer_Bed_Mix!$J13&lt;=XS_Designer!$BN$98,XS_Designer!BA$98,"")</f>
        <v/>
      </c>
      <c r="BT13" s="4" t="str">
        <f>IF(XS_Designer_Bed_Mix!$J13&lt;=XS_Designer!$BN$98,XS_Designer!BB$98,"")</f>
        <v/>
      </c>
      <c r="BU13" s="4" t="str">
        <f>IF(XS_Designer_Bed_Mix!$J13&lt;=XS_Designer!$BN$98,XS_Designer!BC$98,"")</f>
        <v/>
      </c>
      <c r="BV13" s="4" t="str">
        <f>IF(XS_Designer_Bed_Mix!$J13&lt;=XS_Designer!$BN$98,XS_Designer!BD$98,"")</f>
        <v/>
      </c>
      <c r="BW13" s="4" t="str">
        <f>IF(XS_Designer_Bed_Mix!$J13&lt;=XS_Designer!$BN$98,XS_Designer!BE$98,"")</f>
        <v/>
      </c>
      <c r="BX13" s="4" t="str">
        <f>IF(XS_Designer_Bed_Mix!$J13&lt;=XS_Designer!$BN$98,XS_Designer!BF$98,"")</f>
        <v/>
      </c>
      <c r="BY13" s="4" t="str">
        <f>IF(XS_Designer_Bed_Mix!$J13&lt;=XS_Designer!$BN$98,XS_Designer!BG$98,"")</f>
        <v/>
      </c>
      <c r="BZ13" s="4" t="str">
        <f>IF(XS_Designer_Bed_Mix!$J13&lt;=XS_Designer!$BN$98,XS_Designer!BH$98,"")</f>
        <v/>
      </c>
      <c r="CA13" s="4" t="str">
        <f>IF(XS_Designer_Bed_Mix!$J13&lt;=XS_Designer!$BN$98,XS_Designer!BI$98,"")</f>
        <v/>
      </c>
      <c r="CB13" s="4" t="str">
        <f>IF(XS_Designer_Bed_Mix!$J13&lt;=XS_Designer!$BN$98,XS_Designer!BJ$98,"")</f>
        <v/>
      </c>
      <c r="CC13" s="4" t="str">
        <f>IF(XS_Designer_Bed_Mix!$J13&lt;=XS_Designer!$BN$99,XS_Designer!BA$99,"")</f>
        <v/>
      </c>
      <c r="CD13" s="4" t="str">
        <f>IF(XS_Designer_Bed_Mix!$J13&lt;=XS_Designer!$BN$99,XS_Designer!BB$99,"")</f>
        <v/>
      </c>
      <c r="CE13" s="4" t="str">
        <f>IF(XS_Designer_Bed_Mix!$J13&lt;=XS_Designer!$BN$99,XS_Designer!BC$99,"")</f>
        <v/>
      </c>
      <c r="CF13" s="4" t="str">
        <f>IF(XS_Designer_Bed_Mix!$J13&lt;=XS_Designer!$BN$99,XS_Designer!BD$99,"")</f>
        <v/>
      </c>
      <c r="CG13" s="4" t="str">
        <f>IF(XS_Designer_Bed_Mix!$J13&lt;=XS_Designer!$BN$99,XS_Designer!BE$99,"")</f>
        <v/>
      </c>
      <c r="CH13" s="4" t="str">
        <f>IF(XS_Designer_Bed_Mix!$J13&lt;=XS_Designer!$BN$99,XS_Designer!BF$99,"")</f>
        <v/>
      </c>
      <c r="CI13" s="4" t="str">
        <f>IF(XS_Designer_Bed_Mix!$J13&lt;=XS_Designer!$BN$99,XS_Designer!BG$99,"")</f>
        <v/>
      </c>
      <c r="CJ13" s="4" t="str">
        <f>IF(XS_Designer_Bed_Mix!$J13&lt;=XS_Designer!$BN$99,XS_Designer!BH$99,"")</f>
        <v/>
      </c>
      <c r="CK13" s="4" t="str">
        <f>IF(XS_Designer_Bed_Mix!$J13&lt;=XS_Designer!$BN$99,XS_Designer!BI$99,"")</f>
        <v/>
      </c>
      <c r="CL13" s="4" t="str">
        <f>IF(XS_Designer_Bed_Mix!$J13&lt;=XS_Designer!$BN$99,XS_Designer!BJ$99,"")</f>
        <v/>
      </c>
      <c r="CM13" s="4">
        <f>IF(XS_Designer_Bed_Mix!$J13&lt;=XS_Designer!$BN$100,XS_Designer!BA$100,"")</f>
        <v>64</v>
      </c>
      <c r="CN13" s="4">
        <f>IF(XS_Designer_Bed_Mix!$J13&lt;=XS_Designer!$BN$100,XS_Designer!BB$100,"")</f>
        <v>57.6</v>
      </c>
      <c r="CO13" s="4">
        <f>IF(XS_Designer_Bed_Mix!$J13&lt;=XS_Designer!$BN$100,XS_Designer!BC$100,"")</f>
        <v>51.2</v>
      </c>
      <c r="CP13" s="4">
        <f>IF(XS_Designer_Bed_Mix!$J13&lt;=XS_Designer!$BN$100,XS_Designer!BD$100,"")</f>
        <v>44.800000000000004</v>
      </c>
      <c r="CQ13" s="4">
        <f>IF(XS_Designer_Bed_Mix!$J13&lt;=XS_Designer!$BN$100,XS_Designer!BE$100,"")</f>
        <v>38.400000000000006</v>
      </c>
      <c r="CR13" s="4">
        <f>IF(XS_Designer_Bed_Mix!$J13&lt;=XS_Designer!$BN$100,XS_Designer!BF$100,"")</f>
        <v>32</v>
      </c>
      <c r="CS13" s="4">
        <f>IF(XS_Designer_Bed_Mix!$J13&lt;=XS_Designer!$BN$100,XS_Designer!BG$100,"")</f>
        <v>26</v>
      </c>
      <c r="CT13" s="4">
        <f>IF(XS_Designer_Bed_Mix!$J13&lt;=XS_Designer!$BN$100,XS_Designer!BH$100,"")</f>
        <v>20</v>
      </c>
      <c r="CU13" s="4">
        <f>IF(XS_Designer_Bed_Mix!$J13&lt;=XS_Designer!$BN$100,XS_Designer!BI$100,"")</f>
        <v>14</v>
      </c>
      <c r="CV13" s="4">
        <f>IF(XS_Designer_Bed_Mix!$J13&lt;=XS_Designer!$BN$100,XS_Designer!BJ$100,"")</f>
        <v>8</v>
      </c>
      <c r="CW13" s="4" t="str">
        <f>IF(XS_Designer_Bed_Mix!$J13&lt;=XS_Designer!$BN$101,XS_Designer!BA$101,"")</f>
        <v/>
      </c>
      <c r="CX13" s="4" t="str">
        <f>IF(XS_Designer_Bed_Mix!$J13&lt;=XS_Designer!$BN$101,XS_Designer!BB$101,"")</f>
        <v/>
      </c>
      <c r="CY13" s="4" t="str">
        <f>IF(XS_Designer_Bed_Mix!$J13&lt;=XS_Designer!$BN$101,XS_Designer!BC$101,"")</f>
        <v/>
      </c>
      <c r="CZ13" s="4" t="str">
        <f>IF(XS_Designer_Bed_Mix!$J13&lt;=XS_Designer!$BN$101,XS_Designer!BD$101,"")</f>
        <v/>
      </c>
      <c r="DA13" s="4" t="str">
        <f>IF(XS_Designer_Bed_Mix!$J13&lt;=XS_Designer!$BN$101,XS_Designer!BE$101,"")</f>
        <v/>
      </c>
      <c r="DB13" s="4" t="str">
        <f>IF(XS_Designer_Bed_Mix!$J13&lt;=XS_Designer!$BN$101,XS_Designer!BF$101,"")</f>
        <v/>
      </c>
      <c r="DC13" s="4" t="str">
        <f>IF(XS_Designer_Bed_Mix!$J13&lt;=XS_Designer!$BN$101,XS_Designer!BG$101,"")</f>
        <v/>
      </c>
      <c r="DD13" s="4" t="str">
        <f>IF(XS_Designer_Bed_Mix!$J13&lt;=XS_Designer!$BN$101,XS_Designer!BH$101,"")</f>
        <v/>
      </c>
      <c r="DE13" s="4" t="str">
        <f>IF(XS_Designer_Bed_Mix!$J13&lt;=XS_Designer!$BN$101,XS_Designer!BI$101,"")</f>
        <v/>
      </c>
      <c r="DF13" s="4" t="str">
        <f>IF(XS_Designer_Bed_Mix!$J13&lt;=XS_Designer!$BN$101,XS_Designer!BJ$101,"")</f>
        <v/>
      </c>
      <c r="DG13" s="4" t="str">
        <f>IF(XS_Designer_Bed_Mix!$J13&lt;=XS_Designer!$BN$102,XS_Designer!BA$102,"")</f>
        <v/>
      </c>
      <c r="DH13" s="4" t="str">
        <f>IF(XS_Designer_Bed_Mix!$J13&lt;=XS_Designer!$BN$102,XS_Designer!BB$102,"")</f>
        <v/>
      </c>
      <c r="DI13" s="4" t="str">
        <f>IF(XS_Designer_Bed_Mix!$J13&lt;=XS_Designer!$BN$102,XS_Designer!BC$102,"")</f>
        <v/>
      </c>
      <c r="DJ13" s="4" t="str">
        <f>IF(XS_Designer_Bed_Mix!$J13&lt;=XS_Designer!$BN$102,XS_Designer!BD$102,"")</f>
        <v/>
      </c>
      <c r="DK13" s="4" t="str">
        <f>IF(XS_Designer_Bed_Mix!$J13&lt;=XS_Designer!$BN$102,XS_Designer!BE$102,"")</f>
        <v/>
      </c>
      <c r="DL13" s="4" t="str">
        <f>IF(XS_Designer_Bed_Mix!$J13&lt;=XS_Designer!$BN$102,XS_Designer!BF$102,"")</f>
        <v/>
      </c>
      <c r="DM13" s="4" t="str">
        <f>IF(XS_Designer_Bed_Mix!$J13&lt;=XS_Designer!$BN$102,XS_Designer!BG$102,"")</f>
        <v/>
      </c>
      <c r="DN13" s="4" t="str">
        <f>IF(XS_Designer_Bed_Mix!$J13&lt;=XS_Designer!$BN$102,XS_Designer!BH$102,"")</f>
        <v/>
      </c>
      <c r="DO13" s="4" t="str">
        <f>IF(XS_Designer_Bed_Mix!$J13&lt;=XS_Designer!$BN$102,XS_Designer!BI$102,"")</f>
        <v/>
      </c>
      <c r="DP13" s="4" t="str">
        <f>IF(XS_Designer_Bed_Mix!$J13&lt;=XS_Designer!$BN$102,XS_Designer!BJ$102,"")</f>
        <v/>
      </c>
    </row>
    <row r="14" spans="2:120" ht="15">
      <c r="B14" s="5">
        <v>1024</v>
      </c>
      <c r="C14" s="37"/>
      <c r="D14" s="1"/>
      <c r="E14" s="6" t="s">
        <v>506</v>
      </c>
      <c r="F14" s="187">
        <f t="shared" si="0"/>
        <v>335.28000000000003</v>
      </c>
      <c r="G14">
        <v>90</v>
      </c>
      <c r="H14">
        <f t="shared" si="1"/>
        <v>0.9</v>
      </c>
      <c r="J14" s="3">
        <v>0.13</v>
      </c>
      <c r="K14" s="4" t="str">
        <f>IF(XS_Designer_Bed_Mix!$J14&lt;=XS_Designer!$BN$92,XS_Designer!BA$92,"")</f>
        <v/>
      </c>
      <c r="L14" s="4" t="str">
        <f>IF(XS_Designer_Bed_Mix!$J14&lt;=XS_Designer!$BN$92,XS_Designer!BB$92,"")</f>
        <v/>
      </c>
      <c r="M14" s="4" t="str">
        <f>IF(XS_Designer_Bed_Mix!$J14&lt;=XS_Designer!$BN$92,XS_Designer!BC$92,"")</f>
        <v/>
      </c>
      <c r="N14" s="4" t="str">
        <f>IF(XS_Designer_Bed_Mix!$J14&lt;=XS_Designer!$BN$92,XS_Designer!BD$92,"")</f>
        <v/>
      </c>
      <c r="O14" s="4" t="str">
        <f>IF(XS_Designer_Bed_Mix!$J14&lt;=XS_Designer!$BN$92,XS_Designer!BE$92,"")</f>
        <v/>
      </c>
      <c r="P14" s="4" t="str">
        <f>IF(XS_Designer_Bed_Mix!$J14&lt;=XS_Designer!$BN$92,XS_Designer!BF$92,"")</f>
        <v/>
      </c>
      <c r="Q14" s="4" t="str">
        <f>IF(XS_Designer_Bed_Mix!$J14&lt;=XS_Designer!$BN$92,XS_Designer!BG$92,"")</f>
        <v/>
      </c>
      <c r="R14" s="4" t="str">
        <f>IF(XS_Designer_Bed_Mix!$J14&lt;=XS_Designer!$BN$92,XS_Designer!BH$92,"")</f>
        <v/>
      </c>
      <c r="S14" s="4" t="str">
        <f>IF(XS_Designer_Bed_Mix!$J14&lt;=XS_Designer!$BN$92,XS_Designer!BI$92,"")</f>
        <v/>
      </c>
      <c r="T14" s="4" t="str">
        <f>IF(XS_Designer_Bed_Mix!$J14&lt;=XS_Designer!$BN$92,XS_Designer!BJ$92,"")</f>
        <v/>
      </c>
      <c r="U14" s="4" t="str">
        <f>IF(XS_Designer_Bed_Mix!$J14&lt;=XS_Designer!$BN$93,XS_Designer!BA$93,"")</f>
        <v/>
      </c>
      <c r="V14" s="4" t="str">
        <f>IF(XS_Designer_Bed_Mix!$J14&lt;=XS_Designer!$BN$93,XS_Designer!BB$93,"")</f>
        <v/>
      </c>
      <c r="W14" s="4" t="str">
        <f>IF(XS_Designer_Bed_Mix!$J14&lt;=XS_Designer!$BN$93,XS_Designer!BC$93,"")</f>
        <v/>
      </c>
      <c r="X14" s="4" t="str">
        <f>IF(XS_Designer_Bed_Mix!$J14&lt;=XS_Designer!$BN$93,XS_Designer!BD$93,"")</f>
        <v/>
      </c>
      <c r="Y14" s="4" t="str">
        <f>IF(XS_Designer_Bed_Mix!$J14&lt;=XS_Designer!$BN$93,XS_Designer!BE$93,"")</f>
        <v/>
      </c>
      <c r="Z14" s="4" t="str">
        <f>IF(XS_Designer_Bed_Mix!$J14&lt;=XS_Designer!$BN$93,XS_Designer!BF$93,"")</f>
        <v/>
      </c>
      <c r="AA14" s="4" t="str">
        <f>IF(XS_Designer_Bed_Mix!$J14&lt;=XS_Designer!$BN$93,XS_Designer!BG$93,"")</f>
        <v/>
      </c>
      <c r="AB14" s="4" t="str">
        <f>IF(XS_Designer_Bed_Mix!$J14&lt;=XS_Designer!$BN$93,XS_Designer!BH$93,"")</f>
        <v/>
      </c>
      <c r="AC14" s="4" t="str">
        <f>IF(XS_Designer_Bed_Mix!$J14&lt;=XS_Designer!$BN$93,XS_Designer!BI$93,"")</f>
        <v/>
      </c>
      <c r="AD14" s="4" t="str">
        <f>IF(XS_Designer_Bed_Mix!$J14&lt;=XS_Designer!$BN$93,XS_Designer!BJ$93,"")</f>
        <v/>
      </c>
      <c r="AE14" s="4" t="str">
        <f>IF(XS_Designer_Bed_Mix!$J14&lt;=XS_Designer!$BN$94,XS_Designer!BA$94,"")</f>
        <v/>
      </c>
      <c r="AF14" s="4" t="str">
        <f>IF(XS_Designer_Bed_Mix!$J14&lt;=XS_Designer!$BN$94,XS_Designer!BB$94,"")</f>
        <v/>
      </c>
      <c r="AG14" s="4" t="str">
        <f>IF(XS_Designer_Bed_Mix!$J14&lt;=XS_Designer!$BN$94,XS_Designer!BC$94,"")</f>
        <v/>
      </c>
      <c r="AH14" s="4" t="str">
        <f>IF(XS_Designer_Bed_Mix!$J14&lt;=XS_Designer!$BN$94,XS_Designer!BD$94,"")</f>
        <v/>
      </c>
      <c r="AI14" s="4" t="str">
        <f>IF(XS_Designer_Bed_Mix!$J14&lt;=XS_Designer!$BN$94,XS_Designer!BE$94,"")</f>
        <v/>
      </c>
      <c r="AJ14" s="4" t="str">
        <f>IF(XS_Designer_Bed_Mix!$J14&lt;=XS_Designer!$BN$94,XS_Designer!BF$94,"")</f>
        <v/>
      </c>
      <c r="AK14" s="4" t="str">
        <f>IF(XS_Designer_Bed_Mix!$J14&lt;=XS_Designer!$BN$94,XS_Designer!BG$94,"")</f>
        <v/>
      </c>
      <c r="AL14" s="4" t="str">
        <f>IF(XS_Designer_Bed_Mix!$J14&lt;=XS_Designer!$BN$94,XS_Designer!BH$94,"")</f>
        <v/>
      </c>
      <c r="AM14" s="4" t="str">
        <f>IF(XS_Designer_Bed_Mix!$J14&lt;=XS_Designer!$BN$94,XS_Designer!BI$94,"")</f>
        <v/>
      </c>
      <c r="AN14" s="4" t="str">
        <f>IF(XS_Designer_Bed_Mix!$J14&lt;=XS_Designer!$BN$94,XS_Designer!BJ$94,"")</f>
        <v/>
      </c>
      <c r="AO14" s="4" t="str">
        <f>IF(XS_Designer_Bed_Mix!$J14&lt;=XS_Designer!$BN$95,XS_Designer!BA$95,"")</f>
        <v/>
      </c>
      <c r="AP14" s="4" t="str">
        <f>IF(XS_Designer_Bed_Mix!$J14&lt;=XS_Designer!$BN$95,XS_Designer!BB$95,"")</f>
        <v/>
      </c>
      <c r="AQ14" s="4" t="str">
        <f>IF(XS_Designer_Bed_Mix!$J14&lt;=XS_Designer!$BN$95,XS_Designer!BC$95,"")</f>
        <v/>
      </c>
      <c r="AR14" s="4" t="str">
        <f>IF(XS_Designer_Bed_Mix!$J14&lt;=XS_Designer!$BN$95,XS_Designer!BD$95,"")</f>
        <v/>
      </c>
      <c r="AS14" s="4" t="str">
        <f>IF(XS_Designer_Bed_Mix!$J14&lt;=XS_Designer!$BN$95,XS_Designer!BE$95,"")</f>
        <v/>
      </c>
      <c r="AT14" s="4" t="str">
        <f>IF(XS_Designer_Bed_Mix!$J14&lt;=XS_Designer!$BN$95,XS_Designer!BF$95,"")</f>
        <v/>
      </c>
      <c r="AU14" s="4" t="str">
        <f>IF(XS_Designer_Bed_Mix!$J14&lt;=XS_Designer!$BN$95,XS_Designer!BG$95,"")</f>
        <v/>
      </c>
      <c r="AV14" s="4" t="str">
        <f>IF(XS_Designer_Bed_Mix!$J14&lt;=XS_Designer!$BN$95,XS_Designer!BH$95,"")</f>
        <v/>
      </c>
      <c r="AW14" s="4" t="str">
        <f>IF(XS_Designer_Bed_Mix!$J14&lt;=XS_Designer!$BN$95,XS_Designer!BI$95,"")</f>
        <v/>
      </c>
      <c r="AX14" s="4" t="str">
        <f>IF(XS_Designer_Bed_Mix!$J14&lt;=XS_Designer!$BN$95,XS_Designer!BJ$95,"")</f>
        <v/>
      </c>
      <c r="AY14" s="4">
        <f>IF(XS_Designer_Bed_Mix!$J14&lt;=XS_Designer!$BN$96,XS_Designer!BA$96,"")</f>
        <v>335.28000000000003</v>
      </c>
      <c r="AZ14" s="4">
        <f>IF(XS_Designer_Bed_Mix!$J14&lt;=XS_Designer!$BN$96,XS_Designer!BB$96,"")</f>
        <v>335.28000000000003</v>
      </c>
      <c r="BA14" s="4">
        <f>IF(XS_Designer_Bed_Mix!$J14&lt;=XS_Designer!$BN$96,XS_Designer!BC$96,"")</f>
        <v>335.28000000000003</v>
      </c>
      <c r="BB14" s="4">
        <f>IF(XS_Designer_Bed_Mix!$J14&lt;=XS_Designer!$BN$96,XS_Designer!BD$96,"")</f>
        <v>335.28000000000003</v>
      </c>
      <c r="BC14" s="4">
        <f>IF(XS_Designer_Bed_Mix!$J14&lt;=XS_Designer!$BN$96,XS_Designer!BE$96,"")</f>
        <v>335.28000000000003</v>
      </c>
      <c r="BD14" s="4">
        <f>IF(XS_Designer_Bed_Mix!$J14&lt;=XS_Designer!$BN$96,XS_Designer!BF$96,"")</f>
        <v>335.28000000000003</v>
      </c>
      <c r="BE14" s="4">
        <f>IF(XS_Designer_Bed_Mix!$J14&lt;=XS_Designer!$BN$96,XS_Designer!BG$96,"")</f>
        <v>335.28000000000003</v>
      </c>
      <c r="BF14" s="4">
        <f>IF(XS_Designer_Bed_Mix!$J14&lt;=XS_Designer!$BN$96,XS_Designer!BH$96,"")</f>
        <v>335.28000000000003</v>
      </c>
      <c r="BG14" s="4">
        <f>IF(XS_Designer_Bed_Mix!$J14&lt;=XS_Designer!$BN$96,XS_Designer!BI$96,"")</f>
        <v>335.28000000000003</v>
      </c>
      <c r="BH14" s="4">
        <f>IF(XS_Designer_Bed_Mix!$J14&lt;=XS_Designer!$BN$96,XS_Designer!BJ$96,"")</f>
        <v>335.28000000000003</v>
      </c>
      <c r="BI14" s="4" t="str">
        <f>IF(XS_Designer_Bed_Mix!$J14&lt;=XS_Designer!$BN$97,XS_Designer!BA$97,"")</f>
        <v/>
      </c>
      <c r="BJ14" s="4" t="str">
        <f>IF(XS_Designer_Bed_Mix!$J14&lt;=XS_Designer!$BN$97,XS_Designer!BB$97,"")</f>
        <v/>
      </c>
      <c r="BK14" s="4" t="str">
        <f>IF(XS_Designer_Bed_Mix!$J14&lt;=XS_Designer!$BN$97,XS_Designer!BC$97,"")</f>
        <v/>
      </c>
      <c r="BL14" s="4" t="str">
        <f>IF(XS_Designer_Bed_Mix!$J14&lt;=XS_Designer!$BN$97,XS_Designer!BD$97,"")</f>
        <v/>
      </c>
      <c r="BM14" s="4" t="str">
        <f>IF(XS_Designer_Bed_Mix!$J14&lt;=XS_Designer!$BN$97,XS_Designer!BE$97,"")</f>
        <v/>
      </c>
      <c r="BN14" s="4" t="str">
        <f>IF(XS_Designer_Bed_Mix!$J14&lt;=XS_Designer!$BN$97,XS_Designer!BF$97,"")</f>
        <v/>
      </c>
      <c r="BO14" s="4" t="str">
        <f>IF(XS_Designer_Bed_Mix!$J14&lt;=XS_Designer!$BN$97,XS_Designer!BG$97,"")</f>
        <v/>
      </c>
      <c r="BP14" s="4" t="str">
        <f>IF(XS_Designer_Bed_Mix!$J14&lt;=XS_Designer!$BN$97,XS_Designer!BH$97,"")</f>
        <v/>
      </c>
      <c r="BQ14" s="4" t="str">
        <f>IF(XS_Designer_Bed_Mix!$J14&lt;=XS_Designer!$BN$97,XS_Designer!BI$97,"")</f>
        <v/>
      </c>
      <c r="BR14" s="4" t="str">
        <f>IF(XS_Designer_Bed_Mix!$J14&lt;=XS_Designer!$BN$97,XS_Designer!BJ$97,"")</f>
        <v/>
      </c>
      <c r="BS14" s="4" t="str">
        <f>IF(XS_Designer_Bed_Mix!$J14&lt;=XS_Designer!$BN$98,XS_Designer!BA$98,"")</f>
        <v/>
      </c>
      <c r="BT14" s="4" t="str">
        <f>IF(XS_Designer_Bed_Mix!$J14&lt;=XS_Designer!$BN$98,XS_Designer!BB$98,"")</f>
        <v/>
      </c>
      <c r="BU14" s="4" t="str">
        <f>IF(XS_Designer_Bed_Mix!$J14&lt;=XS_Designer!$BN$98,XS_Designer!BC$98,"")</f>
        <v/>
      </c>
      <c r="BV14" s="4" t="str">
        <f>IF(XS_Designer_Bed_Mix!$J14&lt;=XS_Designer!$BN$98,XS_Designer!BD$98,"")</f>
        <v/>
      </c>
      <c r="BW14" s="4" t="str">
        <f>IF(XS_Designer_Bed_Mix!$J14&lt;=XS_Designer!$BN$98,XS_Designer!BE$98,"")</f>
        <v/>
      </c>
      <c r="BX14" s="4" t="str">
        <f>IF(XS_Designer_Bed_Mix!$J14&lt;=XS_Designer!$BN$98,XS_Designer!BF$98,"")</f>
        <v/>
      </c>
      <c r="BY14" s="4" t="str">
        <f>IF(XS_Designer_Bed_Mix!$J14&lt;=XS_Designer!$BN$98,XS_Designer!BG$98,"")</f>
        <v/>
      </c>
      <c r="BZ14" s="4" t="str">
        <f>IF(XS_Designer_Bed_Mix!$J14&lt;=XS_Designer!$BN$98,XS_Designer!BH$98,"")</f>
        <v/>
      </c>
      <c r="CA14" s="4" t="str">
        <f>IF(XS_Designer_Bed_Mix!$J14&lt;=XS_Designer!$BN$98,XS_Designer!BI$98,"")</f>
        <v/>
      </c>
      <c r="CB14" s="4" t="str">
        <f>IF(XS_Designer_Bed_Mix!$J14&lt;=XS_Designer!$BN$98,XS_Designer!BJ$98,"")</f>
        <v/>
      </c>
      <c r="CC14" s="4" t="str">
        <f>IF(XS_Designer_Bed_Mix!$J14&lt;=XS_Designer!$BN$99,XS_Designer!BA$99,"")</f>
        <v/>
      </c>
      <c r="CD14" s="4" t="str">
        <f>IF(XS_Designer_Bed_Mix!$J14&lt;=XS_Designer!$BN$99,XS_Designer!BB$99,"")</f>
        <v/>
      </c>
      <c r="CE14" s="4" t="str">
        <f>IF(XS_Designer_Bed_Mix!$J14&lt;=XS_Designer!$BN$99,XS_Designer!BC$99,"")</f>
        <v/>
      </c>
      <c r="CF14" s="4" t="str">
        <f>IF(XS_Designer_Bed_Mix!$J14&lt;=XS_Designer!$BN$99,XS_Designer!BD$99,"")</f>
        <v/>
      </c>
      <c r="CG14" s="4" t="str">
        <f>IF(XS_Designer_Bed_Mix!$J14&lt;=XS_Designer!$BN$99,XS_Designer!BE$99,"")</f>
        <v/>
      </c>
      <c r="CH14" s="4" t="str">
        <f>IF(XS_Designer_Bed_Mix!$J14&lt;=XS_Designer!$BN$99,XS_Designer!BF$99,"")</f>
        <v/>
      </c>
      <c r="CI14" s="4" t="str">
        <f>IF(XS_Designer_Bed_Mix!$J14&lt;=XS_Designer!$BN$99,XS_Designer!BG$99,"")</f>
        <v/>
      </c>
      <c r="CJ14" s="4" t="str">
        <f>IF(XS_Designer_Bed_Mix!$J14&lt;=XS_Designer!$BN$99,XS_Designer!BH$99,"")</f>
        <v/>
      </c>
      <c r="CK14" s="4" t="str">
        <f>IF(XS_Designer_Bed_Mix!$J14&lt;=XS_Designer!$BN$99,XS_Designer!BI$99,"")</f>
        <v/>
      </c>
      <c r="CL14" s="4" t="str">
        <f>IF(XS_Designer_Bed_Mix!$J14&lt;=XS_Designer!$BN$99,XS_Designer!BJ$99,"")</f>
        <v/>
      </c>
      <c r="CM14" s="4">
        <f>IF(XS_Designer_Bed_Mix!$J14&lt;=XS_Designer!$BN$100,XS_Designer!BA$100,"")</f>
        <v>64</v>
      </c>
      <c r="CN14" s="4">
        <f>IF(XS_Designer_Bed_Mix!$J14&lt;=XS_Designer!$BN$100,XS_Designer!BB$100,"")</f>
        <v>57.6</v>
      </c>
      <c r="CO14" s="4">
        <f>IF(XS_Designer_Bed_Mix!$J14&lt;=XS_Designer!$BN$100,XS_Designer!BC$100,"")</f>
        <v>51.2</v>
      </c>
      <c r="CP14" s="4">
        <f>IF(XS_Designer_Bed_Mix!$J14&lt;=XS_Designer!$BN$100,XS_Designer!BD$100,"")</f>
        <v>44.800000000000004</v>
      </c>
      <c r="CQ14" s="4">
        <f>IF(XS_Designer_Bed_Mix!$J14&lt;=XS_Designer!$BN$100,XS_Designer!BE$100,"")</f>
        <v>38.400000000000006</v>
      </c>
      <c r="CR14" s="4">
        <f>IF(XS_Designer_Bed_Mix!$J14&lt;=XS_Designer!$BN$100,XS_Designer!BF$100,"")</f>
        <v>32</v>
      </c>
      <c r="CS14" s="4">
        <f>IF(XS_Designer_Bed_Mix!$J14&lt;=XS_Designer!$BN$100,XS_Designer!BG$100,"")</f>
        <v>26</v>
      </c>
      <c r="CT14" s="4">
        <f>IF(XS_Designer_Bed_Mix!$J14&lt;=XS_Designer!$BN$100,XS_Designer!BH$100,"")</f>
        <v>20</v>
      </c>
      <c r="CU14" s="4">
        <f>IF(XS_Designer_Bed_Mix!$J14&lt;=XS_Designer!$BN$100,XS_Designer!BI$100,"")</f>
        <v>14</v>
      </c>
      <c r="CV14" s="4">
        <f>IF(XS_Designer_Bed_Mix!$J14&lt;=XS_Designer!$BN$100,XS_Designer!BJ$100,"")</f>
        <v>8</v>
      </c>
      <c r="CW14" s="4" t="str">
        <f>IF(XS_Designer_Bed_Mix!$J14&lt;=XS_Designer!$BN$101,XS_Designer!BA$101,"")</f>
        <v/>
      </c>
      <c r="CX14" s="4" t="str">
        <f>IF(XS_Designer_Bed_Mix!$J14&lt;=XS_Designer!$BN$101,XS_Designer!BB$101,"")</f>
        <v/>
      </c>
      <c r="CY14" s="4" t="str">
        <f>IF(XS_Designer_Bed_Mix!$J14&lt;=XS_Designer!$BN$101,XS_Designer!BC$101,"")</f>
        <v/>
      </c>
      <c r="CZ14" s="4" t="str">
        <f>IF(XS_Designer_Bed_Mix!$J14&lt;=XS_Designer!$BN$101,XS_Designer!BD$101,"")</f>
        <v/>
      </c>
      <c r="DA14" s="4" t="str">
        <f>IF(XS_Designer_Bed_Mix!$J14&lt;=XS_Designer!$BN$101,XS_Designer!BE$101,"")</f>
        <v/>
      </c>
      <c r="DB14" s="4" t="str">
        <f>IF(XS_Designer_Bed_Mix!$J14&lt;=XS_Designer!$BN$101,XS_Designer!BF$101,"")</f>
        <v/>
      </c>
      <c r="DC14" s="4" t="str">
        <f>IF(XS_Designer_Bed_Mix!$J14&lt;=XS_Designer!$BN$101,XS_Designer!BG$101,"")</f>
        <v/>
      </c>
      <c r="DD14" s="4" t="str">
        <f>IF(XS_Designer_Bed_Mix!$J14&lt;=XS_Designer!$BN$101,XS_Designer!BH$101,"")</f>
        <v/>
      </c>
      <c r="DE14" s="4" t="str">
        <f>IF(XS_Designer_Bed_Mix!$J14&lt;=XS_Designer!$BN$101,XS_Designer!BI$101,"")</f>
        <v/>
      </c>
      <c r="DF14" s="4" t="str">
        <f>IF(XS_Designer_Bed_Mix!$J14&lt;=XS_Designer!$BN$101,XS_Designer!BJ$101,"")</f>
        <v/>
      </c>
      <c r="DG14" s="4" t="str">
        <f>IF(XS_Designer_Bed_Mix!$J14&lt;=XS_Designer!$BN$102,XS_Designer!BA$102,"")</f>
        <v/>
      </c>
      <c r="DH14" s="4" t="str">
        <f>IF(XS_Designer_Bed_Mix!$J14&lt;=XS_Designer!$BN$102,XS_Designer!BB$102,"")</f>
        <v/>
      </c>
      <c r="DI14" s="4" t="str">
        <f>IF(XS_Designer_Bed_Mix!$J14&lt;=XS_Designer!$BN$102,XS_Designer!BC$102,"")</f>
        <v/>
      </c>
      <c r="DJ14" s="4" t="str">
        <f>IF(XS_Designer_Bed_Mix!$J14&lt;=XS_Designer!$BN$102,XS_Designer!BD$102,"")</f>
        <v/>
      </c>
      <c r="DK14" s="4" t="str">
        <f>IF(XS_Designer_Bed_Mix!$J14&lt;=XS_Designer!$BN$102,XS_Designer!BE$102,"")</f>
        <v/>
      </c>
      <c r="DL14" s="4" t="str">
        <f>IF(XS_Designer_Bed_Mix!$J14&lt;=XS_Designer!$BN$102,XS_Designer!BF$102,"")</f>
        <v/>
      </c>
      <c r="DM14" s="4" t="str">
        <f>IF(XS_Designer_Bed_Mix!$J14&lt;=XS_Designer!$BN$102,XS_Designer!BG$102,"")</f>
        <v/>
      </c>
      <c r="DN14" s="4" t="str">
        <f>IF(XS_Designer_Bed_Mix!$J14&lt;=XS_Designer!$BN$102,XS_Designer!BH$102,"")</f>
        <v/>
      </c>
      <c r="DO14" s="4" t="str">
        <f>IF(XS_Designer_Bed_Mix!$J14&lt;=XS_Designer!$BN$102,XS_Designer!BI$102,"")</f>
        <v/>
      </c>
      <c r="DP14" s="4" t="str">
        <f>IF(XS_Designer_Bed_Mix!$J14&lt;=XS_Designer!$BN$102,XS_Designer!BJ$102,"")</f>
        <v/>
      </c>
    </row>
    <row r="15" spans="2:120" ht="15">
      <c r="B15" s="5">
        <v>2048</v>
      </c>
      <c r="C15" s="37"/>
      <c r="D15" s="1"/>
      <c r="E15" s="6" t="s">
        <v>309</v>
      </c>
      <c r="F15" s="187">
        <f t="shared" si="0"/>
        <v>335.28000000000003</v>
      </c>
      <c r="G15">
        <v>100</v>
      </c>
      <c r="H15">
        <v>0.999</v>
      </c>
      <c r="J15" s="3">
        <v>0.14000000000000001</v>
      </c>
      <c r="K15" s="4" t="str">
        <f>IF(XS_Designer_Bed_Mix!$J15&lt;=XS_Designer!$BN$92,XS_Designer!BA$92,"")</f>
        <v/>
      </c>
      <c r="L15" s="4" t="str">
        <f>IF(XS_Designer_Bed_Mix!$J15&lt;=XS_Designer!$BN$92,XS_Designer!BB$92,"")</f>
        <v/>
      </c>
      <c r="M15" s="4" t="str">
        <f>IF(XS_Designer_Bed_Mix!$J15&lt;=XS_Designer!$BN$92,XS_Designer!BC$92,"")</f>
        <v/>
      </c>
      <c r="N15" s="4" t="str">
        <f>IF(XS_Designer_Bed_Mix!$J15&lt;=XS_Designer!$BN$92,XS_Designer!BD$92,"")</f>
        <v/>
      </c>
      <c r="O15" s="4" t="str">
        <f>IF(XS_Designer_Bed_Mix!$J15&lt;=XS_Designer!$BN$92,XS_Designer!BE$92,"")</f>
        <v/>
      </c>
      <c r="P15" s="4" t="str">
        <f>IF(XS_Designer_Bed_Mix!$J15&lt;=XS_Designer!$BN$92,XS_Designer!BF$92,"")</f>
        <v/>
      </c>
      <c r="Q15" s="4" t="str">
        <f>IF(XS_Designer_Bed_Mix!$J15&lt;=XS_Designer!$BN$92,XS_Designer!BG$92,"")</f>
        <v/>
      </c>
      <c r="R15" s="4" t="str">
        <f>IF(XS_Designer_Bed_Mix!$J15&lt;=XS_Designer!$BN$92,XS_Designer!BH$92,"")</f>
        <v/>
      </c>
      <c r="S15" s="4" t="str">
        <f>IF(XS_Designer_Bed_Mix!$J15&lt;=XS_Designer!$BN$92,XS_Designer!BI$92,"")</f>
        <v/>
      </c>
      <c r="T15" s="4" t="str">
        <f>IF(XS_Designer_Bed_Mix!$J15&lt;=XS_Designer!$BN$92,XS_Designer!BJ$92,"")</f>
        <v/>
      </c>
      <c r="U15" s="4" t="str">
        <f>IF(XS_Designer_Bed_Mix!$J15&lt;=XS_Designer!$BN$93,XS_Designer!BA$93,"")</f>
        <v/>
      </c>
      <c r="V15" s="4" t="str">
        <f>IF(XS_Designer_Bed_Mix!$J15&lt;=XS_Designer!$BN$93,XS_Designer!BB$93,"")</f>
        <v/>
      </c>
      <c r="W15" s="4" t="str">
        <f>IF(XS_Designer_Bed_Mix!$J15&lt;=XS_Designer!$BN$93,XS_Designer!BC$93,"")</f>
        <v/>
      </c>
      <c r="X15" s="4" t="str">
        <f>IF(XS_Designer_Bed_Mix!$J15&lt;=XS_Designer!$BN$93,XS_Designer!BD$93,"")</f>
        <v/>
      </c>
      <c r="Y15" s="4" t="str">
        <f>IF(XS_Designer_Bed_Mix!$J15&lt;=XS_Designer!$BN$93,XS_Designer!BE$93,"")</f>
        <v/>
      </c>
      <c r="Z15" s="4" t="str">
        <f>IF(XS_Designer_Bed_Mix!$J15&lt;=XS_Designer!$BN$93,XS_Designer!BF$93,"")</f>
        <v/>
      </c>
      <c r="AA15" s="4" t="str">
        <f>IF(XS_Designer_Bed_Mix!$J15&lt;=XS_Designer!$BN$93,XS_Designer!BG$93,"")</f>
        <v/>
      </c>
      <c r="AB15" s="4" t="str">
        <f>IF(XS_Designer_Bed_Mix!$J15&lt;=XS_Designer!$BN$93,XS_Designer!BH$93,"")</f>
        <v/>
      </c>
      <c r="AC15" s="4" t="str">
        <f>IF(XS_Designer_Bed_Mix!$J15&lt;=XS_Designer!$BN$93,XS_Designer!BI$93,"")</f>
        <v/>
      </c>
      <c r="AD15" s="4" t="str">
        <f>IF(XS_Designer_Bed_Mix!$J15&lt;=XS_Designer!$BN$93,XS_Designer!BJ$93,"")</f>
        <v/>
      </c>
      <c r="AE15" s="4" t="str">
        <f>IF(XS_Designer_Bed_Mix!$J15&lt;=XS_Designer!$BN$94,XS_Designer!BA$94,"")</f>
        <v/>
      </c>
      <c r="AF15" s="4" t="str">
        <f>IF(XS_Designer_Bed_Mix!$J15&lt;=XS_Designer!$BN$94,XS_Designer!BB$94,"")</f>
        <v/>
      </c>
      <c r="AG15" s="4" t="str">
        <f>IF(XS_Designer_Bed_Mix!$J15&lt;=XS_Designer!$BN$94,XS_Designer!BC$94,"")</f>
        <v/>
      </c>
      <c r="AH15" s="4" t="str">
        <f>IF(XS_Designer_Bed_Mix!$J15&lt;=XS_Designer!$BN$94,XS_Designer!BD$94,"")</f>
        <v/>
      </c>
      <c r="AI15" s="4" t="str">
        <f>IF(XS_Designer_Bed_Mix!$J15&lt;=XS_Designer!$BN$94,XS_Designer!BE$94,"")</f>
        <v/>
      </c>
      <c r="AJ15" s="4" t="str">
        <f>IF(XS_Designer_Bed_Mix!$J15&lt;=XS_Designer!$BN$94,XS_Designer!BF$94,"")</f>
        <v/>
      </c>
      <c r="AK15" s="4" t="str">
        <f>IF(XS_Designer_Bed_Mix!$J15&lt;=XS_Designer!$BN$94,XS_Designer!BG$94,"")</f>
        <v/>
      </c>
      <c r="AL15" s="4" t="str">
        <f>IF(XS_Designer_Bed_Mix!$J15&lt;=XS_Designer!$BN$94,XS_Designer!BH$94,"")</f>
        <v/>
      </c>
      <c r="AM15" s="4" t="str">
        <f>IF(XS_Designer_Bed_Mix!$J15&lt;=XS_Designer!$BN$94,XS_Designer!BI$94,"")</f>
        <v/>
      </c>
      <c r="AN15" s="4" t="str">
        <f>IF(XS_Designer_Bed_Mix!$J15&lt;=XS_Designer!$BN$94,XS_Designer!BJ$94,"")</f>
        <v/>
      </c>
      <c r="AO15" s="4" t="str">
        <f>IF(XS_Designer_Bed_Mix!$J15&lt;=XS_Designer!$BN$95,XS_Designer!BA$95,"")</f>
        <v/>
      </c>
      <c r="AP15" s="4" t="str">
        <f>IF(XS_Designer_Bed_Mix!$J15&lt;=XS_Designer!$BN$95,XS_Designer!BB$95,"")</f>
        <v/>
      </c>
      <c r="AQ15" s="4" t="str">
        <f>IF(XS_Designer_Bed_Mix!$J15&lt;=XS_Designer!$BN$95,XS_Designer!BC$95,"")</f>
        <v/>
      </c>
      <c r="AR15" s="4" t="str">
        <f>IF(XS_Designer_Bed_Mix!$J15&lt;=XS_Designer!$BN$95,XS_Designer!BD$95,"")</f>
        <v/>
      </c>
      <c r="AS15" s="4" t="str">
        <f>IF(XS_Designer_Bed_Mix!$J15&lt;=XS_Designer!$BN$95,XS_Designer!BE$95,"")</f>
        <v/>
      </c>
      <c r="AT15" s="4" t="str">
        <f>IF(XS_Designer_Bed_Mix!$J15&lt;=XS_Designer!$BN$95,XS_Designer!BF$95,"")</f>
        <v/>
      </c>
      <c r="AU15" s="4" t="str">
        <f>IF(XS_Designer_Bed_Mix!$J15&lt;=XS_Designer!$BN$95,XS_Designer!BG$95,"")</f>
        <v/>
      </c>
      <c r="AV15" s="4" t="str">
        <f>IF(XS_Designer_Bed_Mix!$J15&lt;=XS_Designer!$BN$95,XS_Designer!BH$95,"")</f>
        <v/>
      </c>
      <c r="AW15" s="4" t="str">
        <f>IF(XS_Designer_Bed_Mix!$J15&lt;=XS_Designer!$BN$95,XS_Designer!BI$95,"")</f>
        <v/>
      </c>
      <c r="AX15" s="4" t="str">
        <f>IF(XS_Designer_Bed_Mix!$J15&lt;=XS_Designer!$BN$95,XS_Designer!BJ$95,"")</f>
        <v/>
      </c>
      <c r="AY15" s="4">
        <f>IF(XS_Designer_Bed_Mix!$J15&lt;=XS_Designer!$BN$96,XS_Designer!BA$96,"")</f>
        <v>335.28000000000003</v>
      </c>
      <c r="AZ15" s="4">
        <f>IF(XS_Designer_Bed_Mix!$J15&lt;=XS_Designer!$BN$96,XS_Designer!BB$96,"")</f>
        <v>335.28000000000003</v>
      </c>
      <c r="BA15" s="4">
        <f>IF(XS_Designer_Bed_Mix!$J15&lt;=XS_Designer!$BN$96,XS_Designer!BC$96,"")</f>
        <v>335.28000000000003</v>
      </c>
      <c r="BB15" s="4">
        <f>IF(XS_Designer_Bed_Mix!$J15&lt;=XS_Designer!$BN$96,XS_Designer!BD$96,"")</f>
        <v>335.28000000000003</v>
      </c>
      <c r="BC15" s="4">
        <f>IF(XS_Designer_Bed_Mix!$J15&lt;=XS_Designer!$BN$96,XS_Designer!BE$96,"")</f>
        <v>335.28000000000003</v>
      </c>
      <c r="BD15" s="4">
        <f>IF(XS_Designer_Bed_Mix!$J15&lt;=XS_Designer!$BN$96,XS_Designer!BF$96,"")</f>
        <v>335.28000000000003</v>
      </c>
      <c r="BE15" s="4">
        <f>IF(XS_Designer_Bed_Mix!$J15&lt;=XS_Designer!$BN$96,XS_Designer!BG$96,"")</f>
        <v>335.28000000000003</v>
      </c>
      <c r="BF15" s="4">
        <f>IF(XS_Designer_Bed_Mix!$J15&lt;=XS_Designer!$BN$96,XS_Designer!BH$96,"")</f>
        <v>335.28000000000003</v>
      </c>
      <c r="BG15" s="4">
        <f>IF(XS_Designer_Bed_Mix!$J15&lt;=XS_Designer!$BN$96,XS_Designer!BI$96,"")</f>
        <v>335.28000000000003</v>
      </c>
      <c r="BH15" s="4">
        <f>IF(XS_Designer_Bed_Mix!$J15&lt;=XS_Designer!$BN$96,XS_Designer!BJ$96,"")</f>
        <v>335.28000000000003</v>
      </c>
      <c r="BI15" s="4" t="str">
        <f>IF(XS_Designer_Bed_Mix!$J15&lt;=XS_Designer!$BN$97,XS_Designer!BA$97,"")</f>
        <v/>
      </c>
      <c r="BJ15" s="4" t="str">
        <f>IF(XS_Designer_Bed_Mix!$J15&lt;=XS_Designer!$BN$97,XS_Designer!BB$97,"")</f>
        <v/>
      </c>
      <c r="BK15" s="4" t="str">
        <f>IF(XS_Designer_Bed_Mix!$J15&lt;=XS_Designer!$BN$97,XS_Designer!BC$97,"")</f>
        <v/>
      </c>
      <c r="BL15" s="4" t="str">
        <f>IF(XS_Designer_Bed_Mix!$J15&lt;=XS_Designer!$BN$97,XS_Designer!BD$97,"")</f>
        <v/>
      </c>
      <c r="BM15" s="4" t="str">
        <f>IF(XS_Designer_Bed_Mix!$J15&lt;=XS_Designer!$BN$97,XS_Designer!BE$97,"")</f>
        <v/>
      </c>
      <c r="BN15" s="4" t="str">
        <f>IF(XS_Designer_Bed_Mix!$J15&lt;=XS_Designer!$BN$97,XS_Designer!BF$97,"")</f>
        <v/>
      </c>
      <c r="BO15" s="4" t="str">
        <f>IF(XS_Designer_Bed_Mix!$J15&lt;=XS_Designer!$BN$97,XS_Designer!BG$97,"")</f>
        <v/>
      </c>
      <c r="BP15" s="4" t="str">
        <f>IF(XS_Designer_Bed_Mix!$J15&lt;=XS_Designer!$BN$97,XS_Designer!BH$97,"")</f>
        <v/>
      </c>
      <c r="BQ15" s="4" t="str">
        <f>IF(XS_Designer_Bed_Mix!$J15&lt;=XS_Designer!$BN$97,XS_Designer!BI$97,"")</f>
        <v/>
      </c>
      <c r="BR15" s="4" t="str">
        <f>IF(XS_Designer_Bed_Mix!$J15&lt;=XS_Designer!$BN$97,XS_Designer!BJ$97,"")</f>
        <v/>
      </c>
      <c r="BS15" s="4" t="str">
        <f>IF(XS_Designer_Bed_Mix!$J15&lt;=XS_Designer!$BN$98,XS_Designer!BA$98,"")</f>
        <v/>
      </c>
      <c r="BT15" s="4" t="str">
        <f>IF(XS_Designer_Bed_Mix!$J15&lt;=XS_Designer!$BN$98,XS_Designer!BB$98,"")</f>
        <v/>
      </c>
      <c r="BU15" s="4" t="str">
        <f>IF(XS_Designer_Bed_Mix!$J15&lt;=XS_Designer!$BN$98,XS_Designer!BC$98,"")</f>
        <v/>
      </c>
      <c r="BV15" s="4" t="str">
        <f>IF(XS_Designer_Bed_Mix!$J15&lt;=XS_Designer!$BN$98,XS_Designer!BD$98,"")</f>
        <v/>
      </c>
      <c r="BW15" s="4" t="str">
        <f>IF(XS_Designer_Bed_Mix!$J15&lt;=XS_Designer!$BN$98,XS_Designer!BE$98,"")</f>
        <v/>
      </c>
      <c r="BX15" s="4" t="str">
        <f>IF(XS_Designer_Bed_Mix!$J15&lt;=XS_Designer!$BN$98,XS_Designer!BF$98,"")</f>
        <v/>
      </c>
      <c r="BY15" s="4" t="str">
        <f>IF(XS_Designer_Bed_Mix!$J15&lt;=XS_Designer!$BN$98,XS_Designer!BG$98,"")</f>
        <v/>
      </c>
      <c r="BZ15" s="4" t="str">
        <f>IF(XS_Designer_Bed_Mix!$J15&lt;=XS_Designer!$BN$98,XS_Designer!BH$98,"")</f>
        <v/>
      </c>
      <c r="CA15" s="4" t="str">
        <f>IF(XS_Designer_Bed_Mix!$J15&lt;=XS_Designer!$BN$98,XS_Designer!BI$98,"")</f>
        <v/>
      </c>
      <c r="CB15" s="4" t="str">
        <f>IF(XS_Designer_Bed_Mix!$J15&lt;=XS_Designer!$BN$98,XS_Designer!BJ$98,"")</f>
        <v/>
      </c>
      <c r="CC15" s="4" t="str">
        <f>IF(XS_Designer_Bed_Mix!$J15&lt;=XS_Designer!$BN$99,XS_Designer!BA$99,"")</f>
        <v/>
      </c>
      <c r="CD15" s="4" t="str">
        <f>IF(XS_Designer_Bed_Mix!$J15&lt;=XS_Designer!$BN$99,XS_Designer!BB$99,"")</f>
        <v/>
      </c>
      <c r="CE15" s="4" t="str">
        <f>IF(XS_Designer_Bed_Mix!$J15&lt;=XS_Designer!$BN$99,XS_Designer!BC$99,"")</f>
        <v/>
      </c>
      <c r="CF15" s="4" t="str">
        <f>IF(XS_Designer_Bed_Mix!$J15&lt;=XS_Designer!$BN$99,XS_Designer!BD$99,"")</f>
        <v/>
      </c>
      <c r="CG15" s="4" t="str">
        <f>IF(XS_Designer_Bed_Mix!$J15&lt;=XS_Designer!$BN$99,XS_Designer!BE$99,"")</f>
        <v/>
      </c>
      <c r="CH15" s="4" t="str">
        <f>IF(XS_Designer_Bed_Mix!$J15&lt;=XS_Designer!$BN$99,XS_Designer!BF$99,"")</f>
        <v/>
      </c>
      <c r="CI15" s="4" t="str">
        <f>IF(XS_Designer_Bed_Mix!$J15&lt;=XS_Designer!$BN$99,XS_Designer!BG$99,"")</f>
        <v/>
      </c>
      <c r="CJ15" s="4" t="str">
        <f>IF(XS_Designer_Bed_Mix!$J15&lt;=XS_Designer!$BN$99,XS_Designer!BH$99,"")</f>
        <v/>
      </c>
      <c r="CK15" s="4" t="str">
        <f>IF(XS_Designer_Bed_Mix!$J15&lt;=XS_Designer!$BN$99,XS_Designer!BI$99,"")</f>
        <v/>
      </c>
      <c r="CL15" s="4" t="str">
        <f>IF(XS_Designer_Bed_Mix!$J15&lt;=XS_Designer!$BN$99,XS_Designer!BJ$99,"")</f>
        <v/>
      </c>
      <c r="CM15" s="4">
        <f>IF(XS_Designer_Bed_Mix!$J15&lt;=XS_Designer!$BN$100,XS_Designer!BA$100,"")</f>
        <v>64</v>
      </c>
      <c r="CN15" s="4">
        <f>IF(XS_Designer_Bed_Mix!$J15&lt;=XS_Designer!$BN$100,XS_Designer!BB$100,"")</f>
        <v>57.6</v>
      </c>
      <c r="CO15" s="4">
        <f>IF(XS_Designer_Bed_Mix!$J15&lt;=XS_Designer!$BN$100,XS_Designer!BC$100,"")</f>
        <v>51.2</v>
      </c>
      <c r="CP15" s="4">
        <f>IF(XS_Designer_Bed_Mix!$J15&lt;=XS_Designer!$BN$100,XS_Designer!BD$100,"")</f>
        <v>44.800000000000004</v>
      </c>
      <c r="CQ15" s="4">
        <f>IF(XS_Designer_Bed_Mix!$J15&lt;=XS_Designer!$BN$100,XS_Designer!BE$100,"")</f>
        <v>38.400000000000006</v>
      </c>
      <c r="CR15" s="4">
        <f>IF(XS_Designer_Bed_Mix!$J15&lt;=XS_Designer!$BN$100,XS_Designer!BF$100,"")</f>
        <v>32</v>
      </c>
      <c r="CS15" s="4">
        <f>IF(XS_Designer_Bed_Mix!$J15&lt;=XS_Designer!$BN$100,XS_Designer!BG$100,"")</f>
        <v>26</v>
      </c>
      <c r="CT15" s="4">
        <f>IF(XS_Designer_Bed_Mix!$J15&lt;=XS_Designer!$BN$100,XS_Designer!BH$100,"")</f>
        <v>20</v>
      </c>
      <c r="CU15" s="4">
        <f>IF(XS_Designer_Bed_Mix!$J15&lt;=XS_Designer!$BN$100,XS_Designer!BI$100,"")</f>
        <v>14</v>
      </c>
      <c r="CV15" s="4">
        <f>IF(XS_Designer_Bed_Mix!$J15&lt;=XS_Designer!$BN$100,XS_Designer!BJ$100,"")</f>
        <v>8</v>
      </c>
      <c r="CW15" s="4" t="str">
        <f>IF(XS_Designer_Bed_Mix!$J15&lt;=XS_Designer!$BN$101,XS_Designer!BA$101,"")</f>
        <v/>
      </c>
      <c r="CX15" s="4" t="str">
        <f>IF(XS_Designer_Bed_Mix!$J15&lt;=XS_Designer!$BN$101,XS_Designer!BB$101,"")</f>
        <v/>
      </c>
      <c r="CY15" s="4" t="str">
        <f>IF(XS_Designer_Bed_Mix!$J15&lt;=XS_Designer!$BN$101,XS_Designer!BC$101,"")</f>
        <v/>
      </c>
      <c r="CZ15" s="4" t="str">
        <f>IF(XS_Designer_Bed_Mix!$J15&lt;=XS_Designer!$BN$101,XS_Designer!BD$101,"")</f>
        <v/>
      </c>
      <c r="DA15" s="4" t="str">
        <f>IF(XS_Designer_Bed_Mix!$J15&lt;=XS_Designer!$BN$101,XS_Designer!BE$101,"")</f>
        <v/>
      </c>
      <c r="DB15" s="4" t="str">
        <f>IF(XS_Designer_Bed_Mix!$J15&lt;=XS_Designer!$BN$101,XS_Designer!BF$101,"")</f>
        <v/>
      </c>
      <c r="DC15" s="4" t="str">
        <f>IF(XS_Designer_Bed_Mix!$J15&lt;=XS_Designer!$BN$101,XS_Designer!BG$101,"")</f>
        <v/>
      </c>
      <c r="DD15" s="4" t="str">
        <f>IF(XS_Designer_Bed_Mix!$J15&lt;=XS_Designer!$BN$101,XS_Designer!BH$101,"")</f>
        <v/>
      </c>
      <c r="DE15" s="4" t="str">
        <f>IF(XS_Designer_Bed_Mix!$J15&lt;=XS_Designer!$BN$101,XS_Designer!BI$101,"")</f>
        <v/>
      </c>
      <c r="DF15" s="4" t="str">
        <f>IF(XS_Designer_Bed_Mix!$J15&lt;=XS_Designer!$BN$101,XS_Designer!BJ$101,"")</f>
        <v/>
      </c>
      <c r="DG15" s="4" t="str">
        <f>IF(XS_Designer_Bed_Mix!$J15&lt;=XS_Designer!$BN$102,XS_Designer!BA$102,"")</f>
        <v/>
      </c>
      <c r="DH15" s="4" t="str">
        <f>IF(XS_Designer_Bed_Mix!$J15&lt;=XS_Designer!$BN$102,XS_Designer!BB$102,"")</f>
        <v/>
      </c>
      <c r="DI15" s="4" t="str">
        <f>IF(XS_Designer_Bed_Mix!$J15&lt;=XS_Designer!$BN$102,XS_Designer!BC$102,"")</f>
        <v/>
      </c>
      <c r="DJ15" s="4" t="str">
        <f>IF(XS_Designer_Bed_Mix!$J15&lt;=XS_Designer!$BN$102,XS_Designer!BD$102,"")</f>
        <v/>
      </c>
      <c r="DK15" s="4" t="str">
        <f>IF(XS_Designer_Bed_Mix!$J15&lt;=XS_Designer!$BN$102,XS_Designer!BE$102,"")</f>
        <v/>
      </c>
      <c r="DL15" s="4" t="str">
        <f>IF(XS_Designer_Bed_Mix!$J15&lt;=XS_Designer!$BN$102,XS_Designer!BF$102,"")</f>
        <v/>
      </c>
      <c r="DM15" s="4" t="str">
        <f>IF(XS_Designer_Bed_Mix!$J15&lt;=XS_Designer!$BN$102,XS_Designer!BG$102,"")</f>
        <v/>
      </c>
      <c r="DN15" s="4" t="str">
        <f>IF(XS_Designer_Bed_Mix!$J15&lt;=XS_Designer!$BN$102,XS_Designer!BH$102,"")</f>
        <v/>
      </c>
      <c r="DO15" s="4" t="str">
        <f>IF(XS_Designer_Bed_Mix!$J15&lt;=XS_Designer!$BN$102,XS_Designer!BI$102,"")</f>
        <v/>
      </c>
      <c r="DP15" s="4" t="str">
        <f>IF(XS_Designer_Bed_Mix!$J15&lt;=XS_Designer!$BN$102,XS_Designer!BJ$102,"")</f>
        <v/>
      </c>
    </row>
    <row r="16" spans="2:120">
      <c r="J16" s="3">
        <v>0.15</v>
      </c>
      <c r="K16" s="4" t="str">
        <f>IF(XS_Designer_Bed_Mix!$J16&lt;=XS_Designer!$BN$92,XS_Designer!BA$92,"")</f>
        <v/>
      </c>
      <c r="L16" s="4" t="str">
        <f>IF(XS_Designer_Bed_Mix!$J16&lt;=XS_Designer!$BN$92,XS_Designer!BB$92,"")</f>
        <v/>
      </c>
      <c r="M16" s="4" t="str">
        <f>IF(XS_Designer_Bed_Mix!$J16&lt;=XS_Designer!$BN$92,XS_Designer!BC$92,"")</f>
        <v/>
      </c>
      <c r="N16" s="4" t="str">
        <f>IF(XS_Designer_Bed_Mix!$J16&lt;=XS_Designer!$BN$92,XS_Designer!BD$92,"")</f>
        <v/>
      </c>
      <c r="O16" s="4" t="str">
        <f>IF(XS_Designer_Bed_Mix!$J16&lt;=XS_Designer!$BN$92,XS_Designer!BE$92,"")</f>
        <v/>
      </c>
      <c r="P16" s="4" t="str">
        <f>IF(XS_Designer_Bed_Mix!$J16&lt;=XS_Designer!$BN$92,XS_Designer!BF$92,"")</f>
        <v/>
      </c>
      <c r="Q16" s="4" t="str">
        <f>IF(XS_Designer_Bed_Mix!$J16&lt;=XS_Designer!$BN$92,XS_Designer!BG$92,"")</f>
        <v/>
      </c>
      <c r="R16" s="4" t="str">
        <f>IF(XS_Designer_Bed_Mix!$J16&lt;=XS_Designer!$BN$92,XS_Designer!BH$92,"")</f>
        <v/>
      </c>
      <c r="S16" s="4" t="str">
        <f>IF(XS_Designer_Bed_Mix!$J16&lt;=XS_Designer!$BN$92,XS_Designer!BI$92,"")</f>
        <v/>
      </c>
      <c r="T16" s="4" t="str">
        <f>IF(XS_Designer_Bed_Mix!$J16&lt;=XS_Designer!$BN$92,XS_Designer!BJ$92,"")</f>
        <v/>
      </c>
      <c r="U16" s="4" t="str">
        <f>IF(XS_Designer_Bed_Mix!$J16&lt;=XS_Designer!$BN$93,XS_Designer!BA$93,"")</f>
        <v/>
      </c>
      <c r="V16" s="4" t="str">
        <f>IF(XS_Designer_Bed_Mix!$J16&lt;=XS_Designer!$BN$93,XS_Designer!BB$93,"")</f>
        <v/>
      </c>
      <c r="W16" s="4" t="str">
        <f>IF(XS_Designer_Bed_Mix!$J16&lt;=XS_Designer!$BN$93,XS_Designer!BC$93,"")</f>
        <v/>
      </c>
      <c r="X16" s="4" t="str">
        <f>IF(XS_Designer_Bed_Mix!$J16&lt;=XS_Designer!$BN$93,XS_Designer!BD$93,"")</f>
        <v/>
      </c>
      <c r="Y16" s="4" t="str">
        <f>IF(XS_Designer_Bed_Mix!$J16&lt;=XS_Designer!$BN$93,XS_Designer!BE$93,"")</f>
        <v/>
      </c>
      <c r="Z16" s="4" t="str">
        <f>IF(XS_Designer_Bed_Mix!$J16&lt;=XS_Designer!$BN$93,XS_Designer!BF$93,"")</f>
        <v/>
      </c>
      <c r="AA16" s="4" t="str">
        <f>IF(XS_Designer_Bed_Mix!$J16&lt;=XS_Designer!$BN$93,XS_Designer!BG$93,"")</f>
        <v/>
      </c>
      <c r="AB16" s="4" t="str">
        <f>IF(XS_Designer_Bed_Mix!$J16&lt;=XS_Designer!$BN$93,XS_Designer!BH$93,"")</f>
        <v/>
      </c>
      <c r="AC16" s="4" t="str">
        <f>IF(XS_Designer_Bed_Mix!$J16&lt;=XS_Designer!$BN$93,XS_Designer!BI$93,"")</f>
        <v/>
      </c>
      <c r="AD16" s="4" t="str">
        <f>IF(XS_Designer_Bed_Mix!$J16&lt;=XS_Designer!$BN$93,XS_Designer!BJ$93,"")</f>
        <v/>
      </c>
      <c r="AE16" s="4" t="str">
        <f>IF(XS_Designer_Bed_Mix!$J16&lt;=XS_Designer!$BN$94,XS_Designer!BA$94,"")</f>
        <v/>
      </c>
      <c r="AF16" s="4" t="str">
        <f>IF(XS_Designer_Bed_Mix!$J16&lt;=XS_Designer!$BN$94,XS_Designer!BB$94,"")</f>
        <v/>
      </c>
      <c r="AG16" s="4" t="str">
        <f>IF(XS_Designer_Bed_Mix!$J16&lt;=XS_Designer!$BN$94,XS_Designer!BC$94,"")</f>
        <v/>
      </c>
      <c r="AH16" s="4" t="str">
        <f>IF(XS_Designer_Bed_Mix!$J16&lt;=XS_Designer!$BN$94,XS_Designer!BD$94,"")</f>
        <v/>
      </c>
      <c r="AI16" s="4" t="str">
        <f>IF(XS_Designer_Bed_Mix!$J16&lt;=XS_Designer!$BN$94,XS_Designer!BE$94,"")</f>
        <v/>
      </c>
      <c r="AJ16" s="4" t="str">
        <f>IF(XS_Designer_Bed_Mix!$J16&lt;=XS_Designer!$BN$94,XS_Designer!BF$94,"")</f>
        <v/>
      </c>
      <c r="AK16" s="4" t="str">
        <f>IF(XS_Designer_Bed_Mix!$J16&lt;=XS_Designer!$BN$94,XS_Designer!BG$94,"")</f>
        <v/>
      </c>
      <c r="AL16" s="4" t="str">
        <f>IF(XS_Designer_Bed_Mix!$J16&lt;=XS_Designer!$BN$94,XS_Designer!BH$94,"")</f>
        <v/>
      </c>
      <c r="AM16" s="4" t="str">
        <f>IF(XS_Designer_Bed_Mix!$J16&lt;=XS_Designer!$BN$94,XS_Designer!BI$94,"")</f>
        <v/>
      </c>
      <c r="AN16" s="4" t="str">
        <f>IF(XS_Designer_Bed_Mix!$J16&lt;=XS_Designer!$BN$94,XS_Designer!BJ$94,"")</f>
        <v/>
      </c>
      <c r="AO16" s="4" t="str">
        <f>IF(XS_Designer_Bed_Mix!$J16&lt;=XS_Designer!$BN$95,XS_Designer!BA$95,"")</f>
        <v/>
      </c>
      <c r="AP16" s="4" t="str">
        <f>IF(XS_Designer_Bed_Mix!$J16&lt;=XS_Designer!$BN$95,XS_Designer!BB$95,"")</f>
        <v/>
      </c>
      <c r="AQ16" s="4" t="str">
        <f>IF(XS_Designer_Bed_Mix!$J16&lt;=XS_Designer!$BN$95,XS_Designer!BC$95,"")</f>
        <v/>
      </c>
      <c r="AR16" s="4" t="str">
        <f>IF(XS_Designer_Bed_Mix!$J16&lt;=XS_Designer!$BN$95,XS_Designer!BD$95,"")</f>
        <v/>
      </c>
      <c r="AS16" s="4" t="str">
        <f>IF(XS_Designer_Bed_Mix!$J16&lt;=XS_Designer!$BN$95,XS_Designer!BE$95,"")</f>
        <v/>
      </c>
      <c r="AT16" s="4" t="str">
        <f>IF(XS_Designer_Bed_Mix!$J16&lt;=XS_Designer!$BN$95,XS_Designer!BF$95,"")</f>
        <v/>
      </c>
      <c r="AU16" s="4" t="str">
        <f>IF(XS_Designer_Bed_Mix!$J16&lt;=XS_Designer!$BN$95,XS_Designer!BG$95,"")</f>
        <v/>
      </c>
      <c r="AV16" s="4" t="str">
        <f>IF(XS_Designer_Bed_Mix!$J16&lt;=XS_Designer!$BN$95,XS_Designer!BH$95,"")</f>
        <v/>
      </c>
      <c r="AW16" s="4" t="str">
        <f>IF(XS_Designer_Bed_Mix!$J16&lt;=XS_Designer!$BN$95,XS_Designer!BI$95,"")</f>
        <v/>
      </c>
      <c r="AX16" s="4" t="str">
        <f>IF(XS_Designer_Bed_Mix!$J16&lt;=XS_Designer!$BN$95,XS_Designer!BJ$95,"")</f>
        <v/>
      </c>
      <c r="AY16" s="4">
        <f>IF(XS_Designer_Bed_Mix!$J16&lt;=XS_Designer!$BN$96,XS_Designer!BA$96,"")</f>
        <v>335.28000000000003</v>
      </c>
      <c r="AZ16" s="4">
        <f>IF(XS_Designer_Bed_Mix!$J16&lt;=XS_Designer!$BN$96,XS_Designer!BB$96,"")</f>
        <v>335.28000000000003</v>
      </c>
      <c r="BA16" s="4">
        <f>IF(XS_Designer_Bed_Mix!$J16&lt;=XS_Designer!$BN$96,XS_Designer!BC$96,"")</f>
        <v>335.28000000000003</v>
      </c>
      <c r="BB16" s="4">
        <f>IF(XS_Designer_Bed_Mix!$J16&lt;=XS_Designer!$BN$96,XS_Designer!BD$96,"")</f>
        <v>335.28000000000003</v>
      </c>
      <c r="BC16" s="4">
        <f>IF(XS_Designer_Bed_Mix!$J16&lt;=XS_Designer!$BN$96,XS_Designer!BE$96,"")</f>
        <v>335.28000000000003</v>
      </c>
      <c r="BD16" s="4">
        <f>IF(XS_Designer_Bed_Mix!$J16&lt;=XS_Designer!$BN$96,XS_Designer!BF$96,"")</f>
        <v>335.28000000000003</v>
      </c>
      <c r="BE16" s="4">
        <f>IF(XS_Designer_Bed_Mix!$J16&lt;=XS_Designer!$BN$96,XS_Designer!BG$96,"")</f>
        <v>335.28000000000003</v>
      </c>
      <c r="BF16" s="4">
        <f>IF(XS_Designer_Bed_Mix!$J16&lt;=XS_Designer!$BN$96,XS_Designer!BH$96,"")</f>
        <v>335.28000000000003</v>
      </c>
      <c r="BG16" s="4">
        <f>IF(XS_Designer_Bed_Mix!$J16&lt;=XS_Designer!$BN$96,XS_Designer!BI$96,"")</f>
        <v>335.28000000000003</v>
      </c>
      <c r="BH16" s="4">
        <f>IF(XS_Designer_Bed_Mix!$J16&lt;=XS_Designer!$BN$96,XS_Designer!BJ$96,"")</f>
        <v>335.28000000000003</v>
      </c>
      <c r="BI16" s="4" t="str">
        <f>IF(XS_Designer_Bed_Mix!$J16&lt;=XS_Designer!$BN$97,XS_Designer!BA$97,"")</f>
        <v/>
      </c>
      <c r="BJ16" s="4" t="str">
        <f>IF(XS_Designer_Bed_Mix!$J16&lt;=XS_Designer!$BN$97,XS_Designer!BB$97,"")</f>
        <v/>
      </c>
      <c r="BK16" s="4" t="str">
        <f>IF(XS_Designer_Bed_Mix!$J16&lt;=XS_Designer!$BN$97,XS_Designer!BC$97,"")</f>
        <v/>
      </c>
      <c r="BL16" s="4" t="str">
        <f>IF(XS_Designer_Bed_Mix!$J16&lt;=XS_Designer!$BN$97,XS_Designer!BD$97,"")</f>
        <v/>
      </c>
      <c r="BM16" s="4" t="str">
        <f>IF(XS_Designer_Bed_Mix!$J16&lt;=XS_Designer!$BN$97,XS_Designer!BE$97,"")</f>
        <v/>
      </c>
      <c r="BN16" s="4" t="str">
        <f>IF(XS_Designer_Bed_Mix!$J16&lt;=XS_Designer!$BN$97,XS_Designer!BF$97,"")</f>
        <v/>
      </c>
      <c r="BO16" s="4" t="str">
        <f>IF(XS_Designer_Bed_Mix!$J16&lt;=XS_Designer!$BN$97,XS_Designer!BG$97,"")</f>
        <v/>
      </c>
      <c r="BP16" s="4" t="str">
        <f>IF(XS_Designer_Bed_Mix!$J16&lt;=XS_Designer!$BN$97,XS_Designer!BH$97,"")</f>
        <v/>
      </c>
      <c r="BQ16" s="4" t="str">
        <f>IF(XS_Designer_Bed_Mix!$J16&lt;=XS_Designer!$BN$97,XS_Designer!BI$97,"")</f>
        <v/>
      </c>
      <c r="BR16" s="4" t="str">
        <f>IF(XS_Designer_Bed_Mix!$J16&lt;=XS_Designer!$BN$97,XS_Designer!BJ$97,"")</f>
        <v/>
      </c>
      <c r="BS16" s="4" t="str">
        <f>IF(XS_Designer_Bed_Mix!$J16&lt;=XS_Designer!$BN$98,XS_Designer!BA$98,"")</f>
        <v/>
      </c>
      <c r="BT16" s="4" t="str">
        <f>IF(XS_Designer_Bed_Mix!$J16&lt;=XS_Designer!$BN$98,XS_Designer!BB$98,"")</f>
        <v/>
      </c>
      <c r="BU16" s="4" t="str">
        <f>IF(XS_Designer_Bed_Mix!$J16&lt;=XS_Designer!$BN$98,XS_Designer!BC$98,"")</f>
        <v/>
      </c>
      <c r="BV16" s="4" t="str">
        <f>IF(XS_Designer_Bed_Mix!$J16&lt;=XS_Designer!$BN$98,XS_Designer!BD$98,"")</f>
        <v/>
      </c>
      <c r="BW16" s="4" t="str">
        <f>IF(XS_Designer_Bed_Mix!$J16&lt;=XS_Designer!$BN$98,XS_Designer!BE$98,"")</f>
        <v/>
      </c>
      <c r="BX16" s="4" t="str">
        <f>IF(XS_Designer_Bed_Mix!$J16&lt;=XS_Designer!$BN$98,XS_Designer!BF$98,"")</f>
        <v/>
      </c>
      <c r="BY16" s="4" t="str">
        <f>IF(XS_Designer_Bed_Mix!$J16&lt;=XS_Designer!$BN$98,XS_Designer!BG$98,"")</f>
        <v/>
      </c>
      <c r="BZ16" s="4" t="str">
        <f>IF(XS_Designer_Bed_Mix!$J16&lt;=XS_Designer!$BN$98,XS_Designer!BH$98,"")</f>
        <v/>
      </c>
      <c r="CA16" s="4" t="str">
        <f>IF(XS_Designer_Bed_Mix!$J16&lt;=XS_Designer!$BN$98,XS_Designer!BI$98,"")</f>
        <v/>
      </c>
      <c r="CB16" s="4" t="str">
        <f>IF(XS_Designer_Bed_Mix!$J16&lt;=XS_Designer!$BN$98,XS_Designer!BJ$98,"")</f>
        <v/>
      </c>
      <c r="CC16" s="4" t="str">
        <f>IF(XS_Designer_Bed_Mix!$J16&lt;=XS_Designer!$BN$99,XS_Designer!BA$99,"")</f>
        <v/>
      </c>
      <c r="CD16" s="4" t="str">
        <f>IF(XS_Designer_Bed_Mix!$J16&lt;=XS_Designer!$BN$99,XS_Designer!BB$99,"")</f>
        <v/>
      </c>
      <c r="CE16" s="4" t="str">
        <f>IF(XS_Designer_Bed_Mix!$J16&lt;=XS_Designer!$BN$99,XS_Designer!BC$99,"")</f>
        <v/>
      </c>
      <c r="CF16" s="4" t="str">
        <f>IF(XS_Designer_Bed_Mix!$J16&lt;=XS_Designer!$BN$99,XS_Designer!BD$99,"")</f>
        <v/>
      </c>
      <c r="CG16" s="4" t="str">
        <f>IF(XS_Designer_Bed_Mix!$J16&lt;=XS_Designer!$BN$99,XS_Designer!BE$99,"")</f>
        <v/>
      </c>
      <c r="CH16" s="4" t="str">
        <f>IF(XS_Designer_Bed_Mix!$J16&lt;=XS_Designer!$BN$99,XS_Designer!BF$99,"")</f>
        <v/>
      </c>
      <c r="CI16" s="4" t="str">
        <f>IF(XS_Designer_Bed_Mix!$J16&lt;=XS_Designer!$BN$99,XS_Designer!BG$99,"")</f>
        <v/>
      </c>
      <c r="CJ16" s="4" t="str">
        <f>IF(XS_Designer_Bed_Mix!$J16&lt;=XS_Designer!$BN$99,XS_Designer!BH$99,"")</f>
        <v/>
      </c>
      <c r="CK16" s="4" t="str">
        <f>IF(XS_Designer_Bed_Mix!$J16&lt;=XS_Designer!$BN$99,XS_Designer!BI$99,"")</f>
        <v/>
      </c>
      <c r="CL16" s="4" t="str">
        <f>IF(XS_Designer_Bed_Mix!$J16&lt;=XS_Designer!$BN$99,XS_Designer!BJ$99,"")</f>
        <v/>
      </c>
      <c r="CM16" s="4">
        <f>IF(XS_Designer_Bed_Mix!$J16&lt;=XS_Designer!$BN$100,XS_Designer!BA$100,"")</f>
        <v>64</v>
      </c>
      <c r="CN16" s="4">
        <f>IF(XS_Designer_Bed_Mix!$J16&lt;=XS_Designer!$BN$100,XS_Designer!BB$100,"")</f>
        <v>57.6</v>
      </c>
      <c r="CO16" s="4">
        <f>IF(XS_Designer_Bed_Mix!$J16&lt;=XS_Designer!$BN$100,XS_Designer!BC$100,"")</f>
        <v>51.2</v>
      </c>
      <c r="CP16" s="4">
        <f>IF(XS_Designer_Bed_Mix!$J16&lt;=XS_Designer!$BN$100,XS_Designer!BD$100,"")</f>
        <v>44.800000000000004</v>
      </c>
      <c r="CQ16" s="4">
        <f>IF(XS_Designer_Bed_Mix!$J16&lt;=XS_Designer!$BN$100,XS_Designer!BE$100,"")</f>
        <v>38.400000000000006</v>
      </c>
      <c r="CR16" s="4">
        <f>IF(XS_Designer_Bed_Mix!$J16&lt;=XS_Designer!$BN$100,XS_Designer!BF$100,"")</f>
        <v>32</v>
      </c>
      <c r="CS16" s="4">
        <f>IF(XS_Designer_Bed_Mix!$J16&lt;=XS_Designer!$BN$100,XS_Designer!BG$100,"")</f>
        <v>26</v>
      </c>
      <c r="CT16" s="4">
        <f>IF(XS_Designer_Bed_Mix!$J16&lt;=XS_Designer!$BN$100,XS_Designer!BH$100,"")</f>
        <v>20</v>
      </c>
      <c r="CU16" s="4">
        <f>IF(XS_Designer_Bed_Mix!$J16&lt;=XS_Designer!$BN$100,XS_Designer!BI$100,"")</f>
        <v>14</v>
      </c>
      <c r="CV16" s="4">
        <f>IF(XS_Designer_Bed_Mix!$J16&lt;=XS_Designer!$BN$100,XS_Designer!BJ$100,"")</f>
        <v>8</v>
      </c>
      <c r="CW16" s="4" t="str">
        <f>IF(XS_Designer_Bed_Mix!$J16&lt;=XS_Designer!$BN$101,XS_Designer!BA$101,"")</f>
        <v/>
      </c>
      <c r="CX16" s="4" t="str">
        <f>IF(XS_Designer_Bed_Mix!$J16&lt;=XS_Designer!$BN$101,XS_Designer!BB$101,"")</f>
        <v/>
      </c>
      <c r="CY16" s="4" t="str">
        <f>IF(XS_Designer_Bed_Mix!$J16&lt;=XS_Designer!$BN$101,XS_Designer!BC$101,"")</f>
        <v/>
      </c>
      <c r="CZ16" s="4" t="str">
        <f>IF(XS_Designer_Bed_Mix!$J16&lt;=XS_Designer!$BN$101,XS_Designer!BD$101,"")</f>
        <v/>
      </c>
      <c r="DA16" s="4" t="str">
        <f>IF(XS_Designer_Bed_Mix!$J16&lt;=XS_Designer!$BN$101,XS_Designer!BE$101,"")</f>
        <v/>
      </c>
      <c r="DB16" s="4" t="str">
        <f>IF(XS_Designer_Bed_Mix!$J16&lt;=XS_Designer!$BN$101,XS_Designer!BF$101,"")</f>
        <v/>
      </c>
      <c r="DC16" s="4" t="str">
        <f>IF(XS_Designer_Bed_Mix!$J16&lt;=XS_Designer!$BN$101,XS_Designer!BG$101,"")</f>
        <v/>
      </c>
      <c r="DD16" s="4" t="str">
        <f>IF(XS_Designer_Bed_Mix!$J16&lt;=XS_Designer!$BN$101,XS_Designer!BH$101,"")</f>
        <v/>
      </c>
      <c r="DE16" s="4" t="str">
        <f>IF(XS_Designer_Bed_Mix!$J16&lt;=XS_Designer!$BN$101,XS_Designer!BI$101,"")</f>
        <v/>
      </c>
      <c r="DF16" s="4" t="str">
        <f>IF(XS_Designer_Bed_Mix!$J16&lt;=XS_Designer!$BN$101,XS_Designer!BJ$101,"")</f>
        <v/>
      </c>
      <c r="DG16" s="4" t="str">
        <f>IF(XS_Designer_Bed_Mix!$J16&lt;=XS_Designer!$BN$102,XS_Designer!BA$102,"")</f>
        <v/>
      </c>
      <c r="DH16" s="4" t="str">
        <f>IF(XS_Designer_Bed_Mix!$J16&lt;=XS_Designer!$BN$102,XS_Designer!BB$102,"")</f>
        <v/>
      </c>
      <c r="DI16" s="4" t="str">
        <f>IF(XS_Designer_Bed_Mix!$J16&lt;=XS_Designer!$BN$102,XS_Designer!BC$102,"")</f>
        <v/>
      </c>
      <c r="DJ16" s="4" t="str">
        <f>IF(XS_Designer_Bed_Mix!$J16&lt;=XS_Designer!$BN$102,XS_Designer!BD$102,"")</f>
        <v/>
      </c>
      <c r="DK16" s="4" t="str">
        <f>IF(XS_Designer_Bed_Mix!$J16&lt;=XS_Designer!$BN$102,XS_Designer!BE$102,"")</f>
        <v/>
      </c>
      <c r="DL16" s="4" t="str">
        <f>IF(XS_Designer_Bed_Mix!$J16&lt;=XS_Designer!$BN$102,XS_Designer!BF$102,"")</f>
        <v/>
      </c>
      <c r="DM16" s="4" t="str">
        <f>IF(XS_Designer_Bed_Mix!$J16&lt;=XS_Designer!$BN$102,XS_Designer!BG$102,"")</f>
        <v/>
      </c>
      <c r="DN16" s="4" t="str">
        <f>IF(XS_Designer_Bed_Mix!$J16&lt;=XS_Designer!$BN$102,XS_Designer!BH$102,"")</f>
        <v/>
      </c>
      <c r="DO16" s="4" t="str">
        <f>IF(XS_Designer_Bed_Mix!$J16&lt;=XS_Designer!$BN$102,XS_Designer!BI$102,"")</f>
        <v/>
      </c>
      <c r="DP16" s="4" t="str">
        <f>IF(XS_Designer_Bed_Mix!$J16&lt;=XS_Designer!$BN$102,XS_Designer!BJ$102,"")</f>
        <v/>
      </c>
    </row>
    <row r="17" spans="10:120">
      <c r="J17" s="3">
        <v>0.16</v>
      </c>
      <c r="K17" s="4" t="str">
        <f>IF(XS_Designer_Bed_Mix!$J17&lt;=XS_Designer!$BN$92,XS_Designer!BA$92,"")</f>
        <v/>
      </c>
      <c r="L17" s="4" t="str">
        <f>IF(XS_Designer_Bed_Mix!$J17&lt;=XS_Designer!$BN$92,XS_Designer!BB$92,"")</f>
        <v/>
      </c>
      <c r="M17" s="4" t="str">
        <f>IF(XS_Designer_Bed_Mix!$J17&lt;=XS_Designer!$BN$92,XS_Designer!BC$92,"")</f>
        <v/>
      </c>
      <c r="N17" s="4" t="str">
        <f>IF(XS_Designer_Bed_Mix!$J17&lt;=XS_Designer!$BN$92,XS_Designer!BD$92,"")</f>
        <v/>
      </c>
      <c r="O17" s="4" t="str">
        <f>IF(XS_Designer_Bed_Mix!$J17&lt;=XS_Designer!$BN$92,XS_Designer!BE$92,"")</f>
        <v/>
      </c>
      <c r="P17" s="4" t="str">
        <f>IF(XS_Designer_Bed_Mix!$J17&lt;=XS_Designer!$BN$92,XS_Designer!BF$92,"")</f>
        <v/>
      </c>
      <c r="Q17" s="4" t="str">
        <f>IF(XS_Designer_Bed_Mix!$J17&lt;=XS_Designer!$BN$92,XS_Designer!BG$92,"")</f>
        <v/>
      </c>
      <c r="R17" s="4" t="str">
        <f>IF(XS_Designer_Bed_Mix!$J17&lt;=XS_Designer!$BN$92,XS_Designer!BH$92,"")</f>
        <v/>
      </c>
      <c r="S17" s="4" t="str">
        <f>IF(XS_Designer_Bed_Mix!$J17&lt;=XS_Designer!$BN$92,XS_Designer!BI$92,"")</f>
        <v/>
      </c>
      <c r="T17" s="4" t="str">
        <f>IF(XS_Designer_Bed_Mix!$J17&lt;=XS_Designer!$BN$92,XS_Designer!BJ$92,"")</f>
        <v/>
      </c>
      <c r="U17" s="4" t="str">
        <f>IF(XS_Designer_Bed_Mix!$J17&lt;=XS_Designer!$BN$93,XS_Designer!BA$93,"")</f>
        <v/>
      </c>
      <c r="V17" s="4" t="str">
        <f>IF(XS_Designer_Bed_Mix!$J17&lt;=XS_Designer!$BN$93,XS_Designer!BB$93,"")</f>
        <v/>
      </c>
      <c r="W17" s="4" t="str">
        <f>IF(XS_Designer_Bed_Mix!$J17&lt;=XS_Designer!$BN$93,XS_Designer!BC$93,"")</f>
        <v/>
      </c>
      <c r="X17" s="4" t="str">
        <f>IF(XS_Designer_Bed_Mix!$J17&lt;=XS_Designer!$BN$93,XS_Designer!BD$93,"")</f>
        <v/>
      </c>
      <c r="Y17" s="4" t="str">
        <f>IF(XS_Designer_Bed_Mix!$J17&lt;=XS_Designer!$BN$93,XS_Designer!BE$93,"")</f>
        <v/>
      </c>
      <c r="Z17" s="4" t="str">
        <f>IF(XS_Designer_Bed_Mix!$J17&lt;=XS_Designer!$BN$93,XS_Designer!BF$93,"")</f>
        <v/>
      </c>
      <c r="AA17" s="4" t="str">
        <f>IF(XS_Designer_Bed_Mix!$J17&lt;=XS_Designer!$BN$93,XS_Designer!BG$93,"")</f>
        <v/>
      </c>
      <c r="AB17" s="4" t="str">
        <f>IF(XS_Designer_Bed_Mix!$J17&lt;=XS_Designer!$BN$93,XS_Designer!BH$93,"")</f>
        <v/>
      </c>
      <c r="AC17" s="4" t="str">
        <f>IF(XS_Designer_Bed_Mix!$J17&lt;=XS_Designer!$BN$93,XS_Designer!BI$93,"")</f>
        <v/>
      </c>
      <c r="AD17" s="4" t="str">
        <f>IF(XS_Designer_Bed_Mix!$J17&lt;=XS_Designer!$BN$93,XS_Designer!BJ$93,"")</f>
        <v/>
      </c>
      <c r="AE17" s="4" t="str">
        <f>IF(XS_Designer_Bed_Mix!$J17&lt;=XS_Designer!$BN$94,XS_Designer!BA$94,"")</f>
        <v/>
      </c>
      <c r="AF17" s="4" t="str">
        <f>IF(XS_Designer_Bed_Mix!$J17&lt;=XS_Designer!$BN$94,XS_Designer!BB$94,"")</f>
        <v/>
      </c>
      <c r="AG17" s="4" t="str">
        <f>IF(XS_Designer_Bed_Mix!$J17&lt;=XS_Designer!$BN$94,XS_Designer!BC$94,"")</f>
        <v/>
      </c>
      <c r="AH17" s="4" t="str">
        <f>IF(XS_Designer_Bed_Mix!$J17&lt;=XS_Designer!$BN$94,XS_Designer!BD$94,"")</f>
        <v/>
      </c>
      <c r="AI17" s="4" t="str">
        <f>IF(XS_Designer_Bed_Mix!$J17&lt;=XS_Designer!$BN$94,XS_Designer!BE$94,"")</f>
        <v/>
      </c>
      <c r="AJ17" s="4" t="str">
        <f>IF(XS_Designer_Bed_Mix!$J17&lt;=XS_Designer!$BN$94,XS_Designer!BF$94,"")</f>
        <v/>
      </c>
      <c r="AK17" s="4" t="str">
        <f>IF(XS_Designer_Bed_Mix!$J17&lt;=XS_Designer!$BN$94,XS_Designer!BG$94,"")</f>
        <v/>
      </c>
      <c r="AL17" s="4" t="str">
        <f>IF(XS_Designer_Bed_Mix!$J17&lt;=XS_Designer!$BN$94,XS_Designer!BH$94,"")</f>
        <v/>
      </c>
      <c r="AM17" s="4" t="str">
        <f>IF(XS_Designer_Bed_Mix!$J17&lt;=XS_Designer!$BN$94,XS_Designer!BI$94,"")</f>
        <v/>
      </c>
      <c r="AN17" s="4" t="str">
        <f>IF(XS_Designer_Bed_Mix!$J17&lt;=XS_Designer!$BN$94,XS_Designer!BJ$94,"")</f>
        <v/>
      </c>
      <c r="AO17" s="4" t="str">
        <f>IF(XS_Designer_Bed_Mix!$J17&lt;=XS_Designer!$BN$95,XS_Designer!BA$95,"")</f>
        <v/>
      </c>
      <c r="AP17" s="4" t="str">
        <f>IF(XS_Designer_Bed_Mix!$J17&lt;=XS_Designer!$BN$95,XS_Designer!BB$95,"")</f>
        <v/>
      </c>
      <c r="AQ17" s="4" t="str">
        <f>IF(XS_Designer_Bed_Mix!$J17&lt;=XS_Designer!$BN$95,XS_Designer!BC$95,"")</f>
        <v/>
      </c>
      <c r="AR17" s="4" t="str">
        <f>IF(XS_Designer_Bed_Mix!$J17&lt;=XS_Designer!$BN$95,XS_Designer!BD$95,"")</f>
        <v/>
      </c>
      <c r="AS17" s="4" t="str">
        <f>IF(XS_Designer_Bed_Mix!$J17&lt;=XS_Designer!$BN$95,XS_Designer!BE$95,"")</f>
        <v/>
      </c>
      <c r="AT17" s="4" t="str">
        <f>IF(XS_Designer_Bed_Mix!$J17&lt;=XS_Designer!$BN$95,XS_Designer!BF$95,"")</f>
        <v/>
      </c>
      <c r="AU17" s="4" t="str">
        <f>IF(XS_Designer_Bed_Mix!$J17&lt;=XS_Designer!$BN$95,XS_Designer!BG$95,"")</f>
        <v/>
      </c>
      <c r="AV17" s="4" t="str">
        <f>IF(XS_Designer_Bed_Mix!$J17&lt;=XS_Designer!$BN$95,XS_Designer!BH$95,"")</f>
        <v/>
      </c>
      <c r="AW17" s="4" t="str">
        <f>IF(XS_Designer_Bed_Mix!$J17&lt;=XS_Designer!$BN$95,XS_Designer!BI$95,"")</f>
        <v/>
      </c>
      <c r="AX17" s="4" t="str">
        <f>IF(XS_Designer_Bed_Mix!$J17&lt;=XS_Designer!$BN$95,XS_Designer!BJ$95,"")</f>
        <v/>
      </c>
      <c r="AY17" s="4">
        <f>IF(XS_Designer_Bed_Mix!$J17&lt;=XS_Designer!$BN$96,XS_Designer!BA$96,"")</f>
        <v>335.28000000000003</v>
      </c>
      <c r="AZ17" s="4">
        <f>IF(XS_Designer_Bed_Mix!$J17&lt;=XS_Designer!$BN$96,XS_Designer!BB$96,"")</f>
        <v>335.28000000000003</v>
      </c>
      <c r="BA17" s="4">
        <f>IF(XS_Designer_Bed_Mix!$J17&lt;=XS_Designer!$BN$96,XS_Designer!BC$96,"")</f>
        <v>335.28000000000003</v>
      </c>
      <c r="BB17" s="4">
        <f>IF(XS_Designer_Bed_Mix!$J17&lt;=XS_Designer!$BN$96,XS_Designer!BD$96,"")</f>
        <v>335.28000000000003</v>
      </c>
      <c r="BC17" s="4">
        <f>IF(XS_Designer_Bed_Mix!$J17&lt;=XS_Designer!$BN$96,XS_Designer!BE$96,"")</f>
        <v>335.28000000000003</v>
      </c>
      <c r="BD17" s="4">
        <f>IF(XS_Designer_Bed_Mix!$J17&lt;=XS_Designer!$BN$96,XS_Designer!BF$96,"")</f>
        <v>335.28000000000003</v>
      </c>
      <c r="BE17" s="4">
        <f>IF(XS_Designer_Bed_Mix!$J17&lt;=XS_Designer!$BN$96,XS_Designer!BG$96,"")</f>
        <v>335.28000000000003</v>
      </c>
      <c r="BF17" s="4">
        <f>IF(XS_Designer_Bed_Mix!$J17&lt;=XS_Designer!$BN$96,XS_Designer!BH$96,"")</f>
        <v>335.28000000000003</v>
      </c>
      <c r="BG17" s="4">
        <f>IF(XS_Designer_Bed_Mix!$J17&lt;=XS_Designer!$BN$96,XS_Designer!BI$96,"")</f>
        <v>335.28000000000003</v>
      </c>
      <c r="BH17" s="4">
        <f>IF(XS_Designer_Bed_Mix!$J17&lt;=XS_Designer!$BN$96,XS_Designer!BJ$96,"")</f>
        <v>335.28000000000003</v>
      </c>
      <c r="BI17" s="4" t="str">
        <f>IF(XS_Designer_Bed_Mix!$J17&lt;=XS_Designer!$BN$97,XS_Designer!BA$97,"")</f>
        <v/>
      </c>
      <c r="BJ17" s="4" t="str">
        <f>IF(XS_Designer_Bed_Mix!$J17&lt;=XS_Designer!$BN$97,XS_Designer!BB$97,"")</f>
        <v/>
      </c>
      <c r="BK17" s="4" t="str">
        <f>IF(XS_Designer_Bed_Mix!$J17&lt;=XS_Designer!$BN$97,XS_Designer!BC$97,"")</f>
        <v/>
      </c>
      <c r="BL17" s="4" t="str">
        <f>IF(XS_Designer_Bed_Mix!$J17&lt;=XS_Designer!$BN$97,XS_Designer!BD$97,"")</f>
        <v/>
      </c>
      <c r="BM17" s="4" t="str">
        <f>IF(XS_Designer_Bed_Mix!$J17&lt;=XS_Designer!$BN$97,XS_Designer!BE$97,"")</f>
        <v/>
      </c>
      <c r="BN17" s="4" t="str">
        <f>IF(XS_Designer_Bed_Mix!$J17&lt;=XS_Designer!$BN$97,XS_Designer!BF$97,"")</f>
        <v/>
      </c>
      <c r="BO17" s="4" t="str">
        <f>IF(XS_Designer_Bed_Mix!$J17&lt;=XS_Designer!$BN$97,XS_Designer!BG$97,"")</f>
        <v/>
      </c>
      <c r="BP17" s="4" t="str">
        <f>IF(XS_Designer_Bed_Mix!$J17&lt;=XS_Designer!$BN$97,XS_Designer!BH$97,"")</f>
        <v/>
      </c>
      <c r="BQ17" s="4" t="str">
        <f>IF(XS_Designer_Bed_Mix!$J17&lt;=XS_Designer!$BN$97,XS_Designer!BI$97,"")</f>
        <v/>
      </c>
      <c r="BR17" s="4" t="str">
        <f>IF(XS_Designer_Bed_Mix!$J17&lt;=XS_Designer!$BN$97,XS_Designer!BJ$97,"")</f>
        <v/>
      </c>
      <c r="BS17" s="4" t="str">
        <f>IF(XS_Designer_Bed_Mix!$J17&lt;=XS_Designer!$BN$98,XS_Designer!BA$98,"")</f>
        <v/>
      </c>
      <c r="BT17" s="4" t="str">
        <f>IF(XS_Designer_Bed_Mix!$J17&lt;=XS_Designer!$BN$98,XS_Designer!BB$98,"")</f>
        <v/>
      </c>
      <c r="BU17" s="4" t="str">
        <f>IF(XS_Designer_Bed_Mix!$J17&lt;=XS_Designer!$BN$98,XS_Designer!BC$98,"")</f>
        <v/>
      </c>
      <c r="BV17" s="4" t="str">
        <f>IF(XS_Designer_Bed_Mix!$J17&lt;=XS_Designer!$BN$98,XS_Designer!BD$98,"")</f>
        <v/>
      </c>
      <c r="BW17" s="4" t="str">
        <f>IF(XS_Designer_Bed_Mix!$J17&lt;=XS_Designer!$BN$98,XS_Designer!BE$98,"")</f>
        <v/>
      </c>
      <c r="BX17" s="4" t="str">
        <f>IF(XS_Designer_Bed_Mix!$J17&lt;=XS_Designer!$BN$98,XS_Designer!BF$98,"")</f>
        <v/>
      </c>
      <c r="BY17" s="4" t="str">
        <f>IF(XS_Designer_Bed_Mix!$J17&lt;=XS_Designer!$BN$98,XS_Designer!BG$98,"")</f>
        <v/>
      </c>
      <c r="BZ17" s="4" t="str">
        <f>IF(XS_Designer_Bed_Mix!$J17&lt;=XS_Designer!$BN$98,XS_Designer!BH$98,"")</f>
        <v/>
      </c>
      <c r="CA17" s="4" t="str">
        <f>IF(XS_Designer_Bed_Mix!$J17&lt;=XS_Designer!$BN$98,XS_Designer!BI$98,"")</f>
        <v/>
      </c>
      <c r="CB17" s="4" t="str">
        <f>IF(XS_Designer_Bed_Mix!$J17&lt;=XS_Designer!$BN$98,XS_Designer!BJ$98,"")</f>
        <v/>
      </c>
      <c r="CC17" s="4" t="str">
        <f>IF(XS_Designer_Bed_Mix!$J17&lt;=XS_Designer!$BN$99,XS_Designer!BA$99,"")</f>
        <v/>
      </c>
      <c r="CD17" s="4" t="str">
        <f>IF(XS_Designer_Bed_Mix!$J17&lt;=XS_Designer!$BN$99,XS_Designer!BB$99,"")</f>
        <v/>
      </c>
      <c r="CE17" s="4" t="str">
        <f>IF(XS_Designer_Bed_Mix!$J17&lt;=XS_Designer!$BN$99,XS_Designer!BC$99,"")</f>
        <v/>
      </c>
      <c r="CF17" s="4" t="str">
        <f>IF(XS_Designer_Bed_Mix!$J17&lt;=XS_Designer!$BN$99,XS_Designer!BD$99,"")</f>
        <v/>
      </c>
      <c r="CG17" s="4" t="str">
        <f>IF(XS_Designer_Bed_Mix!$J17&lt;=XS_Designer!$BN$99,XS_Designer!BE$99,"")</f>
        <v/>
      </c>
      <c r="CH17" s="4" t="str">
        <f>IF(XS_Designer_Bed_Mix!$J17&lt;=XS_Designer!$BN$99,XS_Designer!BF$99,"")</f>
        <v/>
      </c>
      <c r="CI17" s="4" t="str">
        <f>IF(XS_Designer_Bed_Mix!$J17&lt;=XS_Designer!$BN$99,XS_Designer!BG$99,"")</f>
        <v/>
      </c>
      <c r="CJ17" s="4" t="str">
        <f>IF(XS_Designer_Bed_Mix!$J17&lt;=XS_Designer!$BN$99,XS_Designer!BH$99,"")</f>
        <v/>
      </c>
      <c r="CK17" s="4" t="str">
        <f>IF(XS_Designer_Bed_Mix!$J17&lt;=XS_Designer!$BN$99,XS_Designer!BI$99,"")</f>
        <v/>
      </c>
      <c r="CL17" s="4" t="str">
        <f>IF(XS_Designer_Bed_Mix!$J17&lt;=XS_Designer!$BN$99,XS_Designer!BJ$99,"")</f>
        <v/>
      </c>
      <c r="CM17" s="4">
        <f>IF(XS_Designer_Bed_Mix!$J17&lt;=XS_Designer!$BN$100,XS_Designer!BA$100,"")</f>
        <v>64</v>
      </c>
      <c r="CN17" s="4">
        <f>IF(XS_Designer_Bed_Mix!$J17&lt;=XS_Designer!$BN$100,XS_Designer!BB$100,"")</f>
        <v>57.6</v>
      </c>
      <c r="CO17" s="4">
        <f>IF(XS_Designer_Bed_Mix!$J17&lt;=XS_Designer!$BN$100,XS_Designer!BC$100,"")</f>
        <v>51.2</v>
      </c>
      <c r="CP17" s="4">
        <f>IF(XS_Designer_Bed_Mix!$J17&lt;=XS_Designer!$BN$100,XS_Designer!BD$100,"")</f>
        <v>44.800000000000004</v>
      </c>
      <c r="CQ17" s="4">
        <f>IF(XS_Designer_Bed_Mix!$J17&lt;=XS_Designer!$BN$100,XS_Designer!BE$100,"")</f>
        <v>38.400000000000006</v>
      </c>
      <c r="CR17" s="4">
        <f>IF(XS_Designer_Bed_Mix!$J17&lt;=XS_Designer!$BN$100,XS_Designer!BF$100,"")</f>
        <v>32</v>
      </c>
      <c r="CS17" s="4">
        <f>IF(XS_Designer_Bed_Mix!$J17&lt;=XS_Designer!$BN$100,XS_Designer!BG$100,"")</f>
        <v>26</v>
      </c>
      <c r="CT17" s="4">
        <f>IF(XS_Designer_Bed_Mix!$J17&lt;=XS_Designer!$BN$100,XS_Designer!BH$100,"")</f>
        <v>20</v>
      </c>
      <c r="CU17" s="4">
        <f>IF(XS_Designer_Bed_Mix!$J17&lt;=XS_Designer!$BN$100,XS_Designer!BI$100,"")</f>
        <v>14</v>
      </c>
      <c r="CV17" s="4">
        <f>IF(XS_Designer_Bed_Mix!$J17&lt;=XS_Designer!$BN$100,XS_Designer!BJ$100,"")</f>
        <v>8</v>
      </c>
      <c r="CW17" s="4" t="str">
        <f>IF(XS_Designer_Bed_Mix!$J17&lt;=XS_Designer!$BN$101,XS_Designer!BA$101,"")</f>
        <v/>
      </c>
      <c r="CX17" s="4" t="str">
        <f>IF(XS_Designer_Bed_Mix!$J17&lt;=XS_Designer!$BN$101,XS_Designer!BB$101,"")</f>
        <v/>
      </c>
      <c r="CY17" s="4" t="str">
        <f>IF(XS_Designer_Bed_Mix!$J17&lt;=XS_Designer!$BN$101,XS_Designer!BC$101,"")</f>
        <v/>
      </c>
      <c r="CZ17" s="4" t="str">
        <f>IF(XS_Designer_Bed_Mix!$J17&lt;=XS_Designer!$BN$101,XS_Designer!BD$101,"")</f>
        <v/>
      </c>
      <c r="DA17" s="4" t="str">
        <f>IF(XS_Designer_Bed_Mix!$J17&lt;=XS_Designer!$BN$101,XS_Designer!BE$101,"")</f>
        <v/>
      </c>
      <c r="DB17" s="4" t="str">
        <f>IF(XS_Designer_Bed_Mix!$J17&lt;=XS_Designer!$BN$101,XS_Designer!BF$101,"")</f>
        <v/>
      </c>
      <c r="DC17" s="4" t="str">
        <f>IF(XS_Designer_Bed_Mix!$J17&lt;=XS_Designer!$BN$101,XS_Designer!BG$101,"")</f>
        <v/>
      </c>
      <c r="DD17" s="4" t="str">
        <f>IF(XS_Designer_Bed_Mix!$J17&lt;=XS_Designer!$BN$101,XS_Designer!BH$101,"")</f>
        <v/>
      </c>
      <c r="DE17" s="4" t="str">
        <f>IF(XS_Designer_Bed_Mix!$J17&lt;=XS_Designer!$BN$101,XS_Designer!BI$101,"")</f>
        <v/>
      </c>
      <c r="DF17" s="4" t="str">
        <f>IF(XS_Designer_Bed_Mix!$J17&lt;=XS_Designer!$BN$101,XS_Designer!BJ$101,"")</f>
        <v/>
      </c>
      <c r="DG17" s="4" t="str">
        <f>IF(XS_Designer_Bed_Mix!$J17&lt;=XS_Designer!$BN$102,XS_Designer!BA$102,"")</f>
        <v/>
      </c>
      <c r="DH17" s="4" t="str">
        <f>IF(XS_Designer_Bed_Mix!$J17&lt;=XS_Designer!$BN$102,XS_Designer!BB$102,"")</f>
        <v/>
      </c>
      <c r="DI17" s="4" t="str">
        <f>IF(XS_Designer_Bed_Mix!$J17&lt;=XS_Designer!$BN$102,XS_Designer!BC$102,"")</f>
        <v/>
      </c>
      <c r="DJ17" s="4" t="str">
        <f>IF(XS_Designer_Bed_Mix!$J17&lt;=XS_Designer!$BN$102,XS_Designer!BD$102,"")</f>
        <v/>
      </c>
      <c r="DK17" s="4" t="str">
        <f>IF(XS_Designer_Bed_Mix!$J17&lt;=XS_Designer!$BN$102,XS_Designer!BE$102,"")</f>
        <v/>
      </c>
      <c r="DL17" s="4" t="str">
        <f>IF(XS_Designer_Bed_Mix!$J17&lt;=XS_Designer!$BN$102,XS_Designer!BF$102,"")</f>
        <v/>
      </c>
      <c r="DM17" s="4" t="str">
        <f>IF(XS_Designer_Bed_Mix!$J17&lt;=XS_Designer!$BN$102,XS_Designer!BG$102,"")</f>
        <v/>
      </c>
      <c r="DN17" s="4" t="str">
        <f>IF(XS_Designer_Bed_Mix!$J17&lt;=XS_Designer!$BN$102,XS_Designer!BH$102,"")</f>
        <v/>
      </c>
      <c r="DO17" s="4" t="str">
        <f>IF(XS_Designer_Bed_Mix!$J17&lt;=XS_Designer!$BN$102,XS_Designer!BI$102,"")</f>
        <v/>
      </c>
      <c r="DP17" s="4" t="str">
        <f>IF(XS_Designer_Bed_Mix!$J17&lt;=XS_Designer!$BN$102,XS_Designer!BJ$102,"")</f>
        <v/>
      </c>
    </row>
    <row r="18" spans="10:120">
      <c r="J18" s="3">
        <v>0.17</v>
      </c>
      <c r="K18" s="4" t="str">
        <f>IF(XS_Designer_Bed_Mix!$J18&lt;=XS_Designer!$BN$92,XS_Designer!BA$92,"")</f>
        <v/>
      </c>
      <c r="L18" s="4" t="str">
        <f>IF(XS_Designer_Bed_Mix!$J18&lt;=XS_Designer!$BN$92,XS_Designer!BB$92,"")</f>
        <v/>
      </c>
      <c r="M18" s="4" t="str">
        <f>IF(XS_Designer_Bed_Mix!$J18&lt;=XS_Designer!$BN$92,XS_Designer!BC$92,"")</f>
        <v/>
      </c>
      <c r="N18" s="4" t="str">
        <f>IF(XS_Designer_Bed_Mix!$J18&lt;=XS_Designer!$BN$92,XS_Designer!BD$92,"")</f>
        <v/>
      </c>
      <c r="O18" s="4" t="str">
        <f>IF(XS_Designer_Bed_Mix!$J18&lt;=XS_Designer!$BN$92,XS_Designer!BE$92,"")</f>
        <v/>
      </c>
      <c r="P18" s="4" t="str">
        <f>IF(XS_Designer_Bed_Mix!$J18&lt;=XS_Designer!$BN$92,XS_Designer!BF$92,"")</f>
        <v/>
      </c>
      <c r="Q18" s="4" t="str">
        <f>IF(XS_Designer_Bed_Mix!$J18&lt;=XS_Designer!$BN$92,XS_Designer!BG$92,"")</f>
        <v/>
      </c>
      <c r="R18" s="4" t="str">
        <f>IF(XS_Designer_Bed_Mix!$J18&lt;=XS_Designer!$BN$92,XS_Designer!BH$92,"")</f>
        <v/>
      </c>
      <c r="S18" s="4" t="str">
        <f>IF(XS_Designer_Bed_Mix!$J18&lt;=XS_Designer!$BN$92,XS_Designer!BI$92,"")</f>
        <v/>
      </c>
      <c r="T18" s="4" t="str">
        <f>IF(XS_Designer_Bed_Mix!$J18&lt;=XS_Designer!$BN$92,XS_Designer!BJ$92,"")</f>
        <v/>
      </c>
      <c r="U18" s="4" t="str">
        <f>IF(XS_Designer_Bed_Mix!$J18&lt;=XS_Designer!$BN$93,XS_Designer!BA$93,"")</f>
        <v/>
      </c>
      <c r="V18" s="4" t="str">
        <f>IF(XS_Designer_Bed_Mix!$J18&lt;=XS_Designer!$BN$93,XS_Designer!BB$93,"")</f>
        <v/>
      </c>
      <c r="W18" s="4" t="str">
        <f>IF(XS_Designer_Bed_Mix!$J18&lt;=XS_Designer!$BN$93,XS_Designer!BC$93,"")</f>
        <v/>
      </c>
      <c r="X18" s="4" t="str">
        <f>IF(XS_Designer_Bed_Mix!$J18&lt;=XS_Designer!$BN$93,XS_Designer!BD$93,"")</f>
        <v/>
      </c>
      <c r="Y18" s="4" t="str">
        <f>IF(XS_Designer_Bed_Mix!$J18&lt;=XS_Designer!$BN$93,XS_Designer!BE$93,"")</f>
        <v/>
      </c>
      <c r="Z18" s="4" t="str">
        <f>IF(XS_Designer_Bed_Mix!$J18&lt;=XS_Designer!$BN$93,XS_Designer!BF$93,"")</f>
        <v/>
      </c>
      <c r="AA18" s="4" t="str">
        <f>IF(XS_Designer_Bed_Mix!$J18&lt;=XS_Designer!$BN$93,XS_Designer!BG$93,"")</f>
        <v/>
      </c>
      <c r="AB18" s="4" t="str">
        <f>IF(XS_Designer_Bed_Mix!$J18&lt;=XS_Designer!$BN$93,XS_Designer!BH$93,"")</f>
        <v/>
      </c>
      <c r="AC18" s="4" t="str">
        <f>IF(XS_Designer_Bed_Mix!$J18&lt;=XS_Designer!$BN$93,XS_Designer!BI$93,"")</f>
        <v/>
      </c>
      <c r="AD18" s="4" t="str">
        <f>IF(XS_Designer_Bed_Mix!$J18&lt;=XS_Designer!$BN$93,XS_Designer!BJ$93,"")</f>
        <v/>
      </c>
      <c r="AE18" s="4" t="str">
        <f>IF(XS_Designer_Bed_Mix!$J18&lt;=XS_Designer!$BN$94,XS_Designer!BA$94,"")</f>
        <v/>
      </c>
      <c r="AF18" s="4" t="str">
        <f>IF(XS_Designer_Bed_Mix!$J18&lt;=XS_Designer!$BN$94,XS_Designer!BB$94,"")</f>
        <v/>
      </c>
      <c r="AG18" s="4" t="str">
        <f>IF(XS_Designer_Bed_Mix!$J18&lt;=XS_Designer!$BN$94,XS_Designer!BC$94,"")</f>
        <v/>
      </c>
      <c r="AH18" s="4" t="str">
        <f>IF(XS_Designer_Bed_Mix!$J18&lt;=XS_Designer!$BN$94,XS_Designer!BD$94,"")</f>
        <v/>
      </c>
      <c r="AI18" s="4" t="str">
        <f>IF(XS_Designer_Bed_Mix!$J18&lt;=XS_Designer!$BN$94,XS_Designer!BE$94,"")</f>
        <v/>
      </c>
      <c r="AJ18" s="4" t="str">
        <f>IF(XS_Designer_Bed_Mix!$J18&lt;=XS_Designer!$BN$94,XS_Designer!BF$94,"")</f>
        <v/>
      </c>
      <c r="AK18" s="4" t="str">
        <f>IF(XS_Designer_Bed_Mix!$J18&lt;=XS_Designer!$BN$94,XS_Designer!BG$94,"")</f>
        <v/>
      </c>
      <c r="AL18" s="4" t="str">
        <f>IF(XS_Designer_Bed_Mix!$J18&lt;=XS_Designer!$BN$94,XS_Designer!BH$94,"")</f>
        <v/>
      </c>
      <c r="AM18" s="4" t="str">
        <f>IF(XS_Designer_Bed_Mix!$J18&lt;=XS_Designer!$BN$94,XS_Designer!BI$94,"")</f>
        <v/>
      </c>
      <c r="AN18" s="4" t="str">
        <f>IF(XS_Designer_Bed_Mix!$J18&lt;=XS_Designer!$BN$94,XS_Designer!BJ$94,"")</f>
        <v/>
      </c>
      <c r="AO18" s="4" t="str">
        <f>IF(XS_Designer_Bed_Mix!$J18&lt;=XS_Designer!$BN$95,XS_Designer!BA$95,"")</f>
        <v/>
      </c>
      <c r="AP18" s="4" t="str">
        <f>IF(XS_Designer_Bed_Mix!$J18&lt;=XS_Designer!$BN$95,XS_Designer!BB$95,"")</f>
        <v/>
      </c>
      <c r="AQ18" s="4" t="str">
        <f>IF(XS_Designer_Bed_Mix!$J18&lt;=XS_Designer!$BN$95,XS_Designer!BC$95,"")</f>
        <v/>
      </c>
      <c r="AR18" s="4" t="str">
        <f>IF(XS_Designer_Bed_Mix!$J18&lt;=XS_Designer!$BN$95,XS_Designer!BD$95,"")</f>
        <v/>
      </c>
      <c r="AS18" s="4" t="str">
        <f>IF(XS_Designer_Bed_Mix!$J18&lt;=XS_Designer!$BN$95,XS_Designer!BE$95,"")</f>
        <v/>
      </c>
      <c r="AT18" s="4" t="str">
        <f>IF(XS_Designer_Bed_Mix!$J18&lt;=XS_Designer!$BN$95,XS_Designer!BF$95,"")</f>
        <v/>
      </c>
      <c r="AU18" s="4" t="str">
        <f>IF(XS_Designer_Bed_Mix!$J18&lt;=XS_Designer!$BN$95,XS_Designer!BG$95,"")</f>
        <v/>
      </c>
      <c r="AV18" s="4" t="str">
        <f>IF(XS_Designer_Bed_Mix!$J18&lt;=XS_Designer!$BN$95,XS_Designer!BH$95,"")</f>
        <v/>
      </c>
      <c r="AW18" s="4" t="str">
        <f>IF(XS_Designer_Bed_Mix!$J18&lt;=XS_Designer!$BN$95,XS_Designer!BI$95,"")</f>
        <v/>
      </c>
      <c r="AX18" s="4" t="str">
        <f>IF(XS_Designer_Bed_Mix!$J18&lt;=XS_Designer!$BN$95,XS_Designer!BJ$95,"")</f>
        <v/>
      </c>
      <c r="AY18" s="4">
        <f>IF(XS_Designer_Bed_Mix!$J18&lt;=XS_Designer!$BN$96,XS_Designer!BA$96,"")</f>
        <v>335.28000000000003</v>
      </c>
      <c r="AZ18" s="4">
        <f>IF(XS_Designer_Bed_Mix!$J18&lt;=XS_Designer!$BN$96,XS_Designer!BB$96,"")</f>
        <v>335.28000000000003</v>
      </c>
      <c r="BA18" s="4">
        <f>IF(XS_Designer_Bed_Mix!$J18&lt;=XS_Designer!$BN$96,XS_Designer!BC$96,"")</f>
        <v>335.28000000000003</v>
      </c>
      <c r="BB18" s="4">
        <f>IF(XS_Designer_Bed_Mix!$J18&lt;=XS_Designer!$BN$96,XS_Designer!BD$96,"")</f>
        <v>335.28000000000003</v>
      </c>
      <c r="BC18" s="4">
        <f>IF(XS_Designer_Bed_Mix!$J18&lt;=XS_Designer!$BN$96,XS_Designer!BE$96,"")</f>
        <v>335.28000000000003</v>
      </c>
      <c r="BD18" s="4">
        <f>IF(XS_Designer_Bed_Mix!$J18&lt;=XS_Designer!$BN$96,XS_Designer!BF$96,"")</f>
        <v>335.28000000000003</v>
      </c>
      <c r="BE18" s="4">
        <f>IF(XS_Designer_Bed_Mix!$J18&lt;=XS_Designer!$BN$96,XS_Designer!BG$96,"")</f>
        <v>335.28000000000003</v>
      </c>
      <c r="BF18" s="4">
        <f>IF(XS_Designer_Bed_Mix!$J18&lt;=XS_Designer!$BN$96,XS_Designer!BH$96,"")</f>
        <v>335.28000000000003</v>
      </c>
      <c r="BG18" s="4">
        <f>IF(XS_Designer_Bed_Mix!$J18&lt;=XS_Designer!$BN$96,XS_Designer!BI$96,"")</f>
        <v>335.28000000000003</v>
      </c>
      <c r="BH18" s="4">
        <f>IF(XS_Designer_Bed_Mix!$J18&lt;=XS_Designer!$BN$96,XS_Designer!BJ$96,"")</f>
        <v>335.28000000000003</v>
      </c>
      <c r="BI18" s="4" t="str">
        <f>IF(XS_Designer_Bed_Mix!$J18&lt;=XS_Designer!$BN$97,XS_Designer!BA$97,"")</f>
        <v/>
      </c>
      <c r="BJ18" s="4" t="str">
        <f>IF(XS_Designer_Bed_Mix!$J18&lt;=XS_Designer!$BN$97,XS_Designer!BB$97,"")</f>
        <v/>
      </c>
      <c r="BK18" s="4" t="str">
        <f>IF(XS_Designer_Bed_Mix!$J18&lt;=XS_Designer!$BN$97,XS_Designer!BC$97,"")</f>
        <v/>
      </c>
      <c r="BL18" s="4" t="str">
        <f>IF(XS_Designer_Bed_Mix!$J18&lt;=XS_Designer!$BN$97,XS_Designer!BD$97,"")</f>
        <v/>
      </c>
      <c r="BM18" s="4" t="str">
        <f>IF(XS_Designer_Bed_Mix!$J18&lt;=XS_Designer!$BN$97,XS_Designer!BE$97,"")</f>
        <v/>
      </c>
      <c r="BN18" s="4" t="str">
        <f>IF(XS_Designer_Bed_Mix!$J18&lt;=XS_Designer!$BN$97,XS_Designer!BF$97,"")</f>
        <v/>
      </c>
      <c r="BO18" s="4" t="str">
        <f>IF(XS_Designer_Bed_Mix!$J18&lt;=XS_Designer!$BN$97,XS_Designer!BG$97,"")</f>
        <v/>
      </c>
      <c r="BP18" s="4" t="str">
        <f>IF(XS_Designer_Bed_Mix!$J18&lt;=XS_Designer!$BN$97,XS_Designer!BH$97,"")</f>
        <v/>
      </c>
      <c r="BQ18" s="4" t="str">
        <f>IF(XS_Designer_Bed_Mix!$J18&lt;=XS_Designer!$BN$97,XS_Designer!BI$97,"")</f>
        <v/>
      </c>
      <c r="BR18" s="4" t="str">
        <f>IF(XS_Designer_Bed_Mix!$J18&lt;=XS_Designer!$BN$97,XS_Designer!BJ$97,"")</f>
        <v/>
      </c>
      <c r="BS18" s="4" t="str">
        <f>IF(XS_Designer_Bed_Mix!$J18&lt;=XS_Designer!$BN$98,XS_Designer!BA$98,"")</f>
        <v/>
      </c>
      <c r="BT18" s="4" t="str">
        <f>IF(XS_Designer_Bed_Mix!$J18&lt;=XS_Designer!$BN$98,XS_Designer!BB$98,"")</f>
        <v/>
      </c>
      <c r="BU18" s="4" t="str">
        <f>IF(XS_Designer_Bed_Mix!$J18&lt;=XS_Designer!$BN$98,XS_Designer!BC$98,"")</f>
        <v/>
      </c>
      <c r="BV18" s="4" t="str">
        <f>IF(XS_Designer_Bed_Mix!$J18&lt;=XS_Designer!$BN$98,XS_Designer!BD$98,"")</f>
        <v/>
      </c>
      <c r="BW18" s="4" t="str">
        <f>IF(XS_Designer_Bed_Mix!$J18&lt;=XS_Designer!$BN$98,XS_Designer!BE$98,"")</f>
        <v/>
      </c>
      <c r="BX18" s="4" t="str">
        <f>IF(XS_Designer_Bed_Mix!$J18&lt;=XS_Designer!$BN$98,XS_Designer!BF$98,"")</f>
        <v/>
      </c>
      <c r="BY18" s="4" t="str">
        <f>IF(XS_Designer_Bed_Mix!$J18&lt;=XS_Designer!$BN$98,XS_Designer!BG$98,"")</f>
        <v/>
      </c>
      <c r="BZ18" s="4" t="str">
        <f>IF(XS_Designer_Bed_Mix!$J18&lt;=XS_Designer!$BN$98,XS_Designer!BH$98,"")</f>
        <v/>
      </c>
      <c r="CA18" s="4" t="str">
        <f>IF(XS_Designer_Bed_Mix!$J18&lt;=XS_Designer!$BN$98,XS_Designer!BI$98,"")</f>
        <v/>
      </c>
      <c r="CB18" s="4" t="str">
        <f>IF(XS_Designer_Bed_Mix!$J18&lt;=XS_Designer!$BN$98,XS_Designer!BJ$98,"")</f>
        <v/>
      </c>
      <c r="CC18" s="4" t="str">
        <f>IF(XS_Designer_Bed_Mix!$J18&lt;=XS_Designer!$BN$99,XS_Designer!BA$99,"")</f>
        <v/>
      </c>
      <c r="CD18" s="4" t="str">
        <f>IF(XS_Designer_Bed_Mix!$J18&lt;=XS_Designer!$BN$99,XS_Designer!BB$99,"")</f>
        <v/>
      </c>
      <c r="CE18" s="4" t="str">
        <f>IF(XS_Designer_Bed_Mix!$J18&lt;=XS_Designer!$BN$99,XS_Designer!BC$99,"")</f>
        <v/>
      </c>
      <c r="CF18" s="4" t="str">
        <f>IF(XS_Designer_Bed_Mix!$J18&lt;=XS_Designer!$BN$99,XS_Designer!BD$99,"")</f>
        <v/>
      </c>
      <c r="CG18" s="4" t="str">
        <f>IF(XS_Designer_Bed_Mix!$J18&lt;=XS_Designer!$BN$99,XS_Designer!BE$99,"")</f>
        <v/>
      </c>
      <c r="CH18" s="4" t="str">
        <f>IF(XS_Designer_Bed_Mix!$J18&lt;=XS_Designer!$BN$99,XS_Designer!BF$99,"")</f>
        <v/>
      </c>
      <c r="CI18" s="4" t="str">
        <f>IF(XS_Designer_Bed_Mix!$J18&lt;=XS_Designer!$BN$99,XS_Designer!BG$99,"")</f>
        <v/>
      </c>
      <c r="CJ18" s="4" t="str">
        <f>IF(XS_Designer_Bed_Mix!$J18&lt;=XS_Designer!$BN$99,XS_Designer!BH$99,"")</f>
        <v/>
      </c>
      <c r="CK18" s="4" t="str">
        <f>IF(XS_Designer_Bed_Mix!$J18&lt;=XS_Designer!$BN$99,XS_Designer!BI$99,"")</f>
        <v/>
      </c>
      <c r="CL18" s="4" t="str">
        <f>IF(XS_Designer_Bed_Mix!$J18&lt;=XS_Designer!$BN$99,XS_Designer!BJ$99,"")</f>
        <v/>
      </c>
      <c r="CM18" s="4">
        <f>IF(XS_Designer_Bed_Mix!$J18&lt;=XS_Designer!$BN$100,XS_Designer!BA$100,"")</f>
        <v>64</v>
      </c>
      <c r="CN18" s="4">
        <f>IF(XS_Designer_Bed_Mix!$J18&lt;=XS_Designer!$BN$100,XS_Designer!BB$100,"")</f>
        <v>57.6</v>
      </c>
      <c r="CO18" s="4">
        <f>IF(XS_Designer_Bed_Mix!$J18&lt;=XS_Designer!$BN$100,XS_Designer!BC$100,"")</f>
        <v>51.2</v>
      </c>
      <c r="CP18" s="4">
        <f>IF(XS_Designer_Bed_Mix!$J18&lt;=XS_Designer!$BN$100,XS_Designer!BD$100,"")</f>
        <v>44.800000000000004</v>
      </c>
      <c r="CQ18" s="4">
        <f>IF(XS_Designer_Bed_Mix!$J18&lt;=XS_Designer!$BN$100,XS_Designer!BE$100,"")</f>
        <v>38.400000000000006</v>
      </c>
      <c r="CR18" s="4">
        <f>IF(XS_Designer_Bed_Mix!$J18&lt;=XS_Designer!$BN$100,XS_Designer!BF$100,"")</f>
        <v>32</v>
      </c>
      <c r="CS18" s="4">
        <f>IF(XS_Designer_Bed_Mix!$J18&lt;=XS_Designer!$BN$100,XS_Designer!BG$100,"")</f>
        <v>26</v>
      </c>
      <c r="CT18" s="4">
        <f>IF(XS_Designer_Bed_Mix!$J18&lt;=XS_Designer!$BN$100,XS_Designer!BH$100,"")</f>
        <v>20</v>
      </c>
      <c r="CU18" s="4">
        <f>IF(XS_Designer_Bed_Mix!$J18&lt;=XS_Designer!$BN$100,XS_Designer!BI$100,"")</f>
        <v>14</v>
      </c>
      <c r="CV18" s="4">
        <f>IF(XS_Designer_Bed_Mix!$J18&lt;=XS_Designer!$BN$100,XS_Designer!BJ$100,"")</f>
        <v>8</v>
      </c>
      <c r="CW18" s="4" t="str">
        <f>IF(XS_Designer_Bed_Mix!$J18&lt;=XS_Designer!$BN$101,XS_Designer!BA$101,"")</f>
        <v/>
      </c>
      <c r="CX18" s="4" t="str">
        <f>IF(XS_Designer_Bed_Mix!$J18&lt;=XS_Designer!$BN$101,XS_Designer!BB$101,"")</f>
        <v/>
      </c>
      <c r="CY18" s="4" t="str">
        <f>IF(XS_Designer_Bed_Mix!$J18&lt;=XS_Designer!$BN$101,XS_Designer!BC$101,"")</f>
        <v/>
      </c>
      <c r="CZ18" s="4" t="str">
        <f>IF(XS_Designer_Bed_Mix!$J18&lt;=XS_Designer!$BN$101,XS_Designer!BD$101,"")</f>
        <v/>
      </c>
      <c r="DA18" s="4" t="str">
        <f>IF(XS_Designer_Bed_Mix!$J18&lt;=XS_Designer!$BN$101,XS_Designer!BE$101,"")</f>
        <v/>
      </c>
      <c r="DB18" s="4" t="str">
        <f>IF(XS_Designer_Bed_Mix!$J18&lt;=XS_Designer!$BN$101,XS_Designer!BF$101,"")</f>
        <v/>
      </c>
      <c r="DC18" s="4" t="str">
        <f>IF(XS_Designer_Bed_Mix!$J18&lt;=XS_Designer!$BN$101,XS_Designer!BG$101,"")</f>
        <v/>
      </c>
      <c r="DD18" s="4" t="str">
        <f>IF(XS_Designer_Bed_Mix!$J18&lt;=XS_Designer!$BN$101,XS_Designer!BH$101,"")</f>
        <v/>
      </c>
      <c r="DE18" s="4" t="str">
        <f>IF(XS_Designer_Bed_Mix!$J18&lt;=XS_Designer!$BN$101,XS_Designer!BI$101,"")</f>
        <v/>
      </c>
      <c r="DF18" s="4" t="str">
        <f>IF(XS_Designer_Bed_Mix!$J18&lt;=XS_Designer!$BN$101,XS_Designer!BJ$101,"")</f>
        <v/>
      </c>
      <c r="DG18" s="4" t="str">
        <f>IF(XS_Designer_Bed_Mix!$J18&lt;=XS_Designer!$BN$102,XS_Designer!BA$102,"")</f>
        <v/>
      </c>
      <c r="DH18" s="4" t="str">
        <f>IF(XS_Designer_Bed_Mix!$J18&lt;=XS_Designer!$BN$102,XS_Designer!BB$102,"")</f>
        <v/>
      </c>
      <c r="DI18" s="4" t="str">
        <f>IF(XS_Designer_Bed_Mix!$J18&lt;=XS_Designer!$BN$102,XS_Designer!BC$102,"")</f>
        <v/>
      </c>
      <c r="DJ18" s="4" t="str">
        <f>IF(XS_Designer_Bed_Mix!$J18&lt;=XS_Designer!$BN$102,XS_Designer!BD$102,"")</f>
        <v/>
      </c>
      <c r="DK18" s="4" t="str">
        <f>IF(XS_Designer_Bed_Mix!$J18&lt;=XS_Designer!$BN$102,XS_Designer!BE$102,"")</f>
        <v/>
      </c>
      <c r="DL18" s="4" t="str">
        <f>IF(XS_Designer_Bed_Mix!$J18&lt;=XS_Designer!$BN$102,XS_Designer!BF$102,"")</f>
        <v/>
      </c>
      <c r="DM18" s="4" t="str">
        <f>IF(XS_Designer_Bed_Mix!$J18&lt;=XS_Designer!$BN$102,XS_Designer!BG$102,"")</f>
        <v/>
      </c>
      <c r="DN18" s="4" t="str">
        <f>IF(XS_Designer_Bed_Mix!$J18&lt;=XS_Designer!$BN$102,XS_Designer!BH$102,"")</f>
        <v/>
      </c>
      <c r="DO18" s="4" t="str">
        <f>IF(XS_Designer_Bed_Mix!$J18&lt;=XS_Designer!$BN$102,XS_Designer!BI$102,"")</f>
        <v/>
      </c>
      <c r="DP18" s="4" t="str">
        <f>IF(XS_Designer_Bed_Mix!$J18&lt;=XS_Designer!$BN$102,XS_Designer!BJ$102,"")</f>
        <v/>
      </c>
    </row>
    <row r="19" spans="10:120">
      <c r="J19" s="3">
        <v>0.18</v>
      </c>
      <c r="K19" s="4" t="str">
        <f>IF(XS_Designer_Bed_Mix!$J19&lt;=XS_Designer!$BN$92,XS_Designer!BA$92,"")</f>
        <v/>
      </c>
      <c r="L19" s="4" t="str">
        <f>IF(XS_Designer_Bed_Mix!$J19&lt;=XS_Designer!$BN$92,XS_Designer!BB$92,"")</f>
        <v/>
      </c>
      <c r="M19" s="4" t="str">
        <f>IF(XS_Designer_Bed_Mix!$J19&lt;=XS_Designer!$BN$92,XS_Designer!BC$92,"")</f>
        <v/>
      </c>
      <c r="N19" s="4" t="str">
        <f>IF(XS_Designer_Bed_Mix!$J19&lt;=XS_Designer!$BN$92,XS_Designer!BD$92,"")</f>
        <v/>
      </c>
      <c r="O19" s="4" t="str">
        <f>IF(XS_Designer_Bed_Mix!$J19&lt;=XS_Designer!$BN$92,XS_Designer!BE$92,"")</f>
        <v/>
      </c>
      <c r="P19" s="4" t="str">
        <f>IF(XS_Designer_Bed_Mix!$J19&lt;=XS_Designer!$BN$92,XS_Designer!BF$92,"")</f>
        <v/>
      </c>
      <c r="Q19" s="4" t="str">
        <f>IF(XS_Designer_Bed_Mix!$J19&lt;=XS_Designer!$BN$92,XS_Designer!BG$92,"")</f>
        <v/>
      </c>
      <c r="R19" s="4" t="str">
        <f>IF(XS_Designer_Bed_Mix!$J19&lt;=XS_Designer!$BN$92,XS_Designer!BH$92,"")</f>
        <v/>
      </c>
      <c r="S19" s="4" t="str">
        <f>IF(XS_Designer_Bed_Mix!$J19&lt;=XS_Designer!$BN$92,XS_Designer!BI$92,"")</f>
        <v/>
      </c>
      <c r="T19" s="4" t="str">
        <f>IF(XS_Designer_Bed_Mix!$J19&lt;=XS_Designer!$BN$92,XS_Designer!BJ$92,"")</f>
        <v/>
      </c>
      <c r="U19" s="4" t="str">
        <f>IF(XS_Designer_Bed_Mix!$J19&lt;=XS_Designer!$BN$93,XS_Designer!BA$93,"")</f>
        <v/>
      </c>
      <c r="V19" s="4" t="str">
        <f>IF(XS_Designer_Bed_Mix!$J19&lt;=XS_Designer!$BN$93,XS_Designer!BB$93,"")</f>
        <v/>
      </c>
      <c r="W19" s="4" t="str">
        <f>IF(XS_Designer_Bed_Mix!$J19&lt;=XS_Designer!$BN$93,XS_Designer!BC$93,"")</f>
        <v/>
      </c>
      <c r="X19" s="4" t="str">
        <f>IF(XS_Designer_Bed_Mix!$J19&lt;=XS_Designer!$BN$93,XS_Designer!BD$93,"")</f>
        <v/>
      </c>
      <c r="Y19" s="4" t="str">
        <f>IF(XS_Designer_Bed_Mix!$J19&lt;=XS_Designer!$BN$93,XS_Designer!BE$93,"")</f>
        <v/>
      </c>
      <c r="Z19" s="4" t="str">
        <f>IF(XS_Designer_Bed_Mix!$J19&lt;=XS_Designer!$BN$93,XS_Designer!BF$93,"")</f>
        <v/>
      </c>
      <c r="AA19" s="4" t="str">
        <f>IF(XS_Designer_Bed_Mix!$J19&lt;=XS_Designer!$BN$93,XS_Designer!BG$93,"")</f>
        <v/>
      </c>
      <c r="AB19" s="4" t="str">
        <f>IF(XS_Designer_Bed_Mix!$J19&lt;=XS_Designer!$BN$93,XS_Designer!BH$93,"")</f>
        <v/>
      </c>
      <c r="AC19" s="4" t="str">
        <f>IF(XS_Designer_Bed_Mix!$J19&lt;=XS_Designer!$BN$93,XS_Designer!BI$93,"")</f>
        <v/>
      </c>
      <c r="AD19" s="4" t="str">
        <f>IF(XS_Designer_Bed_Mix!$J19&lt;=XS_Designer!$BN$93,XS_Designer!BJ$93,"")</f>
        <v/>
      </c>
      <c r="AE19" s="4" t="str">
        <f>IF(XS_Designer_Bed_Mix!$J19&lt;=XS_Designer!$BN$94,XS_Designer!BA$94,"")</f>
        <v/>
      </c>
      <c r="AF19" s="4" t="str">
        <f>IF(XS_Designer_Bed_Mix!$J19&lt;=XS_Designer!$BN$94,XS_Designer!BB$94,"")</f>
        <v/>
      </c>
      <c r="AG19" s="4" t="str">
        <f>IF(XS_Designer_Bed_Mix!$J19&lt;=XS_Designer!$BN$94,XS_Designer!BC$94,"")</f>
        <v/>
      </c>
      <c r="AH19" s="4" t="str">
        <f>IF(XS_Designer_Bed_Mix!$J19&lt;=XS_Designer!$BN$94,XS_Designer!BD$94,"")</f>
        <v/>
      </c>
      <c r="AI19" s="4" t="str">
        <f>IF(XS_Designer_Bed_Mix!$J19&lt;=XS_Designer!$BN$94,XS_Designer!BE$94,"")</f>
        <v/>
      </c>
      <c r="AJ19" s="4" t="str">
        <f>IF(XS_Designer_Bed_Mix!$J19&lt;=XS_Designer!$BN$94,XS_Designer!BF$94,"")</f>
        <v/>
      </c>
      <c r="AK19" s="4" t="str">
        <f>IF(XS_Designer_Bed_Mix!$J19&lt;=XS_Designer!$BN$94,XS_Designer!BG$94,"")</f>
        <v/>
      </c>
      <c r="AL19" s="4" t="str">
        <f>IF(XS_Designer_Bed_Mix!$J19&lt;=XS_Designer!$BN$94,XS_Designer!BH$94,"")</f>
        <v/>
      </c>
      <c r="AM19" s="4" t="str">
        <f>IF(XS_Designer_Bed_Mix!$J19&lt;=XS_Designer!$BN$94,XS_Designer!BI$94,"")</f>
        <v/>
      </c>
      <c r="AN19" s="4" t="str">
        <f>IF(XS_Designer_Bed_Mix!$J19&lt;=XS_Designer!$BN$94,XS_Designer!BJ$94,"")</f>
        <v/>
      </c>
      <c r="AO19" s="4" t="str">
        <f>IF(XS_Designer_Bed_Mix!$J19&lt;=XS_Designer!$BN$95,XS_Designer!BA$95,"")</f>
        <v/>
      </c>
      <c r="AP19" s="4" t="str">
        <f>IF(XS_Designer_Bed_Mix!$J19&lt;=XS_Designer!$BN$95,XS_Designer!BB$95,"")</f>
        <v/>
      </c>
      <c r="AQ19" s="4" t="str">
        <f>IF(XS_Designer_Bed_Mix!$J19&lt;=XS_Designer!$BN$95,XS_Designer!BC$95,"")</f>
        <v/>
      </c>
      <c r="AR19" s="4" t="str">
        <f>IF(XS_Designer_Bed_Mix!$J19&lt;=XS_Designer!$BN$95,XS_Designer!BD$95,"")</f>
        <v/>
      </c>
      <c r="AS19" s="4" t="str">
        <f>IF(XS_Designer_Bed_Mix!$J19&lt;=XS_Designer!$BN$95,XS_Designer!BE$95,"")</f>
        <v/>
      </c>
      <c r="AT19" s="4" t="str">
        <f>IF(XS_Designer_Bed_Mix!$J19&lt;=XS_Designer!$BN$95,XS_Designer!BF$95,"")</f>
        <v/>
      </c>
      <c r="AU19" s="4" t="str">
        <f>IF(XS_Designer_Bed_Mix!$J19&lt;=XS_Designer!$BN$95,XS_Designer!BG$95,"")</f>
        <v/>
      </c>
      <c r="AV19" s="4" t="str">
        <f>IF(XS_Designer_Bed_Mix!$J19&lt;=XS_Designer!$BN$95,XS_Designer!BH$95,"")</f>
        <v/>
      </c>
      <c r="AW19" s="4" t="str">
        <f>IF(XS_Designer_Bed_Mix!$J19&lt;=XS_Designer!$BN$95,XS_Designer!BI$95,"")</f>
        <v/>
      </c>
      <c r="AX19" s="4" t="str">
        <f>IF(XS_Designer_Bed_Mix!$J19&lt;=XS_Designer!$BN$95,XS_Designer!BJ$95,"")</f>
        <v/>
      </c>
      <c r="AY19" s="4">
        <f>IF(XS_Designer_Bed_Mix!$J19&lt;=XS_Designer!$BN$96,XS_Designer!BA$96,"")</f>
        <v>335.28000000000003</v>
      </c>
      <c r="AZ19" s="4">
        <f>IF(XS_Designer_Bed_Mix!$J19&lt;=XS_Designer!$BN$96,XS_Designer!BB$96,"")</f>
        <v>335.28000000000003</v>
      </c>
      <c r="BA19" s="4">
        <f>IF(XS_Designer_Bed_Mix!$J19&lt;=XS_Designer!$BN$96,XS_Designer!BC$96,"")</f>
        <v>335.28000000000003</v>
      </c>
      <c r="BB19" s="4">
        <f>IF(XS_Designer_Bed_Mix!$J19&lt;=XS_Designer!$BN$96,XS_Designer!BD$96,"")</f>
        <v>335.28000000000003</v>
      </c>
      <c r="BC19" s="4">
        <f>IF(XS_Designer_Bed_Mix!$J19&lt;=XS_Designer!$BN$96,XS_Designer!BE$96,"")</f>
        <v>335.28000000000003</v>
      </c>
      <c r="BD19" s="4">
        <f>IF(XS_Designer_Bed_Mix!$J19&lt;=XS_Designer!$BN$96,XS_Designer!BF$96,"")</f>
        <v>335.28000000000003</v>
      </c>
      <c r="BE19" s="4">
        <f>IF(XS_Designer_Bed_Mix!$J19&lt;=XS_Designer!$BN$96,XS_Designer!BG$96,"")</f>
        <v>335.28000000000003</v>
      </c>
      <c r="BF19" s="4">
        <f>IF(XS_Designer_Bed_Mix!$J19&lt;=XS_Designer!$BN$96,XS_Designer!BH$96,"")</f>
        <v>335.28000000000003</v>
      </c>
      <c r="BG19" s="4">
        <f>IF(XS_Designer_Bed_Mix!$J19&lt;=XS_Designer!$BN$96,XS_Designer!BI$96,"")</f>
        <v>335.28000000000003</v>
      </c>
      <c r="BH19" s="4">
        <f>IF(XS_Designer_Bed_Mix!$J19&lt;=XS_Designer!$BN$96,XS_Designer!BJ$96,"")</f>
        <v>335.28000000000003</v>
      </c>
      <c r="BI19" s="4" t="str">
        <f>IF(XS_Designer_Bed_Mix!$J19&lt;=XS_Designer!$BN$97,XS_Designer!BA$97,"")</f>
        <v/>
      </c>
      <c r="BJ19" s="4" t="str">
        <f>IF(XS_Designer_Bed_Mix!$J19&lt;=XS_Designer!$BN$97,XS_Designer!BB$97,"")</f>
        <v/>
      </c>
      <c r="BK19" s="4" t="str">
        <f>IF(XS_Designer_Bed_Mix!$J19&lt;=XS_Designer!$BN$97,XS_Designer!BC$97,"")</f>
        <v/>
      </c>
      <c r="BL19" s="4" t="str">
        <f>IF(XS_Designer_Bed_Mix!$J19&lt;=XS_Designer!$BN$97,XS_Designer!BD$97,"")</f>
        <v/>
      </c>
      <c r="BM19" s="4" t="str">
        <f>IF(XS_Designer_Bed_Mix!$J19&lt;=XS_Designer!$BN$97,XS_Designer!BE$97,"")</f>
        <v/>
      </c>
      <c r="BN19" s="4" t="str">
        <f>IF(XS_Designer_Bed_Mix!$J19&lt;=XS_Designer!$BN$97,XS_Designer!BF$97,"")</f>
        <v/>
      </c>
      <c r="BO19" s="4" t="str">
        <f>IF(XS_Designer_Bed_Mix!$J19&lt;=XS_Designer!$BN$97,XS_Designer!BG$97,"")</f>
        <v/>
      </c>
      <c r="BP19" s="4" t="str">
        <f>IF(XS_Designer_Bed_Mix!$J19&lt;=XS_Designer!$BN$97,XS_Designer!BH$97,"")</f>
        <v/>
      </c>
      <c r="BQ19" s="4" t="str">
        <f>IF(XS_Designer_Bed_Mix!$J19&lt;=XS_Designer!$BN$97,XS_Designer!BI$97,"")</f>
        <v/>
      </c>
      <c r="BR19" s="4" t="str">
        <f>IF(XS_Designer_Bed_Mix!$J19&lt;=XS_Designer!$BN$97,XS_Designer!BJ$97,"")</f>
        <v/>
      </c>
      <c r="BS19" s="4" t="str">
        <f>IF(XS_Designer_Bed_Mix!$J19&lt;=XS_Designer!$BN$98,XS_Designer!BA$98,"")</f>
        <v/>
      </c>
      <c r="BT19" s="4" t="str">
        <f>IF(XS_Designer_Bed_Mix!$J19&lt;=XS_Designer!$BN$98,XS_Designer!BB$98,"")</f>
        <v/>
      </c>
      <c r="BU19" s="4" t="str">
        <f>IF(XS_Designer_Bed_Mix!$J19&lt;=XS_Designer!$BN$98,XS_Designer!BC$98,"")</f>
        <v/>
      </c>
      <c r="BV19" s="4" t="str">
        <f>IF(XS_Designer_Bed_Mix!$J19&lt;=XS_Designer!$BN$98,XS_Designer!BD$98,"")</f>
        <v/>
      </c>
      <c r="BW19" s="4" t="str">
        <f>IF(XS_Designer_Bed_Mix!$J19&lt;=XS_Designer!$BN$98,XS_Designer!BE$98,"")</f>
        <v/>
      </c>
      <c r="BX19" s="4" t="str">
        <f>IF(XS_Designer_Bed_Mix!$J19&lt;=XS_Designer!$BN$98,XS_Designer!BF$98,"")</f>
        <v/>
      </c>
      <c r="BY19" s="4" t="str">
        <f>IF(XS_Designer_Bed_Mix!$J19&lt;=XS_Designer!$BN$98,XS_Designer!BG$98,"")</f>
        <v/>
      </c>
      <c r="BZ19" s="4" t="str">
        <f>IF(XS_Designer_Bed_Mix!$J19&lt;=XS_Designer!$BN$98,XS_Designer!BH$98,"")</f>
        <v/>
      </c>
      <c r="CA19" s="4" t="str">
        <f>IF(XS_Designer_Bed_Mix!$J19&lt;=XS_Designer!$BN$98,XS_Designer!BI$98,"")</f>
        <v/>
      </c>
      <c r="CB19" s="4" t="str">
        <f>IF(XS_Designer_Bed_Mix!$J19&lt;=XS_Designer!$BN$98,XS_Designer!BJ$98,"")</f>
        <v/>
      </c>
      <c r="CC19" s="4" t="str">
        <f>IF(XS_Designer_Bed_Mix!$J19&lt;=XS_Designer!$BN$99,XS_Designer!BA$99,"")</f>
        <v/>
      </c>
      <c r="CD19" s="4" t="str">
        <f>IF(XS_Designer_Bed_Mix!$J19&lt;=XS_Designer!$BN$99,XS_Designer!BB$99,"")</f>
        <v/>
      </c>
      <c r="CE19" s="4" t="str">
        <f>IF(XS_Designer_Bed_Mix!$J19&lt;=XS_Designer!$BN$99,XS_Designer!BC$99,"")</f>
        <v/>
      </c>
      <c r="CF19" s="4" t="str">
        <f>IF(XS_Designer_Bed_Mix!$J19&lt;=XS_Designer!$BN$99,XS_Designer!BD$99,"")</f>
        <v/>
      </c>
      <c r="CG19" s="4" t="str">
        <f>IF(XS_Designer_Bed_Mix!$J19&lt;=XS_Designer!$BN$99,XS_Designer!BE$99,"")</f>
        <v/>
      </c>
      <c r="CH19" s="4" t="str">
        <f>IF(XS_Designer_Bed_Mix!$J19&lt;=XS_Designer!$BN$99,XS_Designer!BF$99,"")</f>
        <v/>
      </c>
      <c r="CI19" s="4" t="str">
        <f>IF(XS_Designer_Bed_Mix!$J19&lt;=XS_Designer!$BN$99,XS_Designer!BG$99,"")</f>
        <v/>
      </c>
      <c r="CJ19" s="4" t="str">
        <f>IF(XS_Designer_Bed_Mix!$J19&lt;=XS_Designer!$BN$99,XS_Designer!BH$99,"")</f>
        <v/>
      </c>
      <c r="CK19" s="4" t="str">
        <f>IF(XS_Designer_Bed_Mix!$J19&lt;=XS_Designer!$BN$99,XS_Designer!BI$99,"")</f>
        <v/>
      </c>
      <c r="CL19" s="4" t="str">
        <f>IF(XS_Designer_Bed_Mix!$J19&lt;=XS_Designer!$BN$99,XS_Designer!BJ$99,"")</f>
        <v/>
      </c>
      <c r="CM19" s="4">
        <f>IF(XS_Designer_Bed_Mix!$J19&lt;=XS_Designer!$BN$100,XS_Designer!BA$100,"")</f>
        <v>64</v>
      </c>
      <c r="CN19" s="4">
        <f>IF(XS_Designer_Bed_Mix!$J19&lt;=XS_Designer!$BN$100,XS_Designer!BB$100,"")</f>
        <v>57.6</v>
      </c>
      <c r="CO19" s="4">
        <f>IF(XS_Designer_Bed_Mix!$J19&lt;=XS_Designer!$BN$100,XS_Designer!BC$100,"")</f>
        <v>51.2</v>
      </c>
      <c r="CP19" s="4">
        <f>IF(XS_Designer_Bed_Mix!$J19&lt;=XS_Designer!$BN$100,XS_Designer!BD$100,"")</f>
        <v>44.800000000000004</v>
      </c>
      <c r="CQ19" s="4">
        <f>IF(XS_Designer_Bed_Mix!$J19&lt;=XS_Designer!$BN$100,XS_Designer!BE$100,"")</f>
        <v>38.400000000000006</v>
      </c>
      <c r="CR19" s="4">
        <f>IF(XS_Designer_Bed_Mix!$J19&lt;=XS_Designer!$BN$100,XS_Designer!BF$100,"")</f>
        <v>32</v>
      </c>
      <c r="CS19" s="4">
        <f>IF(XS_Designer_Bed_Mix!$J19&lt;=XS_Designer!$BN$100,XS_Designer!BG$100,"")</f>
        <v>26</v>
      </c>
      <c r="CT19" s="4">
        <f>IF(XS_Designer_Bed_Mix!$J19&lt;=XS_Designer!$BN$100,XS_Designer!BH$100,"")</f>
        <v>20</v>
      </c>
      <c r="CU19" s="4">
        <f>IF(XS_Designer_Bed_Mix!$J19&lt;=XS_Designer!$BN$100,XS_Designer!BI$100,"")</f>
        <v>14</v>
      </c>
      <c r="CV19" s="4">
        <f>IF(XS_Designer_Bed_Mix!$J19&lt;=XS_Designer!$BN$100,XS_Designer!BJ$100,"")</f>
        <v>8</v>
      </c>
      <c r="CW19" s="4" t="str">
        <f>IF(XS_Designer_Bed_Mix!$J19&lt;=XS_Designer!$BN$101,XS_Designer!BA$101,"")</f>
        <v/>
      </c>
      <c r="CX19" s="4" t="str">
        <f>IF(XS_Designer_Bed_Mix!$J19&lt;=XS_Designer!$BN$101,XS_Designer!BB$101,"")</f>
        <v/>
      </c>
      <c r="CY19" s="4" t="str">
        <f>IF(XS_Designer_Bed_Mix!$J19&lt;=XS_Designer!$BN$101,XS_Designer!BC$101,"")</f>
        <v/>
      </c>
      <c r="CZ19" s="4" t="str">
        <f>IF(XS_Designer_Bed_Mix!$J19&lt;=XS_Designer!$BN$101,XS_Designer!BD$101,"")</f>
        <v/>
      </c>
      <c r="DA19" s="4" t="str">
        <f>IF(XS_Designer_Bed_Mix!$J19&lt;=XS_Designer!$BN$101,XS_Designer!BE$101,"")</f>
        <v/>
      </c>
      <c r="DB19" s="4" t="str">
        <f>IF(XS_Designer_Bed_Mix!$J19&lt;=XS_Designer!$BN$101,XS_Designer!BF$101,"")</f>
        <v/>
      </c>
      <c r="DC19" s="4" t="str">
        <f>IF(XS_Designer_Bed_Mix!$J19&lt;=XS_Designer!$BN$101,XS_Designer!BG$101,"")</f>
        <v/>
      </c>
      <c r="DD19" s="4" t="str">
        <f>IF(XS_Designer_Bed_Mix!$J19&lt;=XS_Designer!$BN$101,XS_Designer!BH$101,"")</f>
        <v/>
      </c>
      <c r="DE19" s="4" t="str">
        <f>IF(XS_Designer_Bed_Mix!$J19&lt;=XS_Designer!$BN$101,XS_Designer!BI$101,"")</f>
        <v/>
      </c>
      <c r="DF19" s="4" t="str">
        <f>IF(XS_Designer_Bed_Mix!$J19&lt;=XS_Designer!$BN$101,XS_Designer!BJ$101,"")</f>
        <v/>
      </c>
      <c r="DG19" s="4" t="str">
        <f>IF(XS_Designer_Bed_Mix!$J19&lt;=XS_Designer!$BN$102,XS_Designer!BA$102,"")</f>
        <v/>
      </c>
      <c r="DH19" s="4" t="str">
        <f>IF(XS_Designer_Bed_Mix!$J19&lt;=XS_Designer!$BN$102,XS_Designer!BB$102,"")</f>
        <v/>
      </c>
      <c r="DI19" s="4" t="str">
        <f>IF(XS_Designer_Bed_Mix!$J19&lt;=XS_Designer!$BN$102,XS_Designer!BC$102,"")</f>
        <v/>
      </c>
      <c r="DJ19" s="4" t="str">
        <f>IF(XS_Designer_Bed_Mix!$J19&lt;=XS_Designer!$BN$102,XS_Designer!BD$102,"")</f>
        <v/>
      </c>
      <c r="DK19" s="4" t="str">
        <f>IF(XS_Designer_Bed_Mix!$J19&lt;=XS_Designer!$BN$102,XS_Designer!BE$102,"")</f>
        <v/>
      </c>
      <c r="DL19" s="4" t="str">
        <f>IF(XS_Designer_Bed_Mix!$J19&lt;=XS_Designer!$BN$102,XS_Designer!BF$102,"")</f>
        <v/>
      </c>
      <c r="DM19" s="4" t="str">
        <f>IF(XS_Designer_Bed_Mix!$J19&lt;=XS_Designer!$BN$102,XS_Designer!BG$102,"")</f>
        <v/>
      </c>
      <c r="DN19" s="4" t="str">
        <f>IF(XS_Designer_Bed_Mix!$J19&lt;=XS_Designer!$BN$102,XS_Designer!BH$102,"")</f>
        <v/>
      </c>
      <c r="DO19" s="4" t="str">
        <f>IF(XS_Designer_Bed_Mix!$J19&lt;=XS_Designer!$BN$102,XS_Designer!BI$102,"")</f>
        <v/>
      </c>
      <c r="DP19" s="4" t="str">
        <f>IF(XS_Designer_Bed_Mix!$J19&lt;=XS_Designer!$BN$102,XS_Designer!BJ$102,"")</f>
        <v/>
      </c>
    </row>
    <row r="20" spans="10:120">
      <c r="J20" s="3">
        <v>0.19</v>
      </c>
      <c r="K20" s="4" t="str">
        <f>IF(XS_Designer_Bed_Mix!$J20&lt;=XS_Designer!$BN$92,XS_Designer!BA$92,"")</f>
        <v/>
      </c>
      <c r="L20" s="4" t="str">
        <f>IF(XS_Designer_Bed_Mix!$J20&lt;=XS_Designer!$BN$92,XS_Designer!BB$92,"")</f>
        <v/>
      </c>
      <c r="M20" s="4" t="str">
        <f>IF(XS_Designer_Bed_Mix!$J20&lt;=XS_Designer!$BN$92,XS_Designer!BC$92,"")</f>
        <v/>
      </c>
      <c r="N20" s="4" t="str">
        <f>IF(XS_Designer_Bed_Mix!$J20&lt;=XS_Designer!$BN$92,XS_Designer!BD$92,"")</f>
        <v/>
      </c>
      <c r="O20" s="4" t="str">
        <f>IF(XS_Designer_Bed_Mix!$J20&lt;=XS_Designer!$BN$92,XS_Designer!BE$92,"")</f>
        <v/>
      </c>
      <c r="P20" s="4" t="str">
        <f>IF(XS_Designer_Bed_Mix!$J20&lt;=XS_Designer!$BN$92,XS_Designer!BF$92,"")</f>
        <v/>
      </c>
      <c r="Q20" s="4" t="str">
        <f>IF(XS_Designer_Bed_Mix!$J20&lt;=XS_Designer!$BN$92,XS_Designer!BG$92,"")</f>
        <v/>
      </c>
      <c r="R20" s="4" t="str">
        <f>IF(XS_Designer_Bed_Mix!$J20&lt;=XS_Designer!$BN$92,XS_Designer!BH$92,"")</f>
        <v/>
      </c>
      <c r="S20" s="4" t="str">
        <f>IF(XS_Designer_Bed_Mix!$J20&lt;=XS_Designer!$BN$92,XS_Designer!BI$92,"")</f>
        <v/>
      </c>
      <c r="T20" s="4" t="str">
        <f>IF(XS_Designer_Bed_Mix!$J20&lt;=XS_Designer!$BN$92,XS_Designer!BJ$92,"")</f>
        <v/>
      </c>
      <c r="U20" s="4" t="str">
        <f>IF(XS_Designer_Bed_Mix!$J20&lt;=XS_Designer!$BN$93,XS_Designer!BA$93,"")</f>
        <v/>
      </c>
      <c r="V20" s="4" t="str">
        <f>IF(XS_Designer_Bed_Mix!$J20&lt;=XS_Designer!$BN$93,XS_Designer!BB$93,"")</f>
        <v/>
      </c>
      <c r="W20" s="4" t="str">
        <f>IF(XS_Designer_Bed_Mix!$J20&lt;=XS_Designer!$BN$93,XS_Designer!BC$93,"")</f>
        <v/>
      </c>
      <c r="X20" s="4" t="str">
        <f>IF(XS_Designer_Bed_Mix!$J20&lt;=XS_Designer!$BN$93,XS_Designer!BD$93,"")</f>
        <v/>
      </c>
      <c r="Y20" s="4" t="str">
        <f>IF(XS_Designer_Bed_Mix!$J20&lt;=XS_Designer!$BN$93,XS_Designer!BE$93,"")</f>
        <v/>
      </c>
      <c r="Z20" s="4" t="str">
        <f>IF(XS_Designer_Bed_Mix!$J20&lt;=XS_Designer!$BN$93,XS_Designer!BF$93,"")</f>
        <v/>
      </c>
      <c r="AA20" s="4" t="str">
        <f>IF(XS_Designer_Bed_Mix!$J20&lt;=XS_Designer!$BN$93,XS_Designer!BG$93,"")</f>
        <v/>
      </c>
      <c r="AB20" s="4" t="str">
        <f>IF(XS_Designer_Bed_Mix!$J20&lt;=XS_Designer!$BN$93,XS_Designer!BH$93,"")</f>
        <v/>
      </c>
      <c r="AC20" s="4" t="str">
        <f>IF(XS_Designer_Bed_Mix!$J20&lt;=XS_Designer!$BN$93,XS_Designer!BI$93,"")</f>
        <v/>
      </c>
      <c r="AD20" s="4" t="str">
        <f>IF(XS_Designer_Bed_Mix!$J20&lt;=XS_Designer!$BN$93,XS_Designer!BJ$93,"")</f>
        <v/>
      </c>
      <c r="AE20" s="4" t="str">
        <f>IF(XS_Designer_Bed_Mix!$J20&lt;=XS_Designer!$BN$94,XS_Designer!BA$94,"")</f>
        <v/>
      </c>
      <c r="AF20" s="4" t="str">
        <f>IF(XS_Designer_Bed_Mix!$J20&lt;=XS_Designer!$BN$94,XS_Designer!BB$94,"")</f>
        <v/>
      </c>
      <c r="AG20" s="4" t="str">
        <f>IF(XS_Designer_Bed_Mix!$J20&lt;=XS_Designer!$BN$94,XS_Designer!BC$94,"")</f>
        <v/>
      </c>
      <c r="AH20" s="4" t="str">
        <f>IF(XS_Designer_Bed_Mix!$J20&lt;=XS_Designer!$BN$94,XS_Designer!BD$94,"")</f>
        <v/>
      </c>
      <c r="AI20" s="4" t="str">
        <f>IF(XS_Designer_Bed_Mix!$J20&lt;=XS_Designer!$BN$94,XS_Designer!BE$94,"")</f>
        <v/>
      </c>
      <c r="AJ20" s="4" t="str">
        <f>IF(XS_Designer_Bed_Mix!$J20&lt;=XS_Designer!$BN$94,XS_Designer!BF$94,"")</f>
        <v/>
      </c>
      <c r="AK20" s="4" t="str">
        <f>IF(XS_Designer_Bed_Mix!$J20&lt;=XS_Designer!$BN$94,XS_Designer!BG$94,"")</f>
        <v/>
      </c>
      <c r="AL20" s="4" t="str">
        <f>IF(XS_Designer_Bed_Mix!$J20&lt;=XS_Designer!$BN$94,XS_Designer!BH$94,"")</f>
        <v/>
      </c>
      <c r="AM20" s="4" t="str">
        <f>IF(XS_Designer_Bed_Mix!$J20&lt;=XS_Designer!$BN$94,XS_Designer!BI$94,"")</f>
        <v/>
      </c>
      <c r="AN20" s="4" t="str">
        <f>IF(XS_Designer_Bed_Mix!$J20&lt;=XS_Designer!$BN$94,XS_Designer!BJ$94,"")</f>
        <v/>
      </c>
      <c r="AO20" s="4" t="str">
        <f>IF(XS_Designer_Bed_Mix!$J20&lt;=XS_Designer!$BN$95,XS_Designer!BA$95,"")</f>
        <v/>
      </c>
      <c r="AP20" s="4" t="str">
        <f>IF(XS_Designer_Bed_Mix!$J20&lt;=XS_Designer!$BN$95,XS_Designer!BB$95,"")</f>
        <v/>
      </c>
      <c r="AQ20" s="4" t="str">
        <f>IF(XS_Designer_Bed_Mix!$J20&lt;=XS_Designer!$BN$95,XS_Designer!BC$95,"")</f>
        <v/>
      </c>
      <c r="AR20" s="4" t="str">
        <f>IF(XS_Designer_Bed_Mix!$J20&lt;=XS_Designer!$BN$95,XS_Designer!BD$95,"")</f>
        <v/>
      </c>
      <c r="AS20" s="4" t="str">
        <f>IF(XS_Designer_Bed_Mix!$J20&lt;=XS_Designer!$BN$95,XS_Designer!BE$95,"")</f>
        <v/>
      </c>
      <c r="AT20" s="4" t="str">
        <f>IF(XS_Designer_Bed_Mix!$J20&lt;=XS_Designer!$BN$95,XS_Designer!BF$95,"")</f>
        <v/>
      </c>
      <c r="AU20" s="4" t="str">
        <f>IF(XS_Designer_Bed_Mix!$J20&lt;=XS_Designer!$BN$95,XS_Designer!BG$95,"")</f>
        <v/>
      </c>
      <c r="AV20" s="4" t="str">
        <f>IF(XS_Designer_Bed_Mix!$J20&lt;=XS_Designer!$BN$95,XS_Designer!BH$95,"")</f>
        <v/>
      </c>
      <c r="AW20" s="4" t="str">
        <f>IF(XS_Designer_Bed_Mix!$J20&lt;=XS_Designer!$BN$95,XS_Designer!BI$95,"")</f>
        <v/>
      </c>
      <c r="AX20" s="4" t="str">
        <f>IF(XS_Designer_Bed_Mix!$J20&lt;=XS_Designer!$BN$95,XS_Designer!BJ$95,"")</f>
        <v/>
      </c>
      <c r="AY20" s="4">
        <f>IF(XS_Designer_Bed_Mix!$J20&lt;=XS_Designer!$BN$96,XS_Designer!BA$96,"")</f>
        <v>335.28000000000003</v>
      </c>
      <c r="AZ20" s="4">
        <f>IF(XS_Designer_Bed_Mix!$J20&lt;=XS_Designer!$BN$96,XS_Designer!BB$96,"")</f>
        <v>335.28000000000003</v>
      </c>
      <c r="BA20" s="4">
        <f>IF(XS_Designer_Bed_Mix!$J20&lt;=XS_Designer!$BN$96,XS_Designer!BC$96,"")</f>
        <v>335.28000000000003</v>
      </c>
      <c r="BB20" s="4">
        <f>IF(XS_Designer_Bed_Mix!$J20&lt;=XS_Designer!$BN$96,XS_Designer!BD$96,"")</f>
        <v>335.28000000000003</v>
      </c>
      <c r="BC20" s="4">
        <f>IF(XS_Designer_Bed_Mix!$J20&lt;=XS_Designer!$BN$96,XS_Designer!BE$96,"")</f>
        <v>335.28000000000003</v>
      </c>
      <c r="BD20" s="4">
        <f>IF(XS_Designer_Bed_Mix!$J20&lt;=XS_Designer!$BN$96,XS_Designer!BF$96,"")</f>
        <v>335.28000000000003</v>
      </c>
      <c r="BE20" s="4">
        <f>IF(XS_Designer_Bed_Mix!$J20&lt;=XS_Designer!$BN$96,XS_Designer!BG$96,"")</f>
        <v>335.28000000000003</v>
      </c>
      <c r="BF20" s="4">
        <f>IF(XS_Designer_Bed_Mix!$J20&lt;=XS_Designer!$BN$96,XS_Designer!BH$96,"")</f>
        <v>335.28000000000003</v>
      </c>
      <c r="BG20" s="4">
        <f>IF(XS_Designer_Bed_Mix!$J20&lt;=XS_Designer!$BN$96,XS_Designer!BI$96,"")</f>
        <v>335.28000000000003</v>
      </c>
      <c r="BH20" s="4">
        <f>IF(XS_Designer_Bed_Mix!$J20&lt;=XS_Designer!$BN$96,XS_Designer!BJ$96,"")</f>
        <v>335.28000000000003</v>
      </c>
      <c r="BI20" s="4" t="str">
        <f>IF(XS_Designer_Bed_Mix!$J20&lt;=XS_Designer!$BN$97,XS_Designer!BA$97,"")</f>
        <v/>
      </c>
      <c r="BJ20" s="4" t="str">
        <f>IF(XS_Designer_Bed_Mix!$J20&lt;=XS_Designer!$BN$97,XS_Designer!BB$97,"")</f>
        <v/>
      </c>
      <c r="BK20" s="4" t="str">
        <f>IF(XS_Designer_Bed_Mix!$J20&lt;=XS_Designer!$BN$97,XS_Designer!BC$97,"")</f>
        <v/>
      </c>
      <c r="BL20" s="4" t="str">
        <f>IF(XS_Designer_Bed_Mix!$J20&lt;=XS_Designer!$BN$97,XS_Designer!BD$97,"")</f>
        <v/>
      </c>
      <c r="BM20" s="4" t="str">
        <f>IF(XS_Designer_Bed_Mix!$J20&lt;=XS_Designer!$BN$97,XS_Designer!BE$97,"")</f>
        <v/>
      </c>
      <c r="BN20" s="4" t="str">
        <f>IF(XS_Designer_Bed_Mix!$J20&lt;=XS_Designer!$BN$97,XS_Designer!BF$97,"")</f>
        <v/>
      </c>
      <c r="BO20" s="4" t="str">
        <f>IF(XS_Designer_Bed_Mix!$J20&lt;=XS_Designer!$BN$97,XS_Designer!BG$97,"")</f>
        <v/>
      </c>
      <c r="BP20" s="4" t="str">
        <f>IF(XS_Designer_Bed_Mix!$J20&lt;=XS_Designer!$BN$97,XS_Designer!BH$97,"")</f>
        <v/>
      </c>
      <c r="BQ20" s="4" t="str">
        <f>IF(XS_Designer_Bed_Mix!$J20&lt;=XS_Designer!$BN$97,XS_Designer!BI$97,"")</f>
        <v/>
      </c>
      <c r="BR20" s="4" t="str">
        <f>IF(XS_Designer_Bed_Mix!$J20&lt;=XS_Designer!$BN$97,XS_Designer!BJ$97,"")</f>
        <v/>
      </c>
      <c r="BS20" s="4" t="str">
        <f>IF(XS_Designer_Bed_Mix!$J20&lt;=XS_Designer!$BN$98,XS_Designer!BA$98,"")</f>
        <v/>
      </c>
      <c r="BT20" s="4" t="str">
        <f>IF(XS_Designer_Bed_Mix!$J20&lt;=XS_Designer!$BN$98,XS_Designer!BB$98,"")</f>
        <v/>
      </c>
      <c r="BU20" s="4" t="str">
        <f>IF(XS_Designer_Bed_Mix!$J20&lt;=XS_Designer!$BN$98,XS_Designer!BC$98,"")</f>
        <v/>
      </c>
      <c r="BV20" s="4" t="str">
        <f>IF(XS_Designer_Bed_Mix!$J20&lt;=XS_Designer!$BN$98,XS_Designer!BD$98,"")</f>
        <v/>
      </c>
      <c r="BW20" s="4" t="str">
        <f>IF(XS_Designer_Bed_Mix!$J20&lt;=XS_Designer!$BN$98,XS_Designer!BE$98,"")</f>
        <v/>
      </c>
      <c r="BX20" s="4" t="str">
        <f>IF(XS_Designer_Bed_Mix!$J20&lt;=XS_Designer!$BN$98,XS_Designer!BF$98,"")</f>
        <v/>
      </c>
      <c r="BY20" s="4" t="str">
        <f>IF(XS_Designer_Bed_Mix!$J20&lt;=XS_Designer!$BN$98,XS_Designer!BG$98,"")</f>
        <v/>
      </c>
      <c r="BZ20" s="4" t="str">
        <f>IF(XS_Designer_Bed_Mix!$J20&lt;=XS_Designer!$BN$98,XS_Designer!BH$98,"")</f>
        <v/>
      </c>
      <c r="CA20" s="4" t="str">
        <f>IF(XS_Designer_Bed_Mix!$J20&lt;=XS_Designer!$BN$98,XS_Designer!BI$98,"")</f>
        <v/>
      </c>
      <c r="CB20" s="4" t="str">
        <f>IF(XS_Designer_Bed_Mix!$J20&lt;=XS_Designer!$BN$98,XS_Designer!BJ$98,"")</f>
        <v/>
      </c>
      <c r="CC20" s="4" t="str">
        <f>IF(XS_Designer_Bed_Mix!$J20&lt;=XS_Designer!$BN$99,XS_Designer!BA$99,"")</f>
        <v/>
      </c>
      <c r="CD20" s="4" t="str">
        <f>IF(XS_Designer_Bed_Mix!$J20&lt;=XS_Designer!$BN$99,XS_Designer!BB$99,"")</f>
        <v/>
      </c>
      <c r="CE20" s="4" t="str">
        <f>IF(XS_Designer_Bed_Mix!$J20&lt;=XS_Designer!$BN$99,XS_Designer!BC$99,"")</f>
        <v/>
      </c>
      <c r="CF20" s="4" t="str">
        <f>IF(XS_Designer_Bed_Mix!$J20&lt;=XS_Designer!$BN$99,XS_Designer!BD$99,"")</f>
        <v/>
      </c>
      <c r="CG20" s="4" t="str">
        <f>IF(XS_Designer_Bed_Mix!$J20&lt;=XS_Designer!$BN$99,XS_Designer!BE$99,"")</f>
        <v/>
      </c>
      <c r="CH20" s="4" t="str">
        <f>IF(XS_Designer_Bed_Mix!$J20&lt;=XS_Designer!$BN$99,XS_Designer!BF$99,"")</f>
        <v/>
      </c>
      <c r="CI20" s="4" t="str">
        <f>IF(XS_Designer_Bed_Mix!$J20&lt;=XS_Designer!$BN$99,XS_Designer!BG$99,"")</f>
        <v/>
      </c>
      <c r="CJ20" s="4" t="str">
        <f>IF(XS_Designer_Bed_Mix!$J20&lt;=XS_Designer!$BN$99,XS_Designer!BH$99,"")</f>
        <v/>
      </c>
      <c r="CK20" s="4" t="str">
        <f>IF(XS_Designer_Bed_Mix!$J20&lt;=XS_Designer!$BN$99,XS_Designer!BI$99,"")</f>
        <v/>
      </c>
      <c r="CL20" s="4" t="str">
        <f>IF(XS_Designer_Bed_Mix!$J20&lt;=XS_Designer!$BN$99,XS_Designer!BJ$99,"")</f>
        <v/>
      </c>
      <c r="CM20" s="4">
        <f>IF(XS_Designer_Bed_Mix!$J20&lt;=XS_Designer!$BN$100,XS_Designer!BA$100,"")</f>
        <v>64</v>
      </c>
      <c r="CN20" s="4">
        <f>IF(XS_Designer_Bed_Mix!$J20&lt;=XS_Designer!$BN$100,XS_Designer!BB$100,"")</f>
        <v>57.6</v>
      </c>
      <c r="CO20" s="4">
        <f>IF(XS_Designer_Bed_Mix!$J20&lt;=XS_Designer!$BN$100,XS_Designer!BC$100,"")</f>
        <v>51.2</v>
      </c>
      <c r="CP20" s="4">
        <f>IF(XS_Designer_Bed_Mix!$J20&lt;=XS_Designer!$BN$100,XS_Designer!BD$100,"")</f>
        <v>44.800000000000004</v>
      </c>
      <c r="CQ20" s="4">
        <f>IF(XS_Designer_Bed_Mix!$J20&lt;=XS_Designer!$BN$100,XS_Designer!BE$100,"")</f>
        <v>38.400000000000006</v>
      </c>
      <c r="CR20" s="4">
        <f>IF(XS_Designer_Bed_Mix!$J20&lt;=XS_Designer!$BN$100,XS_Designer!BF$100,"")</f>
        <v>32</v>
      </c>
      <c r="CS20" s="4">
        <f>IF(XS_Designer_Bed_Mix!$J20&lt;=XS_Designer!$BN$100,XS_Designer!BG$100,"")</f>
        <v>26</v>
      </c>
      <c r="CT20" s="4">
        <f>IF(XS_Designer_Bed_Mix!$J20&lt;=XS_Designer!$BN$100,XS_Designer!BH$100,"")</f>
        <v>20</v>
      </c>
      <c r="CU20" s="4">
        <f>IF(XS_Designer_Bed_Mix!$J20&lt;=XS_Designer!$BN$100,XS_Designer!BI$100,"")</f>
        <v>14</v>
      </c>
      <c r="CV20" s="4">
        <f>IF(XS_Designer_Bed_Mix!$J20&lt;=XS_Designer!$BN$100,XS_Designer!BJ$100,"")</f>
        <v>8</v>
      </c>
      <c r="CW20" s="4" t="str">
        <f>IF(XS_Designer_Bed_Mix!$J20&lt;=XS_Designer!$BN$101,XS_Designer!BA$101,"")</f>
        <v/>
      </c>
      <c r="CX20" s="4" t="str">
        <f>IF(XS_Designer_Bed_Mix!$J20&lt;=XS_Designer!$BN$101,XS_Designer!BB$101,"")</f>
        <v/>
      </c>
      <c r="CY20" s="4" t="str">
        <f>IF(XS_Designer_Bed_Mix!$J20&lt;=XS_Designer!$BN$101,XS_Designer!BC$101,"")</f>
        <v/>
      </c>
      <c r="CZ20" s="4" t="str">
        <f>IF(XS_Designer_Bed_Mix!$J20&lt;=XS_Designer!$BN$101,XS_Designer!BD$101,"")</f>
        <v/>
      </c>
      <c r="DA20" s="4" t="str">
        <f>IF(XS_Designer_Bed_Mix!$J20&lt;=XS_Designer!$BN$101,XS_Designer!BE$101,"")</f>
        <v/>
      </c>
      <c r="DB20" s="4" t="str">
        <f>IF(XS_Designer_Bed_Mix!$J20&lt;=XS_Designer!$BN$101,XS_Designer!BF$101,"")</f>
        <v/>
      </c>
      <c r="DC20" s="4" t="str">
        <f>IF(XS_Designer_Bed_Mix!$J20&lt;=XS_Designer!$BN$101,XS_Designer!BG$101,"")</f>
        <v/>
      </c>
      <c r="DD20" s="4" t="str">
        <f>IF(XS_Designer_Bed_Mix!$J20&lt;=XS_Designer!$BN$101,XS_Designer!BH$101,"")</f>
        <v/>
      </c>
      <c r="DE20" s="4" t="str">
        <f>IF(XS_Designer_Bed_Mix!$J20&lt;=XS_Designer!$BN$101,XS_Designer!BI$101,"")</f>
        <v/>
      </c>
      <c r="DF20" s="4" t="str">
        <f>IF(XS_Designer_Bed_Mix!$J20&lt;=XS_Designer!$BN$101,XS_Designer!BJ$101,"")</f>
        <v/>
      </c>
      <c r="DG20" s="4" t="str">
        <f>IF(XS_Designer_Bed_Mix!$J20&lt;=XS_Designer!$BN$102,XS_Designer!BA$102,"")</f>
        <v/>
      </c>
      <c r="DH20" s="4" t="str">
        <f>IF(XS_Designer_Bed_Mix!$J20&lt;=XS_Designer!$BN$102,XS_Designer!BB$102,"")</f>
        <v/>
      </c>
      <c r="DI20" s="4" t="str">
        <f>IF(XS_Designer_Bed_Mix!$J20&lt;=XS_Designer!$BN$102,XS_Designer!BC$102,"")</f>
        <v/>
      </c>
      <c r="DJ20" s="4" t="str">
        <f>IF(XS_Designer_Bed_Mix!$J20&lt;=XS_Designer!$BN$102,XS_Designer!BD$102,"")</f>
        <v/>
      </c>
      <c r="DK20" s="4" t="str">
        <f>IF(XS_Designer_Bed_Mix!$J20&lt;=XS_Designer!$BN$102,XS_Designer!BE$102,"")</f>
        <v/>
      </c>
      <c r="DL20" s="4" t="str">
        <f>IF(XS_Designer_Bed_Mix!$J20&lt;=XS_Designer!$BN$102,XS_Designer!BF$102,"")</f>
        <v/>
      </c>
      <c r="DM20" s="4" t="str">
        <f>IF(XS_Designer_Bed_Mix!$J20&lt;=XS_Designer!$BN$102,XS_Designer!BG$102,"")</f>
        <v/>
      </c>
      <c r="DN20" s="4" t="str">
        <f>IF(XS_Designer_Bed_Mix!$J20&lt;=XS_Designer!$BN$102,XS_Designer!BH$102,"")</f>
        <v/>
      </c>
      <c r="DO20" s="4" t="str">
        <f>IF(XS_Designer_Bed_Mix!$J20&lt;=XS_Designer!$BN$102,XS_Designer!BI$102,"")</f>
        <v/>
      </c>
      <c r="DP20" s="4" t="str">
        <f>IF(XS_Designer_Bed_Mix!$J20&lt;=XS_Designer!$BN$102,XS_Designer!BJ$102,"")</f>
        <v/>
      </c>
    </row>
    <row r="21" spans="10:120">
      <c r="J21" s="3">
        <v>0.2</v>
      </c>
      <c r="K21" s="4" t="str">
        <f>IF(XS_Designer_Bed_Mix!$J21&lt;=XS_Designer!$BN$92,XS_Designer!BA$92,"")</f>
        <v/>
      </c>
      <c r="L21" s="4" t="str">
        <f>IF(XS_Designer_Bed_Mix!$J21&lt;=XS_Designer!$BN$92,XS_Designer!BB$92,"")</f>
        <v/>
      </c>
      <c r="M21" s="4" t="str">
        <f>IF(XS_Designer_Bed_Mix!$J21&lt;=XS_Designer!$BN$92,XS_Designer!BC$92,"")</f>
        <v/>
      </c>
      <c r="N21" s="4" t="str">
        <f>IF(XS_Designer_Bed_Mix!$J21&lt;=XS_Designer!$BN$92,XS_Designer!BD$92,"")</f>
        <v/>
      </c>
      <c r="O21" s="4" t="str">
        <f>IF(XS_Designer_Bed_Mix!$J21&lt;=XS_Designer!$BN$92,XS_Designer!BE$92,"")</f>
        <v/>
      </c>
      <c r="P21" s="4" t="str">
        <f>IF(XS_Designer_Bed_Mix!$J21&lt;=XS_Designer!$BN$92,XS_Designer!BF$92,"")</f>
        <v/>
      </c>
      <c r="Q21" s="4" t="str">
        <f>IF(XS_Designer_Bed_Mix!$J21&lt;=XS_Designer!$BN$92,XS_Designer!BG$92,"")</f>
        <v/>
      </c>
      <c r="R21" s="4" t="str">
        <f>IF(XS_Designer_Bed_Mix!$J21&lt;=XS_Designer!$BN$92,XS_Designer!BH$92,"")</f>
        <v/>
      </c>
      <c r="S21" s="4" t="str">
        <f>IF(XS_Designer_Bed_Mix!$J21&lt;=XS_Designer!$BN$92,XS_Designer!BI$92,"")</f>
        <v/>
      </c>
      <c r="T21" s="4" t="str">
        <f>IF(XS_Designer_Bed_Mix!$J21&lt;=XS_Designer!$BN$92,XS_Designer!BJ$92,"")</f>
        <v/>
      </c>
      <c r="U21" s="4" t="str">
        <f>IF(XS_Designer_Bed_Mix!$J21&lt;=XS_Designer!$BN$93,XS_Designer!BA$93,"")</f>
        <v/>
      </c>
      <c r="V21" s="4" t="str">
        <f>IF(XS_Designer_Bed_Mix!$J21&lt;=XS_Designer!$BN$93,XS_Designer!BB$93,"")</f>
        <v/>
      </c>
      <c r="W21" s="4" t="str">
        <f>IF(XS_Designer_Bed_Mix!$J21&lt;=XS_Designer!$BN$93,XS_Designer!BC$93,"")</f>
        <v/>
      </c>
      <c r="X21" s="4" t="str">
        <f>IF(XS_Designer_Bed_Mix!$J21&lt;=XS_Designer!$BN$93,XS_Designer!BD$93,"")</f>
        <v/>
      </c>
      <c r="Y21" s="4" t="str">
        <f>IF(XS_Designer_Bed_Mix!$J21&lt;=XS_Designer!$BN$93,XS_Designer!BE$93,"")</f>
        <v/>
      </c>
      <c r="Z21" s="4" t="str">
        <f>IF(XS_Designer_Bed_Mix!$J21&lt;=XS_Designer!$BN$93,XS_Designer!BF$93,"")</f>
        <v/>
      </c>
      <c r="AA21" s="4" t="str">
        <f>IF(XS_Designer_Bed_Mix!$J21&lt;=XS_Designer!$BN$93,XS_Designer!BG$93,"")</f>
        <v/>
      </c>
      <c r="AB21" s="4" t="str">
        <f>IF(XS_Designer_Bed_Mix!$J21&lt;=XS_Designer!$BN$93,XS_Designer!BH$93,"")</f>
        <v/>
      </c>
      <c r="AC21" s="4" t="str">
        <f>IF(XS_Designer_Bed_Mix!$J21&lt;=XS_Designer!$BN$93,XS_Designer!BI$93,"")</f>
        <v/>
      </c>
      <c r="AD21" s="4" t="str">
        <f>IF(XS_Designer_Bed_Mix!$J21&lt;=XS_Designer!$BN$93,XS_Designer!BJ$93,"")</f>
        <v/>
      </c>
      <c r="AE21" s="4" t="str">
        <f>IF(XS_Designer_Bed_Mix!$J21&lt;=XS_Designer!$BN$94,XS_Designer!BA$94,"")</f>
        <v/>
      </c>
      <c r="AF21" s="4" t="str">
        <f>IF(XS_Designer_Bed_Mix!$J21&lt;=XS_Designer!$BN$94,XS_Designer!BB$94,"")</f>
        <v/>
      </c>
      <c r="AG21" s="4" t="str">
        <f>IF(XS_Designer_Bed_Mix!$J21&lt;=XS_Designer!$BN$94,XS_Designer!BC$94,"")</f>
        <v/>
      </c>
      <c r="AH21" s="4" t="str">
        <f>IF(XS_Designer_Bed_Mix!$J21&lt;=XS_Designer!$BN$94,XS_Designer!BD$94,"")</f>
        <v/>
      </c>
      <c r="AI21" s="4" t="str">
        <f>IF(XS_Designer_Bed_Mix!$J21&lt;=XS_Designer!$BN$94,XS_Designer!BE$94,"")</f>
        <v/>
      </c>
      <c r="AJ21" s="4" t="str">
        <f>IF(XS_Designer_Bed_Mix!$J21&lt;=XS_Designer!$BN$94,XS_Designer!BF$94,"")</f>
        <v/>
      </c>
      <c r="AK21" s="4" t="str">
        <f>IF(XS_Designer_Bed_Mix!$J21&lt;=XS_Designer!$BN$94,XS_Designer!BG$94,"")</f>
        <v/>
      </c>
      <c r="AL21" s="4" t="str">
        <f>IF(XS_Designer_Bed_Mix!$J21&lt;=XS_Designer!$BN$94,XS_Designer!BH$94,"")</f>
        <v/>
      </c>
      <c r="AM21" s="4" t="str">
        <f>IF(XS_Designer_Bed_Mix!$J21&lt;=XS_Designer!$BN$94,XS_Designer!BI$94,"")</f>
        <v/>
      </c>
      <c r="AN21" s="4" t="str">
        <f>IF(XS_Designer_Bed_Mix!$J21&lt;=XS_Designer!$BN$94,XS_Designer!BJ$94,"")</f>
        <v/>
      </c>
      <c r="AO21" s="4" t="str">
        <f>IF(XS_Designer_Bed_Mix!$J21&lt;=XS_Designer!$BN$95,XS_Designer!BA$95,"")</f>
        <v/>
      </c>
      <c r="AP21" s="4" t="str">
        <f>IF(XS_Designer_Bed_Mix!$J21&lt;=XS_Designer!$BN$95,XS_Designer!BB$95,"")</f>
        <v/>
      </c>
      <c r="AQ21" s="4" t="str">
        <f>IF(XS_Designer_Bed_Mix!$J21&lt;=XS_Designer!$BN$95,XS_Designer!BC$95,"")</f>
        <v/>
      </c>
      <c r="AR21" s="4" t="str">
        <f>IF(XS_Designer_Bed_Mix!$J21&lt;=XS_Designer!$BN$95,XS_Designer!BD$95,"")</f>
        <v/>
      </c>
      <c r="AS21" s="4" t="str">
        <f>IF(XS_Designer_Bed_Mix!$J21&lt;=XS_Designer!$BN$95,XS_Designer!BE$95,"")</f>
        <v/>
      </c>
      <c r="AT21" s="4" t="str">
        <f>IF(XS_Designer_Bed_Mix!$J21&lt;=XS_Designer!$BN$95,XS_Designer!BF$95,"")</f>
        <v/>
      </c>
      <c r="AU21" s="4" t="str">
        <f>IF(XS_Designer_Bed_Mix!$J21&lt;=XS_Designer!$BN$95,XS_Designer!BG$95,"")</f>
        <v/>
      </c>
      <c r="AV21" s="4" t="str">
        <f>IF(XS_Designer_Bed_Mix!$J21&lt;=XS_Designer!$BN$95,XS_Designer!BH$95,"")</f>
        <v/>
      </c>
      <c r="AW21" s="4" t="str">
        <f>IF(XS_Designer_Bed_Mix!$J21&lt;=XS_Designer!$BN$95,XS_Designer!BI$95,"")</f>
        <v/>
      </c>
      <c r="AX21" s="4" t="str">
        <f>IF(XS_Designer_Bed_Mix!$J21&lt;=XS_Designer!$BN$95,XS_Designer!BJ$95,"")</f>
        <v/>
      </c>
      <c r="AY21" s="4">
        <f>IF(XS_Designer_Bed_Mix!$J21&lt;=XS_Designer!$BN$96,XS_Designer!BA$96,"")</f>
        <v>335.28000000000003</v>
      </c>
      <c r="AZ21" s="4">
        <f>IF(XS_Designer_Bed_Mix!$J21&lt;=XS_Designer!$BN$96,XS_Designer!BB$96,"")</f>
        <v>335.28000000000003</v>
      </c>
      <c r="BA21" s="4">
        <f>IF(XS_Designer_Bed_Mix!$J21&lt;=XS_Designer!$BN$96,XS_Designer!BC$96,"")</f>
        <v>335.28000000000003</v>
      </c>
      <c r="BB21" s="4">
        <f>IF(XS_Designer_Bed_Mix!$J21&lt;=XS_Designer!$BN$96,XS_Designer!BD$96,"")</f>
        <v>335.28000000000003</v>
      </c>
      <c r="BC21" s="4">
        <f>IF(XS_Designer_Bed_Mix!$J21&lt;=XS_Designer!$BN$96,XS_Designer!BE$96,"")</f>
        <v>335.28000000000003</v>
      </c>
      <c r="BD21" s="4">
        <f>IF(XS_Designer_Bed_Mix!$J21&lt;=XS_Designer!$BN$96,XS_Designer!BF$96,"")</f>
        <v>335.28000000000003</v>
      </c>
      <c r="BE21" s="4">
        <f>IF(XS_Designer_Bed_Mix!$J21&lt;=XS_Designer!$BN$96,XS_Designer!BG$96,"")</f>
        <v>335.28000000000003</v>
      </c>
      <c r="BF21" s="4">
        <f>IF(XS_Designer_Bed_Mix!$J21&lt;=XS_Designer!$BN$96,XS_Designer!BH$96,"")</f>
        <v>335.28000000000003</v>
      </c>
      <c r="BG21" s="4">
        <f>IF(XS_Designer_Bed_Mix!$J21&lt;=XS_Designer!$BN$96,XS_Designer!BI$96,"")</f>
        <v>335.28000000000003</v>
      </c>
      <c r="BH21" s="4">
        <f>IF(XS_Designer_Bed_Mix!$J21&lt;=XS_Designer!$BN$96,XS_Designer!BJ$96,"")</f>
        <v>335.28000000000003</v>
      </c>
      <c r="BI21" s="4" t="str">
        <f>IF(XS_Designer_Bed_Mix!$J21&lt;=XS_Designer!$BN$97,XS_Designer!BA$97,"")</f>
        <v/>
      </c>
      <c r="BJ21" s="4" t="str">
        <f>IF(XS_Designer_Bed_Mix!$J21&lt;=XS_Designer!$BN$97,XS_Designer!BB$97,"")</f>
        <v/>
      </c>
      <c r="BK21" s="4" t="str">
        <f>IF(XS_Designer_Bed_Mix!$J21&lt;=XS_Designer!$BN$97,XS_Designer!BC$97,"")</f>
        <v/>
      </c>
      <c r="BL21" s="4" t="str">
        <f>IF(XS_Designer_Bed_Mix!$J21&lt;=XS_Designer!$BN$97,XS_Designer!BD$97,"")</f>
        <v/>
      </c>
      <c r="BM21" s="4" t="str">
        <f>IF(XS_Designer_Bed_Mix!$J21&lt;=XS_Designer!$BN$97,XS_Designer!BE$97,"")</f>
        <v/>
      </c>
      <c r="BN21" s="4" t="str">
        <f>IF(XS_Designer_Bed_Mix!$J21&lt;=XS_Designer!$BN$97,XS_Designer!BF$97,"")</f>
        <v/>
      </c>
      <c r="BO21" s="4" t="str">
        <f>IF(XS_Designer_Bed_Mix!$J21&lt;=XS_Designer!$BN$97,XS_Designer!BG$97,"")</f>
        <v/>
      </c>
      <c r="BP21" s="4" t="str">
        <f>IF(XS_Designer_Bed_Mix!$J21&lt;=XS_Designer!$BN$97,XS_Designer!BH$97,"")</f>
        <v/>
      </c>
      <c r="BQ21" s="4" t="str">
        <f>IF(XS_Designer_Bed_Mix!$J21&lt;=XS_Designer!$BN$97,XS_Designer!BI$97,"")</f>
        <v/>
      </c>
      <c r="BR21" s="4" t="str">
        <f>IF(XS_Designer_Bed_Mix!$J21&lt;=XS_Designer!$BN$97,XS_Designer!BJ$97,"")</f>
        <v/>
      </c>
      <c r="BS21" s="4" t="str">
        <f>IF(XS_Designer_Bed_Mix!$J21&lt;=XS_Designer!$BN$98,XS_Designer!BA$98,"")</f>
        <v/>
      </c>
      <c r="BT21" s="4" t="str">
        <f>IF(XS_Designer_Bed_Mix!$J21&lt;=XS_Designer!$BN$98,XS_Designer!BB$98,"")</f>
        <v/>
      </c>
      <c r="BU21" s="4" t="str">
        <f>IF(XS_Designer_Bed_Mix!$J21&lt;=XS_Designer!$BN$98,XS_Designer!BC$98,"")</f>
        <v/>
      </c>
      <c r="BV21" s="4" t="str">
        <f>IF(XS_Designer_Bed_Mix!$J21&lt;=XS_Designer!$BN$98,XS_Designer!BD$98,"")</f>
        <v/>
      </c>
      <c r="BW21" s="4" t="str">
        <f>IF(XS_Designer_Bed_Mix!$J21&lt;=XS_Designer!$BN$98,XS_Designer!BE$98,"")</f>
        <v/>
      </c>
      <c r="BX21" s="4" t="str">
        <f>IF(XS_Designer_Bed_Mix!$J21&lt;=XS_Designer!$BN$98,XS_Designer!BF$98,"")</f>
        <v/>
      </c>
      <c r="BY21" s="4" t="str">
        <f>IF(XS_Designer_Bed_Mix!$J21&lt;=XS_Designer!$BN$98,XS_Designer!BG$98,"")</f>
        <v/>
      </c>
      <c r="BZ21" s="4" t="str">
        <f>IF(XS_Designer_Bed_Mix!$J21&lt;=XS_Designer!$BN$98,XS_Designer!BH$98,"")</f>
        <v/>
      </c>
      <c r="CA21" s="4" t="str">
        <f>IF(XS_Designer_Bed_Mix!$J21&lt;=XS_Designer!$BN$98,XS_Designer!BI$98,"")</f>
        <v/>
      </c>
      <c r="CB21" s="4" t="str">
        <f>IF(XS_Designer_Bed_Mix!$J21&lt;=XS_Designer!$BN$98,XS_Designer!BJ$98,"")</f>
        <v/>
      </c>
      <c r="CC21" s="4" t="str">
        <f>IF(XS_Designer_Bed_Mix!$J21&lt;=XS_Designer!$BN$99,XS_Designer!BA$99,"")</f>
        <v/>
      </c>
      <c r="CD21" s="4" t="str">
        <f>IF(XS_Designer_Bed_Mix!$J21&lt;=XS_Designer!$BN$99,XS_Designer!BB$99,"")</f>
        <v/>
      </c>
      <c r="CE21" s="4" t="str">
        <f>IF(XS_Designer_Bed_Mix!$J21&lt;=XS_Designer!$BN$99,XS_Designer!BC$99,"")</f>
        <v/>
      </c>
      <c r="CF21" s="4" t="str">
        <f>IF(XS_Designer_Bed_Mix!$J21&lt;=XS_Designer!$BN$99,XS_Designer!BD$99,"")</f>
        <v/>
      </c>
      <c r="CG21" s="4" t="str">
        <f>IF(XS_Designer_Bed_Mix!$J21&lt;=XS_Designer!$BN$99,XS_Designer!BE$99,"")</f>
        <v/>
      </c>
      <c r="CH21" s="4" t="str">
        <f>IF(XS_Designer_Bed_Mix!$J21&lt;=XS_Designer!$BN$99,XS_Designer!BF$99,"")</f>
        <v/>
      </c>
      <c r="CI21" s="4" t="str">
        <f>IF(XS_Designer_Bed_Mix!$J21&lt;=XS_Designer!$BN$99,XS_Designer!BG$99,"")</f>
        <v/>
      </c>
      <c r="CJ21" s="4" t="str">
        <f>IF(XS_Designer_Bed_Mix!$J21&lt;=XS_Designer!$BN$99,XS_Designer!BH$99,"")</f>
        <v/>
      </c>
      <c r="CK21" s="4" t="str">
        <f>IF(XS_Designer_Bed_Mix!$J21&lt;=XS_Designer!$BN$99,XS_Designer!BI$99,"")</f>
        <v/>
      </c>
      <c r="CL21" s="4" t="str">
        <f>IF(XS_Designer_Bed_Mix!$J21&lt;=XS_Designer!$BN$99,XS_Designer!BJ$99,"")</f>
        <v/>
      </c>
      <c r="CM21" s="4">
        <f>IF(XS_Designer_Bed_Mix!$J21&lt;=XS_Designer!$BN$100,XS_Designer!BA$100,"")</f>
        <v>64</v>
      </c>
      <c r="CN21" s="4">
        <f>IF(XS_Designer_Bed_Mix!$J21&lt;=XS_Designer!$BN$100,XS_Designer!BB$100,"")</f>
        <v>57.6</v>
      </c>
      <c r="CO21" s="4">
        <f>IF(XS_Designer_Bed_Mix!$J21&lt;=XS_Designer!$BN$100,XS_Designer!BC$100,"")</f>
        <v>51.2</v>
      </c>
      <c r="CP21" s="4">
        <f>IF(XS_Designer_Bed_Mix!$J21&lt;=XS_Designer!$BN$100,XS_Designer!BD$100,"")</f>
        <v>44.800000000000004</v>
      </c>
      <c r="CQ21" s="4">
        <f>IF(XS_Designer_Bed_Mix!$J21&lt;=XS_Designer!$BN$100,XS_Designer!BE$100,"")</f>
        <v>38.400000000000006</v>
      </c>
      <c r="CR21" s="4">
        <f>IF(XS_Designer_Bed_Mix!$J21&lt;=XS_Designer!$BN$100,XS_Designer!BF$100,"")</f>
        <v>32</v>
      </c>
      <c r="CS21" s="4">
        <f>IF(XS_Designer_Bed_Mix!$J21&lt;=XS_Designer!$BN$100,XS_Designer!BG$100,"")</f>
        <v>26</v>
      </c>
      <c r="CT21" s="4">
        <f>IF(XS_Designer_Bed_Mix!$J21&lt;=XS_Designer!$BN$100,XS_Designer!BH$100,"")</f>
        <v>20</v>
      </c>
      <c r="CU21" s="4">
        <f>IF(XS_Designer_Bed_Mix!$J21&lt;=XS_Designer!$BN$100,XS_Designer!BI$100,"")</f>
        <v>14</v>
      </c>
      <c r="CV21" s="4">
        <f>IF(XS_Designer_Bed_Mix!$J21&lt;=XS_Designer!$BN$100,XS_Designer!BJ$100,"")</f>
        <v>8</v>
      </c>
      <c r="CW21" s="4" t="str">
        <f>IF(XS_Designer_Bed_Mix!$J21&lt;=XS_Designer!$BN$101,XS_Designer!BA$101,"")</f>
        <v/>
      </c>
      <c r="CX21" s="4" t="str">
        <f>IF(XS_Designer_Bed_Mix!$J21&lt;=XS_Designer!$BN$101,XS_Designer!BB$101,"")</f>
        <v/>
      </c>
      <c r="CY21" s="4" t="str">
        <f>IF(XS_Designer_Bed_Mix!$J21&lt;=XS_Designer!$BN$101,XS_Designer!BC$101,"")</f>
        <v/>
      </c>
      <c r="CZ21" s="4" t="str">
        <f>IF(XS_Designer_Bed_Mix!$J21&lt;=XS_Designer!$BN$101,XS_Designer!BD$101,"")</f>
        <v/>
      </c>
      <c r="DA21" s="4" t="str">
        <f>IF(XS_Designer_Bed_Mix!$J21&lt;=XS_Designer!$BN$101,XS_Designer!BE$101,"")</f>
        <v/>
      </c>
      <c r="DB21" s="4" t="str">
        <f>IF(XS_Designer_Bed_Mix!$J21&lt;=XS_Designer!$BN$101,XS_Designer!BF$101,"")</f>
        <v/>
      </c>
      <c r="DC21" s="4" t="str">
        <f>IF(XS_Designer_Bed_Mix!$J21&lt;=XS_Designer!$BN$101,XS_Designer!BG$101,"")</f>
        <v/>
      </c>
      <c r="DD21" s="4" t="str">
        <f>IF(XS_Designer_Bed_Mix!$J21&lt;=XS_Designer!$BN$101,XS_Designer!BH$101,"")</f>
        <v/>
      </c>
      <c r="DE21" s="4" t="str">
        <f>IF(XS_Designer_Bed_Mix!$J21&lt;=XS_Designer!$BN$101,XS_Designer!BI$101,"")</f>
        <v/>
      </c>
      <c r="DF21" s="4" t="str">
        <f>IF(XS_Designer_Bed_Mix!$J21&lt;=XS_Designer!$BN$101,XS_Designer!BJ$101,"")</f>
        <v/>
      </c>
      <c r="DG21" s="4" t="str">
        <f>IF(XS_Designer_Bed_Mix!$J21&lt;=XS_Designer!$BN$102,XS_Designer!BA$102,"")</f>
        <v/>
      </c>
      <c r="DH21" s="4" t="str">
        <f>IF(XS_Designer_Bed_Mix!$J21&lt;=XS_Designer!$BN$102,XS_Designer!BB$102,"")</f>
        <v/>
      </c>
      <c r="DI21" s="4" t="str">
        <f>IF(XS_Designer_Bed_Mix!$J21&lt;=XS_Designer!$BN$102,XS_Designer!BC$102,"")</f>
        <v/>
      </c>
      <c r="DJ21" s="4" t="str">
        <f>IF(XS_Designer_Bed_Mix!$J21&lt;=XS_Designer!$BN$102,XS_Designer!BD$102,"")</f>
        <v/>
      </c>
      <c r="DK21" s="4" t="str">
        <f>IF(XS_Designer_Bed_Mix!$J21&lt;=XS_Designer!$BN$102,XS_Designer!BE$102,"")</f>
        <v/>
      </c>
      <c r="DL21" s="4" t="str">
        <f>IF(XS_Designer_Bed_Mix!$J21&lt;=XS_Designer!$BN$102,XS_Designer!BF$102,"")</f>
        <v/>
      </c>
      <c r="DM21" s="4" t="str">
        <f>IF(XS_Designer_Bed_Mix!$J21&lt;=XS_Designer!$BN$102,XS_Designer!BG$102,"")</f>
        <v/>
      </c>
      <c r="DN21" s="4" t="str">
        <f>IF(XS_Designer_Bed_Mix!$J21&lt;=XS_Designer!$BN$102,XS_Designer!BH$102,"")</f>
        <v/>
      </c>
      <c r="DO21" s="4" t="str">
        <f>IF(XS_Designer_Bed_Mix!$J21&lt;=XS_Designer!$BN$102,XS_Designer!BI$102,"")</f>
        <v/>
      </c>
      <c r="DP21" s="4" t="str">
        <f>IF(XS_Designer_Bed_Mix!$J21&lt;=XS_Designer!$BN$102,XS_Designer!BJ$102,"")</f>
        <v/>
      </c>
    </row>
    <row r="22" spans="10:120">
      <c r="J22" s="3">
        <v>0.21</v>
      </c>
      <c r="K22" s="4" t="str">
        <f>IF(XS_Designer_Bed_Mix!$J22&lt;=XS_Designer!$BN$92,XS_Designer!BA$92,"")</f>
        <v/>
      </c>
      <c r="L22" s="4" t="str">
        <f>IF(XS_Designer_Bed_Mix!$J22&lt;=XS_Designer!$BN$92,XS_Designer!BB$92,"")</f>
        <v/>
      </c>
      <c r="M22" s="4" t="str">
        <f>IF(XS_Designer_Bed_Mix!$J22&lt;=XS_Designer!$BN$92,XS_Designer!BC$92,"")</f>
        <v/>
      </c>
      <c r="N22" s="4" t="str">
        <f>IF(XS_Designer_Bed_Mix!$J22&lt;=XS_Designer!$BN$92,XS_Designer!BD$92,"")</f>
        <v/>
      </c>
      <c r="O22" s="4" t="str">
        <f>IF(XS_Designer_Bed_Mix!$J22&lt;=XS_Designer!$BN$92,XS_Designer!BE$92,"")</f>
        <v/>
      </c>
      <c r="P22" s="4" t="str">
        <f>IF(XS_Designer_Bed_Mix!$J22&lt;=XS_Designer!$BN$92,XS_Designer!BF$92,"")</f>
        <v/>
      </c>
      <c r="Q22" s="4" t="str">
        <f>IF(XS_Designer_Bed_Mix!$J22&lt;=XS_Designer!$BN$92,XS_Designer!BG$92,"")</f>
        <v/>
      </c>
      <c r="R22" s="4" t="str">
        <f>IF(XS_Designer_Bed_Mix!$J22&lt;=XS_Designer!$BN$92,XS_Designer!BH$92,"")</f>
        <v/>
      </c>
      <c r="S22" s="4" t="str">
        <f>IF(XS_Designer_Bed_Mix!$J22&lt;=XS_Designer!$BN$92,XS_Designer!BI$92,"")</f>
        <v/>
      </c>
      <c r="T22" s="4" t="str">
        <f>IF(XS_Designer_Bed_Mix!$J22&lt;=XS_Designer!$BN$92,XS_Designer!BJ$92,"")</f>
        <v/>
      </c>
      <c r="U22" s="4" t="str">
        <f>IF(XS_Designer_Bed_Mix!$J22&lt;=XS_Designer!$BN$93,XS_Designer!BA$93,"")</f>
        <v/>
      </c>
      <c r="V22" s="4" t="str">
        <f>IF(XS_Designer_Bed_Mix!$J22&lt;=XS_Designer!$BN$93,XS_Designer!BB$93,"")</f>
        <v/>
      </c>
      <c r="W22" s="4" t="str">
        <f>IF(XS_Designer_Bed_Mix!$J22&lt;=XS_Designer!$BN$93,XS_Designer!BC$93,"")</f>
        <v/>
      </c>
      <c r="X22" s="4" t="str">
        <f>IF(XS_Designer_Bed_Mix!$J22&lt;=XS_Designer!$BN$93,XS_Designer!BD$93,"")</f>
        <v/>
      </c>
      <c r="Y22" s="4" t="str">
        <f>IF(XS_Designer_Bed_Mix!$J22&lt;=XS_Designer!$BN$93,XS_Designer!BE$93,"")</f>
        <v/>
      </c>
      <c r="Z22" s="4" t="str">
        <f>IF(XS_Designer_Bed_Mix!$J22&lt;=XS_Designer!$BN$93,XS_Designer!BF$93,"")</f>
        <v/>
      </c>
      <c r="AA22" s="4" t="str">
        <f>IF(XS_Designer_Bed_Mix!$J22&lt;=XS_Designer!$BN$93,XS_Designer!BG$93,"")</f>
        <v/>
      </c>
      <c r="AB22" s="4" t="str">
        <f>IF(XS_Designer_Bed_Mix!$J22&lt;=XS_Designer!$BN$93,XS_Designer!BH$93,"")</f>
        <v/>
      </c>
      <c r="AC22" s="4" t="str">
        <f>IF(XS_Designer_Bed_Mix!$J22&lt;=XS_Designer!$BN$93,XS_Designer!BI$93,"")</f>
        <v/>
      </c>
      <c r="AD22" s="4" t="str">
        <f>IF(XS_Designer_Bed_Mix!$J22&lt;=XS_Designer!$BN$93,XS_Designer!BJ$93,"")</f>
        <v/>
      </c>
      <c r="AE22" s="4" t="str">
        <f>IF(XS_Designer_Bed_Mix!$J22&lt;=XS_Designer!$BN$94,XS_Designer!BA$94,"")</f>
        <v/>
      </c>
      <c r="AF22" s="4" t="str">
        <f>IF(XS_Designer_Bed_Mix!$J22&lt;=XS_Designer!$BN$94,XS_Designer!BB$94,"")</f>
        <v/>
      </c>
      <c r="AG22" s="4" t="str">
        <f>IF(XS_Designer_Bed_Mix!$J22&lt;=XS_Designer!$BN$94,XS_Designer!BC$94,"")</f>
        <v/>
      </c>
      <c r="AH22" s="4" t="str">
        <f>IF(XS_Designer_Bed_Mix!$J22&lt;=XS_Designer!$BN$94,XS_Designer!BD$94,"")</f>
        <v/>
      </c>
      <c r="AI22" s="4" t="str">
        <f>IF(XS_Designer_Bed_Mix!$J22&lt;=XS_Designer!$BN$94,XS_Designer!BE$94,"")</f>
        <v/>
      </c>
      <c r="AJ22" s="4" t="str">
        <f>IF(XS_Designer_Bed_Mix!$J22&lt;=XS_Designer!$BN$94,XS_Designer!BF$94,"")</f>
        <v/>
      </c>
      <c r="AK22" s="4" t="str">
        <f>IF(XS_Designer_Bed_Mix!$J22&lt;=XS_Designer!$BN$94,XS_Designer!BG$94,"")</f>
        <v/>
      </c>
      <c r="AL22" s="4" t="str">
        <f>IF(XS_Designer_Bed_Mix!$J22&lt;=XS_Designer!$BN$94,XS_Designer!BH$94,"")</f>
        <v/>
      </c>
      <c r="AM22" s="4" t="str">
        <f>IF(XS_Designer_Bed_Mix!$J22&lt;=XS_Designer!$BN$94,XS_Designer!BI$94,"")</f>
        <v/>
      </c>
      <c r="AN22" s="4" t="str">
        <f>IF(XS_Designer_Bed_Mix!$J22&lt;=XS_Designer!$BN$94,XS_Designer!BJ$94,"")</f>
        <v/>
      </c>
      <c r="AO22" s="4" t="str">
        <f>IF(XS_Designer_Bed_Mix!$J22&lt;=XS_Designer!$BN$95,XS_Designer!BA$95,"")</f>
        <v/>
      </c>
      <c r="AP22" s="4" t="str">
        <f>IF(XS_Designer_Bed_Mix!$J22&lt;=XS_Designer!$BN$95,XS_Designer!BB$95,"")</f>
        <v/>
      </c>
      <c r="AQ22" s="4" t="str">
        <f>IF(XS_Designer_Bed_Mix!$J22&lt;=XS_Designer!$BN$95,XS_Designer!BC$95,"")</f>
        <v/>
      </c>
      <c r="AR22" s="4" t="str">
        <f>IF(XS_Designer_Bed_Mix!$J22&lt;=XS_Designer!$BN$95,XS_Designer!BD$95,"")</f>
        <v/>
      </c>
      <c r="AS22" s="4" t="str">
        <f>IF(XS_Designer_Bed_Mix!$J22&lt;=XS_Designer!$BN$95,XS_Designer!BE$95,"")</f>
        <v/>
      </c>
      <c r="AT22" s="4" t="str">
        <f>IF(XS_Designer_Bed_Mix!$J22&lt;=XS_Designer!$BN$95,XS_Designer!BF$95,"")</f>
        <v/>
      </c>
      <c r="AU22" s="4" t="str">
        <f>IF(XS_Designer_Bed_Mix!$J22&lt;=XS_Designer!$BN$95,XS_Designer!BG$95,"")</f>
        <v/>
      </c>
      <c r="AV22" s="4" t="str">
        <f>IF(XS_Designer_Bed_Mix!$J22&lt;=XS_Designer!$BN$95,XS_Designer!BH$95,"")</f>
        <v/>
      </c>
      <c r="AW22" s="4" t="str">
        <f>IF(XS_Designer_Bed_Mix!$J22&lt;=XS_Designer!$BN$95,XS_Designer!BI$95,"")</f>
        <v/>
      </c>
      <c r="AX22" s="4" t="str">
        <f>IF(XS_Designer_Bed_Mix!$J22&lt;=XS_Designer!$BN$95,XS_Designer!BJ$95,"")</f>
        <v/>
      </c>
      <c r="AY22" s="4">
        <f>IF(XS_Designer_Bed_Mix!$J22&lt;=XS_Designer!$BN$96,XS_Designer!BA$96,"")</f>
        <v>335.28000000000003</v>
      </c>
      <c r="AZ22" s="4">
        <f>IF(XS_Designer_Bed_Mix!$J22&lt;=XS_Designer!$BN$96,XS_Designer!BB$96,"")</f>
        <v>335.28000000000003</v>
      </c>
      <c r="BA22" s="4">
        <f>IF(XS_Designer_Bed_Mix!$J22&lt;=XS_Designer!$BN$96,XS_Designer!BC$96,"")</f>
        <v>335.28000000000003</v>
      </c>
      <c r="BB22" s="4">
        <f>IF(XS_Designer_Bed_Mix!$J22&lt;=XS_Designer!$BN$96,XS_Designer!BD$96,"")</f>
        <v>335.28000000000003</v>
      </c>
      <c r="BC22" s="4">
        <f>IF(XS_Designer_Bed_Mix!$J22&lt;=XS_Designer!$BN$96,XS_Designer!BE$96,"")</f>
        <v>335.28000000000003</v>
      </c>
      <c r="BD22" s="4">
        <f>IF(XS_Designer_Bed_Mix!$J22&lt;=XS_Designer!$BN$96,XS_Designer!BF$96,"")</f>
        <v>335.28000000000003</v>
      </c>
      <c r="BE22" s="4">
        <f>IF(XS_Designer_Bed_Mix!$J22&lt;=XS_Designer!$BN$96,XS_Designer!BG$96,"")</f>
        <v>335.28000000000003</v>
      </c>
      <c r="BF22" s="4">
        <f>IF(XS_Designer_Bed_Mix!$J22&lt;=XS_Designer!$BN$96,XS_Designer!BH$96,"")</f>
        <v>335.28000000000003</v>
      </c>
      <c r="BG22" s="4">
        <f>IF(XS_Designer_Bed_Mix!$J22&lt;=XS_Designer!$BN$96,XS_Designer!BI$96,"")</f>
        <v>335.28000000000003</v>
      </c>
      <c r="BH22" s="4">
        <f>IF(XS_Designer_Bed_Mix!$J22&lt;=XS_Designer!$BN$96,XS_Designer!BJ$96,"")</f>
        <v>335.28000000000003</v>
      </c>
      <c r="BI22" s="4" t="str">
        <f>IF(XS_Designer_Bed_Mix!$J22&lt;=XS_Designer!$BN$97,XS_Designer!BA$97,"")</f>
        <v/>
      </c>
      <c r="BJ22" s="4" t="str">
        <f>IF(XS_Designer_Bed_Mix!$J22&lt;=XS_Designer!$BN$97,XS_Designer!BB$97,"")</f>
        <v/>
      </c>
      <c r="BK22" s="4" t="str">
        <f>IF(XS_Designer_Bed_Mix!$J22&lt;=XS_Designer!$BN$97,XS_Designer!BC$97,"")</f>
        <v/>
      </c>
      <c r="BL22" s="4" t="str">
        <f>IF(XS_Designer_Bed_Mix!$J22&lt;=XS_Designer!$BN$97,XS_Designer!BD$97,"")</f>
        <v/>
      </c>
      <c r="BM22" s="4" t="str">
        <f>IF(XS_Designer_Bed_Mix!$J22&lt;=XS_Designer!$BN$97,XS_Designer!BE$97,"")</f>
        <v/>
      </c>
      <c r="BN22" s="4" t="str">
        <f>IF(XS_Designer_Bed_Mix!$J22&lt;=XS_Designer!$BN$97,XS_Designer!BF$97,"")</f>
        <v/>
      </c>
      <c r="BO22" s="4" t="str">
        <f>IF(XS_Designer_Bed_Mix!$J22&lt;=XS_Designer!$BN$97,XS_Designer!BG$97,"")</f>
        <v/>
      </c>
      <c r="BP22" s="4" t="str">
        <f>IF(XS_Designer_Bed_Mix!$J22&lt;=XS_Designer!$BN$97,XS_Designer!BH$97,"")</f>
        <v/>
      </c>
      <c r="BQ22" s="4" t="str">
        <f>IF(XS_Designer_Bed_Mix!$J22&lt;=XS_Designer!$BN$97,XS_Designer!BI$97,"")</f>
        <v/>
      </c>
      <c r="BR22" s="4" t="str">
        <f>IF(XS_Designer_Bed_Mix!$J22&lt;=XS_Designer!$BN$97,XS_Designer!BJ$97,"")</f>
        <v/>
      </c>
      <c r="BS22" s="4" t="str">
        <f>IF(XS_Designer_Bed_Mix!$J22&lt;=XS_Designer!$BN$98,XS_Designer!BA$98,"")</f>
        <v/>
      </c>
      <c r="BT22" s="4" t="str">
        <f>IF(XS_Designer_Bed_Mix!$J22&lt;=XS_Designer!$BN$98,XS_Designer!BB$98,"")</f>
        <v/>
      </c>
      <c r="BU22" s="4" t="str">
        <f>IF(XS_Designer_Bed_Mix!$J22&lt;=XS_Designer!$BN$98,XS_Designer!BC$98,"")</f>
        <v/>
      </c>
      <c r="BV22" s="4" t="str">
        <f>IF(XS_Designer_Bed_Mix!$J22&lt;=XS_Designer!$BN$98,XS_Designer!BD$98,"")</f>
        <v/>
      </c>
      <c r="BW22" s="4" t="str">
        <f>IF(XS_Designer_Bed_Mix!$J22&lt;=XS_Designer!$BN$98,XS_Designer!BE$98,"")</f>
        <v/>
      </c>
      <c r="BX22" s="4" t="str">
        <f>IF(XS_Designer_Bed_Mix!$J22&lt;=XS_Designer!$BN$98,XS_Designer!BF$98,"")</f>
        <v/>
      </c>
      <c r="BY22" s="4" t="str">
        <f>IF(XS_Designer_Bed_Mix!$J22&lt;=XS_Designer!$BN$98,XS_Designer!BG$98,"")</f>
        <v/>
      </c>
      <c r="BZ22" s="4" t="str">
        <f>IF(XS_Designer_Bed_Mix!$J22&lt;=XS_Designer!$BN$98,XS_Designer!BH$98,"")</f>
        <v/>
      </c>
      <c r="CA22" s="4" t="str">
        <f>IF(XS_Designer_Bed_Mix!$J22&lt;=XS_Designer!$BN$98,XS_Designer!BI$98,"")</f>
        <v/>
      </c>
      <c r="CB22" s="4" t="str">
        <f>IF(XS_Designer_Bed_Mix!$J22&lt;=XS_Designer!$BN$98,XS_Designer!BJ$98,"")</f>
        <v/>
      </c>
      <c r="CC22" s="4" t="str">
        <f>IF(XS_Designer_Bed_Mix!$J22&lt;=XS_Designer!$BN$99,XS_Designer!BA$99,"")</f>
        <v/>
      </c>
      <c r="CD22" s="4" t="str">
        <f>IF(XS_Designer_Bed_Mix!$J22&lt;=XS_Designer!$BN$99,XS_Designer!BB$99,"")</f>
        <v/>
      </c>
      <c r="CE22" s="4" t="str">
        <f>IF(XS_Designer_Bed_Mix!$J22&lt;=XS_Designer!$BN$99,XS_Designer!BC$99,"")</f>
        <v/>
      </c>
      <c r="CF22" s="4" t="str">
        <f>IF(XS_Designer_Bed_Mix!$J22&lt;=XS_Designer!$BN$99,XS_Designer!BD$99,"")</f>
        <v/>
      </c>
      <c r="CG22" s="4" t="str">
        <f>IF(XS_Designer_Bed_Mix!$J22&lt;=XS_Designer!$BN$99,XS_Designer!BE$99,"")</f>
        <v/>
      </c>
      <c r="CH22" s="4" t="str">
        <f>IF(XS_Designer_Bed_Mix!$J22&lt;=XS_Designer!$BN$99,XS_Designer!BF$99,"")</f>
        <v/>
      </c>
      <c r="CI22" s="4" t="str">
        <f>IF(XS_Designer_Bed_Mix!$J22&lt;=XS_Designer!$BN$99,XS_Designer!BG$99,"")</f>
        <v/>
      </c>
      <c r="CJ22" s="4" t="str">
        <f>IF(XS_Designer_Bed_Mix!$J22&lt;=XS_Designer!$BN$99,XS_Designer!BH$99,"")</f>
        <v/>
      </c>
      <c r="CK22" s="4" t="str">
        <f>IF(XS_Designer_Bed_Mix!$J22&lt;=XS_Designer!$BN$99,XS_Designer!BI$99,"")</f>
        <v/>
      </c>
      <c r="CL22" s="4" t="str">
        <f>IF(XS_Designer_Bed_Mix!$J22&lt;=XS_Designer!$BN$99,XS_Designer!BJ$99,"")</f>
        <v/>
      </c>
      <c r="CM22" s="4">
        <f>IF(XS_Designer_Bed_Mix!$J22&lt;=XS_Designer!$BN$100,XS_Designer!BA$100,"")</f>
        <v>64</v>
      </c>
      <c r="CN22" s="4">
        <f>IF(XS_Designer_Bed_Mix!$J22&lt;=XS_Designer!$BN$100,XS_Designer!BB$100,"")</f>
        <v>57.6</v>
      </c>
      <c r="CO22" s="4">
        <f>IF(XS_Designer_Bed_Mix!$J22&lt;=XS_Designer!$BN$100,XS_Designer!BC$100,"")</f>
        <v>51.2</v>
      </c>
      <c r="CP22" s="4">
        <f>IF(XS_Designer_Bed_Mix!$J22&lt;=XS_Designer!$BN$100,XS_Designer!BD$100,"")</f>
        <v>44.800000000000004</v>
      </c>
      <c r="CQ22" s="4">
        <f>IF(XS_Designer_Bed_Mix!$J22&lt;=XS_Designer!$BN$100,XS_Designer!BE$100,"")</f>
        <v>38.400000000000006</v>
      </c>
      <c r="CR22" s="4">
        <f>IF(XS_Designer_Bed_Mix!$J22&lt;=XS_Designer!$BN$100,XS_Designer!BF$100,"")</f>
        <v>32</v>
      </c>
      <c r="CS22" s="4">
        <f>IF(XS_Designer_Bed_Mix!$J22&lt;=XS_Designer!$BN$100,XS_Designer!BG$100,"")</f>
        <v>26</v>
      </c>
      <c r="CT22" s="4">
        <f>IF(XS_Designer_Bed_Mix!$J22&lt;=XS_Designer!$BN$100,XS_Designer!BH$100,"")</f>
        <v>20</v>
      </c>
      <c r="CU22" s="4">
        <f>IF(XS_Designer_Bed_Mix!$J22&lt;=XS_Designer!$BN$100,XS_Designer!BI$100,"")</f>
        <v>14</v>
      </c>
      <c r="CV22" s="4">
        <f>IF(XS_Designer_Bed_Mix!$J22&lt;=XS_Designer!$BN$100,XS_Designer!BJ$100,"")</f>
        <v>8</v>
      </c>
      <c r="CW22" s="4" t="str">
        <f>IF(XS_Designer_Bed_Mix!$J22&lt;=XS_Designer!$BN$101,XS_Designer!BA$101,"")</f>
        <v/>
      </c>
      <c r="CX22" s="4" t="str">
        <f>IF(XS_Designer_Bed_Mix!$J22&lt;=XS_Designer!$BN$101,XS_Designer!BB$101,"")</f>
        <v/>
      </c>
      <c r="CY22" s="4" t="str">
        <f>IF(XS_Designer_Bed_Mix!$J22&lt;=XS_Designer!$BN$101,XS_Designer!BC$101,"")</f>
        <v/>
      </c>
      <c r="CZ22" s="4" t="str">
        <f>IF(XS_Designer_Bed_Mix!$J22&lt;=XS_Designer!$BN$101,XS_Designer!BD$101,"")</f>
        <v/>
      </c>
      <c r="DA22" s="4" t="str">
        <f>IF(XS_Designer_Bed_Mix!$J22&lt;=XS_Designer!$BN$101,XS_Designer!BE$101,"")</f>
        <v/>
      </c>
      <c r="DB22" s="4" t="str">
        <f>IF(XS_Designer_Bed_Mix!$J22&lt;=XS_Designer!$BN$101,XS_Designer!BF$101,"")</f>
        <v/>
      </c>
      <c r="DC22" s="4" t="str">
        <f>IF(XS_Designer_Bed_Mix!$J22&lt;=XS_Designer!$BN$101,XS_Designer!BG$101,"")</f>
        <v/>
      </c>
      <c r="DD22" s="4" t="str">
        <f>IF(XS_Designer_Bed_Mix!$J22&lt;=XS_Designer!$BN$101,XS_Designer!BH$101,"")</f>
        <v/>
      </c>
      <c r="DE22" s="4" t="str">
        <f>IF(XS_Designer_Bed_Mix!$J22&lt;=XS_Designer!$BN$101,XS_Designer!BI$101,"")</f>
        <v/>
      </c>
      <c r="DF22" s="4" t="str">
        <f>IF(XS_Designer_Bed_Mix!$J22&lt;=XS_Designer!$BN$101,XS_Designer!BJ$101,"")</f>
        <v/>
      </c>
      <c r="DG22" s="4" t="str">
        <f>IF(XS_Designer_Bed_Mix!$J22&lt;=XS_Designer!$BN$102,XS_Designer!BA$102,"")</f>
        <v/>
      </c>
      <c r="DH22" s="4" t="str">
        <f>IF(XS_Designer_Bed_Mix!$J22&lt;=XS_Designer!$BN$102,XS_Designer!BB$102,"")</f>
        <v/>
      </c>
      <c r="DI22" s="4" t="str">
        <f>IF(XS_Designer_Bed_Mix!$J22&lt;=XS_Designer!$BN$102,XS_Designer!BC$102,"")</f>
        <v/>
      </c>
      <c r="DJ22" s="4" t="str">
        <f>IF(XS_Designer_Bed_Mix!$J22&lt;=XS_Designer!$BN$102,XS_Designer!BD$102,"")</f>
        <v/>
      </c>
      <c r="DK22" s="4" t="str">
        <f>IF(XS_Designer_Bed_Mix!$J22&lt;=XS_Designer!$BN$102,XS_Designer!BE$102,"")</f>
        <v/>
      </c>
      <c r="DL22" s="4" t="str">
        <f>IF(XS_Designer_Bed_Mix!$J22&lt;=XS_Designer!$BN$102,XS_Designer!BF$102,"")</f>
        <v/>
      </c>
      <c r="DM22" s="4" t="str">
        <f>IF(XS_Designer_Bed_Mix!$J22&lt;=XS_Designer!$BN$102,XS_Designer!BG$102,"")</f>
        <v/>
      </c>
      <c r="DN22" s="4" t="str">
        <f>IF(XS_Designer_Bed_Mix!$J22&lt;=XS_Designer!$BN$102,XS_Designer!BH$102,"")</f>
        <v/>
      </c>
      <c r="DO22" s="4" t="str">
        <f>IF(XS_Designer_Bed_Mix!$J22&lt;=XS_Designer!$BN$102,XS_Designer!BI$102,"")</f>
        <v/>
      </c>
      <c r="DP22" s="4" t="str">
        <f>IF(XS_Designer_Bed_Mix!$J22&lt;=XS_Designer!$BN$102,XS_Designer!BJ$102,"")</f>
        <v/>
      </c>
    </row>
    <row r="23" spans="10:120">
      <c r="J23" s="3">
        <v>0.22</v>
      </c>
      <c r="K23" s="4" t="str">
        <f>IF(XS_Designer_Bed_Mix!$J23&lt;=XS_Designer!$BN$92,XS_Designer!BA$92,"")</f>
        <v/>
      </c>
      <c r="L23" s="4" t="str">
        <f>IF(XS_Designer_Bed_Mix!$J23&lt;=XS_Designer!$BN$92,XS_Designer!BB$92,"")</f>
        <v/>
      </c>
      <c r="M23" s="4" t="str">
        <f>IF(XS_Designer_Bed_Mix!$J23&lt;=XS_Designer!$BN$92,XS_Designer!BC$92,"")</f>
        <v/>
      </c>
      <c r="N23" s="4" t="str">
        <f>IF(XS_Designer_Bed_Mix!$J23&lt;=XS_Designer!$BN$92,XS_Designer!BD$92,"")</f>
        <v/>
      </c>
      <c r="O23" s="4" t="str">
        <f>IF(XS_Designer_Bed_Mix!$J23&lt;=XS_Designer!$BN$92,XS_Designer!BE$92,"")</f>
        <v/>
      </c>
      <c r="P23" s="4" t="str">
        <f>IF(XS_Designer_Bed_Mix!$J23&lt;=XS_Designer!$BN$92,XS_Designer!BF$92,"")</f>
        <v/>
      </c>
      <c r="Q23" s="4" t="str">
        <f>IF(XS_Designer_Bed_Mix!$J23&lt;=XS_Designer!$BN$92,XS_Designer!BG$92,"")</f>
        <v/>
      </c>
      <c r="R23" s="4" t="str">
        <f>IF(XS_Designer_Bed_Mix!$J23&lt;=XS_Designer!$BN$92,XS_Designer!BH$92,"")</f>
        <v/>
      </c>
      <c r="S23" s="4" t="str">
        <f>IF(XS_Designer_Bed_Mix!$J23&lt;=XS_Designer!$BN$92,XS_Designer!BI$92,"")</f>
        <v/>
      </c>
      <c r="T23" s="4" t="str">
        <f>IF(XS_Designer_Bed_Mix!$J23&lt;=XS_Designer!$BN$92,XS_Designer!BJ$92,"")</f>
        <v/>
      </c>
      <c r="U23" s="4" t="str">
        <f>IF(XS_Designer_Bed_Mix!$J23&lt;=XS_Designer!$BN$93,XS_Designer!BA$93,"")</f>
        <v/>
      </c>
      <c r="V23" s="4" t="str">
        <f>IF(XS_Designer_Bed_Mix!$J23&lt;=XS_Designer!$BN$93,XS_Designer!BB$93,"")</f>
        <v/>
      </c>
      <c r="W23" s="4" t="str">
        <f>IF(XS_Designer_Bed_Mix!$J23&lt;=XS_Designer!$BN$93,XS_Designer!BC$93,"")</f>
        <v/>
      </c>
      <c r="X23" s="4" t="str">
        <f>IF(XS_Designer_Bed_Mix!$J23&lt;=XS_Designer!$BN$93,XS_Designer!BD$93,"")</f>
        <v/>
      </c>
      <c r="Y23" s="4" t="str">
        <f>IF(XS_Designer_Bed_Mix!$J23&lt;=XS_Designer!$BN$93,XS_Designer!BE$93,"")</f>
        <v/>
      </c>
      <c r="Z23" s="4" t="str">
        <f>IF(XS_Designer_Bed_Mix!$J23&lt;=XS_Designer!$BN$93,XS_Designer!BF$93,"")</f>
        <v/>
      </c>
      <c r="AA23" s="4" t="str">
        <f>IF(XS_Designer_Bed_Mix!$J23&lt;=XS_Designer!$BN$93,XS_Designer!BG$93,"")</f>
        <v/>
      </c>
      <c r="AB23" s="4" t="str">
        <f>IF(XS_Designer_Bed_Mix!$J23&lt;=XS_Designer!$BN$93,XS_Designer!BH$93,"")</f>
        <v/>
      </c>
      <c r="AC23" s="4" t="str">
        <f>IF(XS_Designer_Bed_Mix!$J23&lt;=XS_Designer!$BN$93,XS_Designer!BI$93,"")</f>
        <v/>
      </c>
      <c r="AD23" s="4" t="str">
        <f>IF(XS_Designer_Bed_Mix!$J23&lt;=XS_Designer!$BN$93,XS_Designer!BJ$93,"")</f>
        <v/>
      </c>
      <c r="AE23" s="4" t="str">
        <f>IF(XS_Designer_Bed_Mix!$J23&lt;=XS_Designer!$BN$94,XS_Designer!BA$94,"")</f>
        <v/>
      </c>
      <c r="AF23" s="4" t="str">
        <f>IF(XS_Designer_Bed_Mix!$J23&lt;=XS_Designer!$BN$94,XS_Designer!BB$94,"")</f>
        <v/>
      </c>
      <c r="AG23" s="4" t="str">
        <f>IF(XS_Designer_Bed_Mix!$J23&lt;=XS_Designer!$BN$94,XS_Designer!BC$94,"")</f>
        <v/>
      </c>
      <c r="AH23" s="4" t="str">
        <f>IF(XS_Designer_Bed_Mix!$J23&lt;=XS_Designer!$BN$94,XS_Designer!BD$94,"")</f>
        <v/>
      </c>
      <c r="AI23" s="4" t="str">
        <f>IF(XS_Designer_Bed_Mix!$J23&lt;=XS_Designer!$BN$94,XS_Designer!BE$94,"")</f>
        <v/>
      </c>
      <c r="AJ23" s="4" t="str">
        <f>IF(XS_Designer_Bed_Mix!$J23&lt;=XS_Designer!$BN$94,XS_Designer!BF$94,"")</f>
        <v/>
      </c>
      <c r="AK23" s="4" t="str">
        <f>IF(XS_Designer_Bed_Mix!$J23&lt;=XS_Designer!$BN$94,XS_Designer!BG$94,"")</f>
        <v/>
      </c>
      <c r="AL23" s="4" t="str">
        <f>IF(XS_Designer_Bed_Mix!$J23&lt;=XS_Designer!$BN$94,XS_Designer!BH$94,"")</f>
        <v/>
      </c>
      <c r="AM23" s="4" t="str">
        <f>IF(XS_Designer_Bed_Mix!$J23&lt;=XS_Designer!$BN$94,XS_Designer!BI$94,"")</f>
        <v/>
      </c>
      <c r="AN23" s="4" t="str">
        <f>IF(XS_Designer_Bed_Mix!$J23&lt;=XS_Designer!$BN$94,XS_Designer!BJ$94,"")</f>
        <v/>
      </c>
      <c r="AO23" s="4" t="str">
        <f>IF(XS_Designer_Bed_Mix!$J23&lt;=XS_Designer!$BN$95,XS_Designer!BA$95,"")</f>
        <v/>
      </c>
      <c r="AP23" s="4" t="str">
        <f>IF(XS_Designer_Bed_Mix!$J23&lt;=XS_Designer!$BN$95,XS_Designer!BB$95,"")</f>
        <v/>
      </c>
      <c r="AQ23" s="4" t="str">
        <f>IF(XS_Designer_Bed_Mix!$J23&lt;=XS_Designer!$BN$95,XS_Designer!BC$95,"")</f>
        <v/>
      </c>
      <c r="AR23" s="4" t="str">
        <f>IF(XS_Designer_Bed_Mix!$J23&lt;=XS_Designer!$BN$95,XS_Designer!BD$95,"")</f>
        <v/>
      </c>
      <c r="AS23" s="4" t="str">
        <f>IF(XS_Designer_Bed_Mix!$J23&lt;=XS_Designer!$BN$95,XS_Designer!BE$95,"")</f>
        <v/>
      </c>
      <c r="AT23" s="4" t="str">
        <f>IF(XS_Designer_Bed_Mix!$J23&lt;=XS_Designer!$BN$95,XS_Designer!BF$95,"")</f>
        <v/>
      </c>
      <c r="AU23" s="4" t="str">
        <f>IF(XS_Designer_Bed_Mix!$J23&lt;=XS_Designer!$BN$95,XS_Designer!BG$95,"")</f>
        <v/>
      </c>
      <c r="AV23" s="4" t="str">
        <f>IF(XS_Designer_Bed_Mix!$J23&lt;=XS_Designer!$BN$95,XS_Designer!BH$95,"")</f>
        <v/>
      </c>
      <c r="AW23" s="4" t="str">
        <f>IF(XS_Designer_Bed_Mix!$J23&lt;=XS_Designer!$BN$95,XS_Designer!BI$95,"")</f>
        <v/>
      </c>
      <c r="AX23" s="4" t="str">
        <f>IF(XS_Designer_Bed_Mix!$J23&lt;=XS_Designer!$BN$95,XS_Designer!BJ$95,"")</f>
        <v/>
      </c>
      <c r="AY23" s="4">
        <f>IF(XS_Designer_Bed_Mix!$J23&lt;=XS_Designer!$BN$96,XS_Designer!BA$96,"")</f>
        <v>335.28000000000003</v>
      </c>
      <c r="AZ23" s="4">
        <f>IF(XS_Designer_Bed_Mix!$J23&lt;=XS_Designer!$BN$96,XS_Designer!BB$96,"")</f>
        <v>335.28000000000003</v>
      </c>
      <c r="BA23" s="4">
        <f>IF(XS_Designer_Bed_Mix!$J23&lt;=XS_Designer!$BN$96,XS_Designer!BC$96,"")</f>
        <v>335.28000000000003</v>
      </c>
      <c r="BB23" s="4">
        <f>IF(XS_Designer_Bed_Mix!$J23&lt;=XS_Designer!$BN$96,XS_Designer!BD$96,"")</f>
        <v>335.28000000000003</v>
      </c>
      <c r="BC23" s="4">
        <f>IF(XS_Designer_Bed_Mix!$J23&lt;=XS_Designer!$BN$96,XS_Designer!BE$96,"")</f>
        <v>335.28000000000003</v>
      </c>
      <c r="BD23" s="4">
        <f>IF(XS_Designer_Bed_Mix!$J23&lt;=XS_Designer!$BN$96,XS_Designer!BF$96,"")</f>
        <v>335.28000000000003</v>
      </c>
      <c r="BE23" s="4">
        <f>IF(XS_Designer_Bed_Mix!$J23&lt;=XS_Designer!$BN$96,XS_Designer!BG$96,"")</f>
        <v>335.28000000000003</v>
      </c>
      <c r="BF23" s="4">
        <f>IF(XS_Designer_Bed_Mix!$J23&lt;=XS_Designer!$BN$96,XS_Designer!BH$96,"")</f>
        <v>335.28000000000003</v>
      </c>
      <c r="BG23" s="4">
        <f>IF(XS_Designer_Bed_Mix!$J23&lt;=XS_Designer!$BN$96,XS_Designer!BI$96,"")</f>
        <v>335.28000000000003</v>
      </c>
      <c r="BH23" s="4">
        <f>IF(XS_Designer_Bed_Mix!$J23&lt;=XS_Designer!$BN$96,XS_Designer!BJ$96,"")</f>
        <v>335.28000000000003</v>
      </c>
      <c r="BI23" s="4" t="str">
        <f>IF(XS_Designer_Bed_Mix!$J23&lt;=XS_Designer!$BN$97,XS_Designer!BA$97,"")</f>
        <v/>
      </c>
      <c r="BJ23" s="4" t="str">
        <f>IF(XS_Designer_Bed_Mix!$J23&lt;=XS_Designer!$BN$97,XS_Designer!BB$97,"")</f>
        <v/>
      </c>
      <c r="BK23" s="4" t="str">
        <f>IF(XS_Designer_Bed_Mix!$J23&lt;=XS_Designer!$BN$97,XS_Designer!BC$97,"")</f>
        <v/>
      </c>
      <c r="BL23" s="4" t="str">
        <f>IF(XS_Designer_Bed_Mix!$J23&lt;=XS_Designer!$BN$97,XS_Designer!BD$97,"")</f>
        <v/>
      </c>
      <c r="BM23" s="4" t="str">
        <f>IF(XS_Designer_Bed_Mix!$J23&lt;=XS_Designer!$BN$97,XS_Designer!BE$97,"")</f>
        <v/>
      </c>
      <c r="BN23" s="4" t="str">
        <f>IF(XS_Designer_Bed_Mix!$J23&lt;=XS_Designer!$BN$97,XS_Designer!BF$97,"")</f>
        <v/>
      </c>
      <c r="BO23" s="4" t="str">
        <f>IF(XS_Designer_Bed_Mix!$J23&lt;=XS_Designer!$BN$97,XS_Designer!BG$97,"")</f>
        <v/>
      </c>
      <c r="BP23" s="4" t="str">
        <f>IF(XS_Designer_Bed_Mix!$J23&lt;=XS_Designer!$BN$97,XS_Designer!BH$97,"")</f>
        <v/>
      </c>
      <c r="BQ23" s="4" t="str">
        <f>IF(XS_Designer_Bed_Mix!$J23&lt;=XS_Designer!$BN$97,XS_Designer!BI$97,"")</f>
        <v/>
      </c>
      <c r="BR23" s="4" t="str">
        <f>IF(XS_Designer_Bed_Mix!$J23&lt;=XS_Designer!$BN$97,XS_Designer!BJ$97,"")</f>
        <v/>
      </c>
      <c r="BS23" s="4" t="str">
        <f>IF(XS_Designer_Bed_Mix!$J23&lt;=XS_Designer!$BN$98,XS_Designer!BA$98,"")</f>
        <v/>
      </c>
      <c r="BT23" s="4" t="str">
        <f>IF(XS_Designer_Bed_Mix!$J23&lt;=XS_Designer!$BN$98,XS_Designer!BB$98,"")</f>
        <v/>
      </c>
      <c r="BU23" s="4" t="str">
        <f>IF(XS_Designer_Bed_Mix!$J23&lt;=XS_Designer!$BN$98,XS_Designer!BC$98,"")</f>
        <v/>
      </c>
      <c r="BV23" s="4" t="str">
        <f>IF(XS_Designer_Bed_Mix!$J23&lt;=XS_Designer!$BN$98,XS_Designer!BD$98,"")</f>
        <v/>
      </c>
      <c r="BW23" s="4" t="str">
        <f>IF(XS_Designer_Bed_Mix!$J23&lt;=XS_Designer!$BN$98,XS_Designer!BE$98,"")</f>
        <v/>
      </c>
      <c r="BX23" s="4" t="str">
        <f>IF(XS_Designer_Bed_Mix!$J23&lt;=XS_Designer!$BN$98,XS_Designer!BF$98,"")</f>
        <v/>
      </c>
      <c r="BY23" s="4" t="str">
        <f>IF(XS_Designer_Bed_Mix!$J23&lt;=XS_Designer!$BN$98,XS_Designer!BG$98,"")</f>
        <v/>
      </c>
      <c r="BZ23" s="4" t="str">
        <f>IF(XS_Designer_Bed_Mix!$J23&lt;=XS_Designer!$BN$98,XS_Designer!BH$98,"")</f>
        <v/>
      </c>
      <c r="CA23" s="4" t="str">
        <f>IF(XS_Designer_Bed_Mix!$J23&lt;=XS_Designer!$BN$98,XS_Designer!BI$98,"")</f>
        <v/>
      </c>
      <c r="CB23" s="4" t="str">
        <f>IF(XS_Designer_Bed_Mix!$J23&lt;=XS_Designer!$BN$98,XS_Designer!BJ$98,"")</f>
        <v/>
      </c>
      <c r="CC23" s="4" t="str">
        <f>IF(XS_Designer_Bed_Mix!$J23&lt;=XS_Designer!$BN$99,XS_Designer!BA$99,"")</f>
        <v/>
      </c>
      <c r="CD23" s="4" t="str">
        <f>IF(XS_Designer_Bed_Mix!$J23&lt;=XS_Designer!$BN$99,XS_Designer!BB$99,"")</f>
        <v/>
      </c>
      <c r="CE23" s="4" t="str">
        <f>IF(XS_Designer_Bed_Mix!$J23&lt;=XS_Designer!$BN$99,XS_Designer!BC$99,"")</f>
        <v/>
      </c>
      <c r="CF23" s="4" t="str">
        <f>IF(XS_Designer_Bed_Mix!$J23&lt;=XS_Designer!$BN$99,XS_Designer!BD$99,"")</f>
        <v/>
      </c>
      <c r="CG23" s="4" t="str">
        <f>IF(XS_Designer_Bed_Mix!$J23&lt;=XS_Designer!$BN$99,XS_Designer!BE$99,"")</f>
        <v/>
      </c>
      <c r="CH23" s="4" t="str">
        <f>IF(XS_Designer_Bed_Mix!$J23&lt;=XS_Designer!$BN$99,XS_Designer!BF$99,"")</f>
        <v/>
      </c>
      <c r="CI23" s="4" t="str">
        <f>IF(XS_Designer_Bed_Mix!$J23&lt;=XS_Designer!$BN$99,XS_Designer!BG$99,"")</f>
        <v/>
      </c>
      <c r="CJ23" s="4" t="str">
        <f>IF(XS_Designer_Bed_Mix!$J23&lt;=XS_Designer!$BN$99,XS_Designer!BH$99,"")</f>
        <v/>
      </c>
      <c r="CK23" s="4" t="str">
        <f>IF(XS_Designer_Bed_Mix!$J23&lt;=XS_Designer!$BN$99,XS_Designer!BI$99,"")</f>
        <v/>
      </c>
      <c r="CL23" s="4" t="str">
        <f>IF(XS_Designer_Bed_Mix!$J23&lt;=XS_Designer!$BN$99,XS_Designer!BJ$99,"")</f>
        <v/>
      </c>
      <c r="CM23" s="4">
        <f>IF(XS_Designer_Bed_Mix!$J23&lt;=XS_Designer!$BN$100,XS_Designer!BA$100,"")</f>
        <v>64</v>
      </c>
      <c r="CN23" s="4">
        <f>IF(XS_Designer_Bed_Mix!$J23&lt;=XS_Designer!$BN$100,XS_Designer!BB$100,"")</f>
        <v>57.6</v>
      </c>
      <c r="CO23" s="4">
        <f>IF(XS_Designer_Bed_Mix!$J23&lt;=XS_Designer!$BN$100,XS_Designer!BC$100,"")</f>
        <v>51.2</v>
      </c>
      <c r="CP23" s="4">
        <f>IF(XS_Designer_Bed_Mix!$J23&lt;=XS_Designer!$BN$100,XS_Designer!BD$100,"")</f>
        <v>44.800000000000004</v>
      </c>
      <c r="CQ23" s="4">
        <f>IF(XS_Designer_Bed_Mix!$J23&lt;=XS_Designer!$BN$100,XS_Designer!BE$100,"")</f>
        <v>38.400000000000006</v>
      </c>
      <c r="CR23" s="4">
        <f>IF(XS_Designer_Bed_Mix!$J23&lt;=XS_Designer!$BN$100,XS_Designer!BF$100,"")</f>
        <v>32</v>
      </c>
      <c r="CS23" s="4">
        <f>IF(XS_Designer_Bed_Mix!$J23&lt;=XS_Designer!$BN$100,XS_Designer!BG$100,"")</f>
        <v>26</v>
      </c>
      <c r="CT23" s="4">
        <f>IF(XS_Designer_Bed_Mix!$J23&lt;=XS_Designer!$BN$100,XS_Designer!BH$100,"")</f>
        <v>20</v>
      </c>
      <c r="CU23" s="4">
        <f>IF(XS_Designer_Bed_Mix!$J23&lt;=XS_Designer!$BN$100,XS_Designer!BI$100,"")</f>
        <v>14</v>
      </c>
      <c r="CV23" s="4">
        <f>IF(XS_Designer_Bed_Mix!$J23&lt;=XS_Designer!$BN$100,XS_Designer!BJ$100,"")</f>
        <v>8</v>
      </c>
      <c r="CW23" s="4" t="str">
        <f>IF(XS_Designer_Bed_Mix!$J23&lt;=XS_Designer!$BN$101,XS_Designer!BA$101,"")</f>
        <v/>
      </c>
      <c r="CX23" s="4" t="str">
        <f>IF(XS_Designer_Bed_Mix!$J23&lt;=XS_Designer!$BN$101,XS_Designer!BB$101,"")</f>
        <v/>
      </c>
      <c r="CY23" s="4" t="str">
        <f>IF(XS_Designer_Bed_Mix!$J23&lt;=XS_Designer!$BN$101,XS_Designer!BC$101,"")</f>
        <v/>
      </c>
      <c r="CZ23" s="4" t="str">
        <f>IF(XS_Designer_Bed_Mix!$J23&lt;=XS_Designer!$BN$101,XS_Designer!BD$101,"")</f>
        <v/>
      </c>
      <c r="DA23" s="4" t="str">
        <f>IF(XS_Designer_Bed_Mix!$J23&lt;=XS_Designer!$BN$101,XS_Designer!BE$101,"")</f>
        <v/>
      </c>
      <c r="DB23" s="4" t="str">
        <f>IF(XS_Designer_Bed_Mix!$J23&lt;=XS_Designer!$BN$101,XS_Designer!BF$101,"")</f>
        <v/>
      </c>
      <c r="DC23" s="4" t="str">
        <f>IF(XS_Designer_Bed_Mix!$J23&lt;=XS_Designer!$BN$101,XS_Designer!BG$101,"")</f>
        <v/>
      </c>
      <c r="DD23" s="4" t="str">
        <f>IF(XS_Designer_Bed_Mix!$J23&lt;=XS_Designer!$BN$101,XS_Designer!BH$101,"")</f>
        <v/>
      </c>
      <c r="DE23" s="4" t="str">
        <f>IF(XS_Designer_Bed_Mix!$J23&lt;=XS_Designer!$BN$101,XS_Designer!BI$101,"")</f>
        <v/>
      </c>
      <c r="DF23" s="4" t="str">
        <f>IF(XS_Designer_Bed_Mix!$J23&lt;=XS_Designer!$BN$101,XS_Designer!BJ$101,"")</f>
        <v/>
      </c>
      <c r="DG23" s="4" t="str">
        <f>IF(XS_Designer_Bed_Mix!$J23&lt;=XS_Designer!$BN$102,XS_Designer!BA$102,"")</f>
        <v/>
      </c>
      <c r="DH23" s="4" t="str">
        <f>IF(XS_Designer_Bed_Mix!$J23&lt;=XS_Designer!$BN$102,XS_Designer!BB$102,"")</f>
        <v/>
      </c>
      <c r="DI23" s="4" t="str">
        <f>IF(XS_Designer_Bed_Mix!$J23&lt;=XS_Designer!$BN$102,XS_Designer!BC$102,"")</f>
        <v/>
      </c>
      <c r="DJ23" s="4" t="str">
        <f>IF(XS_Designer_Bed_Mix!$J23&lt;=XS_Designer!$BN$102,XS_Designer!BD$102,"")</f>
        <v/>
      </c>
      <c r="DK23" s="4" t="str">
        <f>IF(XS_Designer_Bed_Mix!$J23&lt;=XS_Designer!$BN$102,XS_Designer!BE$102,"")</f>
        <v/>
      </c>
      <c r="DL23" s="4" t="str">
        <f>IF(XS_Designer_Bed_Mix!$J23&lt;=XS_Designer!$BN$102,XS_Designer!BF$102,"")</f>
        <v/>
      </c>
      <c r="DM23" s="4" t="str">
        <f>IF(XS_Designer_Bed_Mix!$J23&lt;=XS_Designer!$BN$102,XS_Designer!BG$102,"")</f>
        <v/>
      </c>
      <c r="DN23" s="4" t="str">
        <f>IF(XS_Designer_Bed_Mix!$J23&lt;=XS_Designer!$BN$102,XS_Designer!BH$102,"")</f>
        <v/>
      </c>
      <c r="DO23" s="4" t="str">
        <f>IF(XS_Designer_Bed_Mix!$J23&lt;=XS_Designer!$BN$102,XS_Designer!BI$102,"")</f>
        <v/>
      </c>
      <c r="DP23" s="4" t="str">
        <f>IF(XS_Designer_Bed_Mix!$J23&lt;=XS_Designer!$BN$102,XS_Designer!BJ$102,"")</f>
        <v/>
      </c>
    </row>
    <row r="24" spans="10:120">
      <c r="J24" s="3">
        <v>0.23</v>
      </c>
      <c r="K24" s="4" t="str">
        <f>IF(XS_Designer_Bed_Mix!$J24&lt;=XS_Designer!$BN$92,XS_Designer!BA$92,"")</f>
        <v/>
      </c>
      <c r="L24" s="4" t="str">
        <f>IF(XS_Designer_Bed_Mix!$J24&lt;=XS_Designer!$BN$92,XS_Designer!BB$92,"")</f>
        <v/>
      </c>
      <c r="M24" s="4" t="str">
        <f>IF(XS_Designer_Bed_Mix!$J24&lt;=XS_Designer!$BN$92,XS_Designer!BC$92,"")</f>
        <v/>
      </c>
      <c r="N24" s="4" t="str">
        <f>IF(XS_Designer_Bed_Mix!$J24&lt;=XS_Designer!$BN$92,XS_Designer!BD$92,"")</f>
        <v/>
      </c>
      <c r="O24" s="4" t="str">
        <f>IF(XS_Designer_Bed_Mix!$J24&lt;=XS_Designer!$BN$92,XS_Designer!BE$92,"")</f>
        <v/>
      </c>
      <c r="P24" s="4" t="str">
        <f>IF(XS_Designer_Bed_Mix!$J24&lt;=XS_Designer!$BN$92,XS_Designer!BF$92,"")</f>
        <v/>
      </c>
      <c r="Q24" s="4" t="str">
        <f>IF(XS_Designer_Bed_Mix!$J24&lt;=XS_Designer!$BN$92,XS_Designer!BG$92,"")</f>
        <v/>
      </c>
      <c r="R24" s="4" t="str">
        <f>IF(XS_Designer_Bed_Mix!$J24&lt;=XS_Designer!$BN$92,XS_Designer!BH$92,"")</f>
        <v/>
      </c>
      <c r="S24" s="4" t="str">
        <f>IF(XS_Designer_Bed_Mix!$J24&lt;=XS_Designer!$BN$92,XS_Designer!BI$92,"")</f>
        <v/>
      </c>
      <c r="T24" s="4" t="str">
        <f>IF(XS_Designer_Bed_Mix!$J24&lt;=XS_Designer!$BN$92,XS_Designer!BJ$92,"")</f>
        <v/>
      </c>
      <c r="U24" s="4" t="str">
        <f>IF(XS_Designer_Bed_Mix!$J24&lt;=XS_Designer!$BN$93,XS_Designer!BA$93,"")</f>
        <v/>
      </c>
      <c r="V24" s="4" t="str">
        <f>IF(XS_Designer_Bed_Mix!$J24&lt;=XS_Designer!$BN$93,XS_Designer!BB$93,"")</f>
        <v/>
      </c>
      <c r="W24" s="4" t="str">
        <f>IF(XS_Designer_Bed_Mix!$J24&lt;=XS_Designer!$BN$93,XS_Designer!BC$93,"")</f>
        <v/>
      </c>
      <c r="X24" s="4" t="str">
        <f>IF(XS_Designer_Bed_Mix!$J24&lt;=XS_Designer!$BN$93,XS_Designer!BD$93,"")</f>
        <v/>
      </c>
      <c r="Y24" s="4" t="str">
        <f>IF(XS_Designer_Bed_Mix!$J24&lt;=XS_Designer!$BN$93,XS_Designer!BE$93,"")</f>
        <v/>
      </c>
      <c r="Z24" s="4" t="str">
        <f>IF(XS_Designer_Bed_Mix!$J24&lt;=XS_Designer!$BN$93,XS_Designer!BF$93,"")</f>
        <v/>
      </c>
      <c r="AA24" s="4" t="str">
        <f>IF(XS_Designer_Bed_Mix!$J24&lt;=XS_Designer!$BN$93,XS_Designer!BG$93,"")</f>
        <v/>
      </c>
      <c r="AB24" s="4" t="str">
        <f>IF(XS_Designer_Bed_Mix!$J24&lt;=XS_Designer!$BN$93,XS_Designer!BH$93,"")</f>
        <v/>
      </c>
      <c r="AC24" s="4" t="str">
        <f>IF(XS_Designer_Bed_Mix!$J24&lt;=XS_Designer!$BN$93,XS_Designer!BI$93,"")</f>
        <v/>
      </c>
      <c r="AD24" s="4" t="str">
        <f>IF(XS_Designer_Bed_Mix!$J24&lt;=XS_Designer!$BN$93,XS_Designer!BJ$93,"")</f>
        <v/>
      </c>
      <c r="AE24" s="4" t="str">
        <f>IF(XS_Designer_Bed_Mix!$J24&lt;=XS_Designer!$BN$94,XS_Designer!BA$94,"")</f>
        <v/>
      </c>
      <c r="AF24" s="4" t="str">
        <f>IF(XS_Designer_Bed_Mix!$J24&lt;=XS_Designer!$BN$94,XS_Designer!BB$94,"")</f>
        <v/>
      </c>
      <c r="AG24" s="4" t="str">
        <f>IF(XS_Designer_Bed_Mix!$J24&lt;=XS_Designer!$BN$94,XS_Designer!BC$94,"")</f>
        <v/>
      </c>
      <c r="AH24" s="4" t="str">
        <f>IF(XS_Designer_Bed_Mix!$J24&lt;=XS_Designer!$BN$94,XS_Designer!BD$94,"")</f>
        <v/>
      </c>
      <c r="AI24" s="4" t="str">
        <f>IF(XS_Designer_Bed_Mix!$J24&lt;=XS_Designer!$BN$94,XS_Designer!BE$94,"")</f>
        <v/>
      </c>
      <c r="AJ24" s="4" t="str">
        <f>IF(XS_Designer_Bed_Mix!$J24&lt;=XS_Designer!$BN$94,XS_Designer!BF$94,"")</f>
        <v/>
      </c>
      <c r="AK24" s="4" t="str">
        <f>IF(XS_Designer_Bed_Mix!$J24&lt;=XS_Designer!$BN$94,XS_Designer!BG$94,"")</f>
        <v/>
      </c>
      <c r="AL24" s="4" t="str">
        <f>IF(XS_Designer_Bed_Mix!$J24&lt;=XS_Designer!$BN$94,XS_Designer!BH$94,"")</f>
        <v/>
      </c>
      <c r="AM24" s="4" t="str">
        <f>IF(XS_Designer_Bed_Mix!$J24&lt;=XS_Designer!$BN$94,XS_Designer!BI$94,"")</f>
        <v/>
      </c>
      <c r="AN24" s="4" t="str">
        <f>IF(XS_Designer_Bed_Mix!$J24&lt;=XS_Designer!$BN$94,XS_Designer!BJ$94,"")</f>
        <v/>
      </c>
      <c r="AO24" s="4" t="str">
        <f>IF(XS_Designer_Bed_Mix!$J24&lt;=XS_Designer!$BN$95,XS_Designer!BA$95,"")</f>
        <v/>
      </c>
      <c r="AP24" s="4" t="str">
        <f>IF(XS_Designer_Bed_Mix!$J24&lt;=XS_Designer!$BN$95,XS_Designer!BB$95,"")</f>
        <v/>
      </c>
      <c r="AQ24" s="4" t="str">
        <f>IF(XS_Designer_Bed_Mix!$J24&lt;=XS_Designer!$BN$95,XS_Designer!BC$95,"")</f>
        <v/>
      </c>
      <c r="AR24" s="4" t="str">
        <f>IF(XS_Designer_Bed_Mix!$J24&lt;=XS_Designer!$BN$95,XS_Designer!BD$95,"")</f>
        <v/>
      </c>
      <c r="AS24" s="4" t="str">
        <f>IF(XS_Designer_Bed_Mix!$J24&lt;=XS_Designer!$BN$95,XS_Designer!BE$95,"")</f>
        <v/>
      </c>
      <c r="AT24" s="4" t="str">
        <f>IF(XS_Designer_Bed_Mix!$J24&lt;=XS_Designer!$BN$95,XS_Designer!BF$95,"")</f>
        <v/>
      </c>
      <c r="AU24" s="4" t="str">
        <f>IF(XS_Designer_Bed_Mix!$J24&lt;=XS_Designer!$BN$95,XS_Designer!BG$95,"")</f>
        <v/>
      </c>
      <c r="AV24" s="4" t="str">
        <f>IF(XS_Designer_Bed_Mix!$J24&lt;=XS_Designer!$BN$95,XS_Designer!BH$95,"")</f>
        <v/>
      </c>
      <c r="AW24" s="4" t="str">
        <f>IF(XS_Designer_Bed_Mix!$J24&lt;=XS_Designer!$BN$95,XS_Designer!BI$95,"")</f>
        <v/>
      </c>
      <c r="AX24" s="4" t="str">
        <f>IF(XS_Designer_Bed_Mix!$J24&lt;=XS_Designer!$BN$95,XS_Designer!BJ$95,"")</f>
        <v/>
      </c>
      <c r="AY24" s="4">
        <f>IF(XS_Designer_Bed_Mix!$J24&lt;=XS_Designer!$BN$96,XS_Designer!BA$96,"")</f>
        <v>335.28000000000003</v>
      </c>
      <c r="AZ24" s="4">
        <f>IF(XS_Designer_Bed_Mix!$J24&lt;=XS_Designer!$BN$96,XS_Designer!BB$96,"")</f>
        <v>335.28000000000003</v>
      </c>
      <c r="BA24" s="4">
        <f>IF(XS_Designer_Bed_Mix!$J24&lt;=XS_Designer!$BN$96,XS_Designer!BC$96,"")</f>
        <v>335.28000000000003</v>
      </c>
      <c r="BB24" s="4">
        <f>IF(XS_Designer_Bed_Mix!$J24&lt;=XS_Designer!$BN$96,XS_Designer!BD$96,"")</f>
        <v>335.28000000000003</v>
      </c>
      <c r="BC24" s="4">
        <f>IF(XS_Designer_Bed_Mix!$J24&lt;=XS_Designer!$BN$96,XS_Designer!BE$96,"")</f>
        <v>335.28000000000003</v>
      </c>
      <c r="BD24" s="4">
        <f>IF(XS_Designer_Bed_Mix!$J24&lt;=XS_Designer!$BN$96,XS_Designer!BF$96,"")</f>
        <v>335.28000000000003</v>
      </c>
      <c r="BE24" s="4">
        <f>IF(XS_Designer_Bed_Mix!$J24&lt;=XS_Designer!$BN$96,XS_Designer!BG$96,"")</f>
        <v>335.28000000000003</v>
      </c>
      <c r="BF24" s="4">
        <f>IF(XS_Designer_Bed_Mix!$J24&lt;=XS_Designer!$BN$96,XS_Designer!BH$96,"")</f>
        <v>335.28000000000003</v>
      </c>
      <c r="BG24" s="4">
        <f>IF(XS_Designer_Bed_Mix!$J24&lt;=XS_Designer!$BN$96,XS_Designer!BI$96,"")</f>
        <v>335.28000000000003</v>
      </c>
      <c r="BH24" s="4">
        <f>IF(XS_Designer_Bed_Mix!$J24&lt;=XS_Designer!$BN$96,XS_Designer!BJ$96,"")</f>
        <v>335.28000000000003</v>
      </c>
      <c r="BI24" s="4" t="str">
        <f>IF(XS_Designer_Bed_Mix!$J24&lt;=XS_Designer!$BN$97,XS_Designer!BA$97,"")</f>
        <v/>
      </c>
      <c r="BJ24" s="4" t="str">
        <f>IF(XS_Designer_Bed_Mix!$J24&lt;=XS_Designer!$BN$97,XS_Designer!BB$97,"")</f>
        <v/>
      </c>
      <c r="BK24" s="4" t="str">
        <f>IF(XS_Designer_Bed_Mix!$J24&lt;=XS_Designer!$BN$97,XS_Designer!BC$97,"")</f>
        <v/>
      </c>
      <c r="BL24" s="4" t="str">
        <f>IF(XS_Designer_Bed_Mix!$J24&lt;=XS_Designer!$BN$97,XS_Designer!BD$97,"")</f>
        <v/>
      </c>
      <c r="BM24" s="4" t="str">
        <f>IF(XS_Designer_Bed_Mix!$J24&lt;=XS_Designer!$BN$97,XS_Designer!BE$97,"")</f>
        <v/>
      </c>
      <c r="BN24" s="4" t="str">
        <f>IF(XS_Designer_Bed_Mix!$J24&lt;=XS_Designer!$BN$97,XS_Designer!BF$97,"")</f>
        <v/>
      </c>
      <c r="BO24" s="4" t="str">
        <f>IF(XS_Designer_Bed_Mix!$J24&lt;=XS_Designer!$BN$97,XS_Designer!BG$97,"")</f>
        <v/>
      </c>
      <c r="BP24" s="4" t="str">
        <f>IF(XS_Designer_Bed_Mix!$J24&lt;=XS_Designer!$BN$97,XS_Designer!BH$97,"")</f>
        <v/>
      </c>
      <c r="BQ24" s="4" t="str">
        <f>IF(XS_Designer_Bed_Mix!$J24&lt;=XS_Designer!$BN$97,XS_Designer!BI$97,"")</f>
        <v/>
      </c>
      <c r="BR24" s="4" t="str">
        <f>IF(XS_Designer_Bed_Mix!$J24&lt;=XS_Designer!$BN$97,XS_Designer!BJ$97,"")</f>
        <v/>
      </c>
      <c r="BS24" s="4" t="str">
        <f>IF(XS_Designer_Bed_Mix!$J24&lt;=XS_Designer!$BN$98,XS_Designer!BA$98,"")</f>
        <v/>
      </c>
      <c r="BT24" s="4" t="str">
        <f>IF(XS_Designer_Bed_Mix!$J24&lt;=XS_Designer!$BN$98,XS_Designer!BB$98,"")</f>
        <v/>
      </c>
      <c r="BU24" s="4" t="str">
        <f>IF(XS_Designer_Bed_Mix!$J24&lt;=XS_Designer!$BN$98,XS_Designer!BC$98,"")</f>
        <v/>
      </c>
      <c r="BV24" s="4" t="str">
        <f>IF(XS_Designer_Bed_Mix!$J24&lt;=XS_Designer!$BN$98,XS_Designer!BD$98,"")</f>
        <v/>
      </c>
      <c r="BW24" s="4" t="str">
        <f>IF(XS_Designer_Bed_Mix!$J24&lt;=XS_Designer!$BN$98,XS_Designer!BE$98,"")</f>
        <v/>
      </c>
      <c r="BX24" s="4" t="str">
        <f>IF(XS_Designer_Bed_Mix!$J24&lt;=XS_Designer!$BN$98,XS_Designer!BF$98,"")</f>
        <v/>
      </c>
      <c r="BY24" s="4" t="str">
        <f>IF(XS_Designer_Bed_Mix!$J24&lt;=XS_Designer!$BN$98,XS_Designer!BG$98,"")</f>
        <v/>
      </c>
      <c r="BZ24" s="4" t="str">
        <f>IF(XS_Designer_Bed_Mix!$J24&lt;=XS_Designer!$BN$98,XS_Designer!BH$98,"")</f>
        <v/>
      </c>
      <c r="CA24" s="4" t="str">
        <f>IF(XS_Designer_Bed_Mix!$J24&lt;=XS_Designer!$BN$98,XS_Designer!BI$98,"")</f>
        <v/>
      </c>
      <c r="CB24" s="4" t="str">
        <f>IF(XS_Designer_Bed_Mix!$J24&lt;=XS_Designer!$BN$98,XS_Designer!BJ$98,"")</f>
        <v/>
      </c>
      <c r="CC24" s="4" t="str">
        <f>IF(XS_Designer_Bed_Mix!$J24&lt;=XS_Designer!$BN$99,XS_Designer!BA$99,"")</f>
        <v/>
      </c>
      <c r="CD24" s="4" t="str">
        <f>IF(XS_Designer_Bed_Mix!$J24&lt;=XS_Designer!$BN$99,XS_Designer!BB$99,"")</f>
        <v/>
      </c>
      <c r="CE24" s="4" t="str">
        <f>IF(XS_Designer_Bed_Mix!$J24&lt;=XS_Designer!$BN$99,XS_Designer!BC$99,"")</f>
        <v/>
      </c>
      <c r="CF24" s="4" t="str">
        <f>IF(XS_Designer_Bed_Mix!$J24&lt;=XS_Designer!$BN$99,XS_Designer!BD$99,"")</f>
        <v/>
      </c>
      <c r="CG24" s="4" t="str">
        <f>IF(XS_Designer_Bed_Mix!$J24&lt;=XS_Designer!$BN$99,XS_Designer!BE$99,"")</f>
        <v/>
      </c>
      <c r="CH24" s="4" t="str">
        <f>IF(XS_Designer_Bed_Mix!$J24&lt;=XS_Designer!$BN$99,XS_Designer!BF$99,"")</f>
        <v/>
      </c>
      <c r="CI24" s="4" t="str">
        <f>IF(XS_Designer_Bed_Mix!$J24&lt;=XS_Designer!$BN$99,XS_Designer!BG$99,"")</f>
        <v/>
      </c>
      <c r="CJ24" s="4" t="str">
        <f>IF(XS_Designer_Bed_Mix!$J24&lt;=XS_Designer!$BN$99,XS_Designer!BH$99,"")</f>
        <v/>
      </c>
      <c r="CK24" s="4" t="str">
        <f>IF(XS_Designer_Bed_Mix!$J24&lt;=XS_Designer!$BN$99,XS_Designer!BI$99,"")</f>
        <v/>
      </c>
      <c r="CL24" s="4" t="str">
        <f>IF(XS_Designer_Bed_Mix!$J24&lt;=XS_Designer!$BN$99,XS_Designer!BJ$99,"")</f>
        <v/>
      </c>
      <c r="CM24" s="4">
        <f>IF(XS_Designer_Bed_Mix!$J24&lt;=XS_Designer!$BN$100,XS_Designer!BA$100,"")</f>
        <v>64</v>
      </c>
      <c r="CN24" s="4">
        <f>IF(XS_Designer_Bed_Mix!$J24&lt;=XS_Designer!$BN$100,XS_Designer!BB$100,"")</f>
        <v>57.6</v>
      </c>
      <c r="CO24" s="4">
        <f>IF(XS_Designer_Bed_Mix!$J24&lt;=XS_Designer!$BN$100,XS_Designer!BC$100,"")</f>
        <v>51.2</v>
      </c>
      <c r="CP24" s="4">
        <f>IF(XS_Designer_Bed_Mix!$J24&lt;=XS_Designer!$BN$100,XS_Designer!BD$100,"")</f>
        <v>44.800000000000004</v>
      </c>
      <c r="CQ24" s="4">
        <f>IF(XS_Designer_Bed_Mix!$J24&lt;=XS_Designer!$BN$100,XS_Designer!BE$100,"")</f>
        <v>38.400000000000006</v>
      </c>
      <c r="CR24" s="4">
        <f>IF(XS_Designer_Bed_Mix!$J24&lt;=XS_Designer!$BN$100,XS_Designer!BF$100,"")</f>
        <v>32</v>
      </c>
      <c r="CS24" s="4">
        <f>IF(XS_Designer_Bed_Mix!$J24&lt;=XS_Designer!$BN$100,XS_Designer!BG$100,"")</f>
        <v>26</v>
      </c>
      <c r="CT24" s="4">
        <f>IF(XS_Designer_Bed_Mix!$J24&lt;=XS_Designer!$BN$100,XS_Designer!BH$100,"")</f>
        <v>20</v>
      </c>
      <c r="CU24" s="4">
        <f>IF(XS_Designer_Bed_Mix!$J24&lt;=XS_Designer!$BN$100,XS_Designer!BI$100,"")</f>
        <v>14</v>
      </c>
      <c r="CV24" s="4">
        <f>IF(XS_Designer_Bed_Mix!$J24&lt;=XS_Designer!$BN$100,XS_Designer!BJ$100,"")</f>
        <v>8</v>
      </c>
      <c r="CW24" s="4" t="str">
        <f>IF(XS_Designer_Bed_Mix!$J24&lt;=XS_Designer!$BN$101,XS_Designer!BA$101,"")</f>
        <v/>
      </c>
      <c r="CX24" s="4" t="str">
        <f>IF(XS_Designer_Bed_Mix!$J24&lt;=XS_Designer!$BN$101,XS_Designer!BB$101,"")</f>
        <v/>
      </c>
      <c r="CY24" s="4" t="str">
        <f>IF(XS_Designer_Bed_Mix!$J24&lt;=XS_Designer!$BN$101,XS_Designer!BC$101,"")</f>
        <v/>
      </c>
      <c r="CZ24" s="4" t="str">
        <f>IF(XS_Designer_Bed_Mix!$J24&lt;=XS_Designer!$BN$101,XS_Designer!BD$101,"")</f>
        <v/>
      </c>
      <c r="DA24" s="4" t="str">
        <f>IF(XS_Designer_Bed_Mix!$J24&lt;=XS_Designer!$BN$101,XS_Designer!BE$101,"")</f>
        <v/>
      </c>
      <c r="DB24" s="4" t="str">
        <f>IF(XS_Designer_Bed_Mix!$J24&lt;=XS_Designer!$BN$101,XS_Designer!BF$101,"")</f>
        <v/>
      </c>
      <c r="DC24" s="4" t="str">
        <f>IF(XS_Designer_Bed_Mix!$J24&lt;=XS_Designer!$BN$101,XS_Designer!BG$101,"")</f>
        <v/>
      </c>
      <c r="DD24" s="4" t="str">
        <f>IF(XS_Designer_Bed_Mix!$J24&lt;=XS_Designer!$BN$101,XS_Designer!BH$101,"")</f>
        <v/>
      </c>
      <c r="DE24" s="4" t="str">
        <f>IF(XS_Designer_Bed_Mix!$J24&lt;=XS_Designer!$BN$101,XS_Designer!BI$101,"")</f>
        <v/>
      </c>
      <c r="DF24" s="4" t="str">
        <f>IF(XS_Designer_Bed_Mix!$J24&lt;=XS_Designer!$BN$101,XS_Designer!BJ$101,"")</f>
        <v/>
      </c>
      <c r="DG24" s="4" t="str">
        <f>IF(XS_Designer_Bed_Mix!$J24&lt;=XS_Designer!$BN$102,XS_Designer!BA$102,"")</f>
        <v/>
      </c>
      <c r="DH24" s="4" t="str">
        <f>IF(XS_Designer_Bed_Mix!$J24&lt;=XS_Designer!$BN$102,XS_Designer!BB$102,"")</f>
        <v/>
      </c>
      <c r="DI24" s="4" t="str">
        <f>IF(XS_Designer_Bed_Mix!$J24&lt;=XS_Designer!$BN$102,XS_Designer!BC$102,"")</f>
        <v/>
      </c>
      <c r="DJ24" s="4" t="str">
        <f>IF(XS_Designer_Bed_Mix!$J24&lt;=XS_Designer!$BN$102,XS_Designer!BD$102,"")</f>
        <v/>
      </c>
      <c r="DK24" s="4" t="str">
        <f>IF(XS_Designer_Bed_Mix!$J24&lt;=XS_Designer!$BN$102,XS_Designer!BE$102,"")</f>
        <v/>
      </c>
      <c r="DL24" s="4" t="str">
        <f>IF(XS_Designer_Bed_Mix!$J24&lt;=XS_Designer!$BN$102,XS_Designer!BF$102,"")</f>
        <v/>
      </c>
      <c r="DM24" s="4" t="str">
        <f>IF(XS_Designer_Bed_Mix!$J24&lt;=XS_Designer!$BN$102,XS_Designer!BG$102,"")</f>
        <v/>
      </c>
      <c r="DN24" s="4" t="str">
        <f>IF(XS_Designer_Bed_Mix!$J24&lt;=XS_Designer!$BN$102,XS_Designer!BH$102,"")</f>
        <v/>
      </c>
      <c r="DO24" s="4" t="str">
        <f>IF(XS_Designer_Bed_Mix!$J24&lt;=XS_Designer!$BN$102,XS_Designer!BI$102,"")</f>
        <v/>
      </c>
      <c r="DP24" s="4" t="str">
        <f>IF(XS_Designer_Bed_Mix!$J24&lt;=XS_Designer!$BN$102,XS_Designer!BJ$102,"")</f>
        <v/>
      </c>
    </row>
    <row r="25" spans="10:120">
      <c r="J25" s="3">
        <v>0.24</v>
      </c>
      <c r="K25" s="4" t="str">
        <f>IF(XS_Designer_Bed_Mix!$J25&lt;=XS_Designer!$BN$92,XS_Designer!BA$92,"")</f>
        <v/>
      </c>
      <c r="L25" s="4" t="str">
        <f>IF(XS_Designer_Bed_Mix!$J25&lt;=XS_Designer!$BN$92,XS_Designer!BB$92,"")</f>
        <v/>
      </c>
      <c r="M25" s="4" t="str">
        <f>IF(XS_Designer_Bed_Mix!$J25&lt;=XS_Designer!$BN$92,XS_Designer!BC$92,"")</f>
        <v/>
      </c>
      <c r="N25" s="4" t="str">
        <f>IF(XS_Designer_Bed_Mix!$J25&lt;=XS_Designer!$BN$92,XS_Designer!BD$92,"")</f>
        <v/>
      </c>
      <c r="O25" s="4" t="str">
        <f>IF(XS_Designer_Bed_Mix!$J25&lt;=XS_Designer!$BN$92,XS_Designer!BE$92,"")</f>
        <v/>
      </c>
      <c r="P25" s="4" t="str">
        <f>IF(XS_Designer_Bed_Mix!$J25&lt;=XS_Designer!$BN$92,XS_Designer!BF$92,"")</f>
        <v/>
      </c>
      <c r="Q25" s="4" t="str">
        <f>IF(XS_Designer_Bed_Mix!$J25&lt;=XS_Designer!$BN$92,XS_Designer!BG$92,"")</f>
        <v/>
      </c>
      <c r="R25" s="4" t="str">
        <f>IF(XS_Designer_Bed_Mix!$J25&lt;=XS_Designer!$BN$92,XS_Designer!BH$92,"")</f>
        <v/>
      </c>
      <c r="S25" s="4" t="str">
        <f>IF(XS_Designer_Bed_Mix!$J25&lt;=XS_Designer!$BN$92,XS_Designer!BI$92,"")</f>
        <v/>
      </c>
      <c r="T25" s="4" t="str">
        <f>IF(XS_Designer_Bed_Mix!$J25&lt;=XS_Designer!$BN$92,XS_Designer!BJ$92,"")</f>
        <v/>
      </c>
      <c r="U25" s="4" t="str">
        <f>IF(XS_Designer_Bed_Mix!$J25&lt;=XS_Designer!$BN$93,XS_Designer!BA$93,"")</f>
        <v/>
      </c>
      <c r="V25" s="4" t="str">
        <f>IF(XS_Designer_Bed_Mix!$J25&lt;=XS_Designer!$BN$93,XS_Designer!BB$93,"")</f>
        <v/>
      </c>
      <c r="W25" s="4" t="str">
        <f>IF(XS_Designer_Bed_Mix!$J25&lt;=XS_Designer!$BN$93,XS_Designer!BC$93,"")</f>
        <v/>
      </c>
      <c r="X25" s="4" t="str">
        <f>IF(XS_Designer_Bed_Mix!$J25&lt;=XS_Designer!$BN$93,XS_Designer!BD$93,"")</f>
        <v/>
      </c>
      <c r="Y25" s="4" t="str">
        <f>IF(XS_Designer_Bed_Mix!$J25&lt;=XS_Designer!$BN$93,XS_Designer!BE$93,"")</f>
        <v/>
      </c>
      <c r="Z25" s="4" t="str">
        <f>IF(XS_Designer_Bed_Mix!$J25&lt;=XS_Designer!$BN$93,XS_Designer!BF$93,"")</f>
        <v/>
      </c>
      <c r="AA25" s="4" t="str">
        <f>IF(XS_Designer_Bed_Mix!$J25&lt;=XS_Designer!$BN$93,XS_Designer!BG$93,"")</f>
        <v/>
      </c>
      <c r="AB25" s="4" t="str">
        <f>IF(XS_Designer_Bed_Mix!$J25&lt;=XS_Designer!$BN$93,XS_Designer!BH$93,"")</f>
        <v/>
      </c>
      <c r="AC25" s="4" t="str">
        <f>IF(XS_Designer_Bed_Mix!$J25&lt;=XS_Designer!$BN$93,XS_Designer!BI$93,"")</f>
        <v/>
      </c>
      <c r="AD25" s="4" t="str">
        <f>IF(XS_Designer_Bed_Mix!$J25&lt;=XS_Designer!$BN$93,XS_Designer!BJ$93,"")</f>
        <v/>
      </c>
      <c r="AE25" s="4" t="str">
        <f>IF(XS_Designer_Bed_Mix!$J25&lt;=XS_Designer!$BN$94,XS_Designer!BA$94,"")</f>
        <v/>
      </c>
      <c r="AF25" s="4" t="str">
        <f>IF(XS_Designer_Bed_Mix!$J25&lt;=XS_Designer!$BN$94,XS_Designer!BB$94,"")</f>
        <v/>
      </c>
      <c r="AG25" s="4" t="str">
        <f>IF(XS_Designer_Bed_Mix!$J25&lt;=XS_Designer!$BN$94,XS_Designer!BC$94,"")</f>
        <v/>
      </c>
      <c r="AH25" s="4" t="str">
        <f>IF(XS_Designer_Bed_Mix!$J25&lt;=XS_Designer!$BN$94,XS_Designer!BD$94,"")</f>
        <v/>
      </c>
      <c r="AI25" s="4" t="str">
        <f>IF(XS_Designer_Bed_Mix!$J25&lt;=XS_Designer!$BN$94,XS_Designer!BE$94,"")</f>
        <v/>
      </c>
      <c r="AJ25" s="4" t="str">
        <f>IF(XS_Designer_Bed_Mix!$J25&lt;=XS_Designer!$BN$94,XS_Designer!BF$94,"")</f>
        <v/>
      </c>
      <c r="AK25" s="4" t="str">
        <f>IF(XS_Designer_Bed_Mix!$J25&lt;=XS_Designer!$BN$94,XS_Designer!BG$94,"")</f>
        <v/>
      </c>
      <c r="AL25" s="4" t="str">
        <f>IF(XS_Designer_Bed_Mix!$J25&lt;=XS_Designer!$BN$94,XS_Designer!BH$94,"")</f>
        <v/>
      </c>
      <c r="AM25" s="4" t="str">
        <f>IF(XS_Designer_Bed_Mix!$J25&lt;=XS_Designer!$BN$94,XS_Designer!BI$94,"")</f>
        <v/>
      </c>
      <c r="AN25" s="4" t="str">
        <f>IF(XS_Designer_Bed_Mix!$J25&lt;=XS_Designer!$BN$94,XS_Designer!BJ$94,"")</f>
        <v/>
      </c>
      <c r="AO25" s="4" t="str">
        <f>IF(XS_Designer_Bed_Mix!$J25&lt;=XS_Designer!$BN$95,XS_Designer!BA$95,"")</f>
        <v/>
      </c>
      <c r="AP25" s="4" t="str">
        <f>IF(XS_Designer_Bed_Mix!$J25&lt;=XS_Designer!$BN$95,XS_Designer!BB$95,"")</f>
        <v/>
      </c>
      <c r="AQ25" s="4" t="str">
        <f>IF(XS_Designer_Bed_Mix!$J25&lt;=XS_Designer!$BN$95,XS_Designer!BC$95,"")</f>
        <v/>
      </c>
      <c r="AR25" s="4" t="str">
        <f>IF(XS_Designer_Bed_Mix!$J25&lt;=XS_Designer!$BN$95,XS_Designer!BD$95,"")</f>
        <v/>
      </c>
      <c r="AS25" s="4" t="str">
        <f>IF(XS_Designer_Bed_Mix!$J25&lt;=XS_Designer!$BN$95,XS_Designer!BE$95,"")</f>
        <v/>
      </c>
      <c r="AT25" s="4" t="str">
        <f>IF(XS_Designer_Bed_Mix!$J25&lt;=XS_Designer!$BN$95,XS_Designer!BF$95,"")</f>
        <v/>
      </c>
      <c r="AU25" s="4" t="str">
        <f>IF(XS_Designer_Bed_Mix!$J25&lt;=XS_Designer!$BN$95,XS_Designer!BG$95,"")</f>
        <v/>
      </c>
      <c r="AV25" s="4" t="str">
        <f>IF(XS_Designer_Bed_Mix!$J25&lt;=XS_Designer!$BN$95,XS_Designer!BH$95,"")</f>
        <v/>
      </c>
      <c r="AW25" s="4" t="str">
        <f>IF(XS_Designer_Bed_Mix!$J25&lt;=XS_Designer!$BN$95,XS_Designer!BI$95,"")</f>
        <v/>
      </c>
      <c r="AX25" s="4" t="str">
        <f>IF(XS_Designer_Bed_Mix!$J25&lt;=XS_Designer!$BN$95,XS_Designer!BJ$95,"")</f>
        <v/>
      </c>
      <c r="AY25" s="4">
        <f>IF(XS_Designer_Bed_Mix!$J25&lt;=XS_Designer!$BN$96,XS_Designer!BA$96,"")</f>
        <v>335.28000000000003</v>
      </c>
      <c r="AZ25" s="4">
        <f>IF(XS_Designer_Bed_Mix!$J25&lt;=XS_Designer!$BN$96,XS_Designer!BB$96,"")</f>
        <v>335.28000000000003</v>
      </c>
      <c r="BA25" s="4">
        <f>IF(XS_Designer_Bed_Mix!$J25&lt;=XS_Designer!$BN$96,XS_Designer!BC$96,"")</f>
        <v>335.28000000000003</v>
      </c>
      <c r="BB25" s="4">
        <f>IF(XS_Designer_Bed_Mix!$J25&lt;=XS_Designer!$BN$96,XS_Designer!BD$96,"")</f>
        <v>335.28000000000003</v>
      </c>
      <c r="BC25" s="4">
        <f>IF(XS_Designer_Bed_Mix!$J25&lt;=XS_Designer!$BN$96,XS_Designer!BE$96,"")</f>
        <v>335.28000000000003</v>
      </c>
      <c r="BD25" s="4">
        <f>IF(XS_Designer_Bed_Mix!$J25&lt;=XS_Designer!$BN$96,XS_Designer!BF$96,"")</f>
        <v>335.28000000000003</v>
      </c>
      <c r="BE25" s="4">
        <f>IF(XS_Designer_Bed_Mix!$J25&lt;=XS_Designer!$BN$96,XS_Designer!BG$96,"")</f>
        <v>335.28000000000003</v>
      </c>
      <c r="BF25" s="4">
        <f>IF(XS_Designer_Bed_Mix!$J25&lt;=XS_Designer!$BN$96,XS_Designer!BH$96,"")</f>
        <v>335.28000000000003</v>
      </c>
      <c r="BG25" s="4">
        <f>IF(XS_Designer_Bed_Mix!$J25&lt;=XS_Designer!$BN$96,XS_Designer!BI$96,"")</f>
        <v>335.28000000000003</v>
      </c>
      <c r="BH25" s="4">
        <f>IF(XS_Designer_Bed_Mix!$J25&lt;=XS_Designer!$BN$96,XS_Designer!BJ$96,"")</f>
        <v>335.28000000000003</v>
      </c>
      <c r="BI25" s="4" t="str">
        <f>IF(XS_Designer_Bed_Mix!$J25&lt;=XS_Designer!$BN$97,XS_Designer!BA$97,"")</f>
        <v/>
      </c>
      <c r="BJ25" s="4" t="str">
        <f>IF(XS_Designer_Bed_Mix!$J25&lt;=XS_Designer!$BN$97,XS_Designer!BB$97,"")</f>
        <v/>
      </c>
      <c r="BK25" s="4" t="str">
        <f>IF(XS_Designer_Bed_Mix!$J25&lt;=XS_Designer!$BN$97,XS_Designer!BC$97,"")</f>
        <v/>
      </c>
      <c r="BL25" s="4" t="str">
        <f>IF(XS_Designer_Bed_Mix!$J25&lt;=XS_Designer!$BN$97,XS_Designer!BD$97,"")</f>
        <v/>
      </c>
      <c r="BM25" s="4" t="str">
        <f>IF(XS_Designer_Bed_Mix!$J25&lt;=XS_Designer!$BN$97,XS_Designer!BE$97,"")</f>
        <v/>
      </c>
      <c r="BN25" s="4" t="str">
        <f>IF(XS_Designer_Bed_Mix!$J25&lt;=XS_Designer!$BN$97,XS_Designer!BF$97,"")</f>
        <v/>
      </c>
      <c r="BO25" s="4" t="str">
        <f>IF(XS_Designer_Bed_Mix!$J25&lt;=XS_Designer!$BN$97,XS_Designer!BG$97,"")</f>
        <v/>
      </c>
      <c r="BP25" s="4" t="str">
        <f>IF(XS_Designer_Bed_Mix!$J25&lt;=XS_Designer!$BN$97,XS_Designer!BH$97,"")</f>
        <v/>
      </c>
      <c r="BQ25" s="4" t="str">
        <f>IF(XS_Designer_Bed_Mix!$J25&lt;=XS_Designer!$BN$97,XS_Designer!BI$97,"")</f>
        <v/>
      </c>
      <c r="BR25" s="4" t="str">
        <f>IF(XS_Designer_Bed_Mix!$J25&lt;=XS_Designer!$BN$97,XS_Designer!BJ$97,"")</f>
        <v/>
      </c>
      <c r="BS25" s="4" t="str">
        <f>IF(XS_Designer_Bed_Mix!$J25&lt;=XS_Designer!$BN$98,XS_Designer!BA$98,"")</f>
        <v/>
      </c>
      <c r="BT25" s="4" t="str">
        <f>IF(XS_Designer_Bed_Mix!$J25&lt;=XS_Designer!$BN$98,XS_Designer!BB$98,"")</f>
        <v/>
      </c>
      <c r="BU25" s="4" t="str">
        <f>IF(XS_Designer_Bed_Mix!$J25&lt;=XS_Designer!$BN$98,XS_Designer!BC$98,"")</f>
        <v/>
      </c>
      <c r="BV25" s="4" t="str">
        <f>IF(XS_Designer_Bed_Mix!$J25&lt;=XS_Designer!$BN$98,XS_Designer!BD$98,"")</f>
        <v/>
      </c>
      <c r="BW25" s="4" t="str">
        <f>IF(XS_Designer_Bed_Mix!$J25&lt;=XS_Designer!$BN$98,XS_Designer!BE$98,"")</f>
        <v/>
      </c>
      <c r="BX25" s="4" t="str">
        <f>IF(XS_Designer_Bed_Mix!$J25&lt;=XS_Designer!$BN$98,XS_Designer!BF$98,"")</f>
        <v/>
      </c>
      <c r="BY25" s="4" t="str">
        <f>IF(XS_Designer_Bed_Mix!$J25&lt;=XS_Designer!$BN$98,XS_Designer!BG$98,"")</f>
        <v/>
      </c>
      <c r="BZ25" s="4" t="str">
        <f>IF(XS_Designer_Bed_Mix!$J25&lt;=XS_Designer!$BN$98,XS_Designer!BH$98,"")</f>
        <v/>
      </c>
      <c r="CA25" s="4" t="str">
        <f>IF(XS_Designer_Bed_Mix!$J25&lt;=XS_Designer!$BN$98,XS_Designer!BI$98,"")</f>
        <v/>
      </c>
      <c r="CB25" s="4" t="str">
        <f>IF(XS_Designer_Bed_Mix!$J25&lt;=XS_Designer!$BN$98,XS_Designer!BJ$98,"")</f>
        <v/>
      </c>
      <c r="CC25" s="4" t="str">
        <f>IF(XS_Designer_Bed_Mix!$J25&lt;=XS_Designer!$BN$99,XS_Designer!BA$99,"")</f>
        <v/>
      </c>
      <c r="CD25" s="4" t="str">
        <f>IF(XS_Designer_Bed_Mix!$J25&lt;=XS_Designer!$BN$99,XS_Designer!BB$99,"")</f>
        <v/>
      </c>
      <c r="CE25" s="4" t="str">
        <f>IF(XS_Designer_Bed_Mix!$J25&lt;=XS_Designer!$BN$99,XS_Designer!BC$99,"")</f>
        <v/>
      </c>
      <c r="CF25" s="4" t="str">
        <f>IF(XS_Designer_Bed_Mix!$J25&lt;=XS_Designer!$BN$99,XS_Designer!BD$99,"")</f>
        <v/>
      </c>
      <c r="CG25" s="4" t="str">
        <f>IF(XS_Designer_Bed_Mix!$J25&lt;=XS_Designer!$BN$99,XS_Designer!BE$99,"")</f>
        <v/>
      </c>
      <c r="CH25" s="4" t="str">
        <f>IF(XS_Designer_Bed_Mix!$J25&lt;=XS_Designer!$BN$99,XS_Designer!BF$99,"")</f>
        <v/>
      </c>
      <c r="CI25" s="4" t="str">
        <f>IF(XS_Designer_Bed_Mix!$J25&lt;=XS_Designer!$BN$99,XS_Designer!BG$99,"")</f>
        <v/>
      </c>
      <c r="CJ25" s="4" t="str">
        <f>IF(XS_Designer_Bed_Mix!$J25&lt;=XS_Designer!$BN$99,XS_Designer!BH$99,"")</f>
        <v/>
      </c>
      <c r="CK25" s="4" t="str">
        <f>IF(XS_Designer_Bed_Mix!$J25&lt;=XS_Designer!$BN$99,XS_Designer!BI$99,"")</f>
        <v/>
      </c>
      <c r="CL25" s="4" t="str">
        <f>IF(XS_Designer_Bed_Mix!$J25&lt;=XS_Designer!$BN$99,XS_Designer!BJ$99,"")</f>
        <v/>
      </c>
      <c r="CM25" s="4">
        <f>IF(XS_Designer_Bed_Mix!$J25&lt;=XS_Designer!$BN$100,XS_Designer!BA$100,"")</f>
        <v>64</v>
      </c>
      <c r="CN25" s="4">
        <f>IF(XS_Designer_Bed_Mix!$J25&lt;=XS_Designer!$BN$100,XS_Designer!BB$100,"")</f>
        <v>57.6</v>
      </c>
      <c r="CO25" s="4">
        <f>IF(XS_Designer_Bed_Mix!$J25&lt;=XS_Designer!$BN$100,XS_Designer!BC$100,"")</f>
        <v>51.2</v>
      </c>
      <c r="CP25" s="4">
        <f>IF(XS_Designer_Bed_Mix!$J25&lt;=XS_Designer!$BN$100,XS_Designer!BD$100,"")</f>
        <v>44.800000000000004</v>
      </c>
      <c r="CQ25" s="4">
        <f>IF(XS_Designer_Bed_Mix!$J25&lt;=XS_Designer!$BN$100,XS_Designer!BE$100,"")</f>
        <v>38.400000000000006</v>
      </c>
      <c r="CR25" s="4">
        <f>IF(XS_Designer_Bed_Mix!$J25&lt;=XS_Designer!$BN$100,XS_Designer!BF$100,"")</f>
        <v>32</v>
      </c>
      <c r="CS25" s="4">
        <f>IF(XS_Designer_Bed_Mix!$J25&lt;=XS_Designer!$BN$100,XS_Designer!BG$100,"")</f>
        <v>26</v>
      </c>
      <c r="CT25" s="4">
        <f>IF(XS_Designer_Bed_Mix!$J25&lt;=XS_Designer!$BN$100,XS_Designer!BH$100,"")</f>
        <v>20</v>
      </c>
      <c r="CU25" s="4">
        <f>IF(XS_Designer_Bed_Mix!$J25&lt;=XS_Designer!$BN$100,XS_Designer!BI$100,"")</f>
        <v>14</v>
      </c>
      <c r="CV25" s="4">
        <f>IF(XS_Designer_Bed_Mix!$J25&lt;=XS_Designer!$BN$100,XS_Designer!BJ$100,"")</f>
        <v>8</v>
      </c>
      <c r="CW25" s="4" t="str">
        <f>IF(XS_Designer_Bed_Mix!$J25&lt;=XS_Designer!$BN$101,XS_Designer!BA$101,"")</f>
        <v/>
      </c>
      <c r="CX25" s="4" t="str">
        <f>IF(XS_Designer_Bed_Mix!$J25&lt;=XS_Designer!$BN$101,XS_Designer!BB$101,"")</f>
        <v/>
      </c>
      <c r="CY25" s="4" t="str">
        <f>IF(XS_Designer_Bed_Mix!$J25&lt;=XS_Designer!$BN$101,XS_Designer!BC$101,"")</f>
        <v/>
      </c>
      <c r="CZ25" s="4" t="str">
        <f>IF(XS_Designer_Bed_Mix!$J25&lt;=XS_Designer!$BN$101,XS_Designer!BD$101,"")</f>
        <v/>
      </c>
      <c r="DA25" s="4" t="str">
        <f>IF(XS_Designer_Bed_Mix!$J25&lt;=XS_Designer!$BN$101,XS_Designer!BE$101,"")</f>
        <v/>
      </c>
      <c r="DB25" s="4" t="str">
        <f>IF(XS_Designer_Bed_Mix!$J25&lt;=XS_Designer!$BN$101,XS_Designer!BF$101,"")</f>
        <v/>
      </c>
      <c r="DC25" s="4" t="str">
        <f>IF(XS_Designer_Bed_Mix!$J25&lt;=XS_Designer!$BN$101,XS_Designer!BG$101,"")</f>
        <v/>
      </c>
      <c r="DD25" s="4" t="str">
        <f>IF(XS_Designer_Bed_Mix!$J25&lt;=XS_Designer!$BN$101,XS_Designer!BH$101,"")</f>
        <v/>
      </c>
      <c r="DE25" s="4" t="str">
        <f>IF(XS_Designer_Bed_Mix!$J25&lt;=XS_Designer!$BN$101,XS_Designer!BI$101,"")</f>
        <v/>
      </c>
      <c r="DF25" s="4" t="str">
        <f>IF(XS_Designer_Bed_Mix!$J25&lt;=XS_Designer!$BN$101,XS_Designer!BJ$101,"")</f>
        <v/>
      </c>
      <c r="DG25" s="4" t="str">
        <f>IF(XS_Designer_Bed_Mix!$J25&lt;=XS_Designer!$BN$102,XS_Designer!BA$102,"")</f>
        <v/>
      </c>
      <c r="DH25" s="4" t="str">
        <f>IF(XS_Designer_Bed_Mix!$J25&lt;=XS_Designer!$BN$102,XS_Designer!BB$102,"")</f>
        <v/>
      </c>
      <c r="DI25" s="4" t="str">
        <f>IF(XS_Designer_Bed_Mix!$J25&lt;=XS_Designer!$BN$102,XS_Designer!BC$102,"")</f>
        <v/>
      </c>
      <c r="DJ25" s="4" t="str">
        <f>IF(XS_Designer_Bed_Mix!$J25&lt;=XS_Designer!$BN$102,XS_Designer!BD$102,"")</f>
        <v/>
      </c>
      <c r="DK25" s="4" t="str">
        <f>IF(XS_Designer_Bed_Mix!$J25&lt;=XS_Designer!$BN$102,XS_Designer!BE$102,"")</f>
        <v/>
      </c>
      <c r="DL25" s="4" t="str">
        <f>IF(XS_Designer_Bed_Mix!$J25&lt;=XS_Designer!$BN$102,XS_Designer!BF$102,"")</f>
        <v/>
      </c>
      <c r="DM25" s="4" t="str">
        <f>IF(XS_Designer_Bed_Mix!$J25&lt;=XS_Designer!$BN$102,XS_Designer!BG$102,"")</f>
        <v/>
      </c>
      <c r="DN25" s="4" t="str">
        <f>IF(XS_Designer_Bed_Mix!$J25&lt;=XS_Designer!$BN$102,XS_Designer!BH$102,"")</f>
        <v/>
      </c>
      <c r="DO25" s="4" t="str">
        <f>IF(XS_Designer_Bed_Mix!$J25&lt;=XS_Designer!$BN$102,XS_Designer!BI$102,"")</f>
        <v/>
      </c>
      <c r="DP25" s="4" t="str">
        <f>IF(XS_Designer_Bed_Mix!$J25&lt;=XS_Designer!$BN$102,XS_Designer!BJ$102,"")</f>
        <v/>
      </c>
    </row>
    <row r="26" spans="10:120">
      <c r="J26" s="3">
        <v>0.25</v>
      </c>
      <c r="K26" s="4" t="str">
        <f>IF(XS_Designer_Bed_Mix!$J26&lt;=XS_Designer!$BN$92,XS_Designer!BA$92,"")</f>
        <v/>
      </c>
      <c r="L26" s="4" t="str">
        <f>IF(XS_Designer_Bed_Mix!$J26&lt;=XS_Designer!$BN$92,XS_Designer!BB$92,"")</f>
        <v/>
      </c>
      <c r="M26" s="4" t="str">
        <f>IF(XS_Designer_Bed_Mix!$J26&lt;=XS_Designer!$BN$92,XS_Designer!BC$92,"")</f>
        <v/>
      </c>
      <c r="N26" s="4" t="str">
        <f>IF(XS_Designer_Bed_Mix!$J26&lt;=XS_Designer!$BN$92,XS_Designer!BD$92,"")</f>
        <v/>
      </c>
      <c r="O26" s="4" t="str">
        <f>IF(XS_Designer_Bed_Mix!$J26&lt;=XS_Designer!$BN$92,XS_Designer!BE$92,"")</f>
        <v/>
      </c>
      <c r="P26" s="4" t="str">
        <f>IF(XS_Designer_Bed_Mix!$J26&lt;=XS_Designer!$BN$92,XS_Designer!BF$92,"")</f>
        <v/>
      </c>
      <c r="Q26" s="4" t="str">
        <f>IF(XS_Designer_Bed_Mix!$J26&lt;=XS_Designer!$BN$92,XS_Designer!BG$92,"")</f>
        <v/>
      </c>
      <c r="R26" s="4" t="str">
        <f>IF(XS_Designer_Bed_Mix!$J26&lt;=XS_Designer!$BN$92,XS_Designer!BH$92,"")</f>
        <v/>
      </c>
      <c r="S26" s="4" t="str">
        <f>IF(XS_Designer_Bed_Mix!$J26&lt;=XS_Designer!$BN$92,XS_Designer!BI$92,"")</f>
        <v/>
      </c>
      <c r="T26" s="4" t="str">
        <f>IF(XS_Designer_Bed_Mix!$J26&lt;=XS_Designer!$BN$92,XS_Designer!BJ$92,"")</f>
        <v/>
      </c>
      <c r="U26" s="4" t="str">
        <f>IF(XS_Designer_Bed_Mix!$J26&lt;=XS_Designer!$BN$93,XS_Designer!BA$93,"")</f>
        <v/>
      </c>
      <c r="V26" s="4" t="str">
        <f>IF(XS_Designer_Bed_Mix!$J26&lt;=XS_Designer!$BN$93,XS_Designer!BB$93,"")</f>
        <v/>
      </c>
      <c r="W26" s="4" t="str">
        <f>IF(XS_Designer_Bed_Mix!$J26&lt;=XS_Designer!$BN$93,XS_Designer!BC$93,"")</f>
        <v/>
      </c>
      <c r="X26" s="4" t="str">
        <f>IF(XS_Designer_Bed_Mix!$J26&lt;=XS_Designer!$BN$93,XS_Designer!BD$93,"")</f>
        <v/>
      </c>
      <c r="Y26" s="4" t="str">
        <f>IF(XS_Designer_Bed_Mix!$J26&lt;=XS_Designer!$BN$93,XS_Designer!BE$93,"")</f>
        <v/>
      </c>
      <c r="Z26" s="4" t="str">
        <f>IF(XS_Designer_Bed_Mix!$J26&lt;=XS_Designer!$BN$93,XS_Designer!BF$93,"")</f>
        <v/>
      </c>
      <c r="AA26" s="4" t="str">
        <f>IF(XS_Designer_Bed_Mix!$J26&lt;=XS_Designer!$BN$93,XS_Designer!BG$93,"")</f>
        <v/>
      </c>
      <c r="AB26" s="4" t="str">
        <f>IF(XS_Designer_Bed_Mix!$J26&lt;=XS_Designer!$BN$93,XS_Designer!BH$93,"")</f>
        <v/>
      </c>
      <c r="AC26" s="4" t="str">
        <f>IF(XS_Designer_Bed_Mix!$J26&lt;=XS_Designer!$BN$93,XS_Designer!BI$93,"")</f>
        <v/>
      </c>
      <c r="AD26" s="4" t="str">
        <f>IF(XS_Designer_Bed_Mix!$J26&lt;=XS_Designer!$BN$93,XS_Designer!BJ$93,"")</f>
        <v/>
      </c>
      <c r="AE26" s="4" t="str">
        <f>IF(XS_Designer_Bed_Mix!$J26&lt;=XS_Designer!$BN$94,XS_Designer!BA$94,"")</f>
        <v/>
      </c>
      <c r="AF26" s="4" t="str">
        <f>IF(XS_Designer_Bed_Mix!$J26&lt;=XS_Designer!$BN$94,XS_Designer!BB$94,"")</f>
        <v/>
      </c>
      <c r="AG26" s="4" t="str">
        <f>IF(XS_Designer_Bed_Mix!$J26&lt;=XS_Designer!$BN$94,XS_Designer!BC$94,"")</f>
        <v/>
      </c>
      <c r="AH26" s="4" t="str">
        <f>IF(XS_Designer_Bed_Mix!$J26&lt;=XS_Designer!$BN$94,XS_Designer!BD$94,"")</f>
        <v/>
      </c>
      <c r="AI26" s="4" t="str">
        <f>IF(XS_Designer_Bed_Mix!$J26&lt;=XS_Designer!$BN$94,XS_Designer!BE$94,"")</f>
        <v/>
      </c>
      <c r="AJ26" s="4" t="str">
        <f>IF(XS_Designer_Bed_Mix!$J26&lt;=XS_Designer!$BN$94,XS_Designer!BF$94,"")</f>
        <v/>
      </c>
      <c r="AK26" s="4" t="str">
        <f>IF(XS_Designer_Bed_Mix!$J26&lt;=XS_Designer!$BN$94,XS_Designer!BG$94,"")</f>
        <v/>
      </c>
      <c r="AL26" s="4" t="str">
        <f>IF(XS_Designer_Bed_Mix!$J26&lt;=XS_Designer!$BN$94,XS_Designer!BH$94,"")</f>
        <v/>
      </c>
      <c r="AM26" s="4" t="str">
        <f>IF(XS_Designer_Bed_Mix!$J26&lt;=XS_Designer!$BN$94,XS_Designer!BI$94,"")</f>
        <v/>
      </c>
      <c r="AN26" s="4" t="str">
        <f>IF(XS_Designer_Bed_Mix!$J26&lt;=XS_Designer!$BN$94,XS_Designer!BJ$94,"")</f>
        <v/>
      </c>
      <c r="AO26" s="4" t="str">
        <f>IF(XS_Designer_Bed_Mix!$J26&lt;=XS_Designer!$BN$95,XS_Designer!BA$95,"")</f>
        <v/>
      </c>
      <c r="AP26" s="4" t="str">
        <f>IF(XS_Designer_Bed_Mix!$J26&lt;=XS_Designer!$BN$95,XS_Designer!BB$95,"")</f>
        <v/>
      </c>
      <c r="AQ26" s="4" t="str">
        <f>IF(XS_Designer_Bed_Mix!$J26&lt;=XS_Designer!$BN$95,XS_Designer!BC$95,"")</f>
        <v/>
      </c>
      <c r="AR26" s="4" t="str">
        <f>IF(XS_Designer_Bed_Mix!$J26&lt;=XS_Designer!$BN$95,XS_Designer!BD$95,"")</f>
        <v/>
      </c>
      <c r="AS26" s="4" t="str">
        <f>IF(XS_Designer_Bed_Mix!$J26&lt;=XS_Designer!$BN$95,XS_Designer!BE$95,"")</f>
        <v/>
      </c>
      <c r="AT26" s="4" t="str">
        <f>IF(XS_Designer_Bed_Mix!$J26&lt;=XS_Designer!$BN$95,XS_Designer!BF$95,"")</f>
        <v/>
      </c>
      <c r="AU26" s="4" t="str">
        <f>IF(XS_Designer_Bed_Mix!$J26&lt;=XS_Designer!$BN$95,XS_Designer!BG$95,"")</f>
        <v/>
      </c>
      <c r="AV26" s="4" t="str">
        <f>IF(XS_Designer_Bed_Mix!$J26&lt;=XS_Designer!$BN$95,XS_Designer!BH$95,"")</f>
        <v/>
      </c>
      <c r="AW26" s="4" t="str">
        <f>IF(XS_Designer_Bed_Mix!$J26&lt;=XS_Designer!$BN$95,XS_Designer!BI$95,"")</f>
        <v/>
      </c>
      <c r="AX26" s="4" t="str">
        <f>IF(XS_Designer_Bed_Mix!$J26&lt;=XS_Designer!$BN$95,XS_Designer!BJ$95,"")</f>
        <v/>
      </c>
      <c r="AY26" s="4">
        <f>IF(XS_Designer_Bed_Mix!$J26&lt;=XS_Designer!$BN$96,XS_Designer!BA$96,"")</f>
        <v>335.28000000000003</v>
      </c>
      <c r="AZ26" s="4">
        <f>IF(XS_Designer_Bed_Mix!$J26&lt;=XS_Designer!$BN$96,XS_Designer!BB$96,"")</f>
        <v>335.28000000000003</v>
      </c>
      <c r="BA26" s="4">
        <f>IF(XS_Designer_Bed_Mix!$J26&lt;=XS_Designer!$BN$96,XS_Designer!BC$96,"")</f>
        <v>335.28000000000003</v>
      </c>
      <c r="BB26" s="4">
        <f>IF(XS_Designer_Bed_Mix!$J26&lt;=XS_Designer!$BN$96,XS_Designer!BD$96,"")</f>
        <v>335.28000000000003</v>
      </c>
      <c r="BC26" s="4">
        <f>IF(XS_Designer_Bed_Mix!$J26&lt;=XS_Designer!$BN$96,XS_Designer!BE$96,"")</f>
        <v>335.28000000000003</v>
      </c>
      <c r="BD26" s="4">
        <f>IF(XS_Designer_Bed_Mix!$J26&lt;=XS_Designer!$BN$96,XS_Designer!BF$96,"")</f>
        <v>335.28000000000003</v>
      </c>
      <c r="BE26" s="4">
        <f>IF(XS_Designer_Bed_Mix!$J26&lt;=XS_Designer!$BN$96,XS_Designer!BG$96,"")</f>
        <v>335.28000000000003</v>
      </c>
      <c r="BF26" s="4">
        <f>IF(XS_Designer_Bed_Mix!$J26&lt;=XS_Designer!$BN$96,XS_Designer!BH$96,"")</f>
        <v>335.28000000000003</v>
      </c>
      <c r="BG26" s="4">
        <f>IF(XS_Designer_Bed_Mix!$J26&lt;=XS_Designer!$BN$96,XS_Designer!BI$96,"")</f>
        <v>335.28000000000003</v>
      </c>
      <c r="BH26" s="4">
        <f>IF(XS_Designer_Bed_Mix!$J26&lt;=XS_Designer!$BN$96,XS_Designer!BJ$96,"")</f>
        <v>335.28000000000003</v>
      </c>
      <c r="BI26" s="4" t="str">
        <f>IF(XS_Designer_Bed_Mix!$J26&lt;=XS_Designer!$BN$97,XS_Designer!BA$97,"")</f>
        <v/>
      </c>
      <c r="BJ26" s="4" t="str">
        <f>IF(XS_Designer_Bed_Mix!$J26&lt;=XS_Designer!$BN$97,XS_Designer!BB$97,"")</f>
        <v/>
      </c>
      <c r="BK26" s="4" t="str">
        <f>IF(XS_Designer_Bed_Mix!$J26&lt;=XS_Designer!$BN$97,XS_Designer!BC$97,"")</f>
        <v/>
      </c>
      <c r="BL26" s="4" t="str">
        <f>IF(XS_Designer_Bed_Mix!$J26&lt;=XS_Designer!$BN$97,XS_Designer!BD$97,"")</f>
        <v/>
      </c>
      <c r="BM26" s="4" t="str">
        <f>IF(XS_Designer_Bed_Mix!$J26&lt;=XS_Designer!$BN$97,XS_Designer!BE$97,"")</f>
        <v/>
      </c>
      <c r="BN26" s="4" t="str">
        <f>IF(XS_Designer_Bed_Mix!$J26&lt;=XS_Designer!$BN$97,XS_Designer!BF$97,"")</f>
        <v/>
      </c>
      <c r="BO26" s="4" t="str">
        <f>IF(XS_Designer_Bed_Mix!$J26&lt;=XS_Designer!$BN$97,XS_Designer!BG$97,"")</f>
        <v/>
      </c>
      <c r="BP26" s="4" t="str">
        <f>IF(XS_Designer_Bed_Mix!$J26&lt;=XS_Designer!$BN$97,XS_Designer!BH$97,"")</f>
        <v/>
      </c>
      <c r="BQ26" s="4" t="str">
        <f>IF(XS_Designer_Bed_Mix!$J26&lt;=XS_Designer!$BN$97,XS_Designer!BI$97,"")</f>
        <v/>
      </c>
      <c r="BR26" s="4" t="str">
        <f>IF(XS_Designer_Bed_Mix!$J26&lt;=XS_Designer!$BN$97,XS_Designer!BJ$97,"")</f>
        <v/>
      </c>
      <c r="BS26" s="4" t="str">
        <f>IF(XS_Designer_Bed_Mix!$J26&lt;=XS_Designer!$BN$98,XS_Designer!BA$98,"")</f>
        <v/>
      </c>
      <c r="BT26" s="4" t="str">
        <f>IF(XS_Designer_Bed_Mix!$J26&lt;=XS_Designer!$BN$98,XS_Designer!BB$98,"")</f>
        <v/>
      </c>
      <c r="BU26" s="4" t="str">
        <f>IF(XS_Designer_Bed_Mix!$J26&lt;=XS_Designer!$BN$98,XS_Designer!BC$98,"")</f>
        <v/>
      </c>
      <c r="BV26" s="4" t="str">
        <f>IF(XS_Designer_Bed_Mix!$J26&lt;=XS_Designer!$BN$98,XS_Designer!BD$98,"")</f>
        <v/>
      </c>
      <c r="BW26" s="4" t="str">
        <f>IF(XS_Designer_Bed_Mix!$J26&lt;=XS_Designer!$BN$98,XS_Designer!BE$98,"")</f>
        <v/>
      </c>
      <c r="BX26" s="4" t="str">
        <f>IF(XS_Designer_Bed_Mix!$J26&lt;=XS_Designer!$BN$98,XS_Designer!BF$98,"")</f>
        <v/>
      </c>
      <c r="BY26" s="4" t="str">
        <f>IF(XS_Designer_Bed_Mix!$J26&lt;=XS_Designer!$BN$98,XS_Designer!BG$98,"")</f>
        <v/>
      </c>
      <c r="BZ26" s="4" t="str">
        <f>IF(XS_Designer_Bed_Mix!$J26&lt;=XS_Designer!$BN$98,XS_Designer!BH$98,"")</f>
        <v/>
      </c>
      <c r="CA26" s="4" t="str">
        <f>IF(XS_Designer_Bed_Mix!$J26&lt;=XS_Designer!$BN$98,XS_Designer!BI$98,"")</f>
        <v/>
      </c>
      <c r="CB26" s="4" t="str">
        <f>IF(XS_Designer_Bed_Mix!$J26&lt;=XS_Designer!$BN$98,XS_Designer!BJ$98,"")</f>
        <v/>
      </c>
      <c r="CC26" s="4" t="str">
        <f>IF(XS_Designer_Bed_Mix!$J26&lt;=XS_Designer!$BN$99,XS_Designer!BA$99,"")</f>
        <v/>
      </c>
      <c r="CD26" s="4" t="str">
        <f>IF(XS_Designer_Bed_Mix!$J26&lt;=XS_Designer!$BN$99,XS_Designer!BB$99,"")</f>
        <v/>
      </c>
      <c r="CE26" s="4" t="str">
        <f>IF(XS_Designer_Bed_Mix!$J26&lt;=XS_Designer!$BN$99,XS_Designer!BC$99,"")</f>
        <v/>
      </c>
      <c r="CF26" s="4" t="str">
        <f>IF(XS_Designer_Bed_Mix!$J26&lt;=XS_Designer!$BN$99,XS_Designer!BD$99,"")</f>
        <v/>
      </c>
      <c r="CG26" s="4" t="str">
        <f>IF(XS_Designer_Bed_Mix!$J26&lt;=XS_Designer!$BN$99,XS_Designer!BE$99,"")</f>
        <v/>
      </c>
      <c r="CH26" s="4" t="str">
        <f>IF(XS_Designer_Bed_Mix!$J26&lt;=XS_Designer!$BN$99,XS_Designer!BF$99,"")</f>
        <v/>
      </c>
      <c r="CI26" s="4" t="str">
        <f>IF(XS_Designer_Bed_Mix!$J26&lt;=XS_Designer!$BN$99,XS_Designer!BG$99,"")</f>
        <v/>
      </c>
      <c r="CJ26" s="4" t="str">
        <f>IF(XS_Designer_Bed_Mix!$J26&lt;=XS_Designer!$BN$99,XS_Designer!BH$99,"")</f>
        <v/>
      </c>
      <c r="CK26" s="4" t="str">
        <f>IF(XS_Designer_Bed_Mix!$J26&lt;=XS_Designer!$BN$99,XS_Designer!BI$99,"")</f>
        <v/>
      </c>
      <c r="CL26" s="4" t="str">
        <f>IF(XS_Designer_Bed_Mix!$J26&lt;=XS_Designer!$BN$99,XS_Designer!BJ$99,"")</f>
        <v/>
      </c>
      <c r="CM26" s="4">
        <f>IF(XS_Designer_Bed_Mix!$J26&lt;=XS_Designer!$BN$100,XS_Designer!BA$100,"")</f>
        <v>64</v>
      </c>
      <c r="CN26" s="4">
        <f>IF(XS_Designer_Bed_Mix!$J26&lt;=XS_Designer!$BN$100,XS_Designer!BB$100,"")</f>
        <v>57.6</v>
      </c>
      <c r="CO26" s="4">
        <f>IF(XS_Designer_Bed_Mix!$J26&lt;=XS_Designer!$BN$100,XS_Designer!BC$100,"")</f>
        <v>51.2</v>
      </c>
      <c r="CP26" s="4">
        <f>IF(XS_Designer_Bed_Mix!$J26&lt;=XS_Designer!$BN$100,XS_Designer!BD$100,"")</f>
        <v>44.800000000000004</v>
      </c>
      <c r="CQ26" s="4">
        <f>IF(XS_Designer_Bed_Mix!$J26&lt;=XS_Designer!$BN$100,XS_Designer!BE$100,"")</f>
        <v>38.400000000000006</v>
      </c>
      <c r="CR26" s="4">
        <f>IF(XS_Designer_Bed_Mix!$J26&lt;=XS_Designer!$BN$100,XS_Designer!BF$100,"")</f>
        <v>32</v>
      </c>
      <c r="CS26" s="4">
        <f>IF(XS_Designer_Bed_Mix!$J26&lt;=XS_Designer!$BN$100,XS_Designer!BG$100,"")</f>
        <v>26</v>
      </c>
      <c r="CT26" s="4">
        <f>IF(XS_Designer_Bed_Mix!$J26&lt;=XS_Designer!$BN$100,XS_Designer!BH$100,"")</f>
        <v>20</v>
      </c>
      <c r="CU26" s="4">
        <f>IF(XS_Designer_Bed_Mix!$J26&lt;=XS_Designer!$BN$100,XS_Designer!BI$100,"")</f>
        <v>14</v>
      </c>
      <c r="CV26" s="4">
        <f>IF(XS_Designer_Bed_Mix!$J26&lt;=XS_Designer!$BN$100,XS_Designer!BJ$100,"")</f>
        <v>8</v>
      </c>
      <c r="CW26" s="4" t="str">
        <f>IF(XS_Designer_Bed_Mix!$J26&lt;=XS_Designer!$BN$101,XS_Designer!BA$101,"")</f>
        <v/>
      </c>
      <c r="CX26" s="4" t="str">
        <f>IF(XS_Designer_Bed_Mix!$J26&lt;=XS_Designer!$BN$101,XS_Designer!BB$101,"")</f>
        <v/>
      </c>
      <c r="CY26" s="4" t="str">
        <f>IF(XS_Designer_Bed_Mix!$J26&lt;=XS_Designer!$BN$101,XS_Designer!BC$101,"")</f>
        <v/>
      </c>
      <c r="CZ26" s="4" t="str">
        <f>IF(XS_Designer_Bed_Mix!$J26&lt;=XS_Designer!$BN$101,XS_Designer!BD$101,"")</f>
        <v/>
      </c>
      <c r="DA26" s="4" t="str">
        <f>IF(XS_Designer_Bed_Mix!$J26&lt;=XS_Designer!$BN$101,XS_Designer!BE$101,"")</f>
        <v/>
      </c>
      <c r="DB26" s="4" t="str">
        <f>IF(XS_Designer_Bed_Mix!$J26&lt;=XS_Designer!$BN$101,XS_Designer!BF$101,"")</f>
        <v/>
      </c>
      <c r="DC26" s="4" t="str">
        <f>IF(XS_Designer_Bed_Mix!$J26&lt;=XS_Designer!$BN$101,XS_Designer!BG$101,"")</f>
        <v/>
      </c>
      <c r="DD26" s="4" t="str">
        <f>IF(XS_Designer_Bed_Mix!$J26&lt;=XS_Designer!$BN$101,XS_Designer!BH$101,"")</f>
        <v/>
      </c>
      <c r="DE26" s="4" t="str">
        <f>IF(XS_Designer_Bed_Mix!$J26&lt;=XS_Designer!$BN$101,XS_Designer!BI$101,"")</f>
        <v/>
      </c>
      <c r="DF26" s="4" t="str">
        <f>IF(XS_Designer_Bed_Mix!$J26&lt;=XS_Designer!$BN$101,XS_Designer!BJ$101,"")</f>
        <v/>
      </c>
      <c r="DG26" s="4" t="str">
        <f>IF(XS_Designer_Bed_Mix!$J26&lt;=XS_Designer!$BN$102,XS_Designer!BA$102,"")</f>
        <v/>
      </c>
      <c r="DH26" s="4" t="str">
        <f>IF(XS_Designer_Bed_Mix!$J26&lt;=XS_Designer!$BN$102,XS_Designer!BB$102,"")</f>
        <v/>
      </c>
      <c r="DI26" s="4" t="str">
        <f>IF(XS_Designer_Bed_Mix!$J26&lt;=XS_Designer!$BN$102,XS_Designer!BC$102,"")</f>
        <v/>
      </c>
      <c r="DJ26" s="4" t="str">
        <f>IF(XS_Designer_Bed_Mix!$J26&lt;=XS_Designer!$BN$102,XS_Designer!BD$102,"")</f>
        <v/>
      </c>
      <c r="DK26" s="4" t="str">
        <f>IF(XS_Designer_Bed_Mix!$J26&lt;=XS_Designer!$BN$102,XS_Designer!BE$102,"")</f>
        <v/>
      </c>
      <c r="DL26" s="4" t="str">
        <f>IF(XS_Designer_Bed_Mix!$J26&lt;=XS_Designer!$BN$102,XS_Designer!BF$102,"")</f>
        <v/>
      </c>
      <c r="DM26" s="4" t="str">
        <f>IF(XS_Designer_Bed_Mix!$J26&lt;=XS_Designer!$BN$102,XS_Designer!BG$102,"")</f>
        <v/>
      </c>
      <c r="DN26" s="4" t="str">
        <f>IF(XS_Designer_Bed_Mix!$J26&lt;=XS_Designer!$BN$102,XS_Designer!BH$102,"")</f>
        <v/>
      </c>
      <c r="DO26" s="4" t="str">
        <f>IF(XS_Designer_Bed_Mix!$J26&lt;=XS_Designer!$BN$102,XS_Designer!BI$102,"")</f>
        <v/>
      </c>
      <c r="DP26" s="4" t="str">
        <f>IF(XS_Designer_Bed_Mix!$J26&lt;=XS_Designer!$BN$102,XS_Designer!BJ$102,"")</f>
        <v/>
      </c>
    </row>
    <row r="27" spans="10:120">
      <c r="J27" s="3">
        <v>0.26</v>
      </c>
      <c r="K27" s="4" t="str">
        <f>IF(XS_Designer_Bed_Mix!$J27&lt;=XS_Designer!$BN$92,XS_Designer!BA$92,"")</f>
        <v/>
      </c>
      <c r="L27" s="4" t="str">
        <f>IF(XS_Designer_Bed_Mix!$J27&lt;=XS_Designer!$BN$92,XS_Designer!BB$92,"")</f>
        <v/>
      </c>
      <c r="M27" s="4" t="str">
        <f>IF(XS_Designer_Bed_Mix!$J27&lt;=XS_Designer!$BN$92,XS_Designer!BC$92,"")</f>
        <v/>
      </c>
      <c r="N27" s="4" t="str">
        <f>IF(XS_Designer_Bed_Mix!$J27&lt;=XS_Designer!$BN$92,XS_Designer!BD$92,"")</f>
        <v/>
      </c>
      <c r="O27" s="4" t="str">
        <f>IF(XS_Designer_Bed_Mix!$J27&lt;=XS_Designer!$BN$92,XS_Designer!BE$92,"")</f>
        <v/>
      </c>
      <c r="P27" s="4" t="str">
        <f>IF(XS_Designer_Bed_Mix!$J27&lt;=XS_Designer!$BN$92,XS_Designer!BF$92,"")</f>
        <v/>
      </c>
      <c r="Q27" s="4" t="str">
        <f>IF(XS_Designer_Bed_Mix!$J27&lt;=XS_Designer!$BN$92,XS_Designer!BG$92,"")</f>
        <v/>
      </c>
      <c r="R27" s="4" t="str">
        <f>IF(XS_Designer_Bed_Mix!$J27&lt;=XS_Designer!$BN$92,XS_Designer!BH$92,"")</f>
        <v/>
      </c>
      <c r="S27" s="4" t="str">
        <f>IF(XS_Designer_Bed_Mix!$J27&lt;=XS_Designer!$BN$92,XS_Designer!BI$92,"")</f>
        <v/>
      </c>
      <c r="T27" s="4" t="str">
        <f>IF(XS_Designer_Bed_Mix!$J27&lt;=XS_Designer!$BN$92,XS_Designer!BJ$92,"")</f>
        <v/>
      </c>
      <c r="U27" s="4" t="str">
        <f>IF(XS_Designer_Bed_Mix!$J27&lt;=XS_Designer!$BN$93,XS_Designer!BA$93,"")</f>
        <v/>
      </c>
      <c r="V27" s="4" t="str">
        <f>IF(XS_Designer_Bed_Mix!$J27&lt;=XS_Designer!$BN$93,XS_Designer!BB$93,"")</f>
        <v/>
      </c>
      <c r="W27" s="4" t="str">
        <f>IF(XS_Designer_Bed_Mix!$J27&lt;=XS_Designer!$BN$93,XS_Designer!BC$93,"")</f>
        <v/>
      </c>
      <c r="X27" s="4" t="str">
        <f>IF(XS_Designer_Bed_Mix!$J27&lt;=XS_Designer!$BN$93,XS_Designer!BD$93,"")</f>
        <v/>
      </c>
      <c r="Y27" s="4" t="str">
        <f>IF(XS_Designer_Bed_Mix!$J27&lt;=XS_Designer!$BN$93,XS_Designer!BE$93,"")</f>
        <v/>
      </c>
      <c r="Z27" s="4" t="str">
        <f>IF(XS_Designer_Bed_Mix!$J27&lt;=XS_Designer!$BN$93,XS_Designer!BF$93,"")</f>
        <v/>
      </c>
      <c r="AA27" s="4" t="str">
        <f>IF(XS_Designer_Bed_Mix!$J27&lt;=XS_Designer!$BN$93,XS_Designer!BG$93,"")</f>
        <v/>
      </c>
      <c r="AB27" s="4" t="str">
        <f>IF(XS_Designer_Bed_Mix!$J27&lt;=XS_Designer!$BN$93,XS_Designer!BH$93,"")</f>
        <v/>
      </c>
      <c r="AC27" s="4" t="str">
        <f>IF(XS_Designer_Bed_Mix!$J27&lt;=XS_Designer!$BN$93,XS_Designer!BI$93,"")</f>
        <v/>
      </c>
      <c r="AD27" s="4" t="str">
        <f>IF(XS_Designer_Bed_Mix!$J27&lt;=XS_Designer!$BN$93,XS_Designer!BJ$93,"")</f>
        <v/>
      </c>
      <c r="AE27" s="4" t="str">
        <f>IF(XS_Designer_Bed_Mix!$J27&lt;=XS_Designer!$BN$94,XS_Designer!BA$94,"")</f>
        <v/>
      </c>
      <c r="AF27" s="4" t="str">
        <f>IF(XS_Designer_Bed_Mix!$J27&lt;=XS_Designer!$BN$94,XS_Designer!BB$94,"")</f>
        <v/>
      </c>
      <c r="AG27" s="4" t="str">
        <f>IF(XS_Designer_Bed_Mix!$J27&lt;=XS_Designer!$BN$94,XS_Designer!BC$94,"")</f>
        <v/>
      </c>
      <c r="AH27" s="4" t="str">
        <f>IF(XS_Designer_Bed_Mix!$J27&lt;=XS_Designer!$BN$94,XS_Designer!BD$94,"")</f>
        <v/>
      </c>
      <c r="AI27" s="4" t="str">
        <f>IF(XS_Designer_Bed_Mix!$J27&lt;=XS_Designer!$BN$94,XS_Designer!BE$94,"")</f>
        <v/>
      </c>
      <c r="AJ27" s="4" t="str">
        <f>IF(XS_Designer_Bed_Mix!$J27&lt;=XS_Designer!$BN$94,XS_Designer!BF$94,"")</f>
        <v/>
      </c>
      <c r="AK27" s="4" t="str">
        <f>IF(XS_Designer_Bed_Mix!$J27&lt;=XS_Designer!$BN$94,XS_Designer!BG$94,"")</f>
        <v/>
      </c>
      <c r="AL27" s="4" t="str">
        <f>IF(XS_Designer_Bed_Mix!$J27&lt;=XS_Designer!$BN$94,XS_Designer!BH$94,"")</f>
        <v/>
      </c>
      <c r="AM27" s="4" t="str">
        <f>IF(XS_Designer_Bed_Mix!$J27&lt;=XS_Designer!$BN$94,XS_Designer!BI$94,"")</f>
        <v/>
      </c>
      <c r="AN27" s="4" t="str">
        <f>IF(XS_Designer_Bed_Mix!$J27&lt;=XS_Designer!$BN$94,XS_Designer!BJ$94,"")</f>
        <v/>
      </c>
      <c r="AO27" s="4" t="str">
        <f>IF(XS_Designer_Bed_Mix!$J27&lt;=XS_Designer!$BN$95,XS_Designer!BA$95,"")</f>
        <v/>
      </c>
      <c r="AP27" s="4" t="str">
        <f>IF(XS_Designer_Bed_Mix!$J27&lt;=XS_Designer!$BN$95,XS_Designer!BB$95,"")</f>
        <v/>
      </c>
      <c r="AQ27" s="4" t="str">
        <f>IF(XS_Designer_Bed_Mix!$J27&lt;=XS_Designer!$BN$95,XS_Designer!BC$95,"")</f>
        <v/>
      </c>
      <c r="AR27" s="4" t="str">
        <f>IF(XS_Designer_Bed_Mix!$J27&lt;=XS_Designer!$BN$95,XS_Designer!BD$95,"")</f>
        <v/>
      </c>
      <c r="AS27" s="4" t="str">
        <f>IF(XS_Designer_Bed_Mix!$J27&lt;=XS_Designer!$BN$95,XS_Designer!BE$95,"")</f>
        <v/>
      </c>
      <c r="AT27" s="4" t="str">
        <f>IF(XS_Designer_Bed_Mix!$J27&lt;=XS_Designer!$BN$95,XS_Designer!BF$95,"")</f>
        <v/>
      </c>
      <c r="AU27" s="4" t="str">
        <f>IF(XS_Designer_Bed_Mix!$J27&lt;=XS_Designer!$BN$95,XS_Designer!BG$95,"")</f>
        <v/>
      </c>
      <c r="AV27" s="4" t="str">
        <f>IF(XS_Designer_Bed_Mix!$J27&lt;=XS_Designer!$BN$95,XS_Designer!BH$95,"")</f>
        <v/>
      </c>
      <c r="AW27" s="4" t="str">
        <f>IF(XS_Designer_Bed_Mix!$J27&lt;=XS_Designer!$BN$95,XS_Designer!BI$95,"")</f>
        <v/>
      </c>
      <c r="AX27" s="4" t="str">
        <f>IF(XS_Designer_Bed_Mix!$J27&lt;=XS_Designer!$BN$95,XS_Designer!BJ$95,"")</f>
        <v/>
      </c>
      <c r="AY27" s="4">
        <f>IF(XS_Designer_Bed_Mix!$J27&lt;=XS_Designer!$BN$96,XS_Designer!BA$96,"")</f>
        <v>335.28000000000003</v>
      </c>
      <c r="AZ27" s="4">
        <f>IF(XS_Designer_Bed_Mix!$J27&lt;=XS_Designer!$BN$96,XS_Designer!BB$96,"")</f>
        <v>335.28000000000003</v>
      </c>
      <c r="BA27" s="4">
        <f>IF(XS_Designer_Bed_Mix!$J27&lt;=XS_Designer!$BN$96,XS_Designer!BC$96,"")</f>
        <v>335.28000000000003</v>
      </c>
      <c r="BB27" s="4">
        <f>IF(XS_Designer_Bed_Mix!$J27&lt;=XS_Designer!$BN$96,XS_Designer!BD$96,"")</f>
        <v>335.28000000000003</v>
      </c>
      <c r="BC27" s="4">
        <f>IF(XS_Designer_Bed_Mix!$J27&lt;=XS_Designer!$BN$96,XS_Designer!BE$96,"")</f>
        <v>335.28000000000003</v>
      </c>
      <c r="BD27" s="4">
        <f>IF(XS_Designer_Bed_Mix!$J27&lt;=XS_Designer!$BN$96,XS_Designer!BF$96,"")</f>
        <v>335.28000000000003</v>
      </c>
      <c r="BE27" s="4">
        <f>IF(XS_Designer_Bed_Mix!$J27&lt;=XS_Designer!$BN$96,XS_Designer!BG$96,"")</f>
        <v>335.28000000000003</v>
      </c>
      <c r="BF27" s="4">
        <f>IF(XS_Designer_Bed_Mix!$J27&lt;=XS_Designer!$BN$96,XS_Designer!BH$96,"")</f>
        <v>335.28000000000003</v>
      </c>
      <c r="BG27" s="4">
        <f>IF(XS_Designer_Bed_Mix!$J27&lt;=XS_Designer!$BN$96,XS_Designer!BI$96,"")</f>
        <v>335.28000000000003</v>
      </c>
      <c r="BH27" s="4">
        <f>IF(XS_Designer_Bed_Mix!$J27&lt;=XS_Designer!$BN$96,XS_Designer!BJ$96,"")</f>
        <v>335.28000000000003</v>
      </c>
      <c r="BI27" s="4" t="str">
        <f>IF(XS_Designer_Bed_Mix!$J27&lt;=XS_Designer!$BN$97,XS_Designer!BA$97,"")</f>
        <v/>
      </c>
      <c r="BJ27" s="4" t="str">
        <f>IF(XS_Designer_Bed_Mix!$J27&lt;=XS_Designer!$BN$97,XS_Designer!BB$97,"")</f>
        <v/>
      </c>
      <c r="BK27" s="4" t="str">
        <f>IF(XS_Designer_Bed_Mix!$J27&lt;=XS_Designer!$BN$97,XS_Designer!BC$97,"")</f>
        <v/>
      </c>
      <c r="BL27" s="4" t="str">
        <f>IF(XS_Designer_Bed_Mix!$J27&lt;=XS_Designer!$BN$97,XS_Designer!BD$97,"")</f>
        <v/>
      </c>
      <c r="BM27" s="4" t="str">
        <f>IF(XS_Designer_Bed_Mix!$J27&lt;=XS_Designer!$BN$97,XS_Designer!BE$97,"")</f>
        <v/>
      </c>
      <c r="BN27" s="4" t="str">
        <f>IF(XS_Designer_Bed_Mix!$J27&lt;=XS_Designer!$BN$97,XS_Designer!BF$97,"")</f>
        <v/>
      </c>
      <c r="BO27" s="4" t="str">
        <f>IF(XS_Designer_Bed_Mix!$J27&lt;=XS_Designer!$BN$97,XS_Designer!BG$97,"")</f>
        <v/>
      </c>
      <c r="BP27" s="4" t="str">
        <f>IF(XS_Designer_Bed_Mix!$J27&lt;=XS_Designer!$BN$97,XS_Designer!BH$97,"")</f>
        <v/>
      </c>
      <c r="BQ27" s="4" t="str">
        <f>IF(XS_Designer_Bed_Mix!$J27&lt;=XS_Designer!$BN$97,XS_Designer!BI$97,"")</f>
        <v/>
      </c>
      <c r="BR27" s="4" t="str">
        <f>IF(XS_Designer_Bed_Mix!$J27&lt;=XS_Designer!$BN$97,XS_Designer!BJ$97,"")</f>
        <v/>
      </c>
      <c r="BS27" s="4" t="str">
        <f>IF(XS_Designer_Bed_Mix!$J27&lt;=XS_Designer!$BN$98,XS_Designer!BA$98,"")</f>
        <v/>
      </c>
      <c r="BT27" s="4" t="str">
        <f>IF(XS_Designer_Bed_Mix!$J27&lt;=XS_Designer!$BN$98,XS_Designer!BB$98,"")</f>
        <v/>
      </c>
      <c r="BU27" s="4" t="str">
        <f>IF(XS_Designer_Bed_Mix!$J27&lt;=XS_Designer!$BN$98,XS_Designer!BC$98,"")</f>
        <v/>
      </c>
      <c r="BV27" s="4" t="str">
        <f>IF(XS_Designer_Bed_Mix!$J27&lt;=XS_Designer!$BN$98,XS_Designer!BD$98,"")</f>
        <v/>
      </c>
      <c r="BW27" s="4" t="str">
        <f>IF(XS_Designer_Bed_Mix!$J27&lt;=XS_Designer!$BN$98,XS_Designer!BE$98,"")</f>
        <v/>
      </c>
      <c r="BX27" s="4" t="str">
        <f>IF(XS_Designer_Bed_Mix!$J27&lt;=XS_Designer!$BN$98,XS_Designer!BF$98,"")</f>
        <v/>
      </c>
      <c r="BY27" s="4" t="str">
        <f>IF(XS_Designer_Bed_Mix!$J27&lt;=XS_Designer!$BN$98,XS_Designer!BG$98,"")</f>
        <v/>
      </c>
      <c r="BZ27" s="4" t="str">
        <f>IF(XS_Designer_Bed_Mix!$J27&lt;=XS_Designer!$BN$98,XS_Designer!BH$98,"")</f>
        <v/>
      </c>
      <c r="CA27" s="4" t="str">
        <f>IF(XS_Designer_Bed_Mix!$J27&lt;=XS_Designer!$BN$98,XS_Designer!BI$98,"")</f>
        <v/>
      </c>
      <c r="CB27" s="4" t="str">
        <f>IF(XS_Designer_Bed_Mix!$J27&lt;=XS_Designer!$BN$98,XS_Designer!BJ$98,"")</f>
        <v/>
      </c>
      <c r="CC27" s="4" t="str">
        <f>IF(XS_Designer_Bed_Mix!$J27&lt;=XS_Designer!$BN$99,XS_Designer!BA$99,"")</f>
        <v/>
      </c>
      <c r="CD27" s="4" t="str">
        <f>IF(XS_Designer_Bed_Mix!$J27&lt;=XS_Designer!$BN$99,XS_Designer!BB$99,"")</f>
        <v/>
      </c>
      <c r="CE27" s="4" t="str">
        <f>IF(XS_Designer_Bed_Mix!$J27&lt;=XS_Designer!$BN$99,XS_Designer!BC$99,"")</f>
        <v/>
      </c>
      <c r="CF27" s="4" t="str">
        <f>IF(XS_Designer_Bed_Mix!$J27&lt;=XS_Designer!$BN$99,XS_Designer!BD$99,"")</f>
        <v/>
      </c>
      <c r="CG27" s="4" t="str">
        <f>IF(XS_Designer_Bed_Mix!$J27&lt;=XS_Designer!$BN$99,XS_Designer!BE$99,"")</f>
        <v/>
      </c>
      <c r="CH27" s="4" t="str">
        <f>IF(XS_Designer_Bed_Mix!$J27&lt;=XS_Designer!$BN$99,XS_Designer!BF$99,"")</f>
        <v/>
      </c>
      <c r="CI27" s="4" t="str">
        <f>IF(XS_Designer_Bed_Mix!$J27&lt;=XS_Designer!$BN$99,XS_Designer!BG$99,"")</f>
        <v/>
      </c>
      <c r="CJ27" s="4" t="str">
        <f>IF(XS_Designer_Bed_Mix!$J27&lt;=XS_Designer!$BN$99,XS_Designer!BH$99,"")</f>
        <v/>
      </c>
      <c r="CK27" s="4" t="str">
        <f>IF(XS_Designer_Bed_Mix!$J27&lt;=XS_Designer!$BN$99,XS_Designer!BI$99,"")</f>
        <v/>
      </c>
      <c r="CL27" s="4" t="str">
        <f>IF(XS_Designer_Bed_Mix!$J27&lt;=XS_Designer!$BN$99,XS_Designer!BJ$99,"")</f>
        <v/>
      </c>
      <c r="CM27" s="4">
        <f>IF(XS_Designer_Bed_Mix!$J27&lt;=XS_Designer!$BN$100,XS_Designer!BA$100,"")</f>
        <v>64</v>
      </c>
      <c r="CN27" s="4">
        <f>IF(XS_Designer_Bed_Mix!$J27&lt;=XS_Designer!$BN$100,XS_Designer!BB$100,"")</f>
        <v>57.6</v>
      </c>
      <c r="CO27" s="4">
        <f>IF(XS_Designer_Bed_Mix!$J27&lt;=XS_Designer!$BN$100,XS_Designer!BC$100,"")</f>
        <v>51.2</v>
      </c>
      <c r="CP27" s="4">
        <f>IF(XS_Designer_Bed_Mix!$J27&lt;=XS_Designer!$BN$100,XS_Designer!BD$100,"")</f>
        <v>44.800000000000004</v>
      </c>
      <c r="CQ27" s="4">
        <f>IF(XS_Designer_Bed_Mix!$J27&lt;=XS_Designer!$BN$100,XS_Designer!BE$100,"")</f>
        <v>38.400000000000006</v>
      </c>
      <c r="CR27" s="4">
        <f>IF(XS_Designer_Bed_Mix!$J27&lt;=XS_Designer!$BN$100,XS_Designer!BF$100,"")</f>
        <v>32</v>
      </c>
      <c r="CS27" s="4">
        <f>IF(XS_Designer_Bed_Mix!$J27&lt;=XS_Designer!$BN$100,XS_Designer!BG$100,"")</f>
        <v>26</v>
      </c>
      <c r="CT27" s="4">
        <f>IF(XS_Designer_Bed_Mix!$J27&lt;=XS_Designer!$BN$100,XS_Designer!BH$100,"")</f>
        <v>20</v>
      </c>
      <c r="CU27" s="4">
        <f>IF(XS_Designer_Bed_Mix!$J27&lt;=XS_Designer!$BN$100,XS_Designer!BI$100,"")</f>
        <v>14</v>
      </c>
      <c r="CV27" s="4">
        <f>IF(XS_Designer_Bed_Mix!$J27&lt;=XS_Designer!$BN$100,XS_Designer!BJ$100,"")</f>
        <v>8</v>
      </c>
      <c r="CW27" s="4" t="str">
        <f>IF(XS_Designer_Bed_Mix!$J27&lt;=XS_Designer!$BN$101,XS_Designer!BA$101,"")</f>
        <v/>
      </c>
      <c r="CX27" s="4" t="str">
        <f>IF(XS_Designer_Bed_Mix!$J27&lt;=XS_Designer!$BN$101,XS_Designer!BB$101,"")</f>
        <v/>
      </c>
      <c r="CY27" s="4" t="str">
        <f>IF(XS_Designer_Bed_Mix!$J27&lt;=XS_Designer!$BN$101,XS_Designer!BC$101,"")</f>
        <v/>
      </c>
      <c r="CZ27" s="4" t="str">
        <f>IF(XS_Designer_Bed_Mix!$J27&lt;=XS_Designer!$BN$101,XS_Designer!BD$101,"")</f>
        <v/>
      </c>
      <c r="DA27" s="4" t="str">
        <f>IF(XS_Designer_Bed_Mix!$J27&lt;=XS_Designer!$BN$101,XS_Designer!BE$101,"")</f>
        <v/>
      </c>
      <c r="DB27" s="4" t="str">
        <f>IF(XS_Designer_Bed_Mix!$J27&lt;=XS_Designer!$BN$101,XS_Designer!BF$101,"")</f>
        <v/>
      </c>
      <c r="DC27" s="4" t="str">
        <f>IF(XS_Designer_Bed_Mix!$J27&lt;=XS_Designer!$BN$101,XS_Designer!BG$101,"")</f>
        <v/>
      </c>
      <c r="DD27" s="4" t="str">
        <f>IF(XS_Designer_Bed_Mix!$J27&lt;=XS_Designer!$BN$101,XS_Designer!BH$101,"")</f>
        <v/>
      </c>
      <c r="DE27" s="4" t="str">
        <f>IF(XS_Designer_Bed_Mix!$J27&lt;=XS_Designer!$BN$101,XS_Designer!BI$101,"")</f>
        <v/>
      </c>
      <c r="DF27" s="4" t="str">
        <f>IF(XS_Designer_Bed_Mix!$J27&lt;=XS_Designer!$BN$101,XS_Designer!BJ$101,"")</f>
        <v/>
      </c>
      <c r="DG27" s="4" t="str">
        <f>IF(XS_Designer_Bed_Mix!$J27&lt;=XS_Designer!$BN$102,XS_Designer!BA$102,"")</f>
        <v/>
      </c>
      <c r="DH27" s="4" t="str">
        <f>IF(XS_Designer_Bed_Mix!$J27&lt;=XS_Designer!$BN$102,XS_Designer!BB$102,"")</f>
        <v/>
      </c>
      <c r="DI27" s="4" t="str">
        <f>IF(XS_Designer_Bed_Mix!$J27&lt;=XS_Designer!$BN$102,XS_Designer!BC$102,"")</f>
        <v/>
      </c>
      <c r="DJ27" s="4" t="str">
        <f>IF(XS_Designer_Bed_Mix!$J27&lt;=XS_Designer!$BN$102,XS_Designer!BD$102,"")</f>
        <v/>
      </c>
      <c r="DK27" s="4" t="str">
        <f>IF(XS_Designer_Bed_Mix!$J27&lt;=XS_Designer!$BN$102,XS_Designer!BE$102,"")</f>
        <v/>
      </c>
      <c r="DL27" s="4" t="str">
        <f>IF(XS_Designer_Bed_Mix!$J27&lt;=XS_Designer!$BN$102,XS_Designer!BF$102,"")</f>
        <v/>
      </c>
      <c r="DM27" s="4" t="str">
        <f>IF(XS_Designer_Bed_Mix!$J27&lt;=XS_Designer!$BN$102,XS_Designer!BG$102,"")</f>
        <v/>
      </c>
      <c r="DN27" s="4" t="str">
        <f>IF(XS_Designer_Bed_Mix!$J27&lt;=XS_Designer!$BN$102,XS_Designer!BH$102,"")</f>
        <v/>
      </c>
      <c r="DO27" s="4" t="str">
        <f>IF(XS_Designer_Bed_Mix!$J27&lt;=XS_Designer!$BN$102,XS_Designer!BI$102,"")</f>
        <v/>
      </c>
      <c r="DP27" s="4" t="str">
        <f>IF(XS_Designer_Bed_Mix!$J27&lt;=XS_Designer!$BN$102,XS_Designer!BJ$102,"")</f>
        <v/>
      </c>
    </row>
    <row r="28" spans="10:120">
      <c r="J28" s="3">
        <v>0.27</v>
      </c>
      <c r="K28" s="4" t="str">
        <f>IF(XS_Designer_Bed_Mix!$J28&lt;=XS_Designer!$BN$92,XS_Designer!BA$92,"")</f>
        <v/>
      </c>
      <c r="L28" s="4" t="str">
        <f>IF(XS_Designer_Bed_Mix!$J28&lt;=XS_Designer!$BN$92,XS_Designer!BB$92,"")</f>
        <v/>
      </c>
      <c r="M28" s="4" t="str">
        <f>IF(XS_Designer_Bed_Mix!$J28&lt;=XS_Designer!$BN$92,XS_Designer!BC$92,"")</f>
        <v/>
      </c>
      <c r="N28" s="4" t="str">
        <f>IF(XS_Designer_Bed_Mix!$J28&lt;=XS_Designer!$BN$92,XS_Designer!BD$92,"")</f>
        <v/>
      </c>
      <c r="O28" s="4" t="str">
        <f>IF(XS_Designer_Bed_Mix!$J28&lt;=XS_Designer!$BN$92,XS_Designer!BE$92,"")</f>
        <v/>
      </c>
      <c r="P28" s="4" t="str">
        <f>IF(XS_Designer_Bed_Mix!$J28&lt;=XS_Designer!$BN$92,XS_Designer!BF$92,"")</f>
        <v/>
      </c>
      <c r="Q28" s="4" t="str">
        <f>IF(XS_Designer_Bed_Mix!$J28&lt;=XS_Designer!$BN$92,XS_Designer!BG$92,"")</f>
        <v/>
      </c>
      <c r="R28" s="4" t="str">
        <f>IF(XS_Designer_Bed_Mix!$J28&lt;=XS_Designer!$BN$92,XS_Designer!BH$92,"")</f>
        <v/>
      </c>
      <c r="S28" s="4" t="str">
        <f>IF(XS_Designer_Bed_Mix!$J28&lt;=XS_Designer!$BN$92,XS_Designer!BI$92,"")</f>
        <v/>
      </c>
      <c r="T28" s="4" t="str">
        <f>IF(XS_Designer_Bed_Mix!$J28&lt;=XS_Designer!$BN$92,XS_Designer!BJ$92,"")</f>
        <v/>
      </c>
      <c r="U28" s="4" t="str">
        <f>IF(XS_Designer_Bed_Mix!$J28&lt;=XS_Designer!$BN$93,XS_Designer!BA$93,"")</f>
        <v/>
      </c>
      <c r="V28" s="4" t="str">
        <f>IF(XS_Designer_Bed_Mix!$J28&lt;=XS_Designer!$BN$93,XS_Designer!BB$93,"")</f>
        <v/>
      </c>
      <c r="W28" s="4" t="str">
        <f>IF(XS_Designer_Bed_Mix!$J28&lt;=XS_Designer!$BN$93,XS_Designer!BC$93,"")</f>
        <v/>
      </c>
      <c r="X28" s="4" t="str">
        <f>IF(XS_Designer_Bed_Mix!$J28&lt;=XS_Designer!$BN$93,XS_Designer!BD$93,"")</f>
        <v/>
      </c>
      <c r="Y28" s="4" t="str">
        <f>IF(XS_Designer_Bed_Mix!$J28&lt;=XS_Designer!$BN$93,XS_Designer!BE$93,"")</f>
        <v/>
      </c>
      <c r="Z28" s="4" t="str">
        <f>IF(XS_Designer_Bed_Mix!$J28&lt;=XS_Designer!$BN$93,XS_Designer!BF$93,"")</f>
        <v/>
      </c>
      <c r="AA28" s="4" t="str">
        <f>IF(XS_Designer_Bed_Mix!$J28&lt;=XS_Designer!$BN$93,XS_Designer!BG$93,"")</f>
        <v/>
      </c>
      <c r="AB28" s="4" t="str">
        <f>IF(XS_Designer_Bed_Mix!$J28&lt;=XS_Designer!$BN$93,XS_Designer!BH$93,"")</f>
        <v/>
      </c>
      <c r="AC28" s="4" t="str">
        <f>IF(XS_Designer_Bed_Mix!$J28&lt;=XS_Designer!$BN$93,XS_Designer!BI$93,"")</f>
        <v/>
      </c>
      <c r="AD28" s="4" t="str">
        <f>IF(XS_Designer_Bed_Mix!$J28&lt;=XS_Designer!$BN$93,XS_Designer!BJ$93,"")</f>
        <v/>
      </c>
      <c r="AE28" s="4" t="str">
        <f>IF(XS_Designer_Bed_Mix!$J28&lt;=XS_Designer!$BN$94,XS_Designer!BA$94,"")</f>
        <v/>
      </c>
      <c r="AF28" s="4" t="str">
        <f>IF(XS_Designer_Bed_Mix!$J28&lt;=XS_Designer!$BN$94,XS_Designer!BB$94,"")</f>
        <v/>
      </c>
      <c r="AG28" s="4" t="str">
        <f>IF(XS_Designer_Bed_Mix!$J28&lt;=XS_Designer!$BN$94,XS_Designer!BC$94,"")</f>
        <v/>
      </c>
      <c r="AH28" s="4" t="str">
        <f>IF(XS_Designer_Bed_Mix!$J28&lt;=XS_Designer!$BN$94,XS_Designer!BD$94,"")</f>
        <v/>
      </c>
      <c r="AI28" s="4" t="str">
        <f>IF(XS_Designer_Bed_Mix!$J28&lt;=XS_Designer!$BN$94,XS_Designer!BE$94,"")</f>
        <v/>
      </c>
      <c r="AJ28" s="4" t="str">
        <f>IF(XS_Designer_Bed_Mix!$J28&lt;=XS_Designer!$BN$94,XS_Designer!BF$94,"")</f>
        <v/>
      </c>
      <c r="AK28" s="4" t="str">
        <f>IF(XS_Designer_Bed_Mix!$J28&lt;=XS_Designer!$BN$94,XS_Designer!BG$94,"")</f>
        <v/>
      </c>
      <c r="AL28" s="4" t="str">
        <f>IF(XS_Designer_Bed_Mix!$J28&lt;=XS_Designer!$BN$94,XS_Designer!BH$94,"")</f>
        <v/>
      </c>
      <c r="AM28" s="4" t="str">
        <f>IF(XS_Designer_Bed_Mix!$J28&lt;=XS_Designer!$BN$94,XS_Designer!BI$94,"")</f>
        <v/>
      </c>
      <c r="AN28" s="4" t="str">
        <f>IF(XS_Designer_Bed_Mix!$J28&lt;=XS_Designer!$BN$94,XS_Designer!BJ$94,"")</f>
        <v/>
      </c>
      <c r="AO28" s="4" t="str">
        <f>IF(XS_Designer_Bed_Mix!$J28&lt;=XS_Designer!$BN$95,XS_Designer!BA$95,"")</f>
        <v/>
      </c>
      <c r="AP28" s="4" t="str">
        <f>IF(XS_Designer_Bed_Mix!$J28&lt;=XS_Designer!$BN$95,XS_Designer!BB$95,"")</f>
        <v/>
      </c>
      <c r="AQ28" s="4" t="str">
        <f>IF(XS_Designer_Bed_Mix!$J28&lt;=XS_Designer!$BN$95,XS_Designer!BC$95,"")</f>
        <v/>
      </c>
      <c r="AR28" s="4" t="str">
        <f>IF(XS_Designer_Bed_Mix!$J28&lt;=XS_Designer!$BN$95,XS_Designer!BD$95,"")</f>
        <v/>
      </c>
      <c r="AS28" s="4" t="str">
        <f>IF(XS_Designer_Bed_Mix!$J28&lt;=XS_Designer!$BN$95,XS_Designer!BE$95,"")</f>
        <v/>
      </c>
      <c r="AT28" s="4" t="str">
        <f>IF(XS_Designer_Bed_Mix!$J28&lt;=XS_Designer!$BN$95,XS_Designer!BF$95,"")</f>
        <v/>
      </c>
      <c r="AU28" s="4" t="str">
        <f>IF(XS_Designer_Bed_Mix!$J28&lt;=XS_Designer!$BN$95,XS_Designer!BG$95,"")</f>
        <v/>
      </c>
      <c r="AV28" s="4" t="str">
        <f>IF(XS_Designer_Bed_Mix!$J28&lt;=XS_Designer!$BN$95,XS_Designer!BH$95,"")</f>
        <v/>
      </c>
      <c r="AW28" s="4" t="str">
        <f>IF(XS_Designer_Bed_Mix!$J28&lt;=XS_Designer!$BN$95,XS_Designer!BI$95,"")</f>
        <v/>
      </c>
      <c r="AX28" s="4" t="str">
        <f>IF(XS_Designer_Bed_Mix!$J28&lt;=XS_Designer!$BN$95,XS_Designer!BJ$95,"")</f>
        <v/>
      </c>
      <c r="AY28" s="4">
        <f>IF(XS_Designer_Bed_Mix!$J28&lt;=XS_Designer!$BN$96,XS_Designer!BA$96,"")</f>
        <v>335.28000000000003</v>
      </c>
      <c r="AZ28" s="4">
        <f>IF(XS_Designer_Bed_Mix!$J28&lt;=XS_Designer!$BN$96,XS_Designer!BB$96,"")</f>
        <v>335.28000000000003</v>
      </c>
      <c r="BA28" s="4">
        <f>IF(XS_Designer_Bed_Mix!$J28&lt;=XS_Designer!$BN$96,XS_Designer!BC$96,"")</f>
        <v>335.28000000000003</v>
      </c>
      <c r="BB28" s="4">
        <f>IF(XS_Designer_Bed_Mix!$J28&lt;=XS_Designer!$BN$96,XS_Designer!BD$96,"")</f>
        <v>335.28000000000003</v>
      </c>
      <c r="BC28" s="4">
        <f>IF(XS_Designer_Bed_Mix!$J28&lt;=XS_Designer!$BN$96,XS_Designer!BE$96,"")</f>
        <v>335.28000000000003</v>
      </c>
      <c r="BD28" s="4">
        <f>IF(XS_Designer_Bed_Mix!$J28&lt;=XS_Designer!$BN$96,XS_Designer!BF$96,"")</f>
        <v>335.28000000000003</v>
      </c>
      <c r="BE28" s="4">
        <f>IF(XS_Designer_Bed_Mix!$J28&lt;=XS_Designer!$BN$96,XS_Designer!BG$96,"")</f>
        <v>335.28000000000003</v>
      </c>
      <c r="BF28" s="4">
        <f>IF(XS_Designer_Bed_Mix!$J28&lt;=XS_Designer!$BN$96,XS_Designer!BH$96,"")</f>
        <v>335.28000000000003</v>
      </c>
      <c r="BG28" s="4">
        <f>IF(XS_Designer_Bed_Mix!$J28&lt;=XS_Designer!$BN$96,XS_Designer!BI$96,"")</f>
        <v>335.28000000000003</v>
      </c>
      <c r="BH28" s="4">
        <f>IF(XS_Designer_Bed_Mix!$J28&lt;=XS_Designer!$BN$96,XS_Designer!BJ$96,"")</f>
        <v>335.28000000000003</v>
      </c>
      <c r="BI28" s="4" t="str">
        <f>IF(XS_Designer_Bed_Mix!$J28&lt;=XS_Designer!$BN$97,XS_Designer!BA$97,"")</f>
        <v/>
      </c>
      <c r="BJ28" s="4" t="str">
        <f>IF(XS_Designer_Bed_Mix!$J28&lt;=XS_Designer!$BN$97,XS_Designer!BB$97,"")</f>
        <v/>
      </c>
      <c r="BK28" s="4" t="str">
        <f>IF(XS_Designer_Bed_Mix!$J28&lt;=XS_Designer!$BN$97,XS_Designer!BC$97,"")</f>
        <v/>
      </c>
      <c r="BL28" s="4" t="str">
        <f>IF(XS_Designer_Bed_Mix!$J28&lt;=XS_Designer!$BN$97,XS_Designer!BD$97,"")</f>
        <v/>
      </c>
      <c r="BM28" s="4" t="str">
        <f>IF(XS_Designer_Bed_Mix!$J28&lt;=XS_Designer!$BN$97,XS_Designer!BE$97,"")</f>
        <v/>
      </c>
      <c r="BN28" s="4" t="str">
        <f>IF(XS_Designer_Bed_Mix!$J28&lt;=XS_Designer!$BN$97,XS_Designer!BF$97,"")</f>
        <v/>
      </c>
      <c r="BO28" s="4" t="str">
        <f>IF(XS_Designer_Bed_Mix!$J28&lt;=XS_Designer!$BN$97,XS_Designer!BG$97,"")</f>
        <v/>
      </c>
      <c r="BP28" s="4" t="str">
        <f>IF(XS_Designer_Bed_Mix!$J28&lt;=XS_Designer!$BN$97,XS_Designer!BH$97,"")</f>
        <v/>
      </c>
      <c r="BQ28" s="4" t="str">
        <f>IF(XS_Designer_Bed_Mix!$J28&lt;=XS_Designer!$BN$97,XS_Designer!BI$97,"")</f>
        <v/>
      </c>
      <c r="BR28" s="4" t="str">
        <f>IF(XS_Designer_Bed_Mix!$J28&lt;=XS_Designer!$BN$97,XS_Designer!BJ$97,"")</f>
        <v/>
      </c>
      <c r="BS28" s="4" t="str">
        <f>IF(XS_Designer_Bed_Mix!$J28&lt;=XS_Designer!$BN$98,XS_Designer!BA$98,"")</f>
        <v/>
      </c>
      <c r="BT28" s="4" t="str">
        <f>IF(XS_Designer_Bed_Mix!$J28&lt;=XS_Designer!$BN$98,XS_Designer!BB$98,"")</f>
        <v/>
      </c>
      <c r="BU28" s="4" t="str">
        <f>IF(XS_Designer_Bed_Mix!$J28&lt;=XS_Designer!$BN$98,XS_Designer!BC$98,"")</f>
        <v/>
      </c>
      <c r="BV28" s="4" t="str">
        <f>IF(XS_Designer_Bed_Mix!$J28&lt;=XS_Designer!$BN$98,XS_Designer!BD$98,"")</f>
        <v/>
      </c>
      <c r="BW28" s="4" t="str">
        <f>IF(XS_Designer_Bed_Mix!$J28&lt;=XS_Designer!$BN$98,XS_Designer!BE$98,"")</f>
        <v/>
      </c>
      <c r="BX28" s="4" t="str">
        <f>IF(XS_Designer_Bed_Mix!$J28&lt;=XS_Designer!$BN$98,XS_Designer!BF$98,"")</f>
        <v/>
      </c>
      <c r="BY28" s="4" t="str">
        <f>IF(XS_Designer_Bed_Mix!$J28&lt;=XS_Designer!$BN$98,XS_Designer!BG$98,"")</f>
        <v/>
      </c>
      <c r="BZ28" s="4" t="str">
        <f>IF(XS_Designer_Bed_Mix!$J28&lt;=XS_Designer!$BN$98,XS_Designer!BH$98,"")</f>
        <v/>
      </c>
      <c r="CA28" s="4" t="str">
        <f>IF(XS_Designer_Bed_Mix!$J28&lt;=XS_Designer!$BN$98,XS_Designer!BI$98,"")</f>
        <v/>
      </c>
      <c r="CB28" s="4" t="str">
        <f>IF(XS_Designer_Bed_Mix!$J28&lt;=XS_Designer!$BN$98,XS_Designer!BJ$98,"")</f>
        <v/>
      </c>
      <c r="CC28" s="4" t="str">
        <f>IF(XS_Designer_Bed_Mix!$J28&lt;=XS_Designer!$BN$99,XS_Designer!BA$99,"")</f>
        <v/>
      </c>
      <c r="CD28" s="4" t="str">
        <f>IF(XS_Designer_Bed_Mix!$J28&lt;=XS_Designer!$BN$99,XS_Designer!BB$99,"")</f>
        <v/>
      </c>
      <c r="CE28" s="4" t="str">
        <f>IF(XS_Designer_Bed_Mix!$J28&lt;=XS_Designer!$BN$99,XS_Designer!BC$99,"")</f>
        <v/>
      </c>
      <c r="CF28" s="4" t="str">
        <f>IF(XS_Designer_Bed_Mix!$J28&lt;=XS_Designer!$BN$99,XS_Designer!BD$99,"")</f>
        <v/>
      </c>
      <c r="CG28" s="4" t="str">
        <f>IF(XS_Designer_Bed_Mix!$J28&lt;=XS_Designer!$BN$99,XS_Designer!BE$99,"")</f>
        <v/>
      </c>
      <c r="CH28" s="4" t="str">
        <f>IF(XS_Designer_Bed_Mix!$J28&lt;=XS_Designer!$BN$99,XS_Designer!BF$99,"")</f>
        <v/>
      </c>
      <c r="CI28" s="4" t="str">
        <f>IF(XS_Designer_Bed_Mix!$J28&lt;=XS_Designer!$BN$99,XS_Designer!BG$99,"")</f>
        <v/>
      </c>
      <c r="CJ28" s="4" t="str">
        <f>IF(XS_Designer_Bed_Mix!$J28&lt;=XS_Designer!$BN$99,XS_Designer!BH$99,"")</f>
        <v/>
      </c>
      <c r="CK28" s="4" t="str">
        <f>IF(XS_Designer_Bed_Mix!$J28&lt;=XS_Designer!$BN$99,XS_Designer!BI$99,"")</f>
        <v/>
      </c>
      <c r="CL28" s="4" t="str">
        <f>IF(XS_Designer_Bed_Mix!$J28&lt;=XS_Designer!$BN$99,XS_Designer!BJ$99,"")</f>
        <v/>
      </c>
      <c r="CM28" s="4">
        <f>IF(XS_Designer_Bed_Mix!$J28&lt;=XS_Designer!$BN$100,XS_Designer!BA$100,"")</f>
        <v>64</v>
      </c>
      <c r="CN28" s="4">
        <f>IF(XS_Designer_Bed_Mix!$J28&lt;=XS_Designer!$BN$100,XS_Designer!BB$100,"")</f>
        <v>57.6</v>
      </c>
      <c r="CO28" s="4">
        <f>IF(XS_Designer_Bed_Mix!$J28&lt;=XS_Designer!$BN$100,XS_Designer!BC$100,"")</f>
        <v>51.2</v>
      </c>
      <c r="CP28" s="4">
        <f>IF(XS_Designer_Bed_Mix!$J28&lt;=XS_Designer!$BN$100,XS_Designer!BD$100,"")</f>
        <v>44.800000000000004</v>
      </c>
      <c r="CQ28" s="4">
        <f>IF(XS_Designer_Bed_Mix!$J28&lt;=XS_Designer!$BN$100,XS_Designer!BE$100,"")</f>
        <v>38.400000000000006</v>
      </c>
      <c r="CR28" s="4">
        <f>IF(XS_Designer_Bed_Mix!$J28&lt;=XS_Designer!$BN$100,XS_Designer!BF$100,"")</f>
        <v>32</v>
      </c>
      <c r="CS28" s="4">
        <f>IF(XS_Designer_Bed_Mix!$J28&lt;=XS_Designer!$BN$100,XS_Designer!BG$100,"")</f>
        <v>26</v>
      </c>
      <c r="CT28" s="4">
        <f>IF(XS_Designer_Bed_Mix!$J28&lt;=XS_Designer!$BN$100,XS_Designer!BH$100,"")</f>
        <v>20</v>
      </c>
      <c r="CU28" s="4">
        <f>IF(XS_Designer_Bed_Mix!$J28&lt;=XS_Designer!$BN$100,XS_Designer!BI$100,"")</f>
        <v>14</v>
      </c>
      <c r="CV28" s="4">
        <f>IF(XS_Designer_Bed_Mix!$J28&lt;=XS_Designer!$BN$100,XS_Designer!BJ$100,"")</f>
        <v>8</v>
      </c>
      <c r="CW28" s="4" t="str">
        <f>IF(XS_Designer_Bed_Mix!$J28&lt;=XS_Designer!$BN$101,XS_Designer!BA$101,"")</f>
        <v/>
      </c>
      <c r="CX28" s="4" t="str">
        <f>IF(XS_Designer_Bed_Mix!$J28&lt;=XS_Designer!$BN$101,XS_Designer!BB$101,"")</f>
        <v/>
      </c>
      <c r="CY28" s="4" t="str">
        <f>IF(XS_Designer_Bed_Mix!$J28&lt;=XS_Designer!$BN$101,XS_Designer!BC$101,"")</f>
        <v/>
      </c>
      <c r="CZ28" s="4" t="str">
        <f>IF(XS_Designer_Bed_Mix!$J28&lt;=XS_Designer!$BN$101,XS_Designer!BD$101,"")</f>
        <v/>
      </c>
      <c r="DA28" s="4" t="str">
        <f>IF(XS_Designer_Bed_Mix!$J28&lt;=XS_Designer!$BN$101,XS_Designer!BE$101,"")</f>
        <v/>
      </c>
      <c r="DB28" s="4" t="str">
        <f>IF(XS_Designer_Bed_Mix!$J28&lt;=XS_Designer!$BN$101,XS_Designer!BF$101,"")</f>
        <v/>
      </c>
      <c r="DC28" s="4" t="str">
        <f>IF(XS_Designer_Bed_Mix!$J28&lt;=XS_Designer!$BN$101,XS_Designer!BG$101,"")</f>
        <v/>
      </c>
      <c r="DD28" s="4" t="str">
        <f>IF(XS_Designer_Bed_Mix!$J28&lt;=XS_Designer!$BN$101,XS_Designer!BH$101,"")</f>
        <v/>
      </c>
      <c r="DE28" s="4" t="str">
        <f>IF(XS_Designer_Bed_Mix!$J28&lt;=XS_Designer!$BN$101,XS_Designer!BI$101,"")</f>
        <v/>
      </c>
      <c r="DF28" s="4" t="str">
        <f>IF(XS_Designer_Bed_Mix!$J28&lt;=XS_Designer!$BN$101,XS_Designer!BJ$101,"")</f>
        <v/>
      </c>
      <c r="DG28" s="4" t="str">
        <f>IF(XS_Designer_Bed_Mix!$J28&lt;=XS_Designer!$BN$102,XS_Designer!BA$102,"")</f>
        <v/>
      </c>
      <c r="DH28" s="4" t="str">
        <f>IF(XS_Designer_Bed_Mix!$J28&lt;=XS_Designer!$BN$102,XS_Designer!BB$102,"")</f>
        <v/>
      </c>
      <c r="DI28" s="4" t="str">
        <f>IF(XS_Designer_Bed_Mix!$J28&lt;=XS_Designer!$BN$102,XS_Designer!BC$102,"")</f>
        <v/>
      </c>
      <c r="DJ28" s="4" t="str">
        <f>IF(XS_Designer_Bed_Mix!$J28&lt;=XS_Designer!$BN$102,XS_Designer!BD$102,"")</f>
        <v/>
      </c>
      <c r="DK28" s="4" t="str">
        <f>IF(XS_Designer_Bed_Mix!$J28&lt;=XS_Designer!$BN$102,XS_Designer!BE$102,"")</f>
        <v/>
      </c>
      <c r="DL28" s="4" t="str">
        <f>IF(XS_Designer_Bed_Mix!$J28&lt;=XS_Designer!$BN$102,XS_Designer!BF$102,"")</f>
        <v/>
      </c>
      <c r="DM28" s="4" t="str">
        <f>IF(XS_Designer_Bed_Mix!$J28&lt;=XS_Designer!$BN$102,XS_Designer!BG$102,"")</f>
        <v/>
      </c>
      <c r="DN28" s="4" t="str">
        <f>IF(XS_Designer_Bed_Mix!$J28&lt;=XS_Designer!$BN$102,XS_Designer!BH$102,"")</f>
        <v/>
      </c>
      <c r="DO28" s="4" t="str">
        <f>IF(XS_Designer_Bed_Mix!$J28&lt;=XS_Designer!$BN$102,XS_Designer!BI$102,"")</f>
        <v/>
      </c>
      <c r="DP28" s="4" t="str">
        <f>IF(XS_Designer_Bed_Mix!$J28&lt;=XS_Designer!$BN$102,XS_Designer!BJ$102,"")</f>
        <v/>
      </c>
    </row>
    <row r="29" spans="10:120">
      <c r="J29" s="3">
        <v>0.28000000000000003</v>
      </c>
      <c r="K29" s="4" t="str">
        <f>IF(XS_Designer_Bed_Mix!$J29&lt;=XS_Designer!$BN$92,XS_Designer!BA$92,"")</f>
        <v/>
      </c>
      <c r="L29" s="4" t="str">
        <f>IF(XS_Designer_Bed_Mix!$J29&lt;=XS_Designer!$BN$92,XS_Designer!BB$92,"")</f>
        <v/>
      </c>
      <c r="M29" s="4" t="str">
        <f>IF(XS_Designer_Bed_Mix!$J29&lt;=XS_Designer!$BN$92,XS_Designer!BC$92,"")</f>
        <v/>
      </c>
      <c r="N29" s="4" t="str">
        <f>IF(XS_Designer_Bed_Mix!$J29&lt;=XS_Designer!$BN$92,XS_Designer!BD$92,"")</f>
        <v/>
      </c>
      <c r="O29" s="4" t="str">
        <f>IF(XS_Designer_Bed_Mix!$J29&lt;=XS_Designer!$BN$92,XS_Designer!BE$92,"")</f>
        <v/>
      </c>
      <c r="P29" s="4" t="str">
        <f>IF(XS_Designer_Bed_Mix!$J29&lt;=XS_Designer!$BN$92,XS_Designer!BF$92,"")</f>
        <v/>
      </c>
      <c r="Q29" s="4" t="str">
        <f>IF(XS_Designer_Bed_Mix!$J29&lt;=XS_Designer!$BN$92,XS_Designer!BG$92,"")</f>
        <v/>
      </c>
      <c r="R29" s="4" t="str">
        <f>IF(XS_Designer_Bed_Mix!$J29&lt;=XS_Designer!$BN$92,XS_Designer!BH$92,"")</f>
        <v/>
      </c>
      <c r="S29" s="4" t="str">
        <f>IF(XS_Designer_Bed_Mix!$J29&lt;=XS_Designer!$BN$92,XS_Designer!BI$92,"")</f>
        <v/>
      </c>
      <c r="T29" s="4" t="str">
        <f>IF(XS_Designer_Bed_Mix!$J29&lt;=XS_Designer!$BN$92,XS_Designer!BJ$92,"")</f>
        <v/>
      </c>
      <c r="U29" s="4" t="str">
        <f>IF(XS_Designer_Bed_Mix!$J29&lt;=XS_Designer!$BN$93,XS_Designer!BA$93,"")</f>
        <v/>
      </c>
      <c r="V29" s="4" t="str">
        <f>IF(XS_Designer_Bed_Mix!$J29&lt;=XS_Designer!$BN$93,XS_Designer!BB$93,"")</f>
        <v/>
      </c>
      <c r="W29" s="4" t="str">
        <f>IF(XS_Designer_Bed_Mix!$J29&lt;=XS_Designer!$BN$93,XS_Designer!BC$93,"")</f>
        <v/>
      </c>
      <c r="X29" s="4" t="str">
        <f>IF(XS_Designer_Bed_Mix!$J29&lt;=XS_Designer!$BN$93,XS_Designer!BD$93,"")</f>
        <v/>
      </c>
      <c r="Y29" s="4" t="str">
        <f>IF(XS_Designer_Bed_Mix!$J29&lt;=XS_Designer!$BN$93,XS_Designer!BE$93,"")</f>
        <v/>
      </c>
      <c r="Z29" s="4" t="str">
        <f>IF(XS_Designer_Bed_Mix!$J29&lt;=XS_Designer!$BN$93,XS_Designer!BF$93,"")</f>
        <v/>
      </c>
      <c r="AA29" s="4" t="str">
        <f>IF(XS_Designer_Bed_Mix!$J29&lt;=XS_Designer!$BN$93,XS_Designer!BG$93,"")</f>
        <v/>
      </c>
      <c r="AB29" s="4" t="str">
        <f>IF(XS_Designer_Bed_Mix!$J29&lt;=XS_Designer!$BN$93,XS_Designer!BH$93,"")</f>
        <v/>
      </c>
      <c r="AC29" s="4" t="str">
        <f>IF(XS_Designer_Bed_Mix!$J29&lt;=XS_Designer!$BN$93,XS_Designer!BI$93,"")</f>
        <v/>
      </c>
      <c r="AD29" s="4" t="str">
        <f>IF(XS_Designer_Bed_Mix!$J29&lt;=XS_Designer!$BN$93,XS_Designer!BJ$93,"")</f>
        <v/>
      </c>
      <c r="AE29" s="4" t="str">
        <f>IF(XS_Designer_Bed_Mix!$J29&lt;=XS_Designer!$BN$94,XS_Designer!BA$94,"")</f>
        <v/>
      </c>
      <c r="AF29" s="4" t="str">
        <f>IF(XS_Designer_Bed_Mix!$J29&lt;=XS_Designer!$BN$94,XS_Designer!BB$94,"")</f>
        <v/>
      </c>
      <c r="AG29" s="4" t="str">
        <f>IF(XS_Designer_Bed_Mix!$J29&lt;=XS_Designer!$BN$94,XS_Designer!BC$94,"")</f>
        <v/>
      </c>
      <c r="AH29" s="4" t="str">
        <f>IF(XS_Designer_Bed_Mix!$J29&lt;=XS_Designer!$BN$94,XS_Designer!BD$94,"")</f>
        <v/>
      </c>
      <c r="AI29" s="4" t="str">
        <f>IF(XS_Designer_Bed_Mix!$J29&lt;=XS_Designer!$BN$94,XS_Designer!BE$94,"")</f>
        <v/>
      </c>
      <c r="AJ29" s="4" t="str">
        <f>IF(XS_Designer_Bed_Mix!$J29&lt;=XS_Designer!$BN$94,XS_Designer!BF$94,"")</f>
        <v/>
      </c>
      <c r="AK29" s="4" t="str">
        <f>IF(XS_Designer_Bed_Mix!$J29&lt;=XS_Designer!$BN$94,XS_Designer!BG$94,"")</f>
        <v/>
      </c>
      <c r="AL29" s="4" t="str">
        <f>IF(XS_Designer_Bed_Mix!$J29&lt;=XS_Designer!$BN$94,XS_Designer!BH$94,"")</f>
        <v/>
      </c>
      <c r="AM29" s="4" t="str">
        <f>IF(XS_Designer_Bed_Mix!$J29&lt;=XS_Designer!$BN$94,XS_Designer!BI$94,"")</f>
        <v/>
      </c>
      <c r="AN29" s="4" t="str">
        <f>IF(XS_Designer_Bed_Mix!$J29&lt;=XS_Designer!$BN$94,XS_Designer!BJ$94,"")</f>
        <v/>
      </c>
      <c r="AO29" s="4" t="str">
        <f>IF(XS_Designer_Bed_Mix!$J29&lt;=XS_Designer!$BN$95,XS_Designer!BA$95,"")</f>
        <v/>
      </c>
      <c r="AP29" s="4" t="str">
        <f>IF(XS_Designer_Bed_Mix!$J29&lt;=XS_Designer!$BN$95,XS_Designer!BB$95,"")</f>
        <v/>
      </c>
      <c r="AQ29" s="4" t="str">
        <f>IF(XS_Designer_Bed_Mix!$J29&lt;=XS_Designer!$BN$95,XS_Designer!BC$95,"")</f>
        <v/>
      </c>
      <c r="AR29" s="4" t="str">
        <f>IF(XS_Designer_Bed_Mix!$J29&lt;=XS_Designer!$BN$95,XS_Designer!BD$95,"")</f>
        <v/>
      </c>
      <c r="AS29" s="4" t="str">
        <f>IF(XS_Designer_Bed_Mix!$J29&lt;=XS_Designer!$BN$95,XS_Designer!BE$95,"")</f>
        <v/>
      </c>
      <c r="AT29" s="4" t="str">
        <f>IF(XS_Designer_Bed_Mix!$J29&lt;=XS_Designer!$BN$95,XS_Designer!BF$95,"")</f>
        <v/>
      </c>
      <c r="AU29" s="4" t="str">
        <f>IF(XS_Designer_Bed_Mix!$J29&lt;=XS_Designer!$BN$95,XS_Designer!BG$95,"")</f>
        <v/>
      </c>
      <c r="AV29" s="4" t="str">
        <f>IF(XS_Designer_Bed_Mix!$J29&lt;=XS_Designer!$BN$95,XS_Designer!BH$95,"")</f>
        <v/>
      </c>
      <c r="AW29" s="4" t="str">
        <f>IF(XS_Designer_Bed_Mix!$J29&lt;=XS_Designer!$BN$95,XS_Designer!BI$95,"")</f>
        <v/>
      </c>
      <c r="AX29" s="4" t="str">
        <f>IF(XS_Designer_Bed_Mix!$J29&lt;=XS_Designer!$BN$95,XS_Designer!BJ$95,"")</f>
        <v/>
      </c>
      <c r="AY29" s="4">
        <f>IF(XS_Designer_Bed_Mix!$J29&lt;=XS_Designer!$BN$96,XS_Designer!BA$96,"")</f>
        <v>335.28000000000003</v>
      </c>
      <c r="AZ29" s="4">
        <f>IF(XS_Designer_Bed_Mix!$J29&lt;=XS_Designer!$BN$96,XS_Designer!BB$96,"")</f>
        <v>335.28000000000003</v>
      </c>
      <c r="BA29" s="4">
        <f>IF(XS_Designer_Bed_Mix!$J29&lt;=XS_Designer!$BN$96,XS_Designer!BC$96,"")</f>
        <v>335.28000000000003</v>
      </c>
      <c r="BB29" s="4">
        <f>IF(XS_Designer_Bed_Mix!$J29&lt;=XS_Designer!$BN$96,XS_Designer!BD$96,"")</f>
        <v>335.28000000000003</v>
      </c>
      <c r="BC29" s="4">
        <f>IF(XS_Designer_Bed_Mix!$J29&lt;=XS_Designer!$BN$96,XS_Designer!BE$96,"")</f>
        <v>335.28000000000003</v>
      </c>
      <c r="BD29" s="4">
        <f>IF(XS_Designer_Bed_Mix!$J29&lt;=XS_Designer!$BN$96,XS_Designer!BF$96,"")</f>
        <v>335.28000000000003</v>
      </c>
      <c r="BE29" s="4">
        <f>IF(XS_Designer_Bed_Mix!$J29&lt;=XS_Designer!$BN$96,XS_Designer!BG$96,"")</f>
        <v>335.28000000000003</v>
      </c>
      <c r="BF29" s="4">
        <f>IF(XS_Designer_Bed_Mix!$J29&lt;=XS_Designer!$BN$96,XS_Designer!BH$96,"")</f>
        <v>335.28000000000003</v>
      </c>
      <c r="BG29" s="4">
        <f>IF(XS_Designer_Bed_Mix!$J29&lt;=XS_Designer!$BN$96,XS_Designer!BI$96,"")</f>
        <v>335.28000000000003</v>
      </c>
      <c r="BH29" s="4">
        <f>IF(XS_Designer_Bed_Mix!$J29&lt;=XS_Designer!$BN$96,XS_Designer!BJ$96,"")</f>
        <v>335.28000000000003</v>
      </c>
      <c r="BI29" s="4" t="str">
        <f>IF(XS_Designer_Bed_Mix!$J29&lt;=XS_Designer!$BN$97,XS_Designer!BA$97,"")</f>
        <v/>
      </c>
      <c r="BJ29" s="4" t="str">
        <f>IF(XS_Designer_Bed_Mix!$J29&lt;=XS_Designer!$BN$97,XS_Designer!BB$97,"")</f>
        <v/>
      </c>
      <c r="BK29" s="4" t="str">
        <f>IF(XS_Designer_Bed_Mix!$J29&lt;=XS_Designer!$BN$97,XS_Designer!BC$97,"")</f>
        <v/>
      </c>
      <c r="BL29" s="4" t="str">
        <f>IF(XS_Designer_Bed_Mix!$J29&lt;=XS_Designer!$BN$97,XS_Designer!BD$97,"")</f>
        <v/>
      </c>
      <c r="BM29" s="4" t="str">
        <f>IF(XS_Designer_Bed_Mix!$J29&lt;=XS_Designer!$BN$97,XS_Designer!BE$97,"")</f>
        <v/>
      </c>
      <c r="BN29" s="4" t="str">
        <f>IF(XS_Designer_Bed_Mix!$J29&lt;=XS_Designer!$BN$97,XS_Designer!BF$97,"")</f>
        <v/>
      </c>
      <c r="BO29" s="4" t="str">
        <f>IF(XS_Designer_Bed_Mix!$J29&lt;=XS_Designer!$BN$97,XS_Designer!BG$97,"")</f>
        <v/>
      </c>
      <c r="BP29" s="4" t="str">
        <f>IF(XS_Designer_Bed_Mix!$J29&lt;=XS_Designer!$BN$97,XS_Designer!BH$97,"")</f>
        <v/>
      </c>
      <c r="BQ29" s="4" t="str">
        <f>IF(XS_Designer_Bed_Mix!$J29&lt;=XS_Designer!$BN$97,XS_Designer!BI$97,"")</f>
        <v/>
      </c>
      <c r="BR29" s="4" t="str">
        <f>IF(XS_Designer_Bed_Mix!$J29&lt;=XS_Designer!$BN$97,XS_Designer!BJ$97,"")</f>
        <v/>
      </c>
      <c r="BS29" s="4" t="str">
        <f>IF(XS_Designer_Bed_Mix!$J29&lt;=XS_Designer!$BN$98,XS_Designer!BA$98,"")</f>
        <v/>
      </c>
      <c r="BT29" s="4" t="str">
        <f>IF(XS_Designer_Bed_Mix!$J29&lt;=XS_Designer!$BN$98,XS_Designer!BB$98,"")</f>
        <v/>
      </c>
      <c r="BU29" s="4" t="str">
        <f>IF(XS_Designer_Bed_Mix!$J29&lt;=XS_Designer!$BN$98,XS_Designer!BC$98,"")</f>
        <v/>
      </c>
      <c r="BV29" s="4" t="str">
        <f>IF(XS_Designer_Bed_Mix!$J29&lt;=XS_Designer!$BN$98,XS_Designer!BD$98,"")</f>
        <v/>
      </c>
      <c r="BW29" s="4" t="str">
        <f>IF(XS_Designer_Bed_Mix!$J29&lt;=XS_Designer!$BN$98,XS_Designer!BE$98,"")</f>
        <v/>
      </c>
      <c r="BX29" s="4" t="str">
        <f>IF(XS_Designer_Bed_Mix!$J29&lt;=XS_Designer!$BN$98,XS_Designer!BF$98,"")</f>
        <v/>
      </c>
      <c r="BY29" s="4" t="str">
        <f>IF(XS_Designer_Bed_Mix!$J29&lt;=XS_Designer!$BN$98,XS_Designer!BG$98,"")</f>
        <v/>
      </c>
      <c r="BZ29" s="4" t="str">
        <f>IF(XS_Designer_Bed_Mix!$J29&lt;=XS_Designer!$BN$98,XS_Designer!BH$98,"")</f>
        <v/>
      </c>
      <c r="CA29" s="4" t="str">
        <f>IF(XS_Designer_Bed_Mix!$J29&lt;=XS_Designer!$BN$98,XS_Designer!BI$98,"")</f>
        <v/>
      </c>
      <c r="CB29" s="4" t="str">
        <f>IF(XS_Designer_Bed_Mix!$J29&lt;=XS_Designer!$BN$98,XS_Designer!BJ$98,"")</f>
        <v/>
      </c>
      <c r="CC29" s="4" t="str">
        <f>IF(XS_Designer_Bed_Mix!$J29&lt;=XS_Designer!$BN$99,XS_Designer!BA$99,"")</f>
        <v/>
      </c>
      <c r="CD29" s="4" t="str">
        <f>IF(XS_Designer_Bed_Mix!$J29&lt;=XS_Designer!$BN$99,XS_Designer!BB$99,"")</f>
        <v/>
      </c>
      <c r="CE29" s="4" t="str">
        <f>IF(XS_Designer_Bed_Mix!$J29&lt;=XS_Designer!$BN$99,XS_Designer!BC$99,"")</f>
        <v/>
      </c>
      <c r="CF29" s="4" t="str">
        <f>IF(XS_Designer_Bed_Mix!$J29&lt;=XS_Designer!$BN$99,XS_Designer!BD$99,"")</f>
        <v/>
      </c>
      <c r="CG29" s="4" t="str">
        <f>IF(XS_Designer_Bed_Mix!$J29&lt;=XS_Designer!$BN$99,XS_Designer!BE$99,"")</f>
        <v/>
      </c>
      <c r="CH29" s="4" t="str">
        <f>IF(XS_Designer_Bed_Mix!$J29&lt;=XS_Designer!$BN$99,XS_Designer!BF$99,"")</f>
        <v/>
      </c>
      <c r="CI29" s="4" t="str">
        <f>IF(XS_Designer_Bed_Mix!$J29&lt;=XS_Designer!$BN$99,XS_Designer!BG$99,"")</f>
        <v/>
      </c>
      <c r="CJ29" s="4" t="str">
        <f>IF(XS_Designer_Bed_Mix!$J29&lt;=XS_Designer!$BN$99,XS_Designer!BH$99,"")</f>
        <v/>
      </c>
      <c r="CK29" s="4" t="str">
        <f>IF(XS_Designer_Bed_Mix!$J29&lt;=XS_Designer!$BN$99,XS_Designer!BI$99,"")</f>
        <v/>
      </c>
      <c r="CL29" s="4" t="str">
        <f>IF(XS_Designer_Bed_Mix!$J29&lt;=XS_Designer!$BN$99,XS_Designer!BJ$99,"")</f>
        <v/>
      </c>
      <c r="CM29" s="4">
        <f>IF(XS_Designer_Bed_Mix!$J29&lt;=XS_Designer!$BN$100,XS_Designer!BA$100,"")</f>
        <v>64</v>
      </c>
      <c r="CN29" s="4">
        <f>IF(XS_Designer_Bed_Mix!$J29&lt;=XS_Designer!$BN$100,XS_Designer!BB$100,"")</f>
        <v>57.6</v>
      </c>
      <c r="CO29" s="4">
        <f>IF(XS_Designer_Bed_Mix!$J29&lt;=XS_Designer!$BN$100,XS_Designer!BC$100,"")</f>
        <v>51.2</v>
      </c>
      <c r="CP29" s="4">
        <f>IF(XS_Designer_Bed_Mix!$J29&lt;=XS_Designer!$BN$100,XS_Designer!BD$100,"")</f>
        <v>44.800000000000004</v>
      </c>
      <c r="CQ29" s="4">
        <f>IF(XS_Designer_Bed_Mix!$J29&lt;=XS_Designer!$BN$100,XS_Designer!BE$100,"")</f>
        <v>38.400000000000006</v>
      </c>
      <c r="CR29" s="4">
        <f>IF(XS_Designer_Bed_Mix!$J29&lt;=XS_Designer!$BN$100,XS_Designer!BF$100,"")</f>
        <v>32</v>
      </c>
      <c r="CS29" s="4">
        <f>IF(XS_Designer_Bed_Mix!$J29&lt;=XS_Designer!$BN$100,XS_Designer!BG$100,"")</f>
        <v>26</v>
      </c>
      <c r="CT29" s="4">
        <f>IF(XS_Designer_Bed_Mix!$J29&lt;=XS_Designer!$BN$100,XS_Designer!BH$100,"")</f>
        <v>20</v>
      </c>
      <c r="CU29" s="4">
        <f>IF(XS_Designer_Bed_Mix!$J29&lt;=XS_Designer!$BN$100,XS_Designer!BI$100,"")</f>
        <v>14</v>
      </c>
      <c r="CV29" s="4">
        <f>IF(XS_Designer_Bed_Mix!$J29&lt;=XS_Designer!$BN$100,XS_Designer!BJ$100,"")</f>
        <v>8</v>
      </c>
      <c r="CW29" s="4" t="str">
        <f>IF(XS_Designer_Bed_Mix!$J29&lt;=XS_Designer!$BN$101,XS_Designer!BA$101,"")</f>
        <v/>
      </c>
      <c r="CX29" s="4" t="str">
        <f>IF(XS_Designer_Bed_Mix!$J29&lt;=XS_Designer!$BN$101,XS_Designer!BB$101,"")</f>
        <v/>
      </c>
      <c r="CY29" s="4" t="str">
        <f>IF(XS_Designer_Bed_Mix!$J29&lt;=XS_Designer!$BN$101,XS_Designer!BC$101,"")</f>
        <v/>
      </c>
      <c r="CZ29" s="4" t="str">
        <f>IF(XS_Designer_Bed_Mix!$J29&lt;=XS_Designer!$BN$101,XS_Designer!BD$101,"")</f>
        <v/>
      </c>
      <c r="DA29" s="4" t="str">
        <f>IF(XS_Designer_Bed_Mix!$J29&lt;=XS_Designer!$BN$101,XS_Designer!BE$101,"")</f>
        <v/>
      </c>
      <c r="DB29" s="4" t="str">
        <f>IF(XS_Designer_Bed_Mix!$J29&lt;=XS_Designer!$BN$101,XS_Designer!BF$101,"")</f>
        <v/>
      </c>
      <c r="DC29" s="4" t="str">
        <f>IF(XS_Designer_Bed_Mix!$J29&lt;=XS_Designer!$BN$101,XS_Designer!BG$101,"")</f>
        <v/>
      </c>
      <c r="DD29" s="4" t="str">
        <f>IF(XS_Designer_Bed_Mix!$J29&lt;=XS_Designer!$BN$101,XS_Designer!BH$101,"")</f>
        <v/>
      </c>
      <c r="DE29" s="4" t="str">
        <f>IF(XS_Designer_Bed_Mix!$J29&lt;=XS_Designer!$BN$101,XS_Designer!BI$101,"")</f>
        <v/>
      </c>
      <c r="DF29" s="4" t="str">
        <f>IF(XS_Designer_Bed_Mix!$J29&lt;=XS_Designer!$BN$101,XS_Designer!BJ$101,"")</f>
        <v/>
      </c>
      <c r="DG29" s="4" t="str">
        <f>IF(XS_Designer_Bed_Mix!$J29&lt;=XS_Designer!$BN$102,XS_Designer!BA$102,"")</f>
        <v/>
      </c>
      <c r="DH29" s="4" t="str">
        <f>IF(XS_Designer_Bed_Mix!$J29&lt;=XS_Designer!$BN$102,XS_Designer!BB$102,"")</f>
        <v/>
      </c>
      <c r="DI29" s="4" t="str">
        <f>IF(XS_Designer_Bed_Mix!$J29&lt;=XS_Designer!$BN$102,XS_Designer!BC$102,"")</f>
        <v/>
      </c>
      <c r="DJ29" s="4" t="str">
        <f>IF(XS_Designer_Bed_Mix!$J29&lt;=XS_Designer!$BN$102,XS_Designer!BD$102,"")</f>
        <v/>
      </c>
      <c r="DK29" s="4" t="str">
        <f>IF(XS_Designer_Bed_Mix!$J29&lt;=XS_Designer!$BN$102,XS_Designer!BE$102,"")</f>
        <v/>
      </c>
      <c r="DL29" s="4" t="str">
        <f>IF(XS_Designer_Bed_Mix!$J29&lt;=XS_Designer!$BN$102,XS_Designer!BF$102,"")</f>
        <v/>
      </c>
      <c r="DM29" s="4" t="str">
        <f>IF(XS_Designer_Bed_Mix!$J29&lt;=XS_Designer!$BN$102,XS_Designer!BG$102,"")</f>
        <v/>
      </c>
      <c r="DN29" s="4" t="str">
        <f>IF(XS_Designer_Bed_Mix!$J29&lt;=XS_Designer!$BN$102,XS_Designer!BH$102,"")</f>
        <v/>
      </c>
      <c r="DO29" s="4" t="str">
        <f>IF(XS_Designer_Bed_Mix!$J29&lt;=XS_Designer!$BN$102,XS_Designer!BI$102,"")</f>
        <v/>
      </c>
      <c r="DP29" s="4" t="str">
        <f>IF(XS_Designer_Bed_Mix!$J29&lt;=XS_Designer!$BN$102,XS_Designer!BJ$102,"")</f>
        <v/>
      </c>
    </row>
    <row r="30" spans="10:120">
      <c r="J30" s="3">
        <v>0.28999999999999998</v>
      </c>
      <c r="K30" s="4" t="str">
        <f>IF(XS_Designer_Bed_Mix!$J30&lt;=XS_Designer!$BN$92,XS_Designer!BA$92,"")</f>
        <v/>
      </c>
      <c r="L30" s="4" t="str">
        <f>IF(XS_Designer_Bed_Mix!$J30&lt;=XS_Designer!$BN$92,XS_Designer!BB$92,"")</f>
        <v/>
      </c>
      <c r="M30" s="4" t="str">
        <f>IF(XS_Designer_Bed_Mix!$J30&lt;=XS_Designer!$BN$92,XS_Designer!BC$92,"")</f>
        <v/>
      </c>
      <c r="N30" s="4" t="str">
        <f>IF(XS_Designer_Bed_Mix!$J30&lt;=XS_Designer!$BN$92,XS_Designer!BD$92,"")</f>
        <v/>
      </c>
      <c r="O30" s="4" t="str">
        <f>IF(XS_Designer_Bed_Mix!$J30&lt;=XS_Designer!$BN$92,XS_Designer!BE$92,"")</f>
        <v/>
      </c>
      <c r="P30" s="4" t="str">
        <f>IF(XS_Designer_Bed_Mix!$J30&lt;=XS_Designer!$BN$92,XS_Designer!BF$92,"")</f>
        <v/>
      </c>
      <c r="Q30" s="4" t="str">
        <f>IF(XS_Designer_Bed_Mix!$J30&lt;=XS_Designer!$BN$92,XS_Designer!BG$92,"")</f>
        <v/>
      </c>
      <c r="R30" s="4" t="str">
        <f>IF(XS_Designer_Bed_Mix!$J30&lt;=XS_Designer!$BN$92,XS_Designer!BH$92,"")</f>
        <v/>
      </c>
      <c r="S30" s="4" t="str">
        <f>IF(XS_Designer_Bed_Mix!$J30&lt;=XS_Designer!$BN$92,XS_Designer!BI$92,"")</f>
        <v/>
      </c>
      <c r="T30" s="4" t="str">
        <f>IF(XS_Designer_Bed_Mix!$J30&lt;=XS_Designer!$BN$92,XS_Designer!BJ$92,"")</f>
        <v/>
      </c>
      <c r="U30" s="4" t="str">
        <f>IF(XS_Designer_Bed_Mix!$J30&lt;=XS_Designer!$BN$93,XS_Designer!BA$93,"")</f>
        <v/>
      </c>
      <c r="V30" s="4" t="str">
        <f>IF(XS_Designer_Bed_Mix!$J30&lt;=XS_Designer!$BN$93,XS_Designer!BB$93,"")</f>
        <v/>
      </c>
      <c r="W30" s="4" t="str">
        <f>IF(XS_Designer_Bed_Mix!$J30&lt;=XS_Designer!$BN$93,XS_Designer!BC$93,"")</f>
        <v/>
      </c>
      <c r="X30" s="4" t="str">
        <f>IF(XS_Designer_Bed_Mix!$J30&lt;=XS_Designer!$BN$93,XS_Designer!BD$93,"")</f>
        <v/>
      </c>
      <c r="Y30" s="4" t="str">
        <f>IF(XS_Designer_Bed_Mix!$J30&lt;=XS_Designer!$BN$93,XS_Designer!BE$93,"")</f>
        <v/>
      </c>
      <c r="Z30" s="4" t="str">
        <f>IF(XS_Designer_Bed_Mix!$J30&lt;=XS_Designer!$BN$93,XS_Designer!BF$93,"")</f>
        <v/>
      </c>
      <c r="AA30" s="4" t="str">
        <f>IF(XS_Designer_Bed_Mix!$J30&lt;=XS_Designer!$BN$93,XS_Designer!BG$93,"")</f>
        <v/>
      </c>
      <c r="AB30" s="4" t="str">
        <f>IF(XS_Designer_Bed_Mix!$J30&lt;=XS_Designer!$BN$93,XS_Designer!BH$93,"")</f>
        <v/>
      </c>
      <c r="AC30" s="4" t="str">
        <f>IF(XS_Designer_Bed_Mix!$J30&lt;=XS_Designer!$BN$93,XS_Designer!BI$93,"")</f>
        <v/>
      </c>
      <c r="AD30" s="4" t="str">
        <f>IF(XS_Designer_Bed_Mix!$J30&lt;=XS_Designer!$BN$93,XS_Designer!BJ$93,"")</f>
        <v/>
      </c>
      <c r="AE30" s="4" t="str">
        <f>IF(XS_Designer_Bed_Mix!$J30&lt;=XS_Designer!$BN$94,XS_Designer!BA$94,"")</f>
        <v/>
      </c>
      <c r="AF30" s="4" t="str">
        <f>IF(XS_Designer_Bed_Mix!$J30&lt;=XS_Designer!$BN$94,XS_Designer!BB$94,"")</f>
        <v/>
      </c>
      <c r="AG30" s="4" t="str">
        <f>IF(XS_Designer_Bed_Mix!$J30&lt;=XS_Designer!$BN$94,XS_Designer!BC$94,"")</f>
        <v/>
      </c>
      <c r="AH30" s="4" t="str">
        <f>IF(XS_Designer_Bed_Mix!$J30&lt;=XS_Designer!$BN$94,XS_Designer!BD$94,"")</f>
        <v/>
      </c>
      <c r="AI30" s="4" t="str">
        <f>IF(XS_Designer_Bed_Mix!$J30&lt;=XS_Designer!$BN$94,XS_Designer!BE$94,"")</f>
        <v/>
      </c>
      <c r="AJ30" s="4" t="str">
        <f>IF(XS_Designer_Bed_Mix!$J30&lt;=XS_Designer!$BN$94,XS_Designer!BF$94,"")</f>
        <v/>
      </c>
      <c r="AK30" s="4" t="str">
        <f>IF(XS_Designer_Bed_Mix!$J30&lt;=XS_Designer!$BN$94,XS_Designer!BG$94,"")</f>
        <v/>
      </c>
      <c r="AL30" s="4" t="str">
        <f>IF(XS_Designer_Bed_Mix!$J30&lt;=XS_Designer!$BN$94,XS_Designer!BH$94,"")</f>
        <v/>
      </c>
      <c r="AM30" s="4" t="str">
        <f>IF(XS_Designer_Bed_Mix!$J30&lt;=XS_Designer!$BN$94,XS_Designer!BI$94,"")</f>
        <v/>
      </c>
      <c r="AN30" s="4" t="str">
        <f>IF(XS_Designer_Bed_Mix!$J30&lt;=XS_Designer!$BN$94,XS_Designer!BJ$94,"")</f>
        <v/>
      </c>
      <c r="AO30" s="4" t="str">
        <f>IF(XS_Designer_Bed_Mix!$J30&lt;=XS_Designer!$BN$95,XS_Designer!BA$95,"")</f>
        <v/>
      </c>
      <c r="AP30" s="4" t="str">
        <f>IF(XS_Designer_Bed_Mix!$J30&lt;=XS_Designer!$BN$95,XS_Designer!BB$95,"")</f>
        <v/>
      </c>
      <c r="AQ30" s="4" t="str">
        <f>IF(XS_Designer_Bed_Mix!$J30&lt;=XS_Designer!$BN$95,XS_Designer!BC$95,"")</f>
        <v/>
      </c>
      <c r="AR30" s="4" t="str">
        <f>IF(XS_Designer_Bed_Mix!$J30&lt;=XS_Designer!$BN$95,XS_Designer!BD$95,"")</f>
        <v/>
      </c>
      <c r="AS30" s="4" t="str">
        <f>IF(XS_Designer_Bed_Mix!$J30&lt;=XS_Designer!$BN$95,XS_Designer!BE$95,"")</f>
        <v/>
      </c>
      <c r="AT30" s="4" t="str">
        <f>IF(XS_Designer_Bed_Mix!$J30&lt;=XS_Designer!$BN$95,XS_Designer!BF$95,"")</f>
        <v/>
      </c>
      <c r="AU30" s="4" t="str">
        <f>IF(XS_Designer_Bed_Mix!$J30&lt;=XS_Designer!$BN$95,XS_Designer!BG$95,"")</f>
        <v/>
      </c>
      <c r="AV30" s="4" t="str">
        <f>IF(XS_Designer_Bed_Mix!$J30&lt;=XS_Designer!$BN$95,XS_Designer!BH$95,"")</f>
        <v/>
      </c>
      <c r="AW30" s="4" t="str">
        <f>IF(XS_Designer_Bed_Mix!$J30&lt;=XS_Designer!$BN$95,XS_Designer!BI$95,"")</f>
        <v/>
      </c>
      <c r="AX30" s="4" t="str">
        <f>IF(XS_Designer_Bed_Mix!$J30&lt;=XS_Designer!$BN$95,XS_Designer!BJ$95,"")</f>
        <v/>
      </c>
      <c r="AY30" s="4">
        <f>IF(XS_Designer_Bed_Mix!$J30&lt;=XS_Designer!$BN$96,XS_Designer!BA$96,"")</f>
        <v>335.28000000000003</v>
      </c>
      <c r="AZ30" s="4">
        <f>IF(XS_Designer_Bed_Mix!$J30&lt;=XS_Designer!$BN$96,XS_Designer!BB$96,"")</f>
        <v>335.28000000000003</v>
      </c>
      <c r="BA30" s="4">
        <f>IF(XS_Designer_Bed_Mix!$J30&lt;=XS_Designer!$BN$96,XS_Designer!BC$96,"")</f>
        <v>335.28000000000003</v>
      </c>
      <c r="BB30" s="4">
        <f>IF(XS_Designer_Bed_Mix!$J30&lt;=XS_Designer!$BN$96,XS_Designer!BD$96,"")</f>
        <v>335.28000000000003</v>
      </c>
      <c r="BC30" s="4">
        <f>IF(XS_Designer_Bed_Mix!$J30&lt;=XS_Designer!$BN$96,XS_Designer!BE$96,"")</f>
        <v>335.28000000000003</v>
      </c>
      <c r="BD30" s="4">
        <f>IF(XS_Designer_Bed_Mix!$J30&lt;=XS_Designer!$BN$96,XS_Designer!BF$96,"")</f>
        <v>335.28000000000003</v>
      </c>
      <c r="BE30" s="4">
        <f>IF(XS_Designer_Bed_Mix!$J30&lt;=XS_Designer!$BN$96,XS_Designer!BG$96,"")</f>
        <v>335.28000000000003</v>
      </c>
      <c r="BF30" s="4">
        <f>IF(XS_Designer_Bed_Mix!$J30&lt;=XS_Designer!$BN$96,XS_Designer!BH$96,"")</f>
        <v>335.28000000000003</v>
      </c>
      <c r="BG30" s="4">
        <f>IF(XS_Designer_Bed_Mix!$J30&lt;=XS_Designer!$BN$96,XS_Designer!BI$96,"")</f>
        <v>335.28000000000003</v>
      </c>
      <c r="BH30" s="4">
        <f>IF(XS_Designer_Bed_Mix!$J30&lt;=XS_Designer!$BN$96,XS_Designer!BJ$96,"")</f>
        <v>335.28000000000003</v>
      </c>
      <c r="BI30" s="4" t="str">
        <f>IF(XS_Designer_Bed_Mix!$J30&lt;=XS_Designer!$BN$97,XS_Designer!BA$97,"")</f>
        <v/>
      </c>
      <c r="BJ30" s="4" t="str">
        <f>IF(XS_Designer_Bed_Mix!$J30&lt;=XS_Designer!$BN$97,XS_Designer!BB$97,"")</f>
        <v/>
      </c>
      <c r="BK30" s="4" t="str">
        <f>IF(XS_Designer_Bed_Mix!$J30&lt;=XS_Designer!$BN$97,XS_Designer!BC$97,"")</f>
        <v/>
      </c>
      <c r="BL30" s="4" t="str">
        <f>IF(XS_Designer_Bed_Mix!$J30&lt;=XS_Designer!$BN$97,XS_Designer!BD$97,"")</f>
        <v/>
      </c>
      <c r="BM30" s="4" t="str">
        <f>IF(XS_Designer_Bed_Mix!$J30&lt;=XS_Designer!$BN$97,XS_Designer!BE$97,"")</f>
        <v/>
      </c>
      <c r="BN30" s="4" t="str">
        <f>IF(XS_Designer_Bed_Mix!$J30&lt;=XS_Designer!$BN$97,XS_Designer!BF$97,"")</f>
        <v/>
      </c>
      <c r="BO30" s="4" t="str">
        <f>IF(XS_Designer_Bed_Mix!$J30&lt;=XS_Designer!$BN$97,XS_Designer!BG$97,"")</f>
        <v/>
      </c>
      <c r="BP30" s="4" t="str">
        <f>IF(XS_Designer_Bed_Mix!$J30&lt;=XS_Designer!$BN$97,XS_Designer!BH$97,"")</f>
        <v/>
      </c>
      <c r="BQ30" s="4" t="str">
        <f>IF(XS_Designer_Bed_Mix!$J30&lt;=XS_Designer!$BN$97,XS_Designer!BI$97,"")</f>
        <v/>
      </c>
      <c r="BR30" s="4" t="str">
        <f>IF(XS_Designer_Bed_Mix!$J30&lt;=XS_Designer!$BN$97,XS_Designer!BJ$97,"")</f>
        <v/>
      </c>
      <c r="BS30" s="4" t="str">
        <f>IF(XS_Designer_Bed_Mix!$J30&lt;=XS_Designer!$BN$98,XS_Designer!BA$98,"")</f>
        <v/>
      </c>
      <c r="BT30" s="4" t="str">
        <f>IF(XS_Designer_Bed_Mix!$J30&lt;=XS_Designer!$BN$98,XS_Designer!BB$98,"")</f>
        <v/>
      </c>
      <c r="BU30" s="4" t="str">
        <f>IF(XS_Designer_Bed_Mix!$J30&lt;=XS_Designer!$BN$98,XS_Designer!BC$98,"")</f>
        <v/>
      </c>
      <c r="BV30" s="4" t="str">
        <f>IF(XS_Designer_Bed_Mix!$J30&lt;=XS_Designer!$BN$98,XS_Designer!BD$98,"")</f>
        <v/>
      </c>
      <c r="BW30" s="4" t="str">
        <f>IF(XS_Designer_Bed_Mix!$J30&lt;=XS_Designer!$BN$98,XS_Designer!BE$98,"")</f>
        <v/>
      </c>
      <c r="BX30" s="4" t="str">
        <f>IF(XS_Designer_Bed_Mix!$J30&lt;=XS_Designer!$BN$98,XS_Designer!BF$98,"")</f>
        <v/>
      </c>
      <c r="BY30" s="4" t="str">
        <f>IF(XS_Designer_Bed_Mix!$J30&lt;=XS_Designer!$BN$98,XS_Designer!BG$98,"")</f>
        <v/>
      </c>
      <c r="BZ30" s="4" t="str">
        <f>IF(XS_Designer_Bed_Mix!$J30&lt;=XS_Designer!$BN$98,XS_Designer!BH$98,"")</f>
        <v/>
      </c>
      <c r="CA30" s="4" t="str">
        <f>IF(XS_Designer_Bed_Mix!$J30&lt;=XS_Designer!$BN$98,XS_Designer!BI$98,"")</f>
        <v/>
      </c>
      <c r="CB30" s="4" t="str">
        <f>IF(XS_Designer_Bed_Mix!$J30&lt;=XS_Designer!$BN$98,XS_Designer!BJ$98,"")</f>
        <v/>
      </c>
      <c r="CC30" s="4" t="str">
        <f>IF(XS_Designer_Bed_Mix!$J30&lt;=XS_Designer!$BN$99,XS_Designer!BA$99,"")</f>
        <v/>
      </c>
      <c r="CD30" s="4" t="str">
        <f>IF(XS_Designer_Bed_Mix!$J30&lt;=XS_Designer!$BN$99,XS_Designer!BB$99,"")</f>
        <v/>
      </c>
      <c r="CE30" s="4" t="str">
        <f>IF(XS_Designer_Bed_Mix!$J30&lt;=XS_Designer!$BN$99,XS_Designer!BC$99,"")</f>
        <v/>
      </c>
      <c r="CF30" s="4" t="str">
        <f>IF(XS_Designer_Bed_Mix!$J30&lt;=XS_Designer!$BN$99,XS_Designer!BD$99,"")</f>
        <v/>
      </c>
      <c r="CG30" s="4" t="str">
        <f>IF(XS_Designer_Bed_Mix!$J30&lt;=XS_Designer!$BN$99,XS_Designer!BE$99,"")</f>
        <v/>
      </c>
      <c r="CH30" s="4" t="str">
        <f>IF(XS_Designer_Bed_Mix!$J30&lt;=XS_Designer!$BN$99,XS_Designer!BF$99,"")</f>
        <v/>
      </c>
      <c r="CI30" s="4" t="str">
        <f>IF(XS_Designer_Bed_Mix!$J30&lt;=XS_Designer!$BN$99,XS_Designer!BG$99,"")</f>
        <v/>
      </c>
      <c r="CJ30" s="4" t="str">
        <f>IF(XS_Designer_Bed_Mix!$J30&lt;=XS_Designer!$BN$99,XS_Designer!BH$99,"")</f>
        <v/>
      </c>
      <c r="CK30" s="4" t="str">
        <f>IF(XS_Designer_Bed_Mix!$J30&lt;=XS_Designer!$BN$99,XS_Designer!BI$99,"")</f>
        <v/>
      </c>
      <c r="CL30" s="4" t="str">
        <f>IF(XS_Designer_Bed_Mix!$J30&lt;=XS_Designer!$BN$99,XS_Designer!BJ$99,"")</f>
        <v/>
      </c>
      <c r="CM30" s="4">
        <f>IF(XS_Designer_Bed_Mix!$J30&lt;=XS_Designer!$BN$100,XS_Designer!BA$100,"")</f>
        <v>64</v>
      </c>
      <c r="CN30" s="4">
        <f>IF(XS_Designer_Bed_Mix!$J30&lt;=XS_Designer!$BN$100,XS_Designer!BB$100,"")</f>
        <v>57.6</v>
      </c>
      <c r="CO30" s="4">
        <f>IF(XS_Designer_Bed_Mix!$J30&lt;=XS_Designer!$BN$100,XS_Designer!BC$100,"")</f>
        <v>51.2</v>
      </c>
      <c r="CP30" s="4">
        <f>IF(XS_Designer_Bed_Mix!$J30&lt;=XS_Designer!$BN$100,XS_Designer!BD$100,"")</f>
        <v>44.800000000000004</v>
      </c>
      <c r="CQ30" s="4">
        <f>IF(XS_Designer_Bed_Mix!$J30&lt;=XS_Designer!$BN$100,XS_Designer!BE$100,"")</f>
        <v>38.400000000000006</v>
      </c>
      <c r="CR30" s="4">
        <f>IF(XS_Designer_Bed_Mix!$J30&lt;=XS_Designer!$BN$100,XS_Designer!BF$100,"")</f>
        <v>32</v>
      </c>
      <c r="CS30" s="4">
        <f>IF(XS_Designer_Bed_Mix!$J30&lt;=XS_Designer!$BN$100,XS_Designer!BG$100,"")</f>
        <v>26</v>
      </c>
      <c r="CT30" s="4">
        <f>IF(XS_Designer_Bed_Mix!$J30&lt;=XS_Designer!$BN$100,XS_Designer!BH$100,"")</f>
        <v>20</v>
      </c>
      <c r="CU30" s="4">
        <f>IF(XS_Designer_Bed_Mix!$J30&lt;=XS_Designer!$BN$100,XS_Designer!BI$100,"")</f>
        <v>14</v>
      </c>
      <c r="CV30" s="4">
        <f>IF(XS_Designer_Bed_Mix!$J30&lt;=XS_Designer!$BN$100,XS_Designer!BJ$100,"")</f>
        <v>8</v>
      </c>
      <c r="CW30" s="4" t="str">
        <f>IF(XS_Designer_Bed_Mix!$J30&lt;=XS_Designer!$BN$101,XS_Designer!BA$101,"")</f>
        <v/>
      </c>
      <c r="CX30" s="4" t="str">
        <f>IF(XS_Designer_Bed_Mix!$J30&lt;=XS_Designer!$BN$101,XS_Designer!BB$101,"")</f>
        <v/>
      </c>
      <c r="CY30" s="4" t="str">
        <f>IF(XS_Designer_Bed_Mix!$J30&lt;=XS_Designer!$BN$101,XS_Designer!BC$101,"")</f>
        <v/>
      </c>
      <c r="CZ30" s="4" t="str">
        <f>IF(XS_Designer_Bed_Mix!$J30&lt;=XS_Designer!$BN$101,XS_Designer!BD$101,"")</f>
        <v/>
      </c>
      <c r="DA30" s="4" t="str">
        <f>IF(XS_Designer_Bed_Mix!$J30&lt;=XS_Designer!$BN$101,XS_Designer!BE$101,"")</f>
        <v/>
      </c>
      <c r="DB30" s="4" t="str">
        <f>IF(XS_Designer_Bed_Mix!$J30&lt;=XS_Designer!$BN$101,XS_Designer!BF$101,"")</f>
        <v/>
      </c>
      <c r="DC30" s="4" t="str">
        <f>IF(XS_Designer_Bed_Mix!$J30&lt;=XS_Designer!$BN$101,XS_Designer!BG$101,"")</f>
        <v/>
      </c>
      <c r="DD30" s="4" t="str">
        <f>IF(XS_Designer_Bed_Mix!$J30&lt;=XS_Designer!$BN$101,XS_Designer!BH$101,"")</f>
        <v/>
      </c>
      <c r="DE30" s="4" t="str">
        <f>IF(XS_Designer_Bed_Mix!$J30&lt;=XS_Designer!$BN$101,XS_Designer!BI$101,"")</f>
        <v/>
      </c>
      <c r="DF30" s="4" t="str">
        <f>IF(XS_Designer_Bed_Mix!$J30&lt;=XS_Designer!$BN$101,XS_Designer!BJ$101,"")</f>
        <v/>
      </c>
      <c r="DG30" s="4" t="str">
        <f>IF(XS_Designer_Bed_Mix!$J30&lt;=XS_Designer!$BN$102,XS_Designer!BA$102,"")</f>
        <v/>
      </c>
      <c r="DH30" s="4" t="str">
        <f>IF(XS_Designer_Bed_Mix!$J30&lt;=XS_Designer!$BN$102,XS_Designer!BB$102,"")</f>
        <v/>
      </c>
      <c r="DI30" s="4" t="str">
        <f>IF(XS_Designer_Bed_Mix!$J30&lt;=XS_Designer!$BN$102,XS_Designer!BC$102,"")</f>
        <v/>
      </c>
      <c r="DJ30" s="4" t="str">
        <f>IF(XS_Designer_Bed_Mix!$J30&lt;=XS_Designer!$BN$102,XS_Designer!BD$102,"")</f>
        <v/>
      </c>
      <c r="DK30" s="4" t="str">
        <f>IF(XS_Designer_Bed_Mix!$J30&lt;=XS_Designer!$BN$102,XS_Designer!BE$102,"")</f>
        <v/>
      </c>
      <c r="DL30" s="4" t="str">
        <f>IF(XS_Designer_Bed_Mix!$J30&lt;=XS_Designer!$BN$102,XS_Designer!BF$102,"")</f>
        <v/>
      </c>
      <c r="DM30" s="4" t="str">
        <f>IF(XS_Designer_Bed_Mix!$J30&lt;=XS_Designer!$BN$102,XS_Designer!BG$102,"")</f>
        <v/>
      </c>
      <c r="DN30" s="4" t="str">
        <f>IF(XS_Designer_Bed_Mix!$J30&lt;=XS_Designer!$BN$102,XS_Designer!BH$102,"")</f>
        <v/>
      </c>
      <c r="DO30" s="4" t="str">
        <f>IF(XS_Designer_Bed_Mix!$J30&lt;=XS_Designer!$BN$102,XS_Designer!BI$102,"")</f>
        <v/>
      </c>
      <c r="DP30" s="4" t="str">
        <f>IF(XS_Designer_Bed_Mix!$J30&lt;=XS_Designer!$BN$102,XS_Designer!BJ$102,"")</f>
        <v/>
      </c>
    </row>
    <row r="31" spans="10:120">
      <c r="J31" s="3">
        <v>0.3</v>
      </c>
      <c r="K31" s="4" t="str">
        <f>IF(XS_Designer_Bed_Mix!$J31&lt;=XS_Designer!$BN$92,XS_Designer!BA$92,"")</f>
        <v/>
      </c>
      <c r="L31" s="4" t="str">
        <f>IF(XS_Designer_Bed_Mix!$J31&lt;=XS_Designer!$BN$92,XS_Designer!BB$92,"")</f>
        <v/>
      </c>
      <c r="M31" s="4" t="str">
        <f>IF(XS_Designer_Bed_Mix!$J31&lt;=XS_Designer!$BN$92,XS_Designer!BC$92,"")</f>
        <v/>
      </c>
      <c r="N31" s="4" t="str">
        <f>IF(XS_Designer_Bed_Mix!$J31&lt;=XS_Designer!$BN$92,XS_Designer!BD$92,"")</f>
        <v/>
      </c>
      <c r="O31" s="4" t="str">
        <f>IF(XS_Designer_Bed_Mix!$J31&lt;=XS_Designer!$BN$92,XS_Designer!BE$92,"")</f>
        <v/>
      </c>
      <c r="P31" s="4" t="str">
        <f>IF(XS_Designer_Bed_Mix!$J31&lt;=XS_Designer!$BN$92,XS_Designer!BF$92,"")</f>
        <v/>
      </c>
      <c r="Q31" s="4" t="str">
        <f>IF(XS_Designer_Bed_Mix!$J31&lt;=XS_Designer!$BN$92,XS_Designer!BG$92,"")</f>
        <v/>
      </c>
      <c r="R31" s="4" t="str">
        <f>IF(XS_Designer_Bed_Mix!$J31&lt;=XS_Designer!$BN$92,XS_Designer!BH$92,"")</f>
        <v/>
      </c>
      <c r="S31" s="4" t="str">
        <f>IF(XS_Designer_Bed_Mix!$J31&lt;=XS_Designer!$BN$92,XS_Designer!BI$92,"")</f>
        <v/>
      </c>
      <c r="T31" s="4" t="str">
        <f>IF(XS_Designer_Bed_Mix!$J31&lt;=XS_Designer!$BN$92,XS_Designer!BJ$92,"")</f>
        <v/>
      </c>
      <c r="U31" s="4" t="str">
        <f>IF(XS_Designer_Bed_Mix!$J31&lt;=XS_Designer!$BN$93,XS_Designer!BA$93,"")</f>
        <v/>
      </c>
      <c r="V31" s="4" t="str">
        <f>IF(XS_Designer_Bed_Mix!$J31&lt;=XS_Designer!$BN$93,XS_Designer!BB$93,"")</f>
        <v/>
      </c>
      <c r="W31" s="4" t="str">
        <f>IF(XS_Designer_Bed_Mix!$J31&lt;=XS_Designer!$BN$93,XS_Designer!BC$93,"")</f>
        <v/>
      </c>
      <c r="X31" s="4" t="str">
        <f>IF(XS_Designer_Bed_Mix!$J31&lt;=XS_Designer!$BN$93,XS_Designer!BD$93,"")</f>
        <v/>
      </c>
      <c r="Y31" s="4" t="str">
        <f>IF(XS_Designer_Bed_Mix!$J31&lt;=XS_Designer!$BN$93,XS_Designer!BE$93,"")</f>
        <v/>
      </c>
      <c r="Z31" s="4" t="str">
        <f>IF(XS_Designer_Bed_Mix!$J31&lt;=XS_Designer!$BN$93,XS_Designer!BF$93,"")</f>
        <v/>
      </c>
      <c r="AA31" s="4" t="str">
        <f>IF(XS_Designer_Bed_Mix!$J31&lt;=XS_Designer!$BN$93,XS_Designer!BG$93,"")</f>
        <v/>
      </c>
      <c r="AB31" s="4" t="str">
        <f>IF(XS_Designer_Bed_Mix!$J31&lt;=XS_Designer!$BN$93,XS_Designer!BH$93,"")</f>
        <v/>
      </c>
      <c r="AC31" s="4" t="str">
        <f>IF(XS_Designer_Bed_Mix!$J31&lt;=XS_Designer!$BN$93,XS_Designer!BI$93,"")</f>
        <v/>
      </c>
      <c r="AD31" s="4" t="str">
        <f>IF(XS_Designer_Bed_Mix!$J31&lt;=XS_Designer!$BN$93,XS_Designer!BJ$93,"")</f>
        <v/>
      </c>
      <c r="AE31" s="4" t="str">
        <f>IF(XS_Designer_Bed_Mix!$J31&lt;=XS_Designer!$BN$94,XS_Designer!BA$94,"")</f>
        <v/>
      </c>
      <c r="AF31" s="4" t="str">
        <f>IF(XS_Designer_Bed_Mix!$J31&lt;=XS_Designer!$BN$94,XS_Designer!BB$94,"")</f>
        <v/>
      </c>
      <c r="AG31" s="4" t="str">
        <f>IF(XS_Designer_Bed_Mix!$J31&lt;=XS_Designer!$BN$94,XS_Designer!BC$94,"")</f>
        <v/>
      </c>
      <c r="AH31" s="4" t="str">
        <f>IF(XS_Designer_Bed_Mix!$J31&lt;=XS_Designer!$BN$94,XS_Designer!BD$94,"")</f>
        <v/>
      </c>
      <c r="AI31" s="4" t="str">
        <f>IF(XS_Designer_Bed_Mix!$J31&lt;=XS_Designer!$BN$94,XS_Designer!BE$94,"")</f>
        <v/>
      </c>
      <c r="AJ31" s="4" t="str">
        <f>IF(XS_Designer_Bed_Mix!$J31&lt;=XS_Designer!$BN$94,XS_Designer!BF$94,"")</f>
        <v/>
      </c>
      <c r="AK31" s="4" t="str">
        <f>IF(XS_Designer_Bed_Mix!$J31&lt;=XS_Designer!$BN$94,XS_Designer!BG$94,"")</f>
        <v/>
      </c>
      <c r="AL31" s="4" t="str">
        <f>IF(XS_Designer_Bed_Mix!$J31&lt;=XS_Designer!$BN$94,XS_Designer!BH$94,"")</f>
        <v/>
      </c>
      <c r="AM31" s="4" t="str">
        <f>IF(XS_Designer_Bed_Mix!$J31&lt;=XS_Designer!$BN$94,XS_Designer!BI$94,"")</f>
        <v/>
      </c>
      <c r="AN31" s="4" t="str">
        <f>IF(XS_Designer_Bed_Mix!$J31&lt;=XS_Designer!$BN$94,XS_Designer!BJ$94,"")</f>
        <v/>
      </c>
      <c r="AO31" s="4" t="str">
        <f>IF(XS_Designer_Bed_Mix!$J31&lt;=XS_Designer!$BN$95,XS_Designer!BA$95,"")</f>
        <v/>
      </c>
      <c r="AP31" s="4" t="str">
        <f>IF(XS_Designer_Bed_Mix!$J31&lt;=XS_Designer!$BN$95,XS_Designer!BB$95,"")</f>
        <v/>
      </c>
      <c r="AQ31" s="4" t="str">
        <f>IF(XS_Designer_Bed_Mix!$J31&lt;=XS_Designer!$BN$95,XS_Designer!BC$95,"")</f>
        <v/>
      </c>
      <c r="AR31" s="4" t="str">
        <f>IF(XS_Designer_Bed_Mix!$J31&lt;=XS_Designer!$BN$95,XS_Designer!BD$95,"")</f>
        <v/>
      </c>
      <c r="AS31" s="4" t="str">
        <f>IF(XS_Designer_Bed_Mix!$J31&lt;=XS_Designer!$BN$95,XS_Designer!BE$95,"")</f>
        <v/>
      </c>
      <c r="AT31" s="4" t="str">
        <f>IF(XS_Designer_Bed_Mix!$J31&lt;=XS_Designer!$BN$95,XS_Designer!BF$95,"")</f>
        <v/>
      </c>
      <c r="AU31" s="4" t="str">
        <f>IF(XS_Designer_Bed_Mix!$J31&lt;=XS_Designer!$BN$95,XS_Designer!BG$95,"")</f>
        <v/>
      </c>
      <c r="AV31" s="4" t="str">
        <f>IF(XS_Designer_Bed_Mix!$J31&lt;=XS_Designer!$BN$95,XS_Designer!BH$95,"")</f>
        <v/>
      </c>
      <c r="AW31" s="4" t="str">
        <f>IF(XS_Designer_Bed_Mix!$J31&lt;=XS_Designer!$BN$95,XS_Designer!BI$95,"")</f>
        <v/>
      </c>
      <c r="AX31" s="4" t="str">
        <f>IF(XS_Designer_Bed_Mix!$J31&lt;=XS_Designer!$BN$95,XS_Designer!BJ$95,"")</f>
        <v/>
      </c>
      <c r="AY31" s="4">
        <f>IF(XS_Designer_Bed_Mix!$J31&lt;=XS_Designer!$BN$96,XS_Designer!BA$96,"")</f>
        <v>335.28000000000003</v>
      </c>
      <c r="AZ31" s="4">
        <f>IF(XS_Designer_Bed_Mix!$J31&lt;=XS_Designer!$BN$96,XS_Designer!BB$96,"")</f>
        <v>335.28000000000003</v>
      </c>
      <c r="BA31" s="4">
        <f>IF(XS_Designer_Bed_Mix!$J31&lt;=XS_Designer!$BN$96,XS_Designer!BC$96,"")</f>
        <v>335.28000000000003</v>
      </c>
      <c r="BB31" s="4">
        <f>IF(XS_Designer_Bed_Mix!$J31&lt;=XS_Designer!$BN$96,XS_Designer!BD$96,"")</f>
        <v>335.28000000000003</v>
      </c>
      <c r="BC31" s="4">
        <f>IF(XS_Designer_Bed_Mix!$J31&lt;=XS_Designer!$BN$96,XS_Designer!BE$96,"")</f>
        <v>335.28000000000003</v>
      </c>
      <c r="BD31" s="4">
        <f>IF(XS_Designer_Bed_Mix!$J31&lt;=XS_Designer!$BN$96,XS_Designer!BF$96,"")</f>
        <v>335.28000000000003</v>
      </c>
      <c r="BE31" s="4">
        <f>IF(XS_Designer_Bed_Mix!$J31&lt;=XS_Designer!$BN$96,XS_Designer!BG$96,"")</f>
        <v>335.28000000000003</v>
      </c>
      <c r="BF31" s="4">
        <f>IF(XS_Designer_Bed_Mix!$J31&lt;=XS_Designer!$BN$96,XS_Designer!BH$96,"")</f>
        <v>335.28000000000003</v>
      </c>
      <c r="BG31" s="4">
        <f>IF(XS_Designer_Bed_Mix!$J31&lt;=XS_Designer!$BN$96,XS_Designer!BI$96,"")</f>
        <v>335.28000000000003</v>
      </c>
      <c r="BH31" s="4">
        <f>IF(XS_Designer_Bed_Mix!$J31&lt;=XS_Designer!$BN$96,XS_Designer!BJ$96,"")</f>
        <v>335.28000000000003</v>
      </c>
      <c r="BI31" s="4" t="str">
        <f>IF(XS_Designer_Bed_Mix!$J31&lt;=XS_Designer!$BN$97,XS_Designer!BA$97,"")</f>
        <v/>
      </c>
      <c r="BJ31" s="4" t="str">
        <f>IF(XS_Designer_Bed_Mix!$J31&lt;=XS_Designer!$BN$97,XS_Designer!BB$97,"")</f>
        <v/>
      </c>
      <c r="BK31" s="4" t="str">
        <f>IF(XS_Designer_Bed_Mix!$J31&lt;=XS_Designer!$BN$97,XS_Designer!BC$97,"")</f>
        <v/>
      </c>
      <c r="BL31" s="4" t="str">
        <f>IF(XS_Designer_Bed_Mix!$J31&lt;=XS_Designer!$BN$97,XS_Designer!BD$97,"")</f>
        <v/>
      </c>
      <c r="BM31" s="4" t="str">
        <f>IF(XS_Designer_Bed_Mix!$J31&lt;=XS_Designer!$BN$97,XS_Designer!BE$97,"")</f>
        <v/>
      </c>
      <c r="BN31" s="4" t="str">
        <f>IF(XS_Designer_Bed_Mix!$J31&lt;=XS_Designer!$BN$97,XS_Designer!BF$97,"")</f>
        <v/>
      </c>
      <c r="BO31" s="4" t="str">
        <f>IF(XS_Designer_Bed_Mix!$J31&lt;=XS_Designer!$BN$97,XS_Designer!BG$97,"")</f>
        <v/>
      </c>
      <c r="BP31" s="4" t="str">
        <f>IF(XS_Designer_Bed_Mix!$J31&lt;=XS_Designer!$BN$97,XS_Designer!BH$97,"")</f>
        <v/>
      </c>
      <c r="BQ31" s="4" t="str">
        <f>IF(XS_Designer_Bed_Mix!$J31&lt;=XS_Designer!$BN$97,XS_Designer!BI$97,"")</f>
        <v/>
      </c>
      <c r="BR31" s="4" t="str">
        <f>IF(XS_Designer_Bed_Mix!$J31&lt;=XS_Designer!$BN$97,XS_Designer!BJ$97,"")</f>
        <v/>
      </c>
      <c r="BS31" s="4" t="str">
        <f>IF(XS_Designer_Bed_Mix!$J31&lt;=XS_Designer!$BN$98,XS_Designer!BA$98,"")</f>
        <v/>
      </c>
      <c r="BT31" s="4" t="str">
        <f>IF(XS_Designer_Bed_Mix!$J31&lt;=XS_Designer!$BN$98,XS_Designer!BB$98,"")</f>
        <v/>
      </c>
      <c r="BU31" s="4" t="str">
        <f>IF(XS_Designer_Bed_Mix!$J31&lt;=XS_Designer!$BN$98,XS_Designer!BC$98,"")</f>
        <v/>
      </c>
      <c r="BV31" s="4" t="str">
        <f>IF(XS_Designer_Bed_Mix!$J31&lt;=XS_Designer!$BN$98,XS_Designer!BD$98,"")</f>
        <v/>
      </c>
      <c r="BW31" s="4" t="str">
        <f>IF(XS_Designer_Bed_Mix!$J31&lt;=XS_Designer!$BN$98,XS_Designer!BE$98,"")</f>
        <v/>
      </c>
      <c r="BX31" s="4" t="str">
        <f>IF(XS_Designer_Bed_Mix!$J31&lt;=XS_Designer!$BN$98,XS_Designer!BF$98,"")</f>
        <v/>
      </c>
      <c r="BY31" s="4" t="str">
        <f>IF(XS_Designer_Bed_Mix!$J31&lt;=XS_Designer!$BN$98,XS_Designer!BG$98,"")</f>
        <v/>
      </c>
      <c r="BZ31" s="4" t="str">
        <f>IF(XS_Designer_Bed_Mix!$J31&lt;=XS_Designer!$BN$98,XS_Designer!BH$98,"")</f>
        <v/>
      </c>
      <c r="CA31" s="4" t="str">
        <f>IF(XS_Designer_Bed_Mix!$J31&lt;=XS_Designer!$BN$98,XS_Designer!BI$98,"")</f>
        <v/>
      </c>
      <c r="CB31" s="4" t="str">
        <f>IF(XS_Designer_Bed_Mix!$J31&lt;=XS_Designer!$BN$98,XS_Designer!BJ$98,"")</f>
        <v/>
      </c>
      <c r="CC31" s="4" t="str">
        <f>IF(XS_Designer_Bed_Mix!$J31&lt;=XS_Designer!$BN$99,XS_Designer!BA$99,"")</f>
        <v/>
      </c>
      <c r="CD31" s="4" t="str">
        <f>IF(XS_Designer_Bed_Mix!$J31&lt;=XS_Designer!$BN$99,XS_Designer!BB$99,"")</f>
        <v/>
      </c>
      <c r="CE31" s="4" t="str">
        <f>IF(XS_Designer_Bed_Mix!$J31&lt;=XS_Designer!$BN$99,XS_Designer!BC$99,"")</f>
        <v/>
      </c>
      <c r="CF31" s="4" t="str">
        <f>IF(XS_Designer_Bed_Mix!$J31&lt;=XS_Designer!$BN$99,XS_Designer!BD$99,"")</f>
        <v/>
      </c>
      <c r="CG31" s="4" t="str">
        <f>IF(XS_Designer_Bed_Mix!$J31&lt;=XS_Designer!$BN$99,XS_Designer!BE$99,"")</f>
        <v/>
      </c>
      <c r="CH31" s="4" t="str">
        <f>IF(XS_Designer_Bed_Mix!$J31&lt;=XS_Designer!$BN$99,XS_Designer!BF$99,"")</f>
        <v/>
      </c>
      <c r="CI31" s="4" t="str">
        <f>IF(XS_Designer_Bed_Mix!$J31&lt;=XS_Designer!$BN$99,XS_Designer!BG$99,"")</f>
        <v/>
      </c>
      <c r="CJ31" s="4" t="str">
        <f>IF(XS_Designer_Bed_Mix!$J31&lt;=XS_Designer!$BN$99,XS_Designer!BH$99,"")</f>
        <v/>
      </c>
      <c r="CK31" s="4" t="str">
        <f>IF(XS_Designer_Bed_Mix!$J31&lt;=XS_Designer!$BN$99,XS_Designer!BI$99,"")</f>
        <v/>
      </c>
      <c r="CL31" s="4" t="str">
        <f>IF(XS_Designer_Bed_Mix!$J31&lt;=XS_Designer!$BN$99,XS_Designer!BJ$99,"")</f>
        <v/>
      </c>
      <c r="CM31" s="4">
        <f>IF(XS_Designer_Bed_Mix!$J31&lt;=XS_Designer!$BN$100,XS_Designer!BA$100,"")</f>
        <v>64</v>
      </c>
      <c r="CN31" s="4">
        <f>IF(XS_Designer_Bed_Mix!$J31&lt;=XS_Designer!$BN$100,XS_Designer!BB$100,"")</f>
        <v>57.6</v>
      </c>
      <c r="CO31" s="4">
        <f>IF(XS_Designer_Bed_Mix!$J31&lt;=XS_Designer!$BN$100,XS_Designer!BC$100,"")</f>
        <v>51.2</v>
      </c>
      <c r="CP31" s="4">
        <f>IF(XS_Designer_Bed_Mix!$J31&lt;=XS_Designer!$BN$100,XS_Designer!BD$100,"")</f>
        <v>44.800000000000004</v>
      </c>
      <c r="CQ31" s="4">
        <f>IF(XS_Designer_Bed_Mix!$J31&lt;=XS_Designer!$BN$100,XS_Designer!BE$100,"")</f>
        <v>38.400000000000006</v>
      </c>
      <c r="CR31" s="4">
        <f>IF(XS_Designer_Bed_Mix!$J31&lt;=XS_Designer!$BN$100,XS_Designer!BF$100,"")</f>
        <v>32</v>
      </c>
      <c r="CS31" s="4">
        <f>IF(XS_Designer_Bed_Mix!$J31&lt;=XS_Designer!$BN$100,XS_Designer!BG$100,"")</f>
        <v>26</v>
      </c>
      <c r="CT31" s="4">
        <f>IF(XS_Designer_Bed_Mix!$J31&lt;=XS_Designer!$BN$100,XS_Designer!BH$100,"")</f>
        <v>20</v>
      </c>
      <c r="CU31" s="4">
        <f>IF(XS_Designer_Bed_Mix!$J31&lt;=XS_Designer!$BN$100,XS_Designer!BI$100,"")</f>
        <v>14</v>
      </c>
      <c r="CV31" s="4">
        <f>IF(XS_Designer_Bed_Mix!$J31&lt;=XS_Designer!$BN$100,XS_Designer!BJ$100,"")</f>
        <v>8</v>
      </c>
      <c r="CW31" s="4" t="str">
        <f>IF(XS_Designer_Bed_Mix!$J31&lt;=XS_Designer!$BN$101,XS_Designer!BA$101,"")</f>
        <v/>
      </c>
      <c r="CX31" s="4" t="str">
        <f>IF(XS_Designer_Bed_Mix!$J31&lt;=XS_Designer!$BN$101,XS_Designer!BB$101,"")</f>
        <v/>
      </c>
      <c r="CY31" s="4" t="str">
        <f>IF(XS_Designer_Bed_Mix!$J31&lt;=XS_Designer!$BN$101,XS_Designer!BC$101,"")</f>
        <v/>
      </c>
      <c r="CZ31" s="4" t="str">
        <f>IF(XS_Designer_Bed_Mix!$J31&lt;=XS_Designer!$BN$101,XS_Designer!BD$101,"")</f>
        <v/>
      </c>
      <c r="DA31" s="4" t="str">
        <f>IF(XS_Designer_Bed_Mix!$J31&lt;=XS_Designer!$BN$101,XS_Designer!BE$101,"")</f>
        <v/>
      </c>
      <c r="DB31" s="4" t="str">
        <f>IF(XS_Designer_Bed_Mix!$J31&lt;=XS_Designer!$BN$101,XS_Designer!BF$101,"")</f>
        <v/>
      </c>
      <c r="DC31" s="4" t="str">
        <f>IF(XS_Designer_Bed_Mix!$J31&lt;=XS_Designer!$BN$101,XS_Designer!BG$101,"")</f>
        <v/>
      </c>
      <c r="DD31" s="4" t="str">
        <f>IF(XS_Designer_Bed_Mix!$J31&lt;=XS_Designer!$BN$101,XS_Designer!BH$101,"")</f>
        <v/>
      </c>
      <c r="DE31" s="4" t="str">
        <f>IF(XS_Designer_Bed_Mix!$J31&lt;=XS_Designer!$BN$101,XS_Designer!BI$101,"")</f>
        <v/>
      </c>
      <c r="DF31" s="4" t="str">
        <f>IF(XS_Designer_Bed_Mix!$J31&lt;=XS_Designer!$BN$101,XS_Designer!BJ$101,"")</f>
        <v/>
      </c>
      <c r="DG31" s="4" t="str">
        <f>IF(XS_Designer_Bed_Mix!$J31&lt;=XS_Designer!$BN$102,XS_Designer!BA$102,"")</f>
        <v/>
      </c>
      <c r="DH31" s="4" t="str">
        <f>IF(XS_Designer_Bed_Mix!$J31&lt;=XS_Designer!$BN$102,XS_Designer!BB$102,"")</f>
        <v/>
      </c>
      <c r="DI31" s="4" t="str">
        <f>IF(XS_Designer_Bed_Mix!$J31&lt;=XS_Designer!$BN$102,XS_Designer!BC$102,"")</f>
        <v/>
      </c>
      <c r="DJ31" s="4" t="str">
        <f>IF(XS_Designer_Bed_Mix!$J31&lt;=XS_Designer!$BN$102,XS_Designer!BD$102,"")</f>
        <v/>
      </c>
      <c r="DK31" s="4" t="str">
        <f>IF(XS_Designer_Bed_Mix!$J31&lt;=XS_Designer!$BN$102,XS_Designer!BE$102,"")</f>
        <v/>
      </c>
      <c r="DL31" s="4" t="str">
        <f>IF(XS_Designer_Bed_Mix!$J31&lt;=XS_Designer!$BN$102,XS_Designer!BF$102,"")</f>
        <v/>
      </c>
      <c r="DM31" s="4" t="str">
        <f>IF(XS_Designer_Bed_Mix!$J31&lt;=XS_Designer!$BN$102,XS_Designer!BG$102,"")</f>
        <v/>
      </c>
      <c r="DN31" s="4" t="str">
        <f>IF(XS_Designer_Bed_Mix!$J31&lt;=XS_Designer!$BN$102,XS_Designer!BH$102,"")</f>
        <v/>
      </c>
      <c r="DO31" s="4" t="str">
        <f>IF(XS_Designer_Bed_Mix!$J31&lt;=XS_Designer!$BN$102,XS_Designer!BI$102,"")</f>
        <v/>
      </c>
      <c r="DP31" s="4" t="str">
        <f>IF(XS_Designer_Bed_Mix!$J31&lt;=XS_Designer!$BN$102,XS_Designer!BJ$102,"")</f>
        <v/>
      </c>
    </row>
    <row r="32" spans="10:120">
      <c r="J32" s="3">
        <v>0.31</v>
      </c>
      <c r="K32" s="4" t="str">
        <f>IF(XS_Designer_Bed_Mix!$J32&lt;=XS_Designer!$BN$92,XS_Designer!BA$92,"")</f>
        <v/>
      </c>
      <c r="L32" s="4" t="str">
        <f>IF(XS_Designer_Bed_Mix!$J32&lt;=XS_Designer!$BN$92,XS_Designer!BB$92,"")</f>
        <v/>
      </c>
      <c r="M32" s="4" t="str">
        <f>IF(XS_Designer_Bed_Mix!$J32&lt;=XS_Designer!$BN$92,XS_Designer!BC$92,"")</f>
        <v/>
      </c>
      <c r="N32" s="4" t="str">
        <f>IF(XS_Designer_Bed_Mix!$J32&lt;=XS_Designer!$BN$92,XS_Designer!BD$92,"")</f>
        <v/>
      </c>
      <c r="O32" s="4" t="str">
        <f>IF(XS_Designer_Bed_Mix!$J32&lt;=XS_Designer!$BN$92,XS_Designer!BE$92,"")</f>
        <v/>
      </c>
      <c r="P32" s="4" t="str">
        <f>IF(XS_Designer_Bed_Mix!$J32&lt;=XS_Designer!$BN$92,XS_Designer!BF$92,"")</f>
        <v/>
      </c>
      <c r="Q32" s="4" t="str">
        <f>IF(XS_Designer_Bed_Mix!$J32&lt;=XS_Designer!$BN$92,XS_Designer!BG$92,"")</f>
        <v/>
      </c>
      <c r="R32" s="4" t="str">
        <f>IF(XS_Designer_Bed_Mix!$J32&lt;=XS_Designer!$BN$92,XS_Designer!BH$92,"")</f>
        <v/>
      </c>
      <c r="S32" s="4" t="str">
        <f>IF(XS_Designer_Bed_Mix!$J32&lt;=XS_Designer!$BN$92,XS_Designer!BI$92,"")</f>
        <v/>
      </c>
      <c r="T32" s="4" t="str">
        <f>IF(XS_Designer_Bed_Mix!$J32&lt;=XS_Designer!$BN$92,XS_Designer!BJ$92,"")</f>
        <v/>
      </c>
      <c r="U32" s="4" t="str">
        <f>IF(XS_Designer_Bed_Mix!$J32&lt;=XS_Designer!$BN$93,XS_Designer!BA$93,"")</f>
        <v/>
      </c>
      <c r="V32" s="4" t="str">
        <f>IF(XS_Designer_Bed_Mix!$J32&lt;=XS_Designer!$BN$93,XS_Designer!BB$93,"")</f>
        <v/>
      </c>
      <c r="W32" s="4" t="str">
        <f>IF(XS_Designer_Bed_Mix!$J32&lt;=XS_Designer!$BN$93,XS_Designer!BC$93,"")</f>
        <v/>
      </c>
      <c r="X32" s="4" t="str">
        <f>IF(XS_Designer_Bed_Mix!$J32&lt;=XS_Designer!$BN$93,XS_Designer!BD$93,"")</f>
        <v/>
      </c>
      <c r="Y32" s="4" t="str">
        <f>IF(XS_Designer_Bed_Mix!$J32&lt;=XS_Designer!$BN$93,XS_Designer!BE$93,"")</f>
        <v/>
      </c>
      <c r="Z32" s="4" t="str">
        <f>IF(XS_Designer_Bed_Mix!$J32&lt;=XS_Designer!$BN$93,XS_Designer!BF$93,"")</f>
        <v/>
      </c>
      <c r="AA32" s="4" t="str">
        <f>IF(XS_Designer_Bed_Mix!$J32&lt;=XS_Designer!$BN$93,XS_Designer!BG$93,"")</f>
        <v/>
      </c>
      <c r="AB32" s="4" t="str">
        <f>IF(XS_Designer_Bed_Mix!$J32&lt;=XS_Designer!$BN$93,XS_Designer!BH$93,"")</f>
        <v/>
      </c>
      <c r="AC32" s="4" t="str">
        <f>IF(XS_Designer_Bed_Mix!$J32&lt;=XS_Designer!$BN$93,XS_Designer!BI$93,"")</f>
        <v/>
      </c>
      <c r="AD32" s="4" t="str">
        <f>IF(XS_Designer_Bed_Mix!$J32&lt;=XS_Designer!$BN$93,XS_Designer!BJ$93,"")</f>
        <v/>
      </c>
      <c r="AE32" s="4" t="str">
        <f>IF(XS_Designer_Bed_Mix!$J32&lt;=XS_Designer!$BN$94,XS_Designer!BA$94,"")</f>
        <v/>
      </c>
      <c r="AF32" s="4" t="str">
        <f>IF(XS_Designer_Bed_Mix!$J32&lt;=XS_Designer!$BN$94,XS_Designer!BB$94,"")</f>
        <v/>
      </c>
      <c r="AG32" s="4" t="str">
        <f>IF(XS_Designer_Bed_Mix!$J32&lt;=XS_Designer!$BN$94,XS_Designer!BC$94,"")</f>
        <v/>
      </c>
      <c r="AH32" s="4" t="str">
        <f>IF(XS_Designer_Bed_Mix!$J32&lt;=XS_Designer!$BN$94,XS_Designer!BD$94,"")</f>
        <v/>
      </c>
      <c r="AI32" s="4" t="str">
        <f>IF(XS_Designer_Bed_Mix!$J32&lt;=XS_Designer!$BN$94,XS_Designer!BE$94,"")</f>
        <v/>
      </c>
      <c r="AJ32" s="4" t="str">
        <f>IF(XS_Designer_Bed_Mix!$J32&lt;=XS_Designer!$BN$94,XS_Designer!BF$94,"")</f>
        <v/>
      </c>
      <c r="AK32" s="4" t="str">
        <f>IF(XS_Designer_Bed_Mix!$J32&lt;=XS_Designer!$BN$94,XS_Designer!BG$94,"")</f>
        <v/>
      </c>
      <c r="AL32" s="4" t="str">
        <f>IF(XS_Designer_Bed_Mix!$J32&lt;=XS_Designer!$BN$94,XS_Designer!BH$94,"")</f>
        <v/>
      </c>
      <c r="AM32" s="4" t="str">
        <f>IF(XS_Designer_Bed_Mix!$J32&lt;=XS_Designer!$BN$94,XS_Designer!BI$94,"")</f>
        <v/>
      </c>
      <c r="AN32" s="4" t="str">
        <f>IF(XS_Designer_Bed_Mix!$J32&lt;=XS_Designer!$BN$94,XS_Designer!BJ$94,"")</f>
        <v/>
      </c>
      <c r="AO32" s="4" t="str">
        <f>IF(XS_Designer_Bed_Mix!$J32&lt;=XS_Designer!$BN$95,XS_Designer!BA$95,"")</f>
        <v/>
      </c>
      <c r="AP32" s="4" t="str">
        <f>IF(XS_Designer_Bed_Mix!$J32&lt;=XS_Designer!$BN$95,XS_Designer!BB$95,"")</f>
        <v/>
      </c>
      <c r="AQ32" s="4" t="str">
        <f>IF(XS_Designer_Bed_Mix!$J32&lt;=XS_Designer!$BN$95,XS_Designer!BC$95,"")</f>
        <v/>
      </c>
      <c r="AR32" s="4" t="str">
        <f>IF(XS_Designer_Bed_Mix!$J32&lt;=XS_Designer!$BN$95,XS_Designer!BD$95,"")</f>
        <v/>
      </c>
      <c r="AS32" s="4" t="str">
        <f>IF(XS_Designer_Bed_Mix!$J32&lt;=XS_Designer!$BN$95,XS_Designer!BE$95,"")</f>
        <v/>
      </c>
      <c r="AT32" s="4" t="str">
        <f>IF(XS_Designer_Bed_Mix!$J32&lt;=XS_Designer!$BN$95,XS_Designer!BF$95,"")</f>
        <v/>
      </c>
      <c r="AU32" s="4" t="str">
        <f>IF(XS_Designer_Bed_Mix!$J32&lt;=XS_Designer!$BN$95,XS_Designer!BG$95,"")</f>
        <v/>
      </c>
      <c r="AV32" s="4" t="str">
        <f>IF(XS_Designer_Bed_Mix!$J32&lt;=XS_Designer!$BN$95,XS_Designer!BH$95,"")</f>
        <v/>
      </c>
      <c r="AW32" s="4" t="str">
        <f>IF(XS_Designer_Bed_Mix!$J32&lt;=XS_Designer!$BN$95,XS_Designer!BI$95,"")</f>
        <v/>
      </c>
      <c r="AX32" s="4" t="str">
        <f>IF(XS_Designer_Bed_Mix!$J32&lt;=XS_Designer!$BN$95,XS_Designer!BJ$95,"")</f>
        <v/>
      </c>
      <c r="AY32" s="4">
        <f>IF(XS_Designer_Bed_Mix!$J32&lt;=XS_Designer!$BN$96,XS_Designer!BA$96,"")</f>
        <v>335.28000000000003</v>
      </c>
      <c r="AZ32" s="4">
        <f>IF(XS_Designer_Bed_Mix!$J32&lt;=XS_Designer!$BN$96,XS_Designer!BB$96,"")</f>
        <v>335.28000000000003</v>
      </c>
      <c r="BA32" s="4">
        <f>IF(XS_Designer_Bed_Mix!$J32&lt;=XS_Designer!$BN$96,XS_Designer!BC$96,"")</f>
        <v>335.28000000000003</v>
      </c>
      <c r="BB32" s="4">
        <f>IF(XS_Designer_Bed_Mix!$J32&lt;=XS_Designer!$BN$96,XS_Designer!BD$96,"")</f>
        <v>335.28000000000003</v>
      </c>
      <c r="BC32" s="4">
        <f>IF(XS_Designer_Bed_Mix!$J32&lt;=XS_Designer!$BN$96,XS_Designer!BE$96,"")</f>
        <v>335.28000000000003</v>
      </c>
      <c r="BD32" s="4">
        <f>IF(XS_Designer_Bed_Mix!$J32&lt;=XS_Designer!$BN$96,XS_Designer!BF$96,"")</f>
        <v>335.28000000000003</v>
      </c>
      <c r="BE32" s="4">
        <f>IF(XS_Designer_Bed_Mix!$J32&lt;=XS_Designer!$BN$96,XS_Designer!BG$96,"")</f>
        <v>335.28000000000003</v>
      </c>
      <c r="BF32" s="4">
        <f>IF(XS_Designer_Bed_Mix!$J32&lt;=XS_Designer!$BN$96,XS_Designer!BH$96,"")</f>
        <v>335.28000000000003</v>
      </c>
      <c r="BG32" s="4">
        <f>IF(XS_Designer_Bed_Mix!$J32&lt;=XS_Designer!$BN$96,XS_Designer!BI$96,"")</f>
        <v>335.28000000000003</v>
      </c>
      <c r="BH32" s="4">
        <f>IF(XS_Designer_Bed_Mix!$J32&lt;=XS_Designer!$BN$96,XS_Designer!BJ$96,"")</f>
        <v>335.28000000000003</v>
      </c>
      <c r="BI32" s="4" t="str">
        <f>IF(XS_Designer_Bed_Mix!$J32&lt;=XS_Designer!$BN$97,XS_Designer!BA$97,"")</f>
        <v/>
      </c>
      <c r="BJ32" s="4" t="str">
        <f>IF(XS_Designer_Bed_Mix!$J32&lt;=XS_Designer!$BN$97,XS_Designer!BB$97,"")</f>
        <v/>
      </c>
      <c r="BK32" s="4" t="str">
        <f>IF(XS_Designer_Bed_Mix!$J32&lt;=XS_Designer!$BN$97,XS_Designer!BC$97,"")</f>
        <v/>
      </c>
      <c r="BL32" s="4" t="str">
        <f>IF(XS_Designer_Bed_Mix!$J32&lt;=XS_Designer!$BN$97,XS_Designer!BD$97,"")</f>
        <v/>
      </c>
      <c r="BM32" s="4" t="str">
        <f>IF(XS_Designer_Bed_Mix!$J32&lt;=XS_Designer!$BN$97,XS_Designer!BE$97,"")</f>
        <v/>
      </c>
      <c r="BN32" s="4" t="str">
        <f>IF(XS_Designer_Bed_Mix!$J32&lt;=XS_Designer!$BN$97,XS_Designer!BF$97,"")</f>
        <v/>
      </c>
      <c r="BO32" s="4" t="str">
        <f>IF(XS_Designer_Bed_Mix!$J32&lt;=XS_Designer!$BN$97,XS_Designer!BG$97,"")</f>
        <v/>
      </c>
      <c r="BP32" s="4" t="str">
        <f>IF(XS_Designer_Bed_Mix!$J32&lt;=XS_Designer!$BN$97,XS_Designer!BH$97,"")</f>
        <v/>
      </c>
      <c r="BQ32" s="4" t="str">
        <f>IF(XS_Designer_Bed_Mix!$J32&lt;=XS_Designer!$BN$97,XS_Designer!BI$97,"")</f>
        <v/>
      </c>
      <c r="BR32" s="4" t="str">
        <f>IF(XS_Designer_Bed_Mix!$J32&lt;=XS_Designer!$BN$97,XS_Designer!BJ$97,"")</f>
        <v/>
      </c>
      <c r="BS32" s="4" t="str">
        <f>IF(XS_Designer_Bed_Mix!$J32&lt;=XS_Designer!$BN$98,XS_Designer!BA$98,"")</f>
        <v/>
      </c>
      <c r="BT32" s="4" t="str">
        <f>IF(XS_Designer_Bed_Mix!$J32&lt;=XS_Designer!$BN$98,XS_Designer!BB$98,"")</f>
        <v/>
      </c>
      <c r="BU32" s="4" t="str">
        <f>IF(XS_Designer_Bed_Mix!$J32&lt;=XS_Designer!$BN$98,XS_Designer!BC$98,"")</f>
        <v/>
      </c>
      <c r="BV32" s="4" t="str">
        <f>IF(XS_Designer_Bed_Mix!$J32&lt;=XS_Designer!$BN$98,XS_Designer!BD$98,"")</f>
        <v/>
      </c>
      <c r="BW32" s="4" t="str">
        <f>IF(XS_Designer_Bed_Mix!$J32&lt;=XS_Designer!$BN$98,XS_Designer!BE$98,"")</f>
        <v/>
      </c>
      <c r="BX32" s="4" t="str">
        <f>IF(XS_Designer_Bed_Mix!$J32&lt;=XS_Designer!$BN$98,XS_Designer!BF$98,"")</f>
        <v/>
      </c>
      <c r="BY32" s="4" t="str">
        <f>IF(XS_Designer_Bed_Mix!$J32&lt;=XS_Designer!$BN$98,XS_Designer!BG$98,"")</f>
        <v/>
      </c>
      <c r="BZ32" s="4" t="str">
        <f>IF(XS_Designer_Bed_Mix!$J32&lt;=XS_Designer!$BN$98,XS_Designer!BH$98,"")</f>
        <v/>
      </c>
      <c r="CA32" s="4" t="str">
        <f>IF(XS_Designer_Bed_Mix!$J32&lt;=XS_Designer!$BN$98,XS_Designer!BI$98,"")</f>
        <v/>
      </c>
      <c r="CB32" s="4" t="str">
        <f>IF(XS_Designer_Bed_Mix!$J32&lt;=XS_Designer!$BN$98,XS_Designer!BJ$98,"")</f>
        <v/>
      </c>
      <c r="CC32" s="4" t="str">
        <f>IF(XS_Designer_Bed_Mix!$J32&lt;=XS_Designer!$BN$99,XS_Designer!BA$99,"")</f>
        <v/>
      </c>
      <c r="CD32" s="4" t="str">
        <f>IF(XS_Designer_Bed_Mix!$J32&lt;=XS_Designer!$BN$99,XS_Designer!BB$99,"")</f>
        <v/>
      </c>
      <c r="CE32" s="4" t="str">
        <f>IF(XS_Designer_Bed_Mix!$J32&lt;=XS_Designer!$BN$99,XS_Designer!BC$99,"")</f>
        <v/>
      </c>
      <c r="CF32" s="4" t="str">
        <f>IF(XS_Designer_Bed_Mix!$J32&lt;=XS_Designer!$BN$99,XS_Designer!BD$99,"")</f>
        <v/>
      </c>
      <c r="CG32" s="4" t="str">
        <f>IF(XS_Designer_Bed_Mix!$J32&lt;=XS_Designer!$BN$99,XS_Designer!BE$99,"")</f>
        <v/>
      </c>
      <c r="CH32" s="4" t="str">
        <f>IF(XS_Designer_Bed_Mix!$J32&lt;=XS_Designer!$BN$99,XS_Designer!BF$99,"")</f>
        <v/>
      </c>
      <c r="CI32" s="4" t="str">
        <f>IF(XS_Designer_Bed_Mix!$J32&lt;=XS_Designer!$BN$99,XS_Designer!BG$99,"")</f>
        <v/>
      </c>
      <c r="CJ32" s="4" t="str">
        <f>IF(XS_Designer_Bed_Mix!$J32&lt;=XS_Designer!$BN$99,XS_Designer!BH$99,"")</f>
        <v/>
      </c>
      <c r="CK32" s="4" t="str">
        <f>IF(XS_Designer_Bed_Mix!$J32&lt;=XS_Designer!$BN$99,XS_Designer!BI$99,"")</f>
        <v/>
      </c>
      <c r="CL32" s="4" t="str">
        <f>IF(XS_Designer_Bed_Mix!$J32&lt;=XS_Designer!$BN$99,XS_Designer!BJ$99,"")</f>
        <v/>
      </c>
      <c r="CM32" s="4">
        <f>IF(XS_Designer_Bed_Mix!$J32&lt;=XS_Designer!$BN$100,XS_Designer!BA$100,"")</f>
        <v>64</v>
      </c>
      <c r="CN32" s="4">
        <f>IF(XS_Designer_Bed_Mix!$J32&lt;=XS_Designer!$BN$100,XS_Designer!BB$100,"")</f>
        <v>57.6</v>
      </c>
      <c r="CO32" s="4">
        <f>IF(XS_Designer_Bed_Mix!$J32&lt;=XS_Designer!$BN$100,XS_Designer!BC$100,"")</f>
        <v>51.2</v>
      </c>
      <c r="CP32" s="4">
        <f>IF(XS_Designer_Bed_Mix!$J32&lt;=XS_Designer!$BN$100,XS_Designer!BD$100,"")</f>
        <v>44.800000000000004</v>
      </c>
      <c r="CQ32" s="4">
        <f>IF(XS_Designer_Bed_Mix!$J32&lt;=XS_Designer!$BN$100,XS_Designer!BE$100,"")</f>
        <v>38.400000000000006</v>
      </c>
      <c r="CR32" s="4">
        <f>IF(XS_Designer_Bed_Mix!$J32&lt;=XS_Designer!$BN$100,XS_Designer!BF$100,"")</f>
        <v>32</v>
      </c>
      <c r="CS32" s="4">
        <f>IF(XS_Designer_Bed_Mix!$J32&lt;=XS_Designer!$BN$100,XS_Designer!BG$100,"")</f>
        <v>26</v>
      </c>
      <c r="CT32" s="4">
        <f>IF(XS_Designer_Bed_Mix!$J32&lt;=XS_Designer!$BN$100,XS_Designer!BH$100,"")</f>
        <v>20</v>
      </c>
      <c r="CU32" s="4">
        <f>IF(XS_Designer_Bed_Mix!$J32&lt;=XS_Designer!$BN$100,XS_Designer!BI$100,"")</f>
        <v>14</v>
      </c>
      <c r="CV32" s="4">
        <f>IF(XS_Designer_Bed_Mix!$J32&lt;=XS_Designer!$BN$100,XS_Designer!BJ$100,"")</f>
        <v>8</v>
      </c>
      <c r="CW32" s="4" t="str">
        <f>IF(XS_Designer_Bed_Mix!$J32&lt;=XS_Designer!$BN$101,XS_Designer!BA$101,"")</f>
        <v/>
      </c>
      <c r="CX32" s="4" t="str">
        <f>IF(XS_Designer_Bed_Mix!$J32&lt;=XS_Designer!$BN$101,XS_Designer!BB$101,"")</f>
        <v/>
      </c>
      <c r="CY32" s="4" t="str">
        <f>IF(XS_Designer_Bed_Mix!$J32&lt;=XS_Designer!$BN$101,XS_Designer!BC$101,"")</f>
        <v/>
      </c>
      <c r="CZ32" s="4" t="str">
        <f>IF(XS_Designer_Bed_Mix!$J32&lt;=XS_Designer!$BN$101,XS_Designer!BD$101,"")</f>
        <v/>
      </c>
      <c r="DA32" s="4" t="str">
        <f>IF(XS_Designer_Bed_Mix!$J32&lt;=XS_Designer!$BN$101,XS_Designer!BE$101,"")</f>
        <v/>
      </c>
      <c r="DB32" s="4" t="str">
        <f>IF(XS_Designer_Bed_Mix!$J32&lt;=XS_Designer!$BN$101,XS_Designer!BF$101,"")</f>
        <v/>
      </c>
      <c r="DC32" s="4" t="str">
        <f>IF(XS_Designer_Bed_Mix!$J32&lt;=XS_Designer!$BN$101,XS_Designer!BG$101,"")</f>
        <v/>
      </c>
      <c r="DD32" s="4" t="str">
        <f>IF(XS_Designer_Bed_Mix!$J32&lt;=XS_Designer!$BN$101,XS_Designer!BH$101,"")</f>
        <v/>
      </c>
      <c r="DE32" s="4" t="str">
        <f>IF(XS_Designer_Bed_Mix!$J32&lt;=XS_Designer!$BN$101,XS_Designer!BI$101,"")</f>
        <v/>
      </c>
      <c r="DF32" s="4" t="str">
        <f>IF(XS_Designer_Bed_Mix!$J32&lt;=XS_Designer!$BN$101,XS_Designer!BJ$101,"")</f>
        <v/>
      </c>
      <c r="DG32" s="4" t="str">
        <f>IF(XS_Designer_Bed_Mix!$J32&lt;=XS_Designer!$BN$102,XS_Designer!BA$102,"")</f>
        <v/>
      </c>
      <c r="DH32" s="4" t="str">
        <f>IF(XS_Designer_Bed_Mix!$J32&lt;=XS_Designer!$BN$102,XS_Designer!BB$102,"")</f>
        <v/>
      </c>
      <c r="DI32" s="4" t="str">
        <f>IF(XS_Designer_Bed_Mix!$J32&lt;=XS_Designer!$BN$102,XS_Designer!BC$102,"")</f>
        <v/>
      </c>
      <c r="DJ32" s="4" t="str">
        <f>IF(XS_Designer_Bed_Mix!$J32&lt;=XS_Designer!$BN$102,XS_Designer!BD$102,"")</f>
        <v/>
      </c>
      <c r="DK32" s="4" t="str">
        <f>IF(XS_Designer_Bed_Mix!$J32&lt;=XS_Designer!$BN$102,XS_Designer!BE$102,"")</f>
        <v/>
      </c>
      <c r="DL32" s="4" t="str">
        <f>IF(XS_Designer_Bed_Mix!$J32&lt;=XS_Designer!$BN$102,XS_Designer!BF$102,"")</f>
        <v/>
      </c>
      <c r="DM32" s="4" t="str">
        <f>IF(XS_Designer_Bed_Mix!$J32&lt;=XS_Designer!$BN$102,XS_Designer!BG$102,"")</f>
        <v/>
      </c>
      <c r="DN32" s="4" t="str">
        <f>IF(XS_Designer_Bed_Mix!$J32&lt;=XS_Designer!$BN$102,XS_Designer!BH$102,"")</f>
        <v/>
      </c>
      <c r="DO32" s="4" t="str">
        <f>IF(XS_Designer_Bed_Mix!$J32&lt;=XS_Designer!$BN$102,XS_Designer!BI$102,"")</f>
        <v/>
      </c>
      <c r="DP32" s="4" t="str">
        <f>IF(XS_Designer_Bed_Mix!$J32&lt;=XS_Designer!$BN$102,XS_Designer!BJ$102,"")</f>
        <v/>
      </c>
    </row>
    <row r="33" spans="10:120">
      <c r="J33" s="3">
        <v>0.32</v>
      </c>
      <c r="K33" s="4" t="str">
        <f>IF(XS_Designer_Bed_Mix!$J33&lt;=XS_Designer!$BN$92,XS_Designer!BA$92,"")</f>
        <v/>
      </c>
      <c r="L33" s="4" t="str">
        <f>IF(XS_Designer_Bed_Mix!$J33&lt;=XS_Designer!$BN$92,XS_Designer!BB$92,"")</f>
        <v/>
      </c>
      <c r="M33" s="4" t="str">
        <f>IF(XS_Designer_Bed_Mix!$J33&lt;=XS_Designer!$BN$92,XS_Designer!BC$92,"")</f>
        <v/>
      </c>
      <c r="N33" s="4" t="str">
        <f>IF(XS_Designer_Bed_Mix!$J33&lt;=XS_Designer!$BN$92,XS_Designer!BD$92,"")</f>
        <v/>
      </c>
      <c r="O33" s="4" t="str">
        <f>IF(XS_Designer_Bed_Mix!$J33&lt;=XS_Designer!$BN$92,XS_Designer!BE$92,"")</f>
        <v/>
      </c>
      <c r="P33" s="4" t="str">
        <f>IF(XS_Designer_Bed_Mix!$J33&lt;=XS_Designer!$BN$92,XS_Designer!BF$92,"")</f>
        <v/>
      </c>
      <c r="Q33" s="4" t="str">
        <f>IF(XS_Designer_Bed_Mix!$J33&lt;=XS_Designer!$BN$92,XS_Designer!BG$92,"")</f>
        <v/>
      </c>
      <c r="R33" s="4" t="str">
        <f>IF(XS_Designer_Bed_Mix!$J33&lt;=XS_Designer!$BN$92,XS_Designer!BH$92,"")</f>
        <v/>
      </c>
      <c r="S33" s="4" t="str">
        <f>IF(XS_Designer_Bed_Mix!$J33&lt;=XS_Designer!$BN$92,XS_Designer!BI$92,"")</f>
        <v/>
      </c>
      <c r="T33" s="4" t="str">
        <f>IF(XS_Designer_Bed_Mix!$J33&lt;=XS_Designer!$BN$92,XS_Designer!BJ$92,"")</f>
        <v/>
      </c>
      <c r="U33" s="4" t="str">
        <f>IF(XS_Designer_Bed_Mix!$J33&lt;=XS_Designer!$BN$93,XS_Designer!BA$93,"")</f>
        <v/>
      </c>
      <c r="V33" s="4" t="str">
        <f>IF(XS_Designer_Bed_Mix!$J33&lt;=XS_Designer!$BN$93,XS_Designer!BB$93,"")</f>
        <v/>
      </c>
      <c r="W33" s="4" t="str">
        <f>IF(XS_Designer_Bed_Mix!$J33&lt;=XS_Designer!$BN$93,XS_Designer!BC$93,"")</f>
        <v/>
      </c>
      <c r="X33" s="4" t="str">
        <f>IF(XS_Designer_Bed_Mix!$J33&lt;=XS_Designer!$BN$93,XS_Designer!BD$93,"")</f>
        <v/>
      </c>
      <c r="Y33" s="4" t="str">
        <f>IF(XS_Designer_Bed_Mix!$J33&lt;=XS_Designer!$BN$93,XS_Designer!BE$93,"")</f>
        <v/>
      </c>
      <c r="Z33" s="4" t="str">
        <f>IF(XS_Designer_Bed_Mix!$J33&lt;=XS_Designer!$BN$93,XS_Designer!BF$93,"")</f>
        <v/>
      </c>
      <c r="AA33" s="4" t="str">
        <f>IF(XS_Designer_Bed_Mix!$J33&lt;=XS_Designer!$BN$93,XS_Designer!BG$93,"")</f>
        <v/>
      </c>
      <c r="AB33" s="4" t="str">
        <f>IF(XS_Designer_Bed_Mix!$J33&lt;=XS_Designer!$BN$93,XS_Designer!BH$93,"")</f>
        <v/>
      </c>
      <c r="AC33" s="4" t="str">
        <f>IF(XS_Designer_Bed_Mix!$J33&lt;=XS_Designer!$BN$93,XS_Designer!BI$93,"")</f>
        <v/>
      </c>
      <c r="AD33" s="4" t="str">
        <f>IF(XS_Designer_Bed_Mix!$J33&lt;=XS_Designer!$BN$93,XS_Designer!BJ$93,"")</f>
        <v/>
      </c>
      <c r="AE33" s="4" t="str">
        <f>IF(XS_Designer_Bed_Mix!$J33&lt;=XS_Designer!$BN$94,XS_Designer!BA$94,"")</f>
        <v/>
      </c>
      <c r="AF33" s="4" t="str">
        <f>IF(XS_Designer_Bed_Mix!$J33&lt;=XS_Designer!$BN$94,XS_Designer!BB$94,"")</f>
        <v/>
      </c>
      <c r="AG33" s="4" t="str">
        <f>IF(XS_Designer_Bed_Mix!$J33&lt;=XS_Designer!$BN$94,XS_Designer!BC$94,"")</f>
        <v/>
      </c>
      <c r="AH33" s="4" t="str">
        <f>IF(XS_Designer_Bed_Mix!$J33&lt;=XS_Designer!$BN$94,XS_Designer!BD$94,"")</f>
        <v/>
      </c>
      <c r="AI33" s="4" t="str">
        <f>IF(XS_Designer_Bed_Mix!$J33&lt;=XS_Designer!$BN$94,XS_Designer!BE$94,"")</f>
        <v/>
      </c>
      <c r="AJ33" s="4" t="str">
        <f>IF(XS_Designer_Bed_Mix!$J33&lt;=XS_Designer!$BN$94,XS_Designer!BF$94,"")</f>
        <v/>
      </c>
      <c r="AK33" s="4" t="str">
        <f>IF(XS_Designer_Bed_Mix!$J33&lt;=XS_Designer!$BN$94,XS_Designer!BG$94,"")</f>
        <v/>
      </c>
      <c r="AL33" s="4" t="str">
        <f>IF(XS_Designer_Bed_Mix!$J33&lt;=XS_Designer!$BN$94,XS_Designer!BH$94,"")</f>
        <v/>
      </c>
      <c r="AM33" s="4" t="str">
        <f>IF(XS_Designer_Bed_Mix!$J33&lt;=XS_Designer!$BN$94,XS_Designer!BI$94,"")</f>
        <v/>
      </c>
      <c r="AN33" s="4" t="str">
        <f>IF(XS_Designer_Bed_Mix!$J33&lt;=XS_Designer!$BN$94,XS_Designer!BJ$94,"")</f>
        <v/>
      </c>
      <c r="AO33" s="4" t="str">
        <f>IF(XS_Designer_Bed_Mix!$J33&lt;=XS_Designer!$BN$95,XS_Designer!BA$95,"")</f>
        <v/>
      </c>
      <c r="AP33" s="4" t="str">
        <f>IF(XS_Designer_Bed_Mix!$J33&lt;=XS_Designer!$BN$95,XS_Designer!BB$95,"")</f>
        <v/>
      </c>
      <c r="AQ33" s="4" t="str">
        <f>IF(XS_Designer_Bed_Mix!$J33&lt;=XS_Designer!$BN$95,XS_Designer!BC$95,"")</f>
        <v/>
      </c>
      <c r="AR33" s="4" t="str">
        <f>IF(XS_Designer_Bed_Mix!$J33&lt;=XS_Designer!$BN$95,XS_Designer!BD$95,"")</f>
        <v/>
      </c>
      <c r="AS33" s="4" t="str">
        <f>IF(XS_Designer_Bed_Mix!$J33&lt;=XS_Designer!$BN$95,XS_Designer!BE$95,"")</f>
        <v/>
      </c>
      <c r="AT33" s="4" t="str">
        <f>IF(XS_Designer_Bed_Mix!$J33&lt;=XS_Designer!$BN$95,XS_Designer!BF$95,"")</f>
        <v/>
      </c>
      <c r="AU33" s="4" t="str">
        <f>IF(XS_Designer_Bed_Mix!$J33&lt;=XS_Designer!$BN$95,XS_Designer!BG$95,"")</f>
        <v/>
      </c>
      <c r="AV33" s="4" t="str">
        <f>IF(XS_Designer_Bed_Mix!$J33&lt;=XS_Designer!$BN$95,XS_Designer!BH$95,"")</f>
        <v/>
      </c>
      <c r="AW33" s="4" t="str">
        <f>IF(XS_Designer_Bed_Mix!$J33&lt;=XS_Designer!$BN$95,XS_Designer!BI$95,"")</f>
        <v/>
      </c>
      <c r="AX33" s="4" t="str">
        <f>IF(XS_Designer_Bed_Mix!$J33&lt;=XS_Designer!$BN$95,XS_Designer!BJ$95,"")</f>
        <v/>
      </c>
      <c r="AY33" s="4">
        <f>IF(XS_Designer_Bed_Mix!$J33&lt;=XS_Designer!$BN$96,XS_Designer!BA$96,"")</f>
        <v>335.28000000000003</v>
      </c>
      <c r="AZ33" s="4">
        <f>IF(XS_Designer_Bed_Mix!$J33&lt;=XS_Designer!$BN$96,XS_Designer!BB$96,"")</f>
        <v>335.28000000000003</v>
      </c>
      <c r="BA33" s="4">
        <f>IF(XS_Designer_Bed_Mix!$J33&lt;=XS_Designer!$BN$96,XS_Designer!BC$96,"")</f>
        <v>335.28000000000003</v>
      </c>
      <c r="BB33" s="4">
        <f>IF(XS_Designer_Bed_Mix!$J33&lt;=XS_Designer!$BN$96,XS_Designer!BD$96,"")</f>
        <v>335.28000000000003</v>
      </c>
      <c r="BC33" s="4">
        <f>IF(XS_Designer_Bed_Mix!$J33&lt;=XS_Designer!$BN$96,XS_Designer!BE$96,"")</f>
        <v>335.28000000000003</v>
      </c>
      <c r="BD33" s="4">
        <f>IF(XS_Designer_Bed_Mix!$J33&lt;=XS_Designer!$BN$96,XS_Designer!BF$96,"")</f>
        <v>335.28000000000003</v>
      </c>
      <c r="BE33" s="4">
        <f>IF(XS_Designer_Bed_Mix!$J33&lt;=XS_Designer!$BN$96,XS_Designer!BG$96,"")</f>
        <v>335.28000000000003</v>
      </c>
      <c r="BF33" s="4">
        <f>IF(XS_Designer_Bed_Mix!$J33&lt;=XS_Designer!$BN$96,XS_Designer!BH$96,"")</f>
        <v>335.28000000000003</v>
      </c>
      <c r="BG33" s="4">
        <f>IF(XS_Designer_Bed_Mix!$J33&lt;=XS_Designer!$BN$96,XS_Designer!BI$96,"")</f>
        <v>335.28000000000003</v>
      </c>
      <c r="BH33" s="4">
        <f>IF(XS_Designer_Bed_Mix!$J33&lt;=XS_Designer!$BN$96,XS_Designer!BJ$96,"")</f>
        <v>335.28000000000003</v>
      </c>
      <c r="BI33" s="4" t="str">
        <f>IF(XS_Designer_Bed_Mix!$J33&lt;=XS_Designer!$BN$97,XS_Designer!BA$97,"")</f>
        <v/>
      </c>
      <c r="BJ33" s="4" t="str">
        <f>IF(XS_Designer_Bed_Mix!$J33&lt;=XS_Designer!$BN$97,XS_Designer!BB$97,"")</f>
        <v/>
      </c>
      <c r="BK33" s="4" t="str">
        <f>IF(XS_Designer_Bed_Mix!$J33&lt;=XS_Designer!$BN$97,XS_Designer!BC$97,"")</f>
        <v/>
      </c>
      <c r="BL33" s="4" t="str">
        <f>IF(XS_Designer_Bed_Mix!$J33&lt;=XS_Designer!$BN$97,XS_Designer!BD$97,"")</f>
        <v/>
      </c>
      <c r="BM33" s="4" t="str">
        <f>IF(XS_Designer_Bed_Mix!$J33&lt;=XS_Designer!$BN$97,XS_Designer!BE$97,"")</f>
        <v/>
      </c>
      <c r="BN33" s="4" t="str">
        <f>IF(XS_Designer_Bed_Mix!$J33&lt;=XS_Designer!$BN$97,XS_Designer!BF$97,"")</f>
        <v/>
      </c>
      <c r="BO33" s="4" t="str">
        <f>IF(XS_Designer_Bed_Mix!$J33&lt;=XS_Designer!$BN$97,XS_Designer!BG$97,"")</f>
        <v/>
      </c>
      <c r="BP33" s="4" t="str">
        <f>IF(XS_Designer_Bed_Mix!$J33&lt;=XS_Designer!$BN$97,XS_Designer!BH$97,"")</f>
        <v/>
      </c>
      <c r="BQ33" s="4" t="str">
        <f>IF(XS_Designer_Bed_Mix!$J33&lt;=XS_Designer!$BN$97,XS_Designer!BI$97,"")</f>
        <v/>
      </c>
      <c r="BR33" s="4" t="str">
        <f>IF(XS_Designer_Bed_Mix!$J33&lt;=XS_Designer!$BN$97,XS_Designer!BJ$97,"")</f>
        <v/>
      </c>
      <c r="BS33" s="4" t="str">
        <f>IF(XS_Designer_Bed_Mix!$J33&lt;=XS_Designer!$BN$98,XS_Designer!BA$98,"")</f>
        <v/>
      </c>
      <c r="BT33" s="4" t="str">
        <f>IF(XS_Designer_Bed_Mix!$J33&lt;=XS_Designer!$BN$98,XS_Designer!BB$98,"")</f>
        <v/>
      </c>
      <c r="BU33" s="4" t="str">
        <f>IF(XS_Designer_Bed_Mix!$J33&lt;=XS_Designer!$BN$98,XS_Designer!BC$98,"")</f>
        <v/>
      </c>
      <c r="BV33" s="4" t="str">
        <f>IF(XS_Designer_Bed_Mix!$J33&lt;=XS_Designer!$BN$98,XS_Designer!BD$98,"")</f>
        <v/>
      </c>
      <c r="BW33" s="4" t="str">
        <f>IF(XS_Designer_Bed_Mix!$J33&lt;=XS_Designer!$BN$98,XS_Designer!BE$98,"")</f>
        <v/>
      </c>
      <c r="BX33" s="4" t="str">
        <f>IF(XS_Designer_Bed_Mix!$J33&lt;=XS_Designer!$BN$98,XS_Designer!BF$98,"")</f>
        <v/>
      </c>
      <c r="BY33" s="4" t="str">
        <f>IF(XS_Designer_Bed_Mix!$J33&lt;=XS_Designer!$BN$98,XS_Designer!BG$98,"")</f>
        <v/>
      </c>
      <c r="BZ33" s="4" t="str">
        <f>IF(XS_Designer_Bed_Mix!$J33&lt;=XS_Designer!$BN$98,XS_Designer!BH$98,"")</f>
        <v/>
      </c>
      <c r="CA33" s="4" t="str">
        <f>IF(XS_Designer_Bed_Mix!$J33&lt;=XS_Designer!$BN$98,XS_Designer!BI$98,"")</f>
        <v/>
      </c>
      <c r="CB33" s="4" t="str">
        <f>IF(XS_Designer_Bed_Mix!$J33&lt;=XS_Designer!$BN$98,XS_Designer!BJ$98,"")</f>
        <v/>
      </c>
      <c r="CC33" s="4" t="str">
        <f>IF(XS_Designer_Bed_Mix!$J33&lt;=XS_Designer!$BN$99,XS_Designer!BA$99,"")</f>
        <v/>
      </c>
      <c r="CD33" s="4" t="str">
        <f>IF(XS_Designer_Bed_Mix!$J33&lt;=XS_Designer!$BN$99,XS_Designer!BB$99,"")</f>
        <v/>
      </c>
      <c r="CE33" s="4" t="str">
        <f>IF(XS_Designer_Bed_Mix!$J33&lt;=XS_Designer!$BN$99,XS_Designer!BC$99,"")</f>
        <v/>
      </c>
      <c r="CF33" s="4" t="str">
        <f>IF(XS_Designer_Bed_Mix!$J33&lt;=XS_Designer!$BN$99,XS_Designer!BD$99,"")</f>
        <v/>
      </c>
      <c r="CG33" s="4" t="str">
        <f>IF(XS_Designer_Bed_Mix!$J33&lt;=XS_Designer!$BN$99,XS_Designer!BE$99,"")</f>
        <v/>
      </c>
      <c r="CH33" s="4" t="str">
        <f>IF(XS_Designer_Bed_Mix!$J33&lt;=XS_Designer!$BN$99,XS_Designer!BF$99,"")</f>
        <v/>
      </c>
      <c r="CI33" s="4" t="str">
        <f>IF(XS_Designer_Bed_Mix!$J33&lt;=XS_Designer!$BN$99,XS_Designer!BG$99,"")</f>
        <v/>
      </c>
      <c r="CJ33" s="4" t="str">
        <f>IF(XS_Designer_Bed_Mix!$J33&lt;=XS_Designer!$BN$99,XS_Designer!BH$99,"")</f>
        <v/>
      </c>
      <c r="CK33" s="4" t="str">
        <f>IF(XS_Designer_Bed_Mix!$J33&lt;=XS_Designer!$BN$99,XS_Designer!BI$99,"")</f>
        <v/>
      </c>
      <c r="CL33" s="4" t="str">
        <f>IF(XS_Designer_Bed_Mix!$J33&lt;=XS_Designer!$BN$99,XS_Designer!BJ$99,"")</f>
        <v/>
      </c>
      <c r="CM33" s="4">
        <f>IF(XS_Designer_Bed_Mix!$J33&lt;=XS_Designer!$BN$100,XS_Designer!BA$100,"")</f>
        <v>64</v>
      </c>
      <c r="CN33" s="4">
        <f>IF(XS_Designer_Bed_Mix!$J33&lt;=XS_Designer!$BN$100,XS_Designer!BB$100,"")</f>
        <v>57.6</v>
      </c>
      <c r="CO33" s="4">
        <f>IF(XS_Designer_Bed_Mix!$J33&lt;=XS_Designer!$BN$100,XS_Designer!BC$100,"")</f>
        <v>51.2</v>
      </c>
      <c r="CP33" s="4">
        <f>IF(XS_Designer_Bed_Mix!$J33&lt;=XS_Designer!$BN$100,XS_Designer!BD$100,"")</f>
        <v>44.800000000000004</v>
      </c>
      <c r="CQ33" s="4">
        <f>IF(XS_Designer_Bed_Mix!$J33&lt;=XS_Designer!$BN$100,XS_Designer!BE$100,"")</f>
        <v>38.400000000000006</v>
      </c>
      <c r="CR33" s="4">
        <f>IF(XS_Designer_Bed_Mix!$J33&lt;=XS_Designer!$BN$100,XS_Designer!BF$100,"")</f>
        <v>32</v>
      </c>
      <c r="CS33" s="4">
        <f>IF(XS_Designer_Bed_Mix!$J33&lt;=XS_Designer!$BN$100,XS_Designer!BG$100,"")</f>
        <v>26</v>
      </c>
      <c r="CT33" s="4">
        <f>IF(XS_Designer_Bed_Mix!$J33&lt;=XS_Designer!$BN$100,XS_Designer!BH$100,"")</f>
        <v>20</v>
      </c>
      <c r="CU33" s="4">
        <f>IF(XS_Designer_Bed_Mix!$J33&lt;=XS_Designer!$BN$100,XS_Designer!BI$100,"")</f>
        <v>14</v>
      </c>
      <c r="CV33" s="4">
        <f>IF(XS_Designer_Bed_Mix!$J33&lt;=XS_Designer!$BN$100,XS_Designer!BJ$100,"")</f>
        <v>8</v>
      </c>
      <c r="CW33" s="4" t="str">
        <f>IF(XS_Designer_Bed_Mix!$J33&lt;=XS_Designer!$BN$101,XS_Designer!BA$101,"")</f>
        <v/>
      </c>
      <c r="CX33" s="4" t="str">
        <f>IF(XS_Designer_Bed_Mix!$J33&lt;=XS_Designer!$BN$101,XS_Designer!BB$101,"")</f>
        <v/>
      </c>
      <c r="CY33" s="4" t="str">
        <f>IF(XS_Designer_Bed_Mix!$J33&lt;=XS_Designer!$BN$101,XS_Designer!BC$101,"")</f>
        <v/>
      </c>
      <c r="CZ33" s="4" t="str">
        <f>IF(XS_Designer_Bed_Mix!$J33&lt;=XS_Designer!$BN$101,XS_Designer!BD$101,"")</f>
        <v/>
      </c>
      <c r="DA33" s="4" t="str">
        <f>IF(XS_Designer_Bed_Mix!$J33&lt;=XS_Designer!$BN$101,XS_Designer!BE$101,"")</f>
        <v/>
      </c>
      <c r="DB33" s="4" t="str">
        <f>IF(XS_Designer_Bed_Mix!$J33&lt;=XS_Designer!$BN$101,XS_Designer!BF$101,"")</f>
        <v/>
      </c>
      <c r="DC33" s="4" t="str">
        <f>IF(XS_Designer_Bed_Mix!$J33&lt;=XS_Designer!$BN$101,XS_Designer!BG$101,"")</f>
        <v/>
      </c>
      <c r="DD33" s="4" t="str">
        <f>IF(XS_Designer_Bed_Mix!$J33&lt;=XS_Designer!$BN$101,XS_Designer!BH$101,"")</f>
        <v/>
      </c>
      <c r="DE33" s="4" t="str">
        <f>IF(XS_Designer_Bed_Mix!$J33&lt;=XS_Designer!$BN$101,XS_Designer!BI$101,"")</f>
        <v/>
      </c>
      <c r="DF33" s="4" t="str">
        <f>IF(XS_Designer_Bed_Mix!$J33&lt;=XS_Designer!$BN$101,XS_Designer!BJ$101,"")</f>
        <v/>
      </c>
      <c r="DG33" s="4" t="str">
        <f>IF(XS_Designer_Bed_Mix!$J33&lt;=XS_Designer!$BN$102,XS_Designer!BA$102,"")</f>
        <v/>
      </c>
      <c r="DH33" s="4" t="str">
        <f>IF(XS_Designer_Bed_Mix!$J33&lt;=XS_Designer!$BN$102,XS_Designer!BB$102,"")</f>
        <v/>
      </c>
      <c r="DI33" s="4" t="str">
        <f>IF(XS_Designer_Bed_Mix!$J33&lt;=XS_Designer!$BN$102,XS_Designer!BC$102,"")</f>
        <v/>
      </c>
      <c r="DJ33" s="4" t="str">
        <f>IF(XS_Designer_Bed_Mix!$J33&lt;=XS_Designer!$BN$102,XS_Designer!BD$102,"")</f>
        <v/>
      </c>
      <c r="DK33" s="4" t="str">
        <f>IF(XS_Designer_Bed_Mix!$J33&lt;=XS_Designer!$BN$102,XS_Designer!BE$102,"")</f>
        <v/>
      </c>
      <c r="DL33" s="4" t="str">
        <f>IF(XS_Designer_Bed_Mix!$J33&lt;=XS_Designer!$BN$102,XS_Designer!BF$102,"")</f>
        <v/>
      </c>
      <c r="DM33" s="4" t="str">
        <f>IF(XS_Designer_Bed_Mix!$J33&lt;=XS_Designer!$BN$102,XS_Designer!BG$102,"")</f>
        <v/>
      </c>
      <c r="DN33" s="4" t="str">
        <f>IF(XS_Designer_Bed_Mix!$J33&lt;=XS_Designer!$BN$102,XS_Designer!BH$102,"")</f>
        <v/>
      </c>
      <c r="DO33" s="4" t="str">
        <f>IF(XS_Designer_Bed_Mix!$J33&lt;=XS_Designer!$BN$102,XS_Designer!BI$102,"")</f>
        <v/>
      </c>
      <c r="DP33" s="4" t="str">
        <f>IF(XS_Designer_Bed_Mix!$J33&lt;=XS_Designer!$BN$102,XS_Designer!BJ$102,"")</f>
        <v/>
      </c>
    </row>
    <row r="34" spans="10:120">
      <c r="J34" s="3">
        <v>0.33</v>
      </c>
      <c r="K34" s="4" t="str">
        <f>IF(XS_Designer_Bed_Mix!$J34&lt;=XS_Designer!$BN$92,XS_Designer!BA$92,"")</f>
        <v/>
      </c>
      <c r="L34" s="4" t="str">
        <f>IF(XS_Designer_Bed_Mix!$J34&lt;=XS_Designer!$BN$92,XS_Designer!BB$92,"")</f>
        <v/>
      </c>
      <c r="M34" s="4" t="str">
        <f>IF(XS_Designer_Bed_Mix!$J34&lt;=XS_Designer!$BN$92,XS_Designer!BC$92,"")</f>
        <v/>
      </c>
      <c r="N34" s="4" t="str">
        <f>IF(XS_Designer_Bed_Mix!$J34&lt;=XS_Designer!$BN$92,XS_Designer!BD$92,"")</f>
        <v/>
      </c>
      <c r="O34" s="4" t="str">
        <f>IF(XS_Designer_Bed_Mix!$J34&lt;=XS_Designer!$BN$92,XS_Designer!BE$92,"")</f>
        <v/>
      </c>
      <c r="P34" s="4" t="str">
        <f>IF(XS_Designer_Bed_Mix!$J34&lt;=XS_Designer!$BN$92,XS_Designer!BF$92,"")</f>
        <v/>
      </c>
      <c r="Q34" s="4" t="str">
        <f>IF(XS_Designer_Bed_Mix!$J34&lt;=XS_Designer!$BN$92,XS_Designer!BG$92,"")</f>
        <v/>
      </c>
      <c r="R34" s="4" t="str">
        <f>IF(XS_Designer_Bed_Mix!$J34&lt;=XS_Designer!$BN$92,XS_Designer!BH$92,"")</f>
        <v/>
      </c>
      <c r="S34" s="4" t="str">
        <f>IF(XS_Designer_Bed_Mix!$J34&lt;=XS_Designer!$BN$92,XS_Designer!BI$92,"")</f>
        <v/>
      </c>
      <c r="T34" s="4" t="str">
        <f>IF(XS_Designer_Bed_Mix!$J34&lt;=XS_Designer!$BN$92,XS_Designer!BJ$92,"")</f>
        <v/>
      </c>
      <c r="U34" s="4" t="str">
        <f>IF(XS_Designer_Bed_Mix!$J34&lt;=XS_Designer!$BN$93,XS_Designer!BA$93,"")</f>
        <v/>
      </c>
      <c r="V34" s="4" t="str">
        <f>IF(XS_Designer_Bed_Mix!$J34&lt;=XS_Designer!$BN$93,XS_Designer!BB$93,"")</f>
        <v/>
      </c>
      <c r="W34" s="4" t="str">
        <f>IF(XS_Designer_Bed_Mix!$J34&lt;=XS_Designer!$BN$93,XS_Designer!BC$93,"")</f>
        <v/>
      </c>
      <c r="X34" s="4" t="str">
        <f>IF(XS_Designer_Bed_Mix!$J34&lt;=XS_Designer!$BN$93,XS_Designer!BD$93,"")</f>
        <v/>
      </c>
      <c r="Y34" s="4" t="str">
        <f>IF(XS_Designer_Bed_Mix!$J34&lt;=XS_Designer!$BN$93,XS_Designer!BE$93,"")</f>
        <v/>
      </c>
      <c r="Z34" s="4" t="str">
        <f>IF(XS_Designer_Bed_Mix!$J34&lt;=XS_Designer!$BN$93,XS_Designer!BF$93,"")</f>
        <v/>
      </c>
      <c r="AA34" s="4" t="str">
        <f>IF(XS_Designer_Bed_Mix!$J34&lt;=XS_Designer!$BN$93,XS_Designer!BG$93,"")</f>
        <v/>
      </c>
      <c r="AB34" s="4" t="str">
        <f>IF(XS_Designer_Bed_Mix!$J34&lt;=XS_Designer!$BN$93,XS_Designer!BH$93,"")</f>
        <v/>
      </c>
      <c r="AC34" s="4" t="str">
        <f>IF(XS_Designer_Bed_Mix!$J34&lt;=XS_Designer!$BN$93,XS_Designer!BI$93,"")</f>
        <v/>
      </c>
      <c r="AD34" s="4" t="str">
        <f>IF(XS_Designer_Bed_Mix!$J34&lt;=XS_Designer!$BN$93,XS_Designer!BJ$93,"")</f>
        <v/>
      </c>
      <c r="AE34" s="4" t="str">
        <f>IF(XS_Designer_Bed_Mix!$J34&lt;=XS_Designer!$BN$94,XS_Designer!BA$94,"")</f>
        <v/>
      </c>
      <c r="AF34" s="4" t="str">
        <f>IF(XS_Designer_Bed_Mix!$J34&lt;=XS_Designer!$BN$94,XS_Designer!BB$94,"")</f>
        <v/>
      </c>
      <c r="AG34" s="4" t="str">
        <f>IF(XS_Designer_Bed_Mix!$J34&lt;=XS_Designer!$BN$94,XS_Designer!BC$94,"")</f>
        <v/>
      </c>
      <c r="AH34" s="4" t="str">
        <f>IF(XS_Designer_Bed_Mix!$J34&lt;=XS_Designer!$BN$94,XS_Designer!BD$94,"")</f>
        <v/>
      </c>
      <c r="AI34" s="4" t="str">
        <f>IF(XS_Designer_Bed_Mix!$J34&lt;=XS_Designer!$BN$94,XS_Designer!BE$94,"")</f>
        <v/>
      </c>
      <c r="AJ34" s="4" t="str">
        <f>IF(XS_Designer_Bed_Mix!$J34&lt;=XS_Designer!$BN$94,XS_Designer!BF$94,"")</f>
        <v/>
      </c>
      <c r="AK34" s="4" t="str">
        <f>IF(XS_Designer_Bed_Mix!$J34&lt;=XS_Designer!$BN$94,XS_Designer!BG$94,"")</f>
        <v/>
      </c>
      <c r="AL34" s="4" t="str">
        <f>IF(XS_Designer_Bed_Mix!$J34&lt;=XS_Designer!$BN$94,XS_Designer!BH$94,"")</f>
        <v/>
      </c>
      <c r="AM34" s="4" t="str">
        <f>IF(XS_Designer_Bed_Mix!$J34&lt;=XS_Designer!$BN$94,XS_Designer!BI$94,"")</f>
        <v/>
      </c>
      <c r="AN34" s="4" t="str">
        <f>IF(XS_Designer_Bed_Mix!$J34&lt;=XS_Designer!$BN$94,XS_Designer!BJ$94,"")</f>
        <v/>
      </c>
      <c r="AO34" s="4" t="str">
        <f>IF(XS_Designer_Bed_Mix!$J34&lt;=XS_Designer!$BN$95,XS_Designer!BA$95,"")</f>
        <v/>
      </c>
      <c r="AP34" s="4" t="str">
        <f>IF(XS_Designer_Bed_Mix!$J34&lt;=XS_Designer!$BN$95,XS_Designer!BB$95,"")</f>
        <v/>
      </c>
      <c r="AQ34" s="4" t="str">
        <f>IF(XS_Designer_Bed_Mix!$J34&lt;=XS_Designer!$BN$95,XS_Designer!BC$95,"")</f>
        <v/>
      </c>
      <c r="AR34" s="4" t="str">
        <f>IF(XS_Designer_Bed_Mix!$J34&lt;=XS_Designer!$BN$95,XS_Designer!BD$95,"")</f>
        <v/>
      </c>
      <c r="AS34" s="4" t="str">
        <f>IF(XS_Designer_Bed_Mix!$J34&lt;=XS_Designer!$BN$95,XS_Designer!BE$95,"")</f>
        <v/>
      </c>
      <c r="AT34" s="4" t="str">
        <f>IF(XS_Designer_Bed_Mix!$J34&lt;=XS_Designer!$BN$95,XS_Designer!BF$95,"")</f>
        <v/>
      </c>
      <c r="AU34" s="4" t="str">
        <f>IF(XS_Designer_Bed_Mix!$J34&lt;=XS_Designer!$BN$95,XS_Designer!BG$95,"")</f>
        <v/>
      </c>
      <c r="AV34" s="4" t="str">
        <f>IF(XS_Designer_Bed_Mix!$J34&lt;=XS_Designer!$BN$95,XS_Designer!BH$95,"")</f>
        <v/>
      </c>
      <c r="AW34" s="4" t="str">
        <f>IF(XS_Designer_Bed_Mix!$J34&lt;=XS_Designer!$BN$95,XS_Designer!BI$95,"")</f>
        <v/>
      </c>
      <c r="AX34" s="4" t="str">
        <f>IF(XS_Designer_Bed_Mix!$J34&lt;=XS_Designer!$BN$95,XS_Designer!BJ$95,"")</f>
        <v/>
      </c>
      <c r="AY34" s="4">
        <f>IF(XS_Designer_Bed_Mix!$J34&lt;=XS_Designer!$BN$96,XS_Designer!BA$96,"")</f>
        <v>335.28000000000003</v>
      </c>
      <c r="AZ34" s="4">
        <f>IF(XS_Designer_Bed_Mix!$J34&lt;=XS_Designer!$BN$96,XS_Designer!BB$96,"")</f>
        <v>335.28000000000003</v>
      </c>
      <c r="BA34" s="4">
        <f>IF(XS_Designer_Bed_Mix!$J34&lt;=XS_Designer!$BN$96,XS_Designer!BC$96,"")</f>
        <v>335.28000000000003</v>
      </c>
      <c r="BB34" s="4">
        <f>IF(XS_Designer_Bed_Mix!$J34&lt;=XS_Designer!$BN$96,XS_Designer!BD$96,"")</f>
        <v>335.28000000000003</v>
      </c>
      <c r="BC34" s="4">
        <f>IF(XS_Designer_Bed_Mix!$J34&lt;=XS_Designer!$BN$96,XS_Designer!BE$96,"")</f>
        <v>335.28000000000003</v>
      </c>
      <c r="BD34" s="4">
        <f>IF(XS_Designer_Bed_Mix!$J34&lt;=XS_Designer!$BN$96,XS_Designer!BF$96,"")</f>
        <v>335.28000000000003</v>
      </c>
      <c r="BE34" s="4">
        <f>IF(XS_Designer_Bed_Mix!$J34&lt;=XS_Designer!$BN$96,XS_Designer!BG$96,"")</f>
        <v>335.28000000000003</v>
      </c>
      <c r="BF34" s="4">
        <f>IF(XS_Designer_Bed_Mix!$J34&lt;=XS_Designer!$BN$96,XS_Designer!BH$96,"")</f>
        <v>335.28000000000003</v>
      </c>
      <c r="BG34" s="4">
        <f>IF(XS_Designer_Bed_Mix!$J34&lt;=XS_Designer!$BN$96,XS_Designer!BI$96,"")</f>
        <v>335.28000000000003</v>
      </c>
      <c r="BH34" s="4">
        <f>IF(XS_Designer_Bed_Mix!$J34&lt;=XS_Designer!$BN$96,XS_Designer!BJ$96,"")</f>
        <v>335.28000000000003</v>
      </c>
      <c r="BI34" s="4" t="str">
        <f>IF(XS_Designer_Bed_Mix!$J34&lt;=XS_Designer!$BN$97,XS_Designer!BA$97,"")</f>
        <v/>
      </c>
      <c r="BJ34" s="4" t="str">
        <f>IF(XS_Designer_Bed_Mix!$J34&lt;=XS_Designer!$BN$97,XS_Designer!BB$97,"")</f>
        <v/>
      </c>
      <c r="BK34" s="4" t="str">
        <f>IF(XS_Designer_Bed_Mix!$J34&lt;=XS_Designer!$BN$97,XS_Designer!BC$97,"")</f>
        <v/>
      </c>
      <c r="BL34" s="4" t="str">
        <f>IF(XS_Designer_Bed_Mix!$J34&lt;=XS_Designer!$BN$97,XS_Designer!BD$97,"")</f>
        <v/>
      </c>
      <c r="BM34" s="4" t="str">
        <f>IF(XS_Designer_Bed_Mix!$J34&lt;=XS_Designer!$BN$97,XS_Designer!BE$97,"")</f>
        <v/>
      </c>
      <c r="BN34" s="4" t="str">
        <f>IF(XS_Designer_Bed_Mix!$J34&lt;=XS_Designer!$BN$97,XS_Designer!BF$97,"")</f>
        <v/>
      </c>
      <c r="BO34" s="4" t="str">
        <f>IF(XS_Designer_Bed_Mix!$J34&lt;=XS_Designer!$BN$97,XS_Designer!BG$97,"")</f>
        <v/>
      </c>
      <c r="BP34" s="4" t="str">
        <f>IF(XS_Designer_Bed_Mix!$J34&lt;=XS_Designer!$BN$97,XS_Designer!BH$97,"")</f>
        <v/>
      </c>
      <c r="BQ34" s="4" t="str">
        <f>IF(XS_Designer_Bed_Mix!$J34&lt;=XS_Designer!$BN$97,XS_Designer!BI$97,"")</f>
        <v/>
      </c>
      <c r="BR34" s="4" t="str">
        <f>IF(XS_Designer_Bed_Mix!$J34&lt;=XS_Designer!$BN$97,XS_Designer!BJ$97,"")</f>
        <v/>
      </c>
      <c r="BS34" s="4" t="str">
        <f>IF(XS_Designer_Bed_Mix!$J34&lt;=XS_Designer!$BN$98,XS_Designer!BA$98,"")</f>
        <v/>
      </c>
      <c r="BT34" s="4" t="str">
        <f>IF(XS_Designer_Bed_Mix!$J34&lt;=XS_Designer!$BN$98,XS_Designer!BB$98,"")</f>
        <v/>
      </c>
      <c r="BU34" s="4" t="str">
        <f>IF(XS_Designer_Bed_Mix!$J34&lt;=XS_Designer!$BN$98,XS_Designer!BC$98,"")</f>
        <v/>
      </c>
      <c r="BV34" s="4" t="str">
        <f>IF(XS_Designer_Bed_Mix!$J34&lt;=XS_Designer!$BN$98,XS_Designer!BD$98,"")</f>
        <v/>
      </c>
      <c r="BW34" s="4" t="str">
        <f>IF(XS_Designer_Bed_Mix!$J34&lt;=XS_Designer!$BN$98,XS_Designer!BE$98,"")</f>
        <v/>
      </c>
      <c r="BX34" s="4" t="str">
        <f>IF(XS_Designer_Bed_Mix!$J34&lt;=XS_Designer!$BN$98,XS_Designer!BF$98,"")</f>
        <v/>
      </c>
      <c r="BY34" s="4" t="str">
        <f>IF(XS_Designer_Bed_Mix!$J34&lt;=XS_Designer!$BN$98,XS_Designer!BG$98,"")</f>
        <v/>
      </c>
      <c r="BZ34" s="4" t="str">
        <f>IF(XS_Designer_Bed_Mix!$J34&lt;=XS_Designer!$BN$98,XS_Designer!BH$98,"")</f>
        <v/>
      </c>
      <c r="CA34" s="4" t="str">
        <f>IF(XS_Designer_Bed_Mix!$J34&lt;=XS_Designer!$BN$98,XS_Designer!BI$98,"")</f>
        <v/>
      </c>
      <c r="CB34" s="4" t="str">
        <f>IF(XS_Designer_Bed_Mix!$J34&lt;=XS_Designer!$BN$98,XS_Designer!BJ$98,"")</f>
        <v/>
      </c>
      <c r="CC34" s="4" t="str">
        <f>IF(XS_Designer_Bed_Mix!$J34&lt;=XS_Designer!$BN$99,XS_Designer!BA$99,"")</f>
        <v/>
      </c>
      <c r="CD34" s="4" t="str">
        <f>IF(XS_Designer_Bed_Mix!$J34&lt;=XS_Designer!$BN$99,XS_Designer!BB$99,"")</f>
        <v/>
      </c>
      <c r="CE34" s="4" t="str">
        <f>IF(XS_Designer_Bed_Mix!$J34&lt;=XS_Designer!$BN$99,XS_Designer!BC$99,"")</f>
        <v/>
      </c>
      <c r="CF34" s="4" t="str">
        <f>IF(XS_Designer_Bed_Mix!$J34&lt;=XS_Designer!$BN$99,XS_Designer!BD$99,"")</f>
        <v/>
      </c>
      <c r="CG34" s="4" t="str">
        <f>IF(XS_Designer_Bed_Mix!$J34&lt;=XS_Designer!$BN$99,XS_Designer!BE$99,"")</f>
        <v/>
      </c>
      <c r="CH34" s="4" t="str">
        <f>IF(XS_Designer_Bed_Mix!$J34&lt;=XS_Designer!$BN$99,XS_Designer!BF$99,"")</f>
        <v/>
      </c>
      <c r="CI34" s="4" t="str">
        <f>IF(XS_Designer_Bed_Mix!$J34&lt;=XS_Designer!$BN$99,XS_Designer!BG$99,"")</f>
        <v/>
      </c>
      <c r="CJ34" s="4" t="str">
        <f>IF(XS_Designer_Bed_Mix!$J34&lt;=XS_Designer!$BN$99,XS_Designer!BH$99,"")</f>
        <v/>
      </c>
      <c r="CK34" s="4" t="str">
        <f>IF(XS_Designer_Bed_Mix!$J34&lt;=XS_Designer!$BN$99,XS_Designer!BI$99,"")</f>
        <v/>
      </c>
      <c r="CL34" s="4" t="str">
        <f>IF(XS_Designer_Bed_Mix!$J34&lt;=XS_Designer!$BN$99,XS_Designer!BJ$99,"")</f>
        <v/>
      </c>
      <c r="CM34" s="4">
        <f>IF(XS_Designer_Bed_Mix!$J34&lt;=XS_Designer!$BN$100,XS_Designer!BA$100,"")</f>
        <v>64</v>
      </c>
      <c r="CN34" s="4">
        <f>IF(XS_Designer_Bed_Mix!$J34&lt;=XS_Designer!$BN$100,XS_Designer!BB$100,"")</f>
        <v>57.6</v>
      </c>
      <c r="CO34" s="4">
        <f>IF(XS_Designer_Bed_Mix!$J34&lt;=XS_Designer!$BN$100,XS_Designer!BC$100,"")</f>
        <v>51.2</v>
      </c>
      <c r="CP34" s="4">
        <f>IF(XS_Designer_Bed_Mix!$J34&lt;=XS_Designer!$BN$100,XS_Designer!BD$100,"")</f>
        <v>44.800000000000004</v>
      </c>
      <c r="CQ34" s="4">
        <f>IF(XS_Designer_Bed_Mix!$J34&lt;=XS_Designer!$BN$100,XS_Designer!BE$100,"")</f>
        <v>38.400000000000006</v>
      </c>
      <c r="CR34" s="4">
        <f>IF(XS_Designer_Bed_Mix!$J34&lt;=XS_Designer!$BN$100,XS_Designer!BF$100,"")</f>
        <v>32</v>
      </c>
      <c r="CS34" s="4">
        <f>IF(XS_Designer_Bed_Mix!$J34&lt;=XS_Designer!$BN$100,XS_Designer!BG$100,"")</f>
        <v>26</v>
      </c>
      <c r="CT34" s="4">
        <f>IF(XS_Designer_Bed_Mix!$J34&lt;=XS_Designer!$BN$100,XS_Designer!BH$100,"")</f>
        <v>20</v>
      </c>
      <c r="CU34" s="4">
        <f>IF(XS_Designer_Bed_Mix!$J34&lt;=XS_Designer!$BN$100,XS_Designer!BI$100,"")</f>
        <v>14</v>
      </c>
      <c r="CV34" s="4">
        <f>IF(XS_Designer_Bed_Mix!$J34&lt;=XS_Designer!$BN$100,XS_Designer!BJ$100,"")</f>
        <v>8</v>
      </c>
      <c r="CW34" s="4" t="str">
        <f>IF(XS_Designer_Bed_Mix!$J34&lt;=XS_Designer!$BN$101,XS_Designer!BA$101,"")</f>
        <v/>
      </c>
      <c r="CX34" s="4" t="str">
        <f>IF(XS_Designer_Bed_Mix!$J34&lt;=XS_Designer!$BN$101,XS_Designer!BB$101,"")</f>
        <v/>
      </c>
      <c r="CY34" s="4" t="str">
        <f>IF(XS_Designer_Bed_Mix!$J34&lt;=XS_Designer!$BN$101,XS_Designer!BC$101,"")</f>
        <v/>
      </c>
      <c r="CZ34" s="4" t="str">
        <f>IF(XS_Designer_Bed_Mix!$J34&lt;=XS_Designer!$BN$101,XS_Designer!BD$101,"")</f>
        <v/>
      </c>
      <c r="DA34" s="4" t="str">
        <f>IF(XS_Designer_Bed_Mix!$J34&lt;=XS_Designer!$BN$101,XS_Designer!BE$101,"")</f>
        <v/>
      </c>
      <c r="DB34" s="4" t="str">
        <f>IF(XS_Designer_Bed_Mix!$J34&lt;=XS_Designer!$BN$101,XS_Designer!BF$101,"")</f>
        <v/>
      </c>
      <c r="DC34" s="4" t="str">
        <f>IF(XS_Designer_Bed_Mix!$J34&lt;=XS_Designer!$BN$101,XS_Designer!BG$101,"")</f>
        <v/>
      </c>
      <c r="DD34" s="4" t="str">
        <f>IF(XS_Designer_Bed_Mix!$J34&lt;=XS_Designer!$BN$101,XS_Designer!BH$101,"")</f>
        <v/>
      </c>
      <c r="DE34" s="4" t="str">
        <f>IF(XS_Designer_Bed_Mix!$J34&lt;=XS_Designer!$BN$101,XS_Designer!BI$101,"")</f>
        <v/>
      </c>
      <c r="DF34" s="4" t="str">
        <f>IF(XS_Designer_Bed_Mix!$J34&lt;=XS_Designer!$BN$101,XS_Designer!BJ$101,"")</f>
        <v/>
      </c>
      <c r="DG34" s="4" t="str">
        <f>IF(XS_Designer_Bed_Mix!$J34&lt;=XS_Designer!$BN$102,XS_Designer!BA$102,"")</f>
        <v/>
      </c>
      <c r="DH34" s="4" t="str">
        <f>IF(XS_Designer_Bed_Mix!$J34&lt;=XS_Designer!$BN$102,XS_Designer!BB$102,"")</f>
        <v/>
      </c>
      <c r="DI34" s="4" t="str">
        <f>IF(XS_Designer_Bed_Mix!$J34&lt;=XS_Designer!$BN$102,XS_Designer!BC$102,"")</f>
        <v/>
      </c>
      <c r="DJ34" s="4" t="str">
        <f>IF(XS_Designer_Bed_Mix!$J34&lt;=XS_Designer!$BN$102,XS_Designer!BD$102,"")</f>
        <v/>
      </c>
      <c r="DK34" s="4" t="str">
        <f>IF(XS_Designer_Bed_Mix!$J34&lt;=XS_Designer!$BN$102,XS_Designer!BE$102,"")</f>
        <v/>
      </c>
      <c r="DL34" s="4" t="str">
        <f>IF(XS_Designer_Bed_Mix!$J34&lt;=XS_Designer!$BN$102,XS_Designer!BF$102,"")</f>
        <v/>
      </c>
      <c r="DM34" s="4" t="str">
        <f>IF(XS_Designer_Bed_Mix!$J34&lt;=XS_Designer!$BN$102,XS_Designer!BG$102,"")</f>
        <v/>
      </c>
      <c r="DN34" s="4" t="str">
        <f>IF(XS_Designer_Bed_Mix!$J34&lt;=XS_Designer!$BN$102,XS_Designer!BH$102,"")</f>
        <v/>
      </c>
      <c r="DO34" s="4" t="str">
        <f>IF(XS_Designer_Bed_Mix!$J34&lt;=XS_Designer!$BN$102,XS_Designer!BI$102,"")</f>
        <v/>
      </c>
      <c r="DP34" s="4" t="str">
        <f>IF(XS_Designer_Bed_Mix!$J34&lt;=XS_Designer!$BN$102,XS_Designer!BJ$102,"")</f>
        <v/>
      </c>
    </row>
    <row r="35" spans="10:120">
      <c r="J35" s="3">
        <v>0.34</v>
      </c>
      <c r="K35" s="4" t="str">
        <f>IF(XS_Designer_Bed_Mix!$J35&lt;=XS_Designer!$BN$92,XS_Designer!BA$92,"")</f>
        <v/>
      </c>
      <c r="L35" s="4" t="str">
        <f>IF(XS_Designer_Bed_Mix!$J35&lt;=XS_Designer!$BN$92,XS_Designer!BB$92,"")</f>
        <v/>
      </c>
      <c r="M35" s="4" t="str">
        <f>IF(XS_Designer_Bed_Mix!$J35&lt;=XS_Designer!$BN$92,XS_Designer!BC$92,"")</f>
        <v/>
      </c>
      <c r="N35" s="4" t="str">
        <f>IF(XS_Designer_Bed_Mix!$J35&lt;=XS_Designer!$BN$92,XS_Designer!BD$92,"")</f>
        <v/>
      </c>
      <c r="O35" s="4" t="str">
        <f>IF(XS_Designer_Bed_Mix!$J35&lt;=XS_Designer!$BN$92,XS_Designer!BE$92,"")</f>
        <v/>
      </c>
      <c r="P35" s="4" t="str">
        <f>IF(XS_Designer_Bed_Mix!$J35&lt;=XS_Designer!$BN$92,XS_Designer!BF$92,"")</f>
        <v/>
      </c>
      <c r="Q35" s="4" t="str">
        <f>IF(XS_Designer_Bed_Mix!$J35&lt;=XS_Designer!$BN$92,XS_Designer!BG$92,"")</f>
        <v/>
      </c>
      <c r="R35" s="4" t="str">
        <f>IF(XS_Designer_Bed_Mix!$J35&lt;=XS_Designer!$BN$92,XS_Designer!BH$92,"")</f>
        <v/>
      </c>
      <c r="S35" s="4" t="str">
        <f>IF(XS_Designer_Bed_Mix!$J35&lt;=XS_Designer!$BN$92,XS_Designer!BI$92,"")</f>
        <v/>
      </c>
      <c r="T35" s="4" t="str">
        <f>IF(XS_Designer_Bed_Mix!$J35&lt;=XS_Designer!$BN$92,XS_Designer!BJ$92,"")</f>
        <v/>
      </c>
      <c r="U35" s="4" t="str">
        <f>IF(XS_Designer_Bed_Mix!$J35&lt;=XS_Designer!$BN$93,XS_Designer!BA$93,"")</f>
        <v/>
      </c>
      <c r="V35" s="4" t="str">
        <f>IF(XS_Designer_Bed_Mix!$J35&lt;=XS_Designer!$BN$93,XS_Designer!BB$93,"")</f>
        <v/>
      </c>
      <c r="W35" s="4" t="str">
        <f>IF(XS_Designer_Bed_Mix!$J35&lt;=XS_Designer!$BN$93,XS_Designer!BC$93,"")</f>
        <v/>
      </c>
      <c r="X35" s="4" t="str">
        <f>IF(XS_Designer_Bed_Mix!$J35&lt;=XS_Designer!$BN$93,XS_Designer!BD$93,"")</f>
        <v/>
      </c>
      <c r="Y35" s="4" t="str">
        <f>IF(XS_Designer_Bed_Mix!$J35&lt;=XS_Designer!$BN$93,XS_Designer!BE$93,"")</f>
        <v/>
      </c>
      <c r="Z35" s="4" t="str">
        <f>IF(XS_Designer_Bed_Mix!$J35&lt;=XS_Designer!$BN$93,XS_Designer!BF$93,"")</f>
        <v/>
      </c>
      <c r="AA35" s="4" t="str">
        <f>IF(XS_Designer_Bed_Mix!$J35&lt;=XS_Designer!$BN$93,XS_Designer!BG$93,"")</f>
        <v/>
      </c>
      <c r="AB35" s="4" t="str">
        <f>IF(XS_Designer_Bed_Mix!$J35&lt;=XS_Designer!$BN$93,XS_Designer!BH$93,"")</f>
        <v/>
      </c>
      <c r="AC35" s="4" t="str">
        <f>IF(XS_Designer_Bed_Mix!$J35&lt;=XS_Designer!$BN$93,XS_Designer!BI$93,"")</f>
        <v/>
      </c>
      <c r="AD35" s="4" t="str">
        <f>IF(XS_Designer_Bed_Mix!$J35&lt;=XS_Designer!$BN$93,XS_Designer!BJ$93,"")</f>
        <v/>
      </c>
      <c r="AE35" s="4" t="str">
        <f>IF(XS_Designer_Bed_Mix!$J35&lt;=XS_Designer!$BN$94,XS_Designer!BA$94,"")</f>
        <v/>
      </c>
      <c r="AF35" s="4" t="str">
        <f>IF(XS_Designer_Bed_Mix!$J35&lt;=XS_Designer!$BN$94,XS_Designer!BB$94,"")</f>
        <v/>
      </c>
      <c r="AG35" s="4" t="str">
        <f>IF(XS_Designer_Bed_Mix!$J35&lt;=XS_Designer!$BN$94,XS_Designer!BC$94,"")</f>
        <v/>
      </c>
      <c r="AH35" s="4" t="str">
        <f>IF(XS_Designer_Bed_Mix!$J35&lt;=XS_Designer!$BN$94,XS_Designer!BD$94,"")</f>
        <v/>
      </c>
      <c r="AI35" s="4" t="str">
        <f>IF(XS_Designer_Bed_Mix!$J35&lt;=XS_Designer!$BN$94,XS_Designer!BE$94,"")</f>
        <v/>
      </c>
      <c r="AJ35" s="4" t="str">
        <f>IF(XS_Designer_Bed_Mix!$J35&lt;=XS_Designer!$BN$94,XS_Designer!BF$94,"")</f>
        <v/>
      </c>
      <c r="AK35" s="4" t="str">
        <f>IF(XS_Designer_Bed_Mix!$J35&lt;=XS_Designer!$BN$94,XS_Designer!BG$94,"")</f>
        <v/>
      </c>
      <c r="AL35" s="4" t="str">
        <f>IF(XS_Designer_Bed_Mix!$J35&lt;=XS_Designer!$BN$94,XS_Designer!BH$94,"")</f>
        <v/>
      </c>
      <c r="AM35" s="4" t="str">
        <f>IF(XS_Designer_Bed_Mix!$J35&lt;=XS_Designer!$BN$94,XS_Designer!BI$94,"")</f>
        <v/>
      </c>
      <c r="AN35" s="4" t="str">
        <f>IF(XS_Designer_Bed_Mix!$J35&lt;=XS_Designer!$BN$94,XS_Designer!BJ$94,"")</f>
        <v/>
      </c>
      <c r="AO35" s="4" t="str">
        <f>IF(XS_Designer_Bed_Mix!$J35&lt;=XS_Designer!$BN$95,XS_Designer!BA$95,"")</f>
        <v/>
      </c>
      <c r="AP35" s="4" t="str">
        <f>IF(XS_Designer_Bed_Mix!$J35&lt;=XS_Designer!$BN$95,XS_Designer!BB$95,"")</f>
        <v/>
      </c>
      <c r="AQ35" s="4" t="str">
        <f>IF(XS_Designer_Bed_Mix!$J35&lt;=XS_Designer!$BN$95,XS_Designer!BC$95,"")</f>
        <v/>
      </c>
      <c r="AR35" s="4" t="str">
        <f>IF(XS_Designer_Bed_Mix!$J35&lt;=XS_Designer!$BN$95,XS_Designer!BD$95,"")</f>
        <v/>
      </c>
      <c r="AS35" s="4" t="str">
        <f>IF(XS_Designer_Bed_Mix!$J35&lt;=XS_Designer!$BN$95,XS_Designer!BE$95,"")</f>
        <v/>
      </c>
      <c r="AT35" s="4" t="str">
        <f>IF(XS_Designer_Bed_Mix!$J35&lt;=XS_Designer!$BN$95,XS_Designer!BF$95,"")</f>
        <v/>
      </c>
      <c r="AU35" s="4" t="str">
        <f>IF(XS_Designer_Bed_Mix!$J35&lt;=XS_Designer!$BN$95,XS_Designer!BG$95,"")</f>
        <v/>
      </c>
      <c r="AV35" s="4" t="str">
        <f>IF(XS_Designer_Bed_Mix!$J35&lt;=XS_Designer!$BN$95,XS_Designer!BH$95,"")</f>
        <v/>
      </c>
      <c r="AW35" s="4" t="str">
        <f>IF(XS_Designer_Bed_Mix!$J35&lt;=XS_Designer!$BN$95,XS_Designer!BI$95,"")</f>
        <v/>
      </c>
      <c r="AX35" s="4" t="str">
        <f>IF(XS_Designer_Bed_Mix!$J35&lt;=XS_Designer!$BN$95,XS_Designer!BJ$95,"")</f>
        <v/>
      </c>
      <c r="AY35" s="4">
        <f>IF(XS_Designer_Bed_Mix!$J35&lt;=XS_Designer!$BN$96,XS_Designer!BA$96,"")</f>
        <v>335.28000000000003</v>
      </c>
      <c r="AZ35" s="4">
        <f>IF(XS_Designer_Bed_Mix!$J35&lt;=XS_Designer!$BN$96,XS_Designer!BB$96,"")</f>
        <v>335.28000000000003</v>
      </c>
      <c r="BA35" s="4">
        <f>IF(XS_Designer_Bed_Mix!$J35&lt;=XS_Designer!$BN$96,XS_Designer!BC$96,"")</f>
        <v>335.28000000000003</v>
      </c>
      <c r="BB35" s="4">
        <f>IF(XS_Designer_Bed_Mix!$J35&lt;=XS_Designer!$BN$96,XS_Designer!BD$96,"")</f>
        <v>335.28000000000003</v>
      </c>
      <c r="BC35" s="4">
        <f>IF(XS_Designer_Bed_Mix!$J35&lt;=XS_Designer!$BN$96,XS_Designer!BE$96,"")</f>
        <v>335.28000000000003</v>
      </c>
      <c r="BD35" s="4">
        <f>IF(XS_Designer_Bed_Mix!$J35&lt;=XS_Designer!$BN$96,XS_Designer!BF$96,"")</f>
        <v>335.28000000000003</v>
      </c>
      <c r="BE35" s="4">
        <f>IF(XS_Designer_Bed_Mix!$J35&lt;=XS_Designer!$BN$96,XS_Designer!BG$96,"")</f>
        <v>335.28000000000003</v>
      </c>
      <c r="BF35" s="4">
        <f>IF(XS_Designer_Bed_Mix!$J35&lt;=XS_Designer!$BN$96,XS_Designer!BH$96,"")</f>
        <v>335.28000000000003</v>
      </c>
      <c r="BG35" s="4">
        <f>IF(XS_Designer_Bed_Mix!$J35&lt;=XS_Designer!$BN$96,XS_Designer!BI$96,"")</f>
        <v>335.28000000000003</v>
      </c>
      <c r="BH35" s="4">
        <f>IF(XS_Designer_Bed_Mix!$J35&lt;=XS_Designer!$BN$96,XS_Designer!BJ$96,"")</f>
        <v>335.28000000000003</v>
      </c>
      <c r="BI35" s="4" t="str">
        <f>IF(XS_Designer_Bed_Mix!$J35&lt;=XS_Designer!$BN$97,XS_Designer!BA$97,"")</f>
        <v/>
      </c>
      <c r="BJ35" s="4" t="str">
        <f>IF(XS_Designer_Bed_Mix!$J35&lt;=XS_Designer!$BN$97,XS_Designer!BB$97,"")</f>
        <v/>
      </c>
      <c r="BK35" s="4" t="str">
        <f>IF(XS_Designer_Bed_Mix!$J35&lt;=XS_Designer!$BN$97,XS_Designer!BC$97,"")</f>
        <v/>
      </c>
      <c r="BL35" s="4" t="str">
        <f>IF(XS_Designer_Bed_Mix!$J35&lt;=XS_Designer!$BN$97,XS_Designer!BD$97,"")</f>
        <v/>
      </c>
      <c r="BM35" s="4" t="str">
        <f>IF(XS_Designer_Bed_Mix!$J35&lt;=XS_Designer!$BN$97,XS_Designer!BE$97,"")</f>
        <v/>
      </c>
      <c r="BN35" s="4" t="str">
        <f>IF(XS_Designer_Bed_Mix!$J35&lt;=XS_Designer!$BN$97,XS_Designer!BF$97,"")</f>
        <v/>
      </c>
      <c r="BO35" s="4" t="str">
        <f>IF(XS_Designer_Bed_Mix!$J35&lt;=XS_Designer!$BN$97,XS_Designer!BG$97,"")</f>
        <v/>
      </c>
      <c r="BP35" s="4" t="str">
        <f>IF(XS_Designer_Bed_Mix!$J35&lt;=XS_Designer!$BN$97,XS_Designer!BH$97,"")</f>
        <v/>
      </c>
      <c r="BQ35" s="4" t="str">
        <f>IF(XS_Designer_Bed_Mix!$J35&lt;=XS_Designer!$BN$97,XS_Designer!BI$97,"")</f>
        <v/>
      </c>
      <c r="BR35" s="4" t="str">
        <f>IF(XS_Designer_Bed_Mix!$J35&lt;=XS_Designer!$BN$97,XS_Designer!BJ$97,"")</f>
        <v/>
      </c>
      <c r="BS35" s="4" t="str">
        <f>IF(XS_Designer_Bed_Mix!$J35&lt;=XS_Designer!$BN$98,XS_Designer!BA$98,"")</f>
        <v/>
      </c>
      <c r="BT35" s="4" t="str">
        <f>IF(XS_Designer_Bed_Mix!$J35&lt;=XS_Designer!$BN$98,XS_Designer!BB$98,"")</f>
        <v/>
      </c>
      <c r="BU35" s="4" t="str">
        <f>IF(XS_Designer_Bed_Mix!$J35&lt;=XS_Designer!$BN$98,XS_Designer!BC$98,"")</f>
        <v/>
      </c>
      <c r="BV35" s="4" t="str">
        <f>IF(XS_Designer_Bed_Mix!$J35&lt;=XS_Designer!$BN$98,XS_Designer!BD$98,"")</f>
        <v/>
      </c>
      <c r="BW35" s="4" t="str">
        <f>IF(XS_Designer_Bed_Mix!$J35&lt;=XS_Designer!$BN$98,XS_Designer!BE$98,"")</f>
        <v/>
      </c>
      <c r="BX35" s="4" t="str">
        <f>IF(XS_Designer_Bed_Mix!$J35&lt;=XS_Designer!$BN$98,XS_Designer!BF$98,"")</f>
        <v/>
      </c>
      <c r="BY35" s="4" t="str">
        <f>IF(XS_Designer_Bed_Mix!$J35&lt;=XS_Designer!$BN$98,XS_Designer!BG$98,"")</f>
        <v/>
      </c>
      <c r="BZ35" s="4" t="str">
        <f>IF(XS_Designer_Bed_Mix!$J35&lt;=XS_Designer!$BN$98,XS_Designer!BH$98,"")</f>
        <v/>
      </c>
      <c r="CA35" s="4" t="str">
        <f>IF(XS_Designer_Bed_Mix!$J35&lt;=XS_Designer!$BN$98,XS_Designer!BI$98,"")</f>
        <v/>
      </c>
      <c r="CB35" s="4" t="str">
        <f>IF(XS_Designer_Bed_Mix!$J35&lt;=XS_Designer!$BN$98,XS_Designer!BJ$98,"")</f>
        <v/>
      </c>
      <c r="CC35" s="4" t="str">
        <f>IF(XS_Designer_Bed_Mix!$J35&lt;=XS_Designer!$BN$99,XS_Designer!BA$99,"")</f>
        <v/>
      </c>
      <c r="CD35" s="4" t="str">
        <f>IF(XS_Designer_Bed_Mix!$J35&lt;=XS_Designer!$BN$99,XS_Designer!BB$99,"")</f>
        <v/>
      </c>
      <c r="CE35" s="4" t="str">
        <f>IF(XS_Designer_Bed_Mix!$J35&lt;=XS_Designer!$BN$99,XS_Designer!BC$99,"")</f>
        <v/>
      </c>
      <c r="CF35" s="4" t="str">
        <f>IF(XS_Designer_Bed_Mix!$J35&lt;=XS_Designer!$BN$99,XS_Designer!BD$99,"")</f>
        <v/>
      </c>
      <c r="CG35" s="4" t="str">
        <f>IF(XS_Designer_Bed_Mix!$J35&lt;=XS_Designer!$BN$99,XS_Designer!BE$99,"")</f>
        <v/>
      </c>
      <c r="CH35" s="4" t="str">
        <f>IF(XS_Designer_Bed_Mix!$J35&lt;=XS_Designer!$BN$99,XS_Designer!BF$99,"")</f>
        <v/>
      </c>
      <c r="CI35" s="4" t="str">
        <f>IF(XS_Designer_Bed_Mix!$J35&lt;=XS_Designer!$BN$99,XS_Designer!BG$99,"")</f>
        <v/>
      </c>
      <c r="CJ35" s="4" t="str">
        <f>IF(XS_Designer_Bed_Mix!$J35&lt;=XS_Designer!$BN$99,XS_Designer!BH$99,"")</f>
        <v/>
      </c>
      <c r="CK35" s="4" t="str">
        <f>IF(XS_Designer_Bed_Mix!$J35&lt;=XS_Designer!$BN$99,XS_Designer!BI$99,"")</f>
        <v/>
      </c>
      <c r="CL35" s="4" t="str">
        <f>IF(XS_Designer_Bed_Mix!$J35&lt;=XS_Designer!$BN$99,XS_Designer!BJ$99,"")</f>
        <v/>
      </c>
      <c r="CM35" s="4">
        <f>IF(XS_Designer_Bed_Mix!$J35&lt;=XS_Designer!$BN$100,XS_Designer!BA$100,"")</f>
        <v>64</v>
      </c>
      <c r="CN35" s="4">
        <f>IF(XS_Designer_Bed_Mix!$J35&lt;=XS_Designer!$BN$100,XS_Designer!BB$100,"")</f>
        <v>57.6</v>
      </c>
      <c r="CO35" s="4">
        <f>IF(XS_Designer_Bed_Mix!$J35&lt;=XS_Designer!$BN$100,XS_Designer!BC$100,"")</f>
        <v>51.2</v>
      </c>
      <c r="CP35" s="4">
        <f>IF(XS_Designer_Bed_Mix!$J35&lt;=XS_Designer!$BN$100,XS_Designer!BD$100,"")</f>
        <v>44.800000000000004</v>
      </c>
      <c r="CQ35" s="4">
        <f>IF(XS_Designer_Bed_Mix!$J35&lt;=XS_Designer!$BN$100,XS_Designer!BE$100,"")</f>
        <v>38.400000000000006</v>
      </c>
      <c r="CR35" s="4">
        <f>IF(XS_Designer_Bed_Mix!$J35&lt;=XS_Designer!$BN$100,XS_Designer!BF$100,"")</f>
        <v>32</v>
      </c>
      <c r="CS35" s="4">
        <f>IF(XS_Designer_Bed_Mix!$J35&lt;=XS_Designer!$BN$100,XS_Designer!BG$100,"")</f>
        <v>26</v>
      </c>
      <c r="CT35" s="4">
        <f>IF(XS_Designer_Bed_Mix!$J35&lt;=XS_Designer!$BN$100,XS_Designer!BH$100,"")</f>
        <v>20</v>
      </c>
      <c r="CU35" s="4">
        <f>IF(XS_Designer_Bed_Mix!$J35&lt;=XS_Designer!$BN$100,XS_Designer!BI$100,"")</f>
        <v>14</v>
      </c>
      <c r="CV35" s="4">
        <f>IF(XS_Designer_Bed_Mix!$J35&lt;=XS_Designer!$BN$100,XS_Designer!BJ$100,"")</f>
        <v>8</v>
      </c>
      <c r="CW35" s="4" t="str">
        <f>IF(XS_Designer_Bed_Mix!$J35&lt;=XS_Designer!$BN$101,XS_Designer!BA$101,"")</f>
        <v/>
      </c>
      <c r="CX35" s="4" t="str">
        <f>IF(XS_Designer_Bed_Mix!$J35&lt;=XS_Designer!$BN$101,XS_Designer!BB$101,"")</f>
        <v/>
      </c>
      <c r="CY35" s="4" t="str">
        <f>IF(XS_Designer_Bed_Mix!$J35&lt;=XS_Designer!$BN$101,XS_Designer!BC$101,"")</f>
        <v/>
      </c>
      <c r="CZ35" s="4" t="str">
        <f>IF(XS_Designer_Bed_Mix!$J35&lt;=XS_Designer!$BN$101,XS_Designer!BD$101,"")</f>
        <v/>
      </c>
      <c r="DA35" s="4" t="str">
        <f>IF(XS_Designer_Bed_Mix!$J35&lt;=XS_Designer!$BN$101,XS_Designer!BE$101,"")</f>
        <v/>
      </c>
      <c r="DB35" s="4" t="str">
        <f>IF(XS_Designer_Bed_Mix!$J35&lt;=XS_Designer!$BN$101,XS_Designer!BF$101,"")</f>
        <v/>
      </c>
      <c r="DC35" s="4" t="str">
        <f>IF(XS_Designer_Bed_Mix!$J35&lt;=XS_Designer!$BN$101,XS_Designer!BG$101,"")</f>
        <v/>
      </c>
      <c r="DD35" s="4" t="str">
        <f>IF(XS_Designer_Bed_Mix!$J35&lt;=XS_Designer!$BN$101,XS_Designer!BH$101,"")</f>
        <v/>
      </c>
      <c r="DE35" s="4" t="str">
        <f>IF(XS_Designer_Bed_Mix!$J35&lt;=XS_Designer!$BN$101,XS_Designer!BI$101,"")</f>
        <v/>
      </c>
      <c r="DF35" s="4" t="str">
        <f>IF(XS_Designer_Bed_Mix!$J35&lt;=XS_Designer!$BN$101,XS_Designer!BJ$101,"")</f>
        <v/>
      </c>
      <c r="DG35" s="4" t="str">
        <f>IF(XS_Designer_Bed_Mix!$J35&lt;=XS_Designer!$BN$102,XS_Designer!BA$102,"")</f>
        <v/>
      </c>
      <c r="DH35" s="4" t="str">
        <f>IF(XS_Designer_Bed_Mix!$J35&lt;=XS_Designer!$BN$102,XS_Designer!BB$102,"")</f>
        <v/>
      </c>
      <c r="DI35" s="4" t="str">
        <f>IF(XS_Designer_Bed_Mix!$J35&lt;=XS_Designer!$BN$102,XS_Designer!BC$102,"")</f>
        <v/>
      </c>
      <c r="DJ35" s="4" t="str">
        <f>IF(XS_Designer_Bed_Mix!$J35&lt;=XS_Designer!$BN$102,XS_Designer!BD$102,"")</f>
        <v/>
      </c>
      <c r="DK35" s="4" t="str">
        <f>IF(XS_Designer_Bed_Mix!$J35&lt;=XS_Designer!$BN$102,XS_Designer!BE$102,"")</f>
        <v/>
      </c>
      <c r="DL35" s="4" t="str">
        <f>IF(XS_Designer_Bed_Mix!$J35&lt;=XS_Designer!$BN$102,XS_Designer!BF$102,"")</f>
        <v/>
      </c>
      <c r="DM35" s="4" t="str">
        <f>IF(XS_Designer_Bed_Mix!$J35&lt;=XS_Designer!$BN$102,XS_Designer!BG$102,"")</f>
        <v/>
      </c>
      <c r="DN35" s="4" t="str">
        <f>IF(XS_Designer_Bed_Mix!$J35&lt;=XS_Designer!$BN$102,XS_Designer!BH$102,"")</f>
        <v/>
      </c>
      <c r="DO35" s="4" t="str">
        <f>IF(XS_Designer_Bed_Mix!$J35&lt;=XS_Designer!$BN$102,XS_Designer!BI$102,"")</f>
        <v/>
      </c>
      <c r="DP35" s="4" t="str">
        <f>IF(XS_Designer_Bed_Mix!$J35&lt;=XS_Designer!$BN$102,XS_Designer!BJ$102,"")</f>
        <v/>
      </c>
    </row>
    <row r="36" spans="10:120">
      <c r="J36" s="3">
        <v>0.35</v>
      </c>
      <c r="K36" s="4" t="str">
        <f>IF(XS_Designer_Bed_Mix!$J36&lt;=XS_Designer!$BN$92,XS_Designer!BA$92,"")</f>
        <v/>
      </c>
      <c r="L36" s="4" t="str">
        <f>IF(XS_Designer_Bed_Mix!$J36&lt;=XS_Designer!$BN$92,XS_Designer!BB$92,"")</f>
        <v/>
      </c>
      <c r="M36" s="4" t="str">
        <f>IF(XS_Designer_Bed_Mix!$J36&lt;=XS_Designer!$BN$92,XS_Designer!BC$92,"")</f>
        <v/>
      </c>
      <c r="N36" s="4" t="str">
        <f>IF(XS_Designer_Bed_Mix!$J36&lt;=XS_Designer!$BN$92,XS_Designer!BD$92,"")</f>
        <v/>
      </c>
      <c r="O36" s="4" t="str">
        <f>IF(XS_Designer_Bed_Mix!$J36&lt;=XS_Designer!$BN$92,XS_Designer!BE$92,"")</f>
        <v/>
      </c>
      <c r="P36" s="4" t="str">
        <f>IF(XS_Designer_Bed_Mix!$J36&lt;=XS_Designer!$BN$92,XS_Designer!BF$92,"")</f>
        <v/>
      </c>
      <c r="Q36" s="4" t="str">
        <f>IF(XS_Designer_Bed_Mix!$J36&lt;=XS_Designer!$BN$92,XS_Designer!BG$92,"")</f>
        <v/>
      </c>
      <c r="R36" s="4" t="str">
        <f>IF(XS_Designer_Bed_Mix!$J36&lt;=XS_Designer!$BN$92,XS_Designer!BH$92,"")</f>
        <v/>
      </c>
      <c r="S36" s="4" t="str">
        <f>IF(XS_Designer_Bed_Mix!$J36&lt;=XS_Designer!$BN$92,XS_Designer!BI$92,"")</f>
        <v/>
      </c>
      <c r="T36" s="4" t="str">
        <f>IF(XS_Designer_Bed_Mix!$J36&lt;=XS_Designer!$BN$92,XS_Designer!BJ$92,"")</f>
        <v/>
      </c>
      <c r="U36" s="4" t="str">
        <f>IF(XS_Designer_Bed_Mix!$J36&lt;=XS_Designer!$BN$93,XS_Designer!BA$93,"")</f>
        <v/>
      </c>
      <c r="V36" s="4" t="str">
        <f>IF(XS_Designer_Bed_Mix!$J36&lt;=XS_Designer!$BN$93,XS_Designer!BB$93,"")</f>
        <v/>
      </c>
      <c r="W36" s="4" t="str">
        <f>IF(XS_Designer_Bed_Mix!$J36&lt;=XS_Designer!$BN$93,XS_Designer!BC$93,"")</f>
        <v/>
      </c>
      <c r="X36" s="4" t="str">
        <f>IF(XS_Designer_Bed_Mix!$J36&lt;=XS_Designer!$BN$93,XS_Designer!BD$93,"")</f>
        <v/>
      </c>
      <c r="Y36" s="4" t="str">
        <f>IF(XS_Designer_Bed_Mix!$J36&lt;=XS_Designer!$BN$93,XS_Designer!BE$93,"")</f>
        <v/>
      </c>
      <c r="Z36" s="4" t="str">
        <f>IF(XS_Designer_Bed_Mix!$J36&lt;=XS_Designer!$BN$93,XS_Designer!BF$93,"")</f>
        <v/>
      </c>
      <c r="AA36" s="4" t="str">
        <f>IF(XS_Designer_Bed_Mix!$J36&lt;=XS_Designer!$BN$93,XS_Designer!BG$93,"")</f>
        <v/>
      </c>
      <c r="AB36" s="4" t="str">
        <f>IF(XS_Designer_Bed_Mix!$J36&lt;=XS_Designer!$BN$93,XS_Designer!BH$93,"")</f>
        <v/>
      </c>
      <c r="AC36" s="4" t="str">
        <f>IF(XS_Designer_Bed_Mix!$J36&lt;=XS_Designer!$BN$93,XS_Designer!BI$93,"")</f>
        <v/>
      </c>
      <c r="AD36" s="4" t="str">
        <f>IF(XS_Designer_Bed_Mix!$J36&lt;=XS_Designer!$BN$93,XS_Designer!BJ$93,"")</f>
        <v/>
      </c>
      <c r="AE36" s="4" t="str">
        <f>IF(XS_Designer_Bed_Mix!$J36&lt;=XS_Designer!$BN$94,XS_Designer!BA$94,"")</f>
        <v/>
      </c>
      <c r="AF36" s="4" t="str">
        <f>IF(XS_Designer_Bed_Mix!$J36&lt;=XS_Designer!$BN$94,XS_Designer!BB$94,"")</f>
        <v/>
      </c>
      <c r="AG36" s="4" t="str">
        <f>IF(XS_Designer_Bed_Mix!$J36&lt;=XS_Designer!$BN$94,XS_Designer!BC$94,"")</f>
        <v/>
      </c>
      <c r="AH36" s="4" t="str">
        <f>IF(XS_Designer_Bed_Mix!$J36&lt;=XS_Designer!$BN$94,XS_Designer!BD$94,"")</f>
        <v/>
      </c>
      <c r="AI36" s="4" t="str">
        <f>IF(XS_Designer_Bed_Mix!$J36&lt;=XS_Designer!$BN$94,XS_Designer!BE$94,"")</f>
        <v/>
      </c>
      <c r="AJ36" s="4" t="str">
        <f>IF(XS_Designer_Bed_Mix!$J36&lt;=XS_Designer!$BN$94,XS_Designer!BF$94,"")</f>
        <v/>
      </c>
      <c r="AK36" s="4" t="str">
        <f>IF(XS_Designer_Bed_Mix!$J36&lt;=XS_Designer!$BN$94,XS_Designer!BG$94,"")</f>
        <v/>
      </c>
      <c r="AL36" s="4" t="str">
        <f>IF(XS_Designer_Bed_Mix!$J36&lt;=XS_Designer!$BN$94,XS_Designer!BH$94,"")</f>
        <v/>
      </c>
      <c r="AM36" s="4" t="str">
        <f>IF(XS_Designer_Bed_Mix!$J36&lt;=XS_Designer!$BN$94,XS_Designer!BI$94,"")</f>
        <v/>
      </c>
      <c r="AN36" s="4" t="str">
        <f>IF(XS_Designer_Bed_Mix!$J36&lt;=XS_Designer!$BN$94,XS_Designer!BJ$94,"")</f>
        <v/>
      </c>
      <c r="AO36" s="4" t="str">
        <f>IF(XS_Designer_Bed_Mix!$J36&lt;=XS_Designer!$BN$95,XS_Designer!BA$95,"")</f>
        <v/>
      </c>
      <c r="AP36" s="4" t="str">
        <f>IF(XS_Designer_Bed_Mix!$J36&lt;=XS_Designer!$BN$95,XS_Designer!BB$95,"")</f>
        <v/>
      </c>
      <c r="AQ36" s="4" t="str">
        <f>IF(XS_Designer_Bed_Mix!$J36&lt;=XS_Designer!$BN$95,XS_Designer!BC$95,"")</f>
        <v/>
      </c>
      <c r="AR36" s="4" t="str">
        <f>IF(XS_Designer_Bed_Mix!$J36&lt;=XS_Designer!$BN$95,XS_Designer!BD$95,"")</f>
        <v/>
      </c>
      <c r="AS36" s="4" t="str">
        <f>IF(XS_Designer_Bed_Mix!$J36&lt;=XS_Designer!$BN$95,XS_Designer!BE$95,"")</f>
        <v/>
      </c>
      <c r="AT36" s="4" t="str">
        <f>IF(XS_Designer_Bed_Mix!$J36&lt;=XS_Designer!$BN$95,XS_Designer!BF$95,"")</f>
        <v/>
      </c>
      <c r="AU36" s="4" t="str">
        <f>IF(XS_Designer_Bed_Mix!$J36&lt;=XS_Designer!$BN$95,XS_Designer!BG$95,"")</f>
        <v/>
      </c>
      <c r="AV36" s="4" t="str">
        <f>IF(XS_Designer_Bed_Mix!$J36&lt;=XS_Designer!$BN$95,XS_Designer!BH$95,"")</f>
        <v/>
      </c>
      <c r="AW36" s="4" t="str">
        <f>IF(XS_Designer_Bed_Mix!$J36&lt;=XS_Designer!$BN$95,XS_Designer!BI$95,"")</f>
        <v/>
      </c>
      <c r="AX36" s="4" t="str">
        <f>IF(XS_Designer_Bed_Mix!$J36&lt;=XS_Designer!$BN$95,XS_Designer!BJ$95,"")</f>
        <v/>
      </c>
      <c r="AY36" s="4">
        <f>IF(XS_Designer_Bed_Mix!$J36&lt;=XS_Designer!$BN$96,XS_Designer!BA$96,"")</f>
        <v>335.28000000000003</v>
      </c>
      <c r="AZ36" s="4">
        <f>IF(XS_Designer_Bed_Mix!$J36&lt;=XS_Designer!$BN$96,XS_Designer!BB$96,"")</f>
        <v>335.28000000000003</v>
      </c>
      <c r="BA36" s="4">
        <f>IF(XS_Designer_Bed_Mix!$J36&lt;=XS_Designer!$BN$96,XS_Designer!BC$96,"")</f>
        <v>335.28000000000003</v>
      </c>
      <c r="BB36" s="4">
        <f>IF(XS_Designer_Bed_Mix!$J36&lt;=XS_Designer!$BN$96,XS_Designer!BD$96,"")</f>
        <v>335.28000000000003</v>
      </c>
      <c r="BC36" s="4">
        <f>IF(XS_Designer_Bed_Mix!$J36&lt;=XS_Designer!$BN$96,XS_Designer!BE$96,"")</f>
        <v>335.28000000000003</v>
      </c>
      <c r="BD36" s="4">
        <f>IF(XS_Designer_Bed_Mix!$J36&lt;=XS_Designer!$BN$96,XS_Designer!BF$96,"")</f>
        <v>335.28000000000003</v>
      </c>
      <c r="BE36" s="4">
        <f>IF(XS_Designer_Bed_Mix!$J36&lt;=XS_Designer!$BN$96,XS_Designer!BG$96,"")</f>
        <v>335.28000000000003</v>
      </c>
      <c r="BF36" s="4">
        <f>IF(XS_Designer_Bed_Mix!$J36&lt;=XS_Designer!$BN$96,XS_Designer!BH$96,"")</f>
        <v>335.28000000000003</v>
      </c>
      <c r="BG36" s="4">
        <f>IF(XS_Designer_Bed_Mix!$J36&lt;=XS_Designer!$BN$96,XS_Designer!BI$96,"")</f>
        <v>335.28000000000003</v>
      </c>
      <c r="BH36" s="4">
        <f>IF(XS_Designer_Bed_Mix!$J36&lt;=XS_Designer!$BN$96,XS_Designer!BJ$96,"")</f>
        <v>335.28000000000003</v>
      </c>
      <c r="BI36" s="4" t="str">
        <f>IF(XS_Designer_Bed_Mix!$J36&lt;=XS_Designer!$BN$97,XS_Designer!BA$97,"")</f>
        <v/>
      </c>
      <c r="BJ36" s="4" t="str">
        <f>IF(XS_Designer_Bed_Mix!$J36&lt;=XS_Designer!$BN$97,XS_Designer!BB$97,"")</f>
        <v/>
      </c>
      <c r="BK36" s="4" t="str">
        <f>IF(XS_Designer_Bed_Mix!$J36&lt;=XS_Designer!$BN$97,XS_Designer!BC$97,"")</f>
        <v/>
      </c>
      <c r="BL36" s="4" t="str">
        <f>IF(XS_Designer_Bed_Mix!$J36&lt;=XS_Designer!$BN$97,XS_Designer!BD$97,"")</f>
        <v/>
      </c>
      <c r="BM36" s="4" t="str">
        <f>IF(XS_Designer_Bed_Mix!$J36&lt;=XS_Designer!$BN$97,XS_Designer!BE$97,"")</f>
        <v/>
      </c>
      <c r="BN36" s="4" t="str">
        <f>IF(XS_Designer_Bed_Mix!$J36&lt;=XS_Designer!$BN$97,XS_Designer!BF$97,"")</f>
        <v/>
      </c>
      <c r="BO36" s="4" t="str">
        <f>IF(XS_Designer_Bed_Mix!$J36&lt;=XS_Designer!$BN$97,XS_Designer!BG$97,"")</f>
        <v/>
      </c>
      <c r="BP36" s="4" t="str">
        <f>IF(XS_Designer_Bed_Mix!$J36&lt;=XS_Designer!$BN$97,XS_Designer!BH$97,"")</f>
        <v/>
      </c>
      <c r="BQ36" s="4" t="str">
        <f>IF(XS_Designer_Bed_Mix!$J36&lt;=XS_Designer!$BN$97,XS_Designer!BI$97,"")</f>
        <v/>
      </c>
      <c r="BR36" s="4" t="str">
        <f>IF(XS_Designer_Bed_Mix!$J36&lt;=XS_Designer!$BN$97,XS_Designer!BJ$97,"")</f>
        <v/>
      </c>
      <c r="BS36" s="4" t="str">
        <f>IF(XS_Designer_Bed_Mix!$J36&lt;=XS_Designer!$BN$98,XS_Designer!BA$98,"")</f>
        <v/>
      </c>
      <c r="BT36" s="4" t="str">
        <f>IF(XS_Designer_Bed_Mix!$J36&lt;=XS_Designer!$BN$98,XS_Designer!BB$98,"")</f>
        <v/>
      </c>
      <c r="BU36" s="4" t="str">
        <f>IF(XS_Designer_Bed_Mix!$J36&lt;=XS_Designer!$BN$98,XS_Designer!BC$98,"")</f>
        <v/>
      </c>
      <c r="BV36" s="4" t="str">
        <f>IF(XS_Designer_Bed_Mix!$J36&lt;=XS_Designer!$BN$98,XS_Designer!BD$98,"")</f>
        <v/>
      </c>
      <c r="BW36" s="4" t="str">
        <f>IF(XS_Designer_Bed_Mix!$J36&lt;=XS_Designer!$BN$98,XS_Designer!BE$98,"")</f>
        <v/>
      </c>
      <c r="BX36" s="4" t="str">
        <f>IF(XS_Designer_Bed_Mix!$J36&lt;=XS_Designer!$BN$98,XS_Designer!BF$98,"")</f>
        <v/>
      </c>
      <c r="BY36" s="4" t="str">
        <f>IF(XS_Designer_Bed_Mix!$J36&lt;=XS_Designer!$BN$98,XS_Designer!BG$98,"")</f>
        <v/>
      </c>
      <c r="BZ36" s="4" t="str">
        <f>IF(XS_Designer_Bed_Mix!$J36&lt;=XS_Designer!$BN$98,XS_Designer!BH$98,"")</f>
        <v/>
      </c>
      <c r="CA36" s="4" t="str">
        <f>IF(XS_Designer_Bed_Mix!$J36&lt;=XS_Designer!$BN$98,XS_Designer!BI$98,"")</f>
        <v/>
      </c>
      <c r="CB36" s="4" t="str">
        <f>IF(XS_Designer_Bed_Mix!$J36&lt;=XS_Designer!$BN$98,XS_Designer!BJ$98,"")</f>
        <v/>
      </c>
      <c r="CC36" s="4" t="str">
        <f>IF(XS_Designer_Bed_Mix!$J36&lt;=XS_Designer!$BN$99,XS_Designer!BA$99,"")</f>
        <v/>
      </c>
      <c r="CD36" s="4" t="str">
        <f>IF(XS_Designer_Bed_Mix!$J36&lt;=XS_Designer!$BN$99,XS_Designer!BB$99,"")</f>
        <v/>
      </c>
      <c r="CE36" s="4" t="str">
        <f>IF(XS_Designer_Bed_Mix!$J36&lt;=XS_Designer!$BN$99,XS_Designer!BC$99,"")</f>
        <v/>
      </c>
      <c r="CF36" s="4" t="str">
        <f>IF(XS_Designer_Bed_Mix!$J36&lt;=XS_Designer!$BN$99,XS_Designer!BD$99,"")</f>
        <v/>
      </c>
      <c r="CG36" s="4" t="str">
        <f>IF(XS_Designer_Bed_Mix!$J36&lt;=XS_Designer!$BN$99,XS_Designer!BE$99,"")</f>
        <v/>
      </c>
      <c r="CH36" s="4" t="str">
        <f>IF(XS_Designer_Bed_Mix!$J36&lt;=XS_Designer!$BN$99,XS_Designer!BF$99,"")</f>
        <v/>
      </c>
      <c r="CI36" s="4" t="str">
        <f>IF(XS_Designer_Bed_Mix!$J36&lt;=XS_Designer!$BN$99,XS_Designer!BG$99,"")</f>
        <v/>
      </c>
      <c r="CJ36" s="4" t="str">
        <f>IF(XS_Designer_Bed_Mix!$J36&lt;=XS_Designer!$BN$99,XS_Designer!BH$99,"")</f>
        <v/>
      </c>
      <c r="CK36" s="4" t="str">
        <f>IF(XS_Designer_Bed_Mix!$J36&lt;=XS_Designer!$BN$99,XS_Designer!BI$99,"")</f>
        <v/>
      </c>
      <c r="CL36" s="4" t="str">
        <f>IF(XS_Designer_Bed_Mix!$J36&lt;=XS_Designer!$BN$99,XS_Designer!BJ$99,"")</f>
        <v/>
      </c>
      <c r="CM36" s="4">
        <f>IF(XS_Designer_Bed_Mix!$J36&lt;=XS_Designer!$BN$100,XS_Designer!BA$100,"")</f>
        <v>64</v>
      </c>
      <c r="CN36" s="4">
        <f>IF(XS_Designer_Bed_Mix!$J36&lt;=XS_Designer!$BN$100,XS_Designer!BB$100,"")</f>
        <v>57.6</v>
      </c>
      <c r="CO36" s="4">
        <f>IF(XS_Designer_Bed_Mix!$J36&lt;=XS_Designer!$BN$100,XS_Designer!BC$100,"")</f>
        <v>51.2</v>
      </c>
      <c r="CP36" s="4">
        <f>IF(XS_Designer_Bed_Mix!$J36&lt;=XS_Designer!$BN$100,XS_Designer!BD$100,"")</f>
        <v>44.800000000000004</v>
      </c>
      <c r="CQ36" s="4">
        <f>IF(XS_Designer_Bed_Mix!$J36&lt;=XS_Designer!$BN$100,XS_Designer!BE$100,"")</f>
        <v>38.400000000000006</v>
      </c>
      <c r="CR36" s="4">
        <f>IF(XS_Designer_Bed_Mix!$J36&lt;=XS_Designer!$BN$100,XS_Designer!BF$100,"")</f>
        <v>32</v>
      </c>
      <c r="CS36" s="4">
        <f>IF(XS_Designer_Bed_Mix!$J36&lt;=XS_Designer!$BN$100,XS_Designer!BG$100,"")</f>
        <v>26</v>
      </c>
      <c r="CT36" s="4">
        <f>IF(XS_Designer_Bed_Mix!$J36&lt;=XS_Designer!$BN$100,XS_Designer!BH$100,"")</f>
        <v>20</v>
      </c>
      <c r="CU36" s="4">
        <f>IF(XS_Designer_Bed_Mix!$J36&lt;=XS_Designer!$BN$100,XS_Designer!BI$100,"")</f>
        <v>14</v>
      </c>
      <c r="CV36" s="4">
        <f>IF(XS_Designer_Bed_Mix!$J36&lt;=XS_Designer!$BN$100,XS_Designer!BJ$100,"")</f>
        <v>8</v>
      </c>
      <c r="CW36" s="4" t="str">
        <f>IF(XS_Designer_Bed_Mix!$J36&lt;=XS_Designer!$BN$101,XS_Designer!BA$101,"")</f>
        <v/>
      </c>
      <c r="CX36" s="4" t="str">
        <f>IF(XS_Designer_Bed_Mix!$J36&lt;=XS_Designer!$BN$101,XS_Designer!BB$101,"")</f>
        <v/>
      </c>
      <c r="CY36" s="4" t="str">
        <f>IF(XS_Designer_Bed_Mix!$J36&lt;=XS_Designer!$BN$101,XS_Designer!BC$101,"")</f>
        <v/>
      </c>
      <c r="CZ36" s="4" t="str">
        <f>IF(XS_Designer_Bed_Mix!$J36&lt;=XS_Designer!$BN$101,XS_Designer!BD$101,"")</f>
        <v/>
      </c>
      <c r="DA36" s="4" t="str">
        <f>IF(XS_Designer_Bed_Mix!$J36&lt;=XS_Designer!$BN$101,XS_Designer!BE$101,"")</f>
        <v/>
      </c>
      <c r="DB36" s="4" t="str">
        <f>IF(XS_Designer_Bed_Mix!$J36&lt;=XS_Designer!$BN$101,XS_Designer!BF$101,"")</f>
        <v/>
      </c>
      <c r="DC36" s="4" t="str">
        <f>IF(XS_Designer_Bed_Mix!$J36&lt;=XS_Designer!$BN$101,XS_Designer!BG$101,"")</f>
        <v/>
      </c>
      <c r="DD36" s="4" t="str">
        <f>IF(XS_Designer_Bed_Mix!$J36&lt;=XS_Designer!$BN$101,XS_Designer!BH$101,"")</f>
        <v/>
      </c>
      <c r="DE36" s="4" t="str">
        <f>IF(XS_Designer_Bed_Mix!$J36&lt;=XS_Designer!$BN$101,XS_Designer!BI$101,"")</f>
        <v/>
      </c>
      <c r="DF36" s="4" t="str">
        <f>IF(XS_Designer_Bed_Mix!$J36&lt;=XS_Designer!$BN$101,XS_Designer!BJ$101,"")</f>
        <v/>
      </c>
      <c r="DG36" s="4" t="str">
        <f>IF(XS_Designer_Bed_Mix!$J36&lt;=XS_Designer!$BN$102,XS_Designer!BA$102,"")</f>
        <v/>
      </c>
      <c r="DH36" s="4" t="str">
        <f>IF(XS_Designer_Bed_Mix!$J36&lt;=XS_Designer!$BN$102,XS_Designer!BB$102,"")</f>
        <v/>
      </c>
      <c r="DI36" s="4" t="str">
        <f>IF(XS_Designer_Bed_Mix!$J36&lt;=XS_Designer!$BN$102,XS_Designer!BC$102,"")</f>
        <v/>
      </c>
      <c r="DJ36" s="4" t="str">
        <f>IF(XS_Designer_Bed_Mix!$J36&lt;=XS_Designer!$BN$102,XS_Designer!BD$102,"")</f>
        <v/>
      </c>
      <c r="DK36" s="4" t="str">
        <f>IF(XS_Designer_Bed_Mix!$J36&lt;=XS_Designer!$BN$102,XS_Designer!BE$102,"")</f>
        <v/>
      </c>
      <c r="DL36" s="4" t="str">
        <f>IF(XS_Designer_Bed_Mix!$J36&lt;=XS_Designer!$BN$102,XS_Designer!BF$102,"")</f>
        <v/>
      </c>
      <c r="DM36" s="4" t="str">
        <f>IF(XS_Designer_Bed_Mix!$J36&lt;=XS_Designer!$BN$102,XS_Designer!BG$102,"")</f>
        <v/>
      </c>
      <c r="DN36" s="4" t="str">
        <f>IF(XS_Designer_Bed_Mix!$J36&lt;=XS_Designer!$BN$102,XS_Designer!BH$102,"")</f>
        <v/>
      </c>
      <c r="DO36" s="4" t="str">
        <f>IF(XS_Designer_Bed_Mix!$J36&lt;=XS_Designer!$BN$102,XS_Designer!BI$102,"")</f>
        <v/>
      </c>
      <c r="DP36" s="4" t="str">
        <f>IF(XS_Designer_Bed_Mix!$J36&lt;=XS_Designer!$BN$102,XS_Designer!BJ$102,"")</f>
        <v/>
      </c>
    </row>
    <row r="37" spans="10:120">
      <c r="J37" s="3">
        <v>0.36</v>
      </c>
      <c r="K37" s="4" t="str">
        <f>IF(XS_Designer_Bed_Mix!$J37&lt;=XS_Designer!$BN$92,XS_Designer!BA$92,"")</f>
        <v/>
      </c>
      <c r="L37" s="4" t="str">
        <f>IF(XS_Designer_Bed_Mix!$J37&lt;=XS_Designer!$BN$92,XS_Designer!BB$92,"")</f>
        <v/>
      </c>
      <c r="M37" s="4" t="str">
        <f>IF(XS_Designer_Bed_Mix!$J37&lt;=XS_Designer!$BN$92,XS_Designer!BC$92,"")</f>
        <v/>
      </c>
      <c r="N37" s="4" t="str">
        <f>IF(XS_Designer_Bed_Mix!$J37&lt;=XS_Designer!$BN$92,XS_Designer!BD$92,"")</f>
        <v/>
      </c>
      <c r="O37" s="4" t="str">
        <f>IF(XS_Designer_Bed_Mix!$J37&lt;=XS_Designer!$BN$92,XS_Designer!BE$92,"")</f>
        <v/>
      </c>
      <c r="P37" s="4" t="str">
        <f>IF(XS_Designer_Bed_Mix!$J37&lt;=XS_Designer!$BN$92,XS_Designer!BF$92,"")</f>
        <v/>
      </c>
      <c r="Q37" s="4" t="str">
        <f>IF(XS_Designer_Bed_Mix!$J37&lt;=XS_Designer!$BN$92,XS_Designer!BG$92,"")</f>
        <v/>
      </c>
      <c r="R37" s="4" t="str">
        <f>IF(XS_Designer_Bed_Mix!$J37&lt;=XS_Designer!$BN$92,XS_Designer!BH$92,"")</f>
        <v/>
      </c>
      <c r="S37" s="4" t="str">
        <f>IF(XS_Designer_Bed_Mix!$J37&lt;=XS_Designer!$BN$92,XS_Designer!BI$92,"")</f>
        <v/>
      </c>
      <c r="T37" s="4" t="str">
        <f>IF(XS_Designer_Bed_Mix!$J37&lt;=XS_Designer!$BN$92,XS_Designer!BJ$92,"")</f>
        <v/>
      </c>
      <c r="U37" s="4" t="str">
        <f>IF(XS_Designer_Bed_Mix!$J37&lt;=XS_Designer!$BN$93,XS_Designer!BA$93,"")</f>
        <v/>
      </c>
      <c r="V37" s="4" t="str">
        <f>IF(XS_Designer_Bed_Mix!$J37&lt;=XS_Designer!$BN$93,XS_Designer!BB$93,"")</f>
        <v/>
      </c>
      <c r="W37" s="4" t="str">
        <f>IF(XS_Designer_Bed_Mix!$J37&lt;=XS_Designer!$BN$93,XS_Designer!BC$93,"")</f>
        <v/>
      </c>
      <c r="X37" s="4" t="str">
        <f>IF(XS_Designer_Bed_Mix!$J37&lt;=XS_Designer!$BN$93,XS_Designer!BD$93,"")</f>
        <v/>
      </c>
      <c r="Y37" s="4" t="str">
        <f>IF(XS_Designer_Bed_Mix!$J37&lt;=XS_Designer!$BN$93,XS_Designer!BE$93,"")</f>
        <v/>
      </c>
      <c r="Z37" s="4" t="str">
        <f>IF(XS_Designer_Bed_Mix!$J37&lt;=XS_Designer!$BN$93,XS_Designer!BF$93,"")</f>
        <v/>
      </c>
      <c r="AA37" s="4" t="str">
        <f>IF(XS_Designer_Bed_Mix!$J37&lt;=XS_Designer!$BN$93,XS_Designer!BG$93,"")</f>
        <v/>
      </c>
      <c r="AB37" s="4" t="str">
        <f>IF(XS_Designer_Bed_Mix!$J37&lt;=XS_Designer!$BN$93,XS_Designer!BH$93,"")</f>
        <v/>
      </c>
      <c r="AC37" s="4" t="str">
        <f>IF(XS_Designer_Bed_Mix!$J37&lt;=XS_Designer!$BN$93,XS_Designer!BI$93,"")</f>
        <v/>
      </c>
      <c r="AD37" s="4" t="str">
        <f>IF(XS_Designer_Bed_Mix!$J37&lt;=XS_Designer!$BN$93,XS_Designer!BJ$93,"")</f>
        <v/>
      </c>
      <c r="AE37" s="4" t="str">
        <f>IF(XS_Designer_Bed_Mix!$J37&lt;=XS_Designer!$BN$94,XS_Designer!BA$94,"")</f>
        <v/>
      </c>
      <c r="AF37" s="4" t="str">
        <f>IF(XS_Designer_Bed_Mix!$J37&lt;=XS_Designer!$BN$94,XS_Designer!BB$94,"")</f>
        <v/>
      </c>
      <c r="AG37" s="4" t="str">
        <f>IF(XS_Designer_Bed_Mix!$J37&lt;=XS_Designer!$BN$94,XS_Designer!BC$94,"")</f>
        <v/>
      </c>
      <c r="AH37" s="4" t="str">
        <f>IF(XS_Designer_Bed_Mix!$J37&lt;=XS_Designer!$BN$94,XS_Designer!BD$94,"")</f>
        <v/>
      </c>
      <c r="AI37" s="4" t="str">
        <f>IF(XS_Designer_Bed_Mix!$J37&lt;=XS_Designer!$BN$94,XS_Designer!BE$94,"")</f>
        <v/>
      </c>
      <c r="AJ37" s="4" t="str">
        <f>IF(XS_Designer_Bed_Mix!$J37&lt;=XS_Designer!$BN$94,XS_Designer!BF$94,"")</f>
        <v/>
      </c>
      <c r="AK37" s="4" t="str">
        <f>IF(XS_Designer_Bed_Mix!$J37&lt;=XS_Designer!$BN$94,XS_Designer!BG$94,"")</f>
        <v/>
      </c>
      <c r="AL37" s="4" t="str">
        <f>IF(XS_Designer_Bed_Mix!$J37&lt;=XS_Designer!$BN$94,XS_Designer!BH$94,"")</f>
        <v/>
      </c>
      <c r="AM37" s="4" t="str">
        <f>IF(XS_Designer_Bed_Mix!$J37&lt;=XS_Designer!$BN$94,XS_Designer!BI$94,"")</f>
        <v/>
      </c>
      <c r="AN37" s="4" t="str">
        <f>IF(XS_Designer_Bed_Mix!$J37&lt;=XS_Designer!$BN$94,XS_Designer!BJ$94,"")</f>
        <v/>
      </c>
      <c r="AO37" s="4" t="str">
        <f>IF(XS_Designer_Bed_Mix!$J37&lt;=XS_Designer!$BN$95,XS_Designer!BA$95,"")</f>
        <v/>
      </c>
      <c r="AP37" s="4" t="str">
        <f>IF(XS_Designer_Bed_Mix!$J37&lt;=XS_Designer!$BN$95,XS_Designer!BB$95,"")</f>
        <v/>
      </c>
      <c r="AQ37" s="4" t="str">
        <f>IF(XS_Designer_Bed_Mix!$J37&lt;=XS_Designer!$BN$95,XS_Designer!BC$95,"")</f>
        <v/>
      </c>
      <c r="AR37" s="4" t="str">
        <f>IF(XS_Designer_Bed_Mix!$J37&lt;=XS_Designer!$BN$95,XS_Designer!BD$95,"")</f>
        <v/>
      </c>
      <c r="AS37" s="4" t="str">
        <f>IF(XS_Designer_Bed_Mix!$J37&lt;=XS_Designer!$BN$95,XS_Designer!BE$95,"")</f>
        <v/>
      </c>
      <c r="AT37" s="4" t="str">
        <f>IF(XS_Designer_Bed_Mix!$J37&lt;=XS_Designer!$BN$95,XS_Designer!BF$95,"")</f>
        <v/>
      </c>
      <c r="AU37" s="4" t="str">
        <f>IF(XS_Designer_Bed_Mix!$J37&lt;=XS_Designer!$BN$95,XS_Designer!BG$95,"")</f>
        <v/>
      </c>
      <c r="AV37" s="4" t="str">
        <f>IF(XS_Designer_Bed_Mix!$J37&lt;=XS_Designer!$BN$95,XS_Designer!BH$95,"")</f>
        <v/>
      </c>
      <c r="AW37" s="4" t="str">
        <f>IF(XS_Designer_Bed_Mix!$J37&lt;=XS_Designer!$BN$95,XS_Designer!BI$95,"")</f>
        <v/>
      </c>
      <c r="AX37" s="4" t="str">
        <f>IF(XS_Designer_Bed_Mix!$J37&lt;=XS_Designer!$BN$95,XS_Designer!BJ$95,"")</f>
        <v/>
      </c>
      <c r="AY37" s="4">
        <f>IF(XS_Designer_Bed_Mix!$J37&lt;=XS_Designer!$BN$96,XS_Designer!BA$96,"")</f>
        <v>335.28000000000003</v>
      </c>
      <c r="AZ37" s="4">
        <f>IF(XS_Designer_Bed_Mix!$J37&lt;=XS_Designer!$BN$96,XS_Designer!BB$96,"")</f>
        <v>335.28000000000003</v>
      </c>
      <c r="BA37" s="4">
        <f>IF(XS_Designer_Bed_Mix!$J37&lt;=XS_Designer!$BN$96,XS_Designer!BC$96,"")</f>
        <v>335.28000000000003</v>
      </c>
      <c r="BB37" s="4">
        <f>IF(XS_Designer_Bed_Mix!$J37&lt;=XS_Designer!$BN$96,XS_Designer!BD$96,"")</f>
        <v>335.28000000000003</v>
      </c>
      <c r="BC37" s="4">
        <f>IF(XS_Designer_Bed_Mix!$J37&lt;=XS_Designer!$BN$96,XS_Designer!BE$96,"")</f>
        <v>335.28000000000003</v>
      </c>
      <c r="BD37" s="4">
        <f>IF(XS_Designer_Bed_Mix!$J37&lt;=XS_Designer!$BN$96,XS_Designer!BF$96,"")</f>
        <v>335.28000000000003</v>
      </c>
      <c r="BE37" s="4">
        <f>IF(XS_Designer_Bed_Mix!$J37&lt;=XS_Designer!$BN$96,XS_Designer!BG$96,"")</f>
        <v>335.28000000000003</v>
      </c>
      <c r="BF37" s="4">
        <f>IF(XS_Designer_Bed_Mix!$J37&lt;=XS_Designer!$BN$96,XS_Designer!BH$96,"")</f>
        <v>335.28000000000003</v>
      </c>
      <c r="BG37" s="4">
        <f>IF(XS_Designer_Bed_Mix!$J37&lt;=XS_Designer!$BN$96,XS_Designer!BI$96,"")</f>
        <v>335.28000000000003</v>
      </c>
      <c r="BH37" s="4">
        <f>IF(XS_Designer_Bed_Mix!$J37&lt;=XS_Designer!$BN$96,XS_Designer!BJ$96,"")</f>
        <v>335.28000000000003</v>
      </c>
      <c r="BI37" s="4" t="str">
        <f>IF(XS_Designer_Bed_Mix!$J37&lt;=XS_Designer!$BN$97,XS_Designer!BA$97,"")</f>
        <v/>
      </c>
      <c r="BJ37" s="4" t="str">
        <f>IF(XS_Designer_Bed_Mix!$J37&lt;=XS_Designer!$BN$97,XS_Designer!BB$97,"")</f>
        <v/>
      </c>
      <c r="BK37" s="4" t="str">
        <f>IF(XS_Designer_Bed_Mix!$J37&lt;=XS_Designer!$BN$97,XS_Designer!BC$97,"")</f>
        <v/>
      </c>
      <c r="BL37" s="4" t="str">
        <f>IF(XS_Designer_Bed_Mix!$J37&lt;=XS_Designer!$BN$97,XS_Designer!BD$97,"")</f>
        <v/>
      </c>
      <c r="BM37" s="4" t="str">
        <f>IF(XS_Designer_Bed_Mix!$J37&lt;=XS_Designer!$BN$97,XS_Designer!BE$97,"")</f>
        <v/>
      </c>
      <c r="BN37" s="4" t="str">
        <f>IF(XS_Designer_Bed_Mix!$J37&lt;=XS_Designer!$BN$97,XS_Designer!BF$97,"")</f>
        <v/>
      </c>
      <c r="BO37" s="4" t="str">
        <f>IF(XS_Designer_Bed_Mix!$J37&lt;=XS_Designer!$BN$97,XS_Designer!BG$97,"")</f>
        <v/>
      </c>
      <c r="BP37" s="4" t="str">
        <f>IF(XS_Designer_Bed_Mix!$J37&lt;=XS_Designer!$BN$97,XS_Designer!BH$97,"")</f>
        <v/>
      </c>
      <c r="BQ37" s="4" t="str">
        <f>IF(XS_Designer_Bed_Mix!$J37&lt;=XS_Designer!$BN$97,XS_Designer!BI$97,"")</f>
        <v/>
      </c>
      <c r="BR37" s="4" t="str">
        <f>IF(XS_Designer_Bed_Mix!$J37&lt;=XS_Designer!$BN$97,XS_Designer!BJ$97,"")</f>
        <v/>
      </c>
      <c r="BS37" s="4" t="str">
        <f>IF(XS_Designer_Bed_Mix!$J37&lt;=XS_Designer!$BN$98,XS_Designer!BA$98,"")</f>
        <v/>
      </c>
      <c r="BT37" s="4" t="str">
        <f>IF(XS_Designer_Bed_Mix!$J37&lt;=XS_Designer!$BN$98,XS_Designer!BB$98,"")</f>
        <v/>
      </c>
      <c r="BU37" s="4" t="str">
        <f>IF(XS_Designer_Bed_Mix!$J37&lt;=XS_Designer!$BN$98,XS_Designer!BC$98,"")</f>
        <v/>
      </c>
      <c r="BV37" s="4" t="str">
        <f>IF(XS_Designer_Bed_Mix!$J37&lt;=XS_Designer!$BN$98,XS_Designer!BD$98,"")</f>
        <v/>
      </c>
      <c r="BW37" s="4" t="str">
        <f>IF(XS_Designer_Bed_Mix!$J37&lt;=XS_Designer!$BN$98,XS_Designer!BE$98,"")</f>
        <v/>
      </c>
      <c r="BX37" s="4" t="str">
        <f>IF(XS_Designer_Bed_Mix!$J37&lt;=XS_Designer!$BN$98,XS_Designer!BF$98,"")</f>
        <v/>
      </c>
      <c r="BY37" s="4" t="str">
        <f>IF(XS_Designer_Bed_Mix!$J37&lt;=XS_Designer!$BN$98,XS_Designer!BG$98,"")</f>
        <v/>
      </c>
      <c r="BZ37" s="4" t="str">
        <f>IF(XS_Designer_Bed_Mix!$J37&lt;=XS_Designer!$BN$98,XS_Designer!BH$98,"")</f>
        <v/>
      </c>
      <c r="CA37" s="4" t="str">
        <f>IF(XS_Designer_Bed_Mix!$J37&lt;=XS_Designer!$BN$98,XS_Designer!BI$98,"")</f>
        <v/>
      </c>
      <c r="CB37" s="4" t="str">
        <f>IF(XS_Designer_Bed_Mix!$J37&lt;=XS_Designer!$BN$98,XS_Designer!BJ$98,"")</f>
        <v/>
      </c>
      <c r="CC37" s="4" t="str">
        <f>IF(XS_Designer_Bed_Mix!$J37&lt;=XS_Designer!$BN$99,XS_Designer!BA$99,"")</f>
        <v/>
      </c>
      <c r="CD37" s="4" t="str">
        <f>IF(XS_Designer_Bed_Mix!$J37&lt;=XS_Designer!$BN$99,XS_Designer!BB$99,"")</f>
        <v/>
      </c>
      <c r="CE37" s="4" t="str">
        <f>IF(XS_Designer_Bed_Mix!$J37&lt;=XS_Designer!$BN$99,XS_Designer!BC$99,"")</f>
        <v/>
      </c>
      <c r="CF37" s="4" t="str">
        <f>IF(XS_Designer_Bed_Mix!$J37&lt;=XS_Designer!$BN$99,XS_Designer!BD$99,"")</f>
        <v/>
      </c>
      <c r="CG37" s="4" t="str">
        <f>IF(XS_Designer_Bed_Mix!$J37&lt;=XS_Designer!$BN$99,XS_Designer!BE$99,"")</f>
        <v/>
      </c>
      <c r="CH37" s="4" t="str">
        <f>IF(XS_Designer_Bed_Mix!$J37&lt;=XS_Designer!$BN$99,XS_Designer!BF$99,"")</f>
        <v/>
      </c>
      <c r="CI37" s="4" t="str">
        <f>IF(XS_Designer_Bed_Mix!$J37&lt;=XS_Designer!$BN$99,XS_Designer!BG$99,"")</f>
        <v/>
      </c>
      <c r="CJ37" s="4" t="str">
        <f>IF(XS_Designer_Bed_Mix!$J37&lt;=XS_Designer!$BN$99,XS_Designer!BH$99,"")</f>
        <v/>
      </c>
      <c r="CK37" s="4" t="str">
        <f>IF(XS_Designer_Bed_Mix!$J37&lt;=XS_Designer!$BN$99,XS_Designer!BI$99,"")</f>
        <v/>
      </c>
      <c r="CL37" s="4" t="str">
        <f>IF(XS_Designer_Bed_Mix!$J37&lt;=XS_Designer!$BN$99,XS_Designer!BJ$99,"")</f>
        <v/>
      </c>
      <c r="CM37" s="4" t="str">
        <f>IF(XS_Designer_Bed_Mix!$J37&lt;=XS_Designer!$BN$100,XS_Designer!BA$100,"")</f>
        <v/>
      </c>
      <c r="CN37" s="4" t="str">
        <f>IF(XS_Designer_Bed_Mix!$J37&lt;=XS_Designer!$BN$100,XS_Designer!BB$100,"")</f>
        <v/>
      </c>
      <c r="CO37" s="4" t="str">
        <f>IF(XS_Designer_Bed_Mix!$J37&lt;=XS_Designer!$BN$100,XS_Designer!BC$100,"")</f>
        <v/>
      </c>
      <c r="CP37" s="4" t="str">
        <f>IF(XS_Designer_Bed_Mix!$J37&lt;=XS_Designer!$BN$100,XS_Designer!BD$100,"")</f>
        <v/>
      </c>
      <c r="CQ37" s="4" t="str">
        <f>IF(XS_Designer_Bed_Mix!$J37&lt;=XS_Designer!$BN$100,XS_Designer!BE$100,"")</f>
        <v/>
      </c>
      <c r="CR37" s="4" t="str">
        <f>IF(XS_Designer_Bed_Mix!$J37&lt;=XS_Designer!$BN$100,XS_Designer!BF$100,"")</f>
        <v/>
      </c>
      <c r="CS37" s="4" t="str">
        <f>IF(XS_Designer_Bed_Mix!$J37&lt;=XS_Designer!$BN$100,XS_Designer!BG$100,"")</f>
        <v/>
      </c>
      <c r="CT37" s="4" t="str">
        <f>IF(XS_Designer_Bed_Mix!$J37&lt;=XS_Designer!$BN$100,XS_Designer!BH$100,"")</f>
        <v/>
      </c>
      <c r="CU37" s="4" t="str">
        <f>IF(XS_Designer_Bed_Mix!$J37&lt;=XS_Designer!$BN$100,XS_Designer!BI$100,"")</f>
        <v/>
      </c>
      <c r="CV37" s="4" t="str">
        <f>IF(XS_Designer_Bed_Mix!$J37&lt;=XS_Designer!$BN$100,XS_Designer!BJ$100,"")</f>
        <v/>
      </c>
      <c r="CW37" s="4" t="str">
        <f>IF(XS_Designer_Bed_Mix!$J37&lt;=XS_Designer!$BN$101,XS_Designer!BA$101,"")</f>
        <v/>
      </c>
      <c r="CX37" s="4" t="str">
        <f>IF(XS_Designer_Bed_Mix!$J37&lt;=XS_Designer!$BN$101,XS_Designer!BB$101,"")</f>
        <v/>
      </c>
      <c r="CY37" s="4" t="str">
        <f>IF(XS_Designer_Bed_Mix!$J37&lt;=XS_Designer!$BN$101,XS_Designer!BC$101,"")</f>
        <v/>
      </c>
      <c r="CZ37" s="4" t="str">
        <f>IF(XS_Designer_Bed_Mix!$J37&lt;=XS_Designer!$BN$101,XS_Designer!BD$101,"")</f>
        <v/>
      </c>
      <c r="DA37" s="4" t="str">
        <f>IF(XS_Designer_Bed_Mix!$J37&lt;=XS_Designer!$BN$101,XS_Designer!BE$101,"")</f>
        <v/>
      </c>
      <c r="DB37" s="4" t="str">
        <f>IF(XS_Designer_Bed_Mix!$J37&lt;=XS_Designer!$BN$101,XS_Designer!BF$101,"")</f>
        <v/>
      </c>
      <c r="DC37" s="4" t="str">
        <f>IF(XS_Designer_Bed_Mix!$J37&lt;=XS_Designer!$BN$101,XS_Designer!BG$101,"")</f>
        <v/>
      </c>
      <c r="DD37" s="4" t="str">
        <f>IF(XS_Designer_Bed_Mix!$J37&lt;=XS_Designer!$BN$101,XS_Designer!BH$101,"")</f>
        <v/>
      </c>
      <c r="DE37" s="4" t="str">
        <f>IF(XS_Designer_Bed_Mix!$J37&lt;=XS_Designer!$BN$101,XS_Designer!BI$101,"")</f>
        <v/>
      </c>
      <c r="DF37" s="4" t="str">
        <f>IF(XS_Designer_Bed_Mix!$J37&lt;=XS_Designer!$BN$101,XS_Designer!BJ$101,"")</f>
        <v/>
      </c>
      <c r="DG37" s="4" t="str">
        <f>IF(XS_Designer_Bed_Mix!$J37&lt;=XS_Designer!$BN$102,XS_Designer!BA$102,"")</f>
        <v/>
      </c>
      <c r="DH37" s="4" t="str">
        <f>IF(XS_Designer_Bed_Mix!$J37&lt;=XS_Designer!$BN$102,XS_Designer!BB$102,"")</f>
        <v/>
      </c>
      <c r="DI37" s="4" t="str">
        <f>IF(XS_Designer_Bed_Mix!$J37&lt;=XS_Designer!$BN$102,XS_Designer!BC$102,"")</f>
        <v/>
      </c>
      <c r="DJ37" s="4" t="str">
        <f>IF(XS_Designer_Bed_Mix!$J37&lt;=XS_Designer!$BN$102,XS_Designer!BD$102,"")</f>
        <v/>
      </c>
      <c r="DK37" s="4" t="str">
        <f>IF(XS_Designer_Bed_Mix!$J37&lt;=XS_Designer!$BN$102,XS_Designer!BE$102,"")</f>
        <v/>
      </c>
      <c r="DL37" s="4" t="str">
        <f>IF(XS_Designer_Bed_Mix!$J37&lt;=XS_Designer!$BN$102,XS_Designer!BF$102,"")</f>
        <v/>
      </c>
      <c r="DM37" s="4" t="str">
        <f>IF(XS_Designer_Bed_Mix!$J37&lt;=XS_Designer!$BN$102,XS_Designer!BG$102,"")</f>
        <v/>
      </c>
      <c r="DN37" s="4" t="str">
        <f>IF(XS_Designer_Bed_Mix!$J37&lt;=XS_Designer!$BN$102,XS_Designer!BH$102,"")</f>
        <v/>
      </c>
      <c r="DO37" s="4" t="str">
        <f>IF(XS_Designer_Bed_Mix!$J37&lt;=XS_Designer!$BN$102,XS_Designer!BI$102,"")</f>
        <v/>
      </c>
      <c r="DP37" s="4" t="str">
        <f>IF(XS_Designer_Bed_Mix!$J37&lt;=XS_Designer!$BN$102,XS_Designer!BJ$102,"")</f>
        <v/>
      </c>
    </row>
    <row r="38" spans="10:120">
      <c r="J38" s="3">
        <v>0.37</v>
      </c>
      <c r="K38" s="4" t="str">
        <f>IF(XS_Designer_Bed_Mix!$J38&lt;=XS_Designer!$BN$92,XS_Designer!BA$92,"")</f>
        <v/>
      </c>
      <c r="L38" s="4" t="str">
        <f>IF(XS_Designer_Bed_Mix!$J38&lt;=XS_Designer!$BN$92,XS_Designer!BB$92,"")</f>
        <v/>
      </c>
      <c r="M38" s="4" t="str">
        <f>IF(XS_Designer_Bed_Mix!$J38&lt;=XS_Designer!$BN$92,XS_Designer!BC$92,"")</f>
        <v/>
      </c>
      <c r="N38" s="4" t="str">
        <f>IF(XS_Designer_Bed_Mix!$J38&lt;=XS_Designer!$BN$92,XS_Designer!BD$92,"")</f>
        <v/>
      </c>
      <c r="O38" s="4" t="str">
        <f>IF(XS_Designer_Bed_Mix!$J38&lt;=XS_Designer!$BN$92,XS_Designer!BE$92,"")</f>
        <v/>
      </c>
      <c r="P38" s="4" t="str">
        <f>IF(XS_Designer_Bed_Mix!$J38&lt;=XS_Designer!$BN$92,XS_Designer!BF$92,"")</f>
        <v/>
      </c>
      <c r="Q38" s="4" t="str">
        <f>IF(XS_Designer_Bed_Mix!$J38&lt;=XS_Designer!$BN$92,XS_Designer!BG$92,"")</f>
        <v/>
      </c>
      <c r="R38" s="4" t="str">
        <f>IF(XS_Designer_Bed_Mix!$J38&lt;=XS_Designer!$BN$92,XS_Designer!BH$92,"")</f>
        <v/>
      </c>
      <c r="S38" s="4" t="str">
        <f>IF(XS_Designer_Bed_Mix!$J38&lt;=XS_Designer!$BN$92,XS_Designer!BI$92,"")</f>
        <v/>
      </c>
      <c r="T38" s="4" t="str">
        <f>IF(XS_Designer_Bed_Mix!$J38&lt;=XS_Designer!$BN$92,XS_Designer!BJ$92,"")</f>
        <v/>
      </c>
      <c r="U38" s="4" t="str">
        <f>IF(XS_Designer_Bed_Mix!$J38&lt;=XS_Designer!$BN$93,XS_Designer!BA$93,"")</f>
        <v/>
      </c>
      <c r="V38" s="4" t="str">
        <f>IF(XS_Designer_Bed_Mix!$J38&lt;=XS_Designer!$BN$93,XS_Designer!BB$93,"")</f>
        <v/>
      </c>
      <c r="W38" s="4" t="str">
        <f>IF(XS_Designer_Bed_Mix!$J38&lt;=XS_Designer!$BN$93,XS_Designer!BC$93,"")</f>
        <v/>
      </c>
      <c r="X38" s="4" t="str">
        <f>IF(XS_Designer_Bed_Mix!$J38&lt;=XS_Designer!$BN$93,XS_Designer!BD$93,"")</f>
        <v/>
      </c>
      <c r="Y38" s="4" t="str">
        <f>IF(XS_Designer_Bed_Mix!$J38&lt;=XS_Designer!$BN$93,XS_Designer!BE$93,"")</f>
        <v/>
      </c>
      <c r="Z38" s="4" t="str">
        <f>IF(XS_Designer_Bed_Mix!$J38&lt;=XS_Designer!$BN$93,XS_Designer!BF$93,"")</f>
        <v/>
      </c>
      <c r="AA38" s="4" t="str">
        <f>IF(XS_Designer_Bed_Mix!$J38&lt;=XS_Designer!$BN$93,XS_Designer!BG$93,"")</f>
        <v/>
      </c>
      <c r="AB38" s="4" t="str">
        <f>IF(XS_Designer_Bed_Mix!$J38&lt;=XS_Designer!$BN$93,XS_Designer!BH$93,"")</f>
        <v/>
      </c>
      <c r="AC38" s="4" t="str">
        <f>IF(XS_Designer_Bed_Mix!$J38&lt;=XS_Designer!$BN$93,XS_Designer!BI$93,"")</f>
        <v/>
      </c>
      <c r="AD38" s="4" t="str">
        <f>IF(XS_Designer_Bed_Mix!$J38&lt;=XS_Designer!$BN$93,XS_Designer!BJ$93,"")</f>
        <v/>
      </c>
      <c r="AE38" s="4" t="str">
        <f>IF(XS_Designer_Bed_Mix!$J38&lt;=XS_Designer!$BN$94,XS_Designer!BA$94,"")</f>
        <v/>
      </c>
      <c r="AF38" s="4" t="str">
        <f>IF(XS_Designer_Bed_Mix!$J38&lt;=XS_Designer!$BN$94,XS_Designer!BB$94,"")</f>
        <v/>
      </c>
      <c r="AG38" s="4" t="str">
        <f>IF(XS_Designer_Bed_Mix!$J38&lt;=XS_Designer!$BN$94,XS_Designer!BC$94,"")</f>
        <v/>
      </c>
      <c r="AH38" s="4" t="str">
        <f>IF(XS_Designer_Bed_Mix!$J38&lt;=XS_Designer!$BN$94,XS_Designer!BD$94,"")</f>
        <v/>
      </c>
      <c r="AI38" s="4" t="str">
        <f>IF(XS_Designer_Bed_Mix!$J38&lt;=XS_Designer!$BN$94,XS_Designer!BE$94,"")</f>
        <v/>
      </c>
      <c r="AJ38" s="4" t="str">
        <f>IF(XS_Designer_Bed_Mix!$J38&lt;=XS_Designer!$BN$94,XS_Designer!BF$94,"")</f>
        <v/>
      </c>
      <c r="AK38" s="4" t="str">
        <f>IF(XS_Designer_Bed_Mix!$J38&lt;=XS_Designer!$BN$94,XS_Designer!BG$94,"")</f>
        <v/>
      </c>
      <c r="AL38" s="4" t="str">
        <f>IF(XS_Designer_Bed_Mix!$J38&lt;=XS_Designer!$BN$94,XS_Designer!BH$94,"")</f>
        <v/>
      </c>
      <c r="AM38" s="4" t="str">
        <f>IF(XS_Designer_Bed_Mix!$J38&lt;=XS_Designer!$BN$94,XS_Designer!BI$94,"")</f>
        <v/>
      </c>
      <c r="AN38" s="4" t="str">
        <f>IF(XS_Designer_Bed_Mix!$J38&lt;=XS_Designer!$BN$94,XS_Designer!BJ$94,"")</f>
        <v/>
      </c>
      <c r="AO38" s="4" t="str">
        <f>IF(XS_Designer_Bed_Mix!$J38&lt;=XS_Designer!$BN$95,XS_Designer!BA$95,"")</f>
        <v/>
      </c>
      <c r="AP38" s="4" t="str">
        <f>IF(XS_Designer_Bed_Mix!$J38&lt;=XS_Designer!$BN$95,XS_Designer!BB$95,"")</f>
        <v/>
      </c>
      <c r="AQ38" s="4" t="str">
        <f>IF(XS_Designer_Bed_Mix!$J38&lt;=XS_Designer!$BN$95,XS_Designer!BC$95,"")</f>
        <v/>
      </c>
      <c r="AR38" s="4" t="str">
        <f>IF(XS_Designer_Bed_Mix!$J38&lt;=XS_Designer!$BN$95,XS_Designer!BD$95,"")</f>
        <v/>
      </c>
      <c r="AS38" s="4" t="str">
        <f>IF(XS_Designer_Bed_Mix!$J38&lt;=XS_Designer!$BN$95,XS_Designer!BE$95,"")</f>
        <v/>
      </c>
      <c r="AT38" s="4" t="str">
        <f>IF(XS_Designer_Bed_Mix!$J38&lt;=XS_Designer!$BN$95,XS_Designer!BF$95,"")</f>
        <v/>
      </c>
      <c r="AU38" s="4" t="str">
        <f>IF(XS_Designer_Bed_Mix!$J38&lt;=XS_Designer!$BN$95,XS_Designer!BG$95,"")</f>
        <v/>
      </c>
      <c r="AV38" s="4" t="str">
        <f>IF(XS_Designer_Bed_Mix!$J38&lt;=XS_Designer!$BN$95,XS_Designer!BH$95,"")</f>
        <v/>
      </c>
      <c r="AW38" s="4" t="str">
        <f>IF(XS_Designer_Bed_Mix!$J38&lt;=XS_Designer!$BN$95,XS_Designer!BI$95,"")</f>
        <v/>
      </c>
      <c r="AX38" s="4" t="str">
        <f>IF(XS_Designer_Bed_Mix!$J38&lt;=XS_Designer!$BN$95,XS_Designer!BJ$95,"")</f>
        <v/>
      </c>
      <c r="AY38" s="4">
        <f>IF(XS_Designer_Bed_Mix!$J38&lt;=XS_Designer!$BN$96,XS_Designer!BA$96,"")</f>
        <v>335.28000000000003</v>
      </c>
      <c r="AZ38" s="4">
        <f>IF(XS_Designer_Bed_Mix!$J38&lt;=XS_Designer!$BN$96,XS_Designer!BB$96,"")</f>
        <v>335.28000000000003</v>
      </c>
      <c r="BA38" s="4">
        <f>IF(XS_Designer_Bed_Mix!$J38&lt;=XS_Designer!$BN$96,XS_Designer!BC$96,"")</f>
        <v>335.28000000000003</v>
      </c>
      <c r="BB38" s="4">
        <f>IF(XS_Designer_Bed_Mix!$J38&lt;=XS_Designer!$BN$96,XS_Designer!BD$96,"")</f>
        <v>335.28000000000003</v>
      </c>
      <c r="BC38" s="4">
        <f>IF(XS_Designer_Bed_Mix!$J38&lt;=XS_Designer!$BN$96,XS_Designer!BE$96,"")</f>
        <v>335.28000000000003</v>
      </c>
      <c r="BD38" s="4">
        <f>IF(XS_Designer_Bed_Mix!$J38&lt;=XS_Designer!$BN$96,XS_Designer!BF$96,"")</f>
        <v>335.28000000000003</v>
      </c>
      <c r="BE38" s="4">
        <f>IF(XS_Designer_Bed_Mix!$J38&lt;=XS_Designer!$BN$96,XS_Designer!BG$96,"")</f>
        <v>335.28000000000003</v>
      </c>
      <c r="BF38" s="4">
        <f>IF(XS_Designer_Bed_Mix!$J38&lt;=XS_Designer!$BN$96,XS_Designer!BH$96,"")</f>
        <v>335.28000000000003</v>
      </c>
      <c r="BG38" s="4">
        <f>IF(XS_Designer_Bed_Mix!$J38&lt;=XS_Designer!$BN$96,XS_Designer!BI$96,"")</f>
        <v>335.28000000000003</v>
      </c>
      <c r="BH38" s="4">
        <f>IF(XS_Designer_Bed_Mix!$J38&lt;=XS_Designer!$BN$96,XS_Designer!BJ$96,"")</f>
        <v>335.28000000000003</v>
      </c>
      <c r="BI38" s="4" t="str">
        <f>IF(XS_Designer_Bed_Mix!$J38&lt;=XS_Designer!$BN$97,XS_Designer!BA$97,"")</f>
        <v/>
      </c>
      <c r="BJ38" s="4" t="str">
        <f>IF(XS_Designer_Bed_Mix!$J38&lt;=XS_Designer!$BN$97,XS_Designer!BB$97,"")</f>
        <v/>
      </c>
      <c r="BK38" s="4" t="str">
        <f>IF(XS_Designer_Bed_Mix!$J38&lt;=XS_Designer!$BN$97,XS_Designer!BC$97,"")</f>
        <v/>
      </c>
      <c r="BL38" s="4" t="str">
        <f>IF(XS_Designer_Bed_Mix!$J38&lt;=XS_Designer!$BN$97,XS_Designer!BD$97,"")</f>
        <v/>
      </c>
      <c r="BM38" s="4" t="str">
        <f>IF(XS_Designer_Bed_Mix!$J38&lt;=XS_Designer!$BN$97,XS_Designer!BE$97,"")</f>
        <v/>
      </c>
      <c r="BN38" s="4" t="str">
        <f>IF(XS_Designer_Bed_Mix!$J38&lt;=XS_Designer!$BN$97,XS_Designer!BF$97,"")</f>
        <v/>
      </c>
      <c r="BO38" s="4" t="str">
        <f>IF(XS_Designer_Bed_Mix!$J38&lt;=XS_Designer!$BN$97,XS_Designer!BG$97,"")</f>
        <v/>
      </c>
      <c r="BP38" s="4" t="str">
        <f>IF(XS_Designer_Bed_Mix!$J38&lt;=XS_Designer!$BN$97,XS_Designer!BH$97,"")</f>
        <v/>
      </c>
      <c r="BQ38" s="4" t="str">
        <f>IF(XS_Designer_Bed_Mix!$J38&lt;=XS_Designer!$BN$97,XS_Designer!BI$97,"")</f>
        <v/>
      </c>
      <c r="BR38" s="4" t="str">
        <f>IF(XS_Designer_Bed_Mix!$J38&lt;=XS_Designer!$BN$97,XS_Designer!BJ$97,"")</f>
        <v/>
      </c>
      <c r="BS38" s="4" t="str">
        <f>IF(XS_Designer_Bed_Mix!$J38&lt;=XS_Designer!$BN$98,XS_Designer!BA$98,"")</f>
        <v/>
      </c>
      <c r="BT38" s="4" t="str">
        <f>IF(XS_Designer_Bed_Mix!$J38&lt;=XS_Designer!$BN$98,XS_Designer!BB$98,"")</f>
        <v/>
      </c>
      <c r="BU38" s="4" t="str">
        <f>IF(XS_Designer_Bed_Mix!$J38&lt;=XS_Designer!$BN$98,XS_Designer!BC$98,"")</f>
        <v/>
      </c>
      <c r="BV38" s="4" t="str">
        <f>IF(XS_Designer_Bed_Mix!$J38&lt;=XS_Designer!$BN$98,XS_Designer!BD$98,"")</f>
        <v/>
      </c>
      <c r="BW38" s="4" t="str">
        <f>IF(XS_Designer_Bed_Mix!$J38&lt;=XS_Designer!$BN$98,XS_Designer!BE$98,"")</f>
        <v/>
      </c>
      <c r="BX38" s="4" t="str">
        <f>IF(XS_Designer_Bed_Mix!$J38&lt;=XS_Designer!$BN$98,XS_Designer!BF$98,"")</f>
        <v/>
      </c>
      <c r="BY38" s="4" t="str">
        <f>IF(XS_Designer_Bed_Mix!$J38&lt;=XS_Designer!$BN$98,XS_Designer!BG$98,"")</f>
        <v/>
      </c>
      <c r="BZ38" s="4" t="str">
        <f>IF(XS_Designer_Bed_Mix!$J38&lt;=XS_Designer!$BN$98,XS_Designer!BH$98,"")</f>
        <v/>
      </c>
      <c r="CA38" s="4" t="str">
        <f>IF(XS_Designer_Bed_Mix!$J38&lt;=XS_Designer!$BN$98,XS_Designer!BI$98,"")</f>
        <v/>
      </c>
      <c r="CB38" s="4" t="str">
        <f>IF(XS_Designer_Bed_Mix!$J38&lt;=XS_Designer!$BN$98,XS_Designer!BJ$98,"")</f>
        <v/>
      </c>
      <c r="CC38" s="4" t="str">
        <f>IF(XS_Designer_Bed_Mix!$J38&lt;=XS_Designer!$BN$99,XS_Designer!BA$99,"")</f>
        <v/>
      </c>
      <c r="CD38" s="4" t="str">
        <f>IF(XS_Designer_Bed_Mix!$J38&lt;=XS_Designer!$BN$99,XS_Designer!BB$99,"")</f>
        <v/>
      </c>
      <c r="CE38" s="4" t="str">
        <f>IF(XS_Designer_Bed_Mix!$J38&lt;=XS_Designer!$BN$99,XS_Designer!BC$99,"")</f>
        <v/>
      </c>
      <c r="CF38" s="4" t="str">
        <f>IF(XS_Designer_Bed_Mix!$J38&lt;=XS_Designer!$BN$99,XS_Designer!BD$99,"")</f>
        <v/>
      </c>
      <c r="CG38" s="4" t="str">
        <f>IF(XS_Designer_Bed_Mix!$J38&lt;=XS_Designer!$BN$99,XS_Designer!BE$99,"")</f>
        <v/>
      </c>
      <c r="CH38" s="4" t="str">
        <f>IF(XS_Designer_Bed_Mix!$J38&lt;=XS_Designer!$BN$99,XS_Designer!BF$99,"")</f>
        <v/>
      </c>
      <c r="CI38" s="4" t="str">
        <f>IF(XS_Designer_Bed_Mix!$J38&lt;=XS_Designer!$BN$99,XS_Designer!BG$99,"")</f>
        <v/>
      </c>
      <c r="CJ38" s="4" t="str">
        <f>IF(XS_Designer_Bed_Mix!$J38&lt;=XS_Designer!$BN$99,XS_Designer!BH$99,"")</f>
        <v/>
      </c>
      <c r="CK38" s="4" t="str">
        <f>IF(XS_Designer_Bed_Mix!$J38&lt;=XS_Designer!$BN$99,XS_Designer!BI$99,"")</f>
        <v/>
      </c>
      <c r="CL38" s="4" t="str">
        <f>IF(XS_Designer_Bed_Mix!$J38&lt;=XS_Designer!$BN$99,XS_Designer!BJ$99,"")</f>
        <v/>
      </c>
      <c r="CM38" s="4" t="str">
        <f>IF(XS_Designer_Bed_Mix!$J38&lt;=XS_Designer!$BN$100,XS_Designer!BA$100,"")</f>
        <v/>
      </c>
      <c r="CN38" s="4" t="str">
        <f>IF(XS_Designer_Bed_Mix!$J38&lt;=XS_Designer!$BN$100,XS_Designer!BB$100,"")</f>
        <v/>
      </c>
      <c r="CO38" s="4" t="str">
        <f>IF(XS_Designer_Bed_Mix!$J38&lt;=XS_Designer!$BN$100,XS_Designer!BC$100,"")</f>
        <v/>
      </c>
      <c r="CP38" s="4" t="str">
        <f>IF(XS_Designer_Bed_Mix!$J38&lt;=XS_Designer!$BN$100,XS_Designer!BD$100,"")</f>
        <v/>
      </c>
      <c r="CQ38" s="4" t="str">
        <f>IF(XS_Designer_Bed_Mix!$J38&lt;=XS_Designer!$BN$100,XS_Designer!BE$100,"")</f>
        <v/>
      </c>
      <c r="CR38" s="4" t="str">
        <f>IF(XS_Designer_Bed_Mix!$J38&lt;=XS_Designer!$BN$100,XS_Designer!BF$100,"")</f>
        <v/>
      </c>
      <c r="CS38" s="4" t="str">
        <f>IF(XS_Designer_Bed_Mix!$J38&lt;=XS_Designer!$BN$100,XS_Designer!BG$100,"")</f>
        <v/>
      </c>
      <c r="CT38" s="4" t="str">
        <f>IF(XS_Designer_Bed_Mix!$J38&lt;=XS_Designer!$BN$100,XS_Designer!BH$100,"")</f>
        <v/>
      </c>
      <c r="CU38" s="4" t="str">
        <f>IF(XS_Designer_Bed_Mix!$J38&lt;=XS_Designer!$BN$100,XS_Designer!BI$100,"")</f>
        <v/>
      </c>
      <c r="CV38" s="4" t="str">
        <f>IF(XS_Designer_Bed_Mix!$J38&lt;=XS_Designer!$BN$100,XS_Designer!BJ$100,"")</f>
        <v/>
      </c>
      <c r="CW38" s="4" t="str">
        <f>IF(XS_Designer_Bed_Mix!$J38&lt;=XS_Designer!$BN$101,XS_Designer!BA$101,"")</f>
        <v/>
      </c>
      <c r="CX38" s="4" t="str">
        <f>IF(XS_Designer_Bed_Mix!$J38&lt;=XS_Designer!$BN$101,XS_Designer!BB$101,"")</f>
        <v/>
      </c>
      <c r="CY38" s="4" t="str">
        <f>IF(XS_Designer_Bed_Mix!$J38&lt;=XS_Designer!$BN$101,XS_Designer!BC$101,"")</f>
        <v/>
      </c>
      <c r="CZ38" s="4" t="str">
        <f>IF(XS_Designer_Bed_Mix!$J38&lt;=XS_Designer!$BN$101,XS_Designer!BD$101,"")</f>
        <v/>
      </c>
      <c r="DA38" s="4" t="str">
        <f>IF(XS_Designer_Bed_Mix!$J38&lt;=XS_Designer!$BN$101,XS_Designer!BE$101,"")</f>
        <v/>
      </c>
      <c r="DB38" s="4" t="str">
        <f>IF(XS_Designer_Bed_Mix!$J38&lt;=XS_Designer!$BN$101,XS_Designer!BF$101,"")</f>
        <v/>
      </c>
      <c r="DC38" s="4" t="str">
        <f>IF(XS_Designer_Bed_Mix!$J38&lt;=XS_Designer!$BN$101,XS_Designer!BG$101,"")</f>
        <v/>
      </c>
      <c r="DD38" s="4" t="str">
        <f>IF(XS_Designer_Bed_Mix!$J38&lt;=XS_Designer!$BN$101,XS_Designer!BH$101,"")</f>
        <v/>
      </c>
      <c r="DE38" s="4" t="str">
        <f>IF(XS_Designer_Bed_Mix!$J38&lt;=XS_Designer!$BN$101,XS_Designer!BI$101,"")</f>
        <v/>
      </c>
      <c r="DF38" s="4" t="str">
        <f>IF(XS_Designer_Bed_Mix!$J38&lt;=XS_Designer!$BN$101,XS_Designer!BJ$101,"")</f>
        <v/>
      </c>
      <c r="DG38" s="4" t="str">
        <f>IF(XS_Designer_Bed_Mix!$J38&lt;=XS_Designer!$BN$102,XS_Designer!BA$102,"")</f>
        <v/>
      </c>
      <c r="DH38" s="4" t="str">
        <f>IF(XS_Designer_Bed_Mix!$J38&lt;=XS_Designer!$BN$102,XS_Designer!BB$102,"")</f>
        <v/>
      </c>
      <c r="DI38" s="4" t="str">
        <f>IF(XS_Designer_Bed_Mix!$J38&lt;=XS_Designer!$BN$102,XS_Designer!BC$102,"")</f>
        <v/>
      </c>
      <c r="DJ38" s="4" t="str">
        <f>IF(XS_Designer_Bed_Mix!$J38&lt;=XS_Designer!$BN$102,XS_Designer!BD$102,"")</f>
        <v/>
      </c>
      <c r="DK38" s="4" t="str">
        <f>IF(XS_Designer_Bed_Mix!$J38&lt;=XS_Designer!$BN$102,XS_Designer!BE$102,"")</f>
        <v/>
      </c>
      <c r="DL38" s="4" t="str">
        <f>IF(XS_Designer_Bed_Mix!$J38&lt;=XS_Designer!$BN$102,XS_Designer!BF$102,"")</f>
        <v/>
      </c>
      <c r="DM38" s="4" t="str">
        <f>IF(XS_Designer_Bed_Mix!$J38&lt;=XS_Designer!$BN$102,XS_Designer!BG$102,"")</f>
        <v/>
      </c>
      <c r="DN38" s="4" t="str">
        <f>IF(XS_Designer_Bed_Mix!$J38&lt;=XS_Designer!$BN$102,XS_Designer!BH$102,"")</f>
        <v/>
      </c>
      <c r="DO38" s="4" t="str">
        <f>IF(XS_Designer_Bed_Mix!$J38&lt;=XS_Designer!$BN$102,XS_Designer!BI$102,"")</f>
        <v/>
      </c>
      <c r="DP38" s="4" t="str">
        <f>IF(XS_Designer_Bed_Mix!$J38&lt;=XS_Designer!$BN$102,XS_Designer!BJ$102,"")</f>
        <v/>
      </c>
    </row>
    <row r="39" spans="10:120">
      <c r="J39" s="3">
        <v>0.38</v>
      </c>
      <c r="K39" s="4" t="str">
        <f>IF(XS_Designer_Bed_Mix!$J39&lt;=XS_Designer!$BN$92,XS_Designer!BA$92,"")</f>
        <v/>
      </c>
      <c r="L39" s="4" t="str">
        <f>IF(XS_Designer_Bed_Mix!$J39&lt;=XS_Designer!$BN$92,XS_Designer!BB$92,"")</f>
        <v/>
      </c>
      <c r="M39" s="4" t="str">
        <f>IF(XS_Designer_Bed_Mix!$J39&lt;=XS_Designer!$BN$92,XS_Designer!BC$92,"")</f>
        <v/>
      </c>
      <c r="N39" s="4" t="str">
        <f>IF(XS_Designer_Bed_Mix!$J39&lt;=XS_Designer!$BN$92,XS_Designer!BD$92,"")</f>
        <v/>
      </c>
      <c r="O39" s="4" t="str">
        <f>IF(XS_Designer_Bed_Mix!$J39&lt;=XS_Designer!$BN$92,XS_Designer!BE$92,"")</f>
        <v/>
      </c>
      <c r="P39" s="4" t="str">
        <f>IF(XS_Designer_Bed_Mix!$J39&lt;=XS_Designer!$BN$92,XS_Designer!BF$92,"")</f>
        <v/>
      </c>
      <c r="Q39" s="4" t="str">
        <f>IF(XS_Designer_Bed_Mix!$J39&lt;=XS_Designer!$BN$92,XS_Designer!BG$92,"")</f>
        <v/>
      </c>
      <c r="R39" s="4" t="str">
        <f>IF(XS_Designer_Bed_Mix!$J39&lt;=XS_Designer!$BN$92,XS_Designer!BH$92,"")</f>
        <v/>
      </c>
      <c r="S39" s="4" t="str">
        <f>IF(XS_Designer_Bed_Mix!$J39&lt;=XS_Designer!$BN$92,XS_Designer!BI$92,"")</f>
        <v/>
      </c>
      <c r="T39" s="4" t="str">
        <f>IF(XS_Designer_Bed_Mix!$J39&lt;=XS_Designer!$BN$92,XS_Designer!BJ$92,"")</f>
        <v/>
      </c>
      <c r="U39" s="4" t="str">
        <f>IF(XS_Designer_Bed_Mix!$J39&lt;=XS_Designer!$BN$93,XS_Designer!BA$93,"")</f>
        <v/>
      </c>
      <c r="V39" s="4" t="str">
        <f>IF(XS_Designer_Bed_Mix!$J39&lt;=XS_Designer!$BN$93,XS_Designer!BB$93,"")</f>
        <v/>
      </c>
      <c r="W39" s="4" t="str">
        <f>IF(XS_Designer_Bed_Mix!$J39&lt;=XS_Designer!$BN$93,XS_Designer!BC$93,"")</f>
        <v/>
      </c>
      <c r="X39" s="4" t="str">
        <f>IF(XS_Designer_Bed_Mix!$J39&lt;=XS_Designer!$BN$93,XS_Designer!BD$93,"")</f>
        <v/>
      </c>
      <c r="Y39" s="4" t="str">
        <f>IF(XS_Designer_Bed_Mix!$J39&lt;=XS_Designer!$BN$93,XS_Designer!BE$93,"")</f>
        <v/>
      </c>
      <c r="Z39" s="4" t="str">
        <f>IF(XS_Designer_Bed_Mix!$J39&lt;=XS_Designer!$BN$93,XS_Designer!BF$93,"")</f>
        <v/>
      </c>
      <c r="AA39" s="4" t="str">
        <f>IF(XS_Designer_Bed_Mix!$J39&lt;=XS_Designer!$BN$93,XS_Designer!BG$93,"")</f>
        <v/>
      </c>
      <c r="AB39" s="4" t="str">
        <f>IF(XS_Designer_Bed_Mix!$J39&lt;=XS_Designer!$BN$93,XS_Designer!BH$93,"")</f>
        <v/>
      </c>
      <c r="AC39" s="4" t="str">
        <f>IF(XS_Designer_Bed_Mix!$J39&lt;=XS_Designer!$BN$93,XS_Designer!BI$93,"")</f>
        <v/>
      </c>
      <c r="AD39" s="4" t="str">
        <f>IF(XS_Designer_Bed_Mix!$J39&lt;=XS_Designer!$BN$93,XS_Designer!BJ$93,"")</f>
        <v/>
      </c>
      <c r="AE39" s="4" t="str">
        <f>IF(XS_Designer_Bed_Mix!$J39&lt;=XS_Designer!$BN$94,XS_Designer!BA$94,"")</f>
        <v/>
      </c>
      <c r="AF39" s="4" t="str">
        <f>IF(XS_Designer_Bed_Mix!$J39&lt;=XS_Designer!$BN$94,XS_Designer!BB$94,"")</f>
        <v/>
      </c>
      <c r="AG39" s="4" t="str">
        <f>IF(XS_Designer_Bed_Mix!$J39&lt;=XS_Designer!$BN$94,XS_Designer!BC$94,"")</f>
        <v/>
      </c>
      <c r="AH39" s="4" t="str">
        <f>IF(XS_Designer_Bed_Mix!$J39&lt;=XS_Designer!$BN$94,XS_Designer!BD$94,"")</f>
        <v/>
      </c>
      <c r="AI39" s="4" t="str">
        <f>IF(XS_Designer_Bed_Mix!$J39&lt;=XS_Designer!$BN$94,XS_Designer!BE$94,"")</f>
        <v/>
      </c>
      <c r="AJ39" s="4" t="str">
        <f>IF(XS_Designer_Bed_Mix!$J39&lt;=XS_Designer!$BN$94,XS_Designer!BF$94,"")</f>
        <v/>
      </c>
      <c r="AK39" s="4" t="str">
        <f>IF(XS_Designer_Bed_Mix!$J39&lt;=XS_Designer!$BN$94,XS_Designer!BG$94,"")</f>
        <v/>
      </c>
      <c r="AL39" s="4" t="str">
        <f>IF(XS_Designer_Bed_Mix!$J39&lt;=XS_Designer!$BN$94,XS_Designer!BH$94,"")</f>
        <v/>
      </c>
      <c r="AM39" s="4" t="str">
        <f>IF(XS_Designer_Bed_Mix!$J39&lt;=XS_Designer!$BN$94,XS_Designer!BI$94,"")</f>
        <v/>
      </c>
      <c r="AN39" s="4" t="str">
        <f>IF(XS_Designer_Bed_Mix!$J39&lt;=XS_Designer!$BN$94,XS_Designer!BJ$94,"")</f>
        <v/>
      </c>
      <c r="AO39" s="4" t="str">
        <f>IF(XS_Designer_Bed_Mix!$J39&lt;=XS_Designer!$BN$95,XS_Designer!BA$95,"")</f>
        <v/>
      </c>
      <c r="AP39" s="4" t="str">
        <f>IF(XS_Designer_Bed_Mix!$J39&lt;=XS_Designer!$BN$95,XS_Designer!BB$95,"")</f>
        <v/>
      </c>
      <c r="AQ39" s="4" t="str">
        <f>IF(XS_Designer_Bed_Mix!$J39&lt;=XS_Designer!$BN$95,XS_Designer!BC$95,"")</f>
        <v/>
      </c>
      <c r="AR39" s="4" t="str">
        <f>IF(XS_Designer_Bed_Mix!$J39&lt;=XS_Designer!$BN$95,XS_Designer!BD$95,"")</f>
        <v/>
      </c>
      <c r="AS39" s="4" t="str">
        <f>IF(XS_Designer_Bed_Mix!$J39&lt;=XS_Designer!$BN$95,XS_Designer!BE$95,"")</f>
        <v/>
      </c>
      <c r="AT39" s="4" t="str">
        <f>IF(XS_Designer_Bed_Mix!$J39&lt;=XS_Designer!$BN$95,XS_Designer!BF$95,"")</f>
        <v/>
      </c>
      <c r="AU39" s="4" t="str">
        <f>IF(XS_Designer_Bed_Mix!$J39&lt;=XS_Designer!$BN$95,XS_Designer!BG$95,"")</f>
        <v/>
      </c>
      <c r="AV39" s="4" t="str">
        <f>IF(XS_Designer_Bed_Mix!$J39&lt;=XS_Designer!$BN$95,XS_Designer!BH$95,"")</f>
        <v/>
      </c>
      <c r="AW39" s="4" t="str">
        <f>IF(XS_Designer_Bed_Mix!$J39&lt;=XS_Designer!$BN$95,XS_Designer!BI$95,"")</f>
        <v/>
      </c>
      <c r="AX39" s="4" t="str">
        <f>IF(XS_Designer_Bed_Mix!$J39&lt;=XS_Designer!$BN$95,XS_Designer!BJ$95,"")</f>
        <v/>
      </c>
      <c r="AY39" s="4">
        <f>IF(XS_Designer_Bed_Mix!$J39&lt;=XS_Designer!$BN$96,XS_Designer!BA$96,"")</f>
        <v>335.28000000000003</v>
      </c>
      <c r="AZ39" s="4">
        <f>IF(XS_Designer_Bed_Mix!$J39&lt;=XS_Designer!$BN$96,XS_Designer!BB$96,"")</f>
        <v>335.28000000000003</v>
      </c>
      <c r="BA39" s="4">
        <f>IF(XS_Designer_Bed_Mix!$J39&lt;=XS_Designer!$BN$96,XS_Designer!BC$96,"")</f>
        <v>335.28000000000003</v>
      </c>
      <c r="BB39" s="4">
        <f>IF(XS_Designer_Bed_Mix!$J39&lt;=XS_Designer!$BN$96,XS_Designer!BD$96,"")</f>
        <v>335.28000000000003</v>
      </c>
      <c r="BC39" s="4">
        <f>IF(XS_Designer_Bed_Mix!$J39&lt;=XS_Designer!$BN$96,XS_Designer!BE$96,"")</f>
        <v>335.28000000000003</v>
      </c>
      <c r="BD39" s="4">
        <f>IF(XS_Designer_Bed_Mix!$J39&lt;=XS_Designer!$BN$96,XS_Designer!BF$96,"")</f>
        <v>335.28000000000003</v>
      </c>
      <c r="BE39" s="4">
        <f>IF(XS_Designer_Bed_Mix!$J39&lt;=XS_Designer!$BN$96,XS_Designer!BG$96,"")</f>
        <v>335.28000000000003</v>
      </c>
      <c r="BF39" s="4">
        <f>IF(XS_Designer_Bed_Mix!$J39&lt;=XS_Designer!$BN$96,XS_Designer!BH$96,"")</f>
        <v>335.28000000000003</v>
      </c>
      <c r="BG39" s="4">
        <f>IF(XS_Designer_Bed_Mix!$J39&lt;=XS_Designer!$BN$96,XS_Designer!BI$96,"")</f>
        <v>335.28000000000003</v>
      </c>
      <c r="BH39" s="4">
        <f>IF(XS_Designer_Bed_Mix!$J39&lt;=XS_Designer!$BN$96,XS_Designer!BJ$96,"")</f>
        <v>335.28000000000003</v>
      </c>
      <c r="BI39" s="4" t="str">
        <f>IF(XS_Designer_Bed_Mix!$J39&lt;=XS_Designer!$BN$97,XS_Designer!BA$97,"")</f>
        <v/>
      </c>
      <c r="BJ39" s="4" t="str">
        <f>IF(XS_Designer_Bed_Mix!$J39&lt;=XS_Designer!$BN$97,XS_Designer!BB$97,"")</f>
        <v/>
      </c>
      <c r="BK39" s="4" t="str">
        <f>IF(XS_Designer_Bed_Mix!$J39&lt;=XS_Designer!$BN$97,XS_Designer!BC$97,"")</f>
        <v/>
      </c>
      <c r="BL39" s="4" t="str">
        <f>IF(XS_Designer_Bed_Mix!$J39&lt;=XS_Designer!$BN$97,XS_Designer!BD$97,"")</f>
        <v/>
      </c>
      <c r="BM39" s="4" t="str">
        <f>IF(XS_Designer_Bed_Mix!$J39&lt;=XS_Designer!$BN$97,XS_Designer!BE$97,"")</f>
        <v/>
      </c>
      <c r="BN39" s="4" t="str">
        <f>IF(XS_Designer_Bed_Mix!$J39&lt;=XS_Designer!$BN$97,XS_Designer!BF$97,"")</f>
        <v/>
      </c>
      <c r="BO39" s="4" t="str">
        <f>IF(XS_Designer_Bed_Mix!$J39&lt;=XS_Designer!$BN$97,XS_Designer!BG$97,"")</f>
        <v/>
      </c>
      <c r="BP39" s="4" t="str">
        <f>IF(XS_Designer_Bed_Mix!$J39&lt;=XS_Designer!$BN$97,XS_Designer!BH$97,"")</f>
        <v/>
      </c>
      <c r="BQ39" s="4" t="str">
        <f>IF(XS_Designer_Bed_Mix!$J39&lt;=XS_Designer!$BN$97,XS_Designer!BI$97,"")</f>
        <v/>
      </c>
      <c r="BR39" s="4" t="str">
        <f>IF(XS_Designer_Bed_Mix!$J39&lt;=XS_Designer!$BN$97,XS_Designer!BJ$97,"")</f>
        <v/>
      </c>
      <c r="BS39" s="4" t="str">
        <f>IF(XS_Designer_Bed_Mix!$J39&lt;=XS_Designer!$BN$98,XS_Designer!BA$98,"")</f>
        <v/>
      </c>
      <c r="BT39" s="4" t="str">
        <f>IF(XS_Designer_Bed_Mix!$J39&lt;=XS_Designer!$BN$98,XS_Designer!BB$98,"")</f>
        <v/>
      </c>
      <c r="BU39" s="4" t="str">
        <f>IF(XS_Designer_Bed_Mix!$J39&lt;=XS_Designer!$BN$98,XS_Designer!BC$98,"")</f>
        <v/>
      </c>
      <c r="BV39" s="4" t="str">
        <f>IF(XS_Designer_Bed_Mix!$J39&lt;=XS_Designer!$BN$98,XS_Designer!BD$98,"")</f>
        <v/>
      </c>
      <c r="BW39" s="4" t="str">
        <f>IF(XS_Designer_Bed_Mix!$J39&lt;=XS_Designer!$BN$98,XS_Designer!BE$98,"")</f>
        <v/>
      </c>
      <c r="BX39" s="4" t="str">
        <f>IF(XS_Designer_Bed_Mix!$J39&lt;=XS_Designer!$BN$98,XS_Designer!BF$98,"")</f>
        <v/>
      </c>
      <c r="BY39" s="4" t="str">
        <f>IF(XS_Designer_Bed_Mix!$J39&lt;=XS_Designer!$BN$98,XS_Designer!BG$98,"")</f>
        <v/>
      </c>
      <c r="BZ39" s="4" t="str">
        <f>IF(XS_Designer_Bed_Mix!$J39&lt;=XS_Designer!$BN$98,XS_Designer!BH$98,"")</f>
        <v/>
      </c>
      <c r="CA39" s="4" t="str">
        <f>IF(XS_Designer_Bed_Mix!$J39&lt;=XS_Designer!$BN$98,XS_Designer!BI$98,"")</f>
        <v/>
      </c>
      <c r="CB39" s="4" t="str">
        <f>IF(XS_Designer_Bed_Mix!$J39&lt;=XS_Designer!$BN$98,XS_Designer!BJ$98,"")</f>
        <v/>
      </c>
      <c r="CC39" s="4" t="str">
        <f>IF(XS_Designer_Bed_Mix!$J39&lt;=XS_Designer!$BN$99,XS_Designer!BA$99,"")</f>
        <v/>
      </c>
      <c r="CD39" s="4" t="str">
        <f>IF(XS_Designer_Bed_Mix!$J39&lt;=XS_Designer!$BN$99,XS_Designer!BB$99,"")</f>
        <v/>
      </c>
      <c r="CE39" s="4" t="str">
        <f>IF(XS_Designer_Bed_Mix!$J39&lt;=XS_Designer!$BN$99,XS_Designer!BC$99,"")</f>
        <v/>
      </c>
      <c r="CF39" s="4" t="str">
        <f>IF(XS_Designer_Bed_Mix!$J39&lt;=XS_Designer!$BN$99,XS_Designer!BD$99,"")</f>
        <v/>
      </c>
      <c r="CG39" s="4" t="str">
        <f>IF(XS_Designer_Bed_Mix!$J39&lt;=XS_Designer!$BN$99,XS_Designer!BE$99,"")</f>
        <v/>
      </c>
      <c r="CH39" s="4" t="str">
        <f>IF(XS_Designer_Bed_Mix!$J39&lt;=XS_Designer!$BN$99,XS_Designer!BF$99,"")</f>
        <v/>
      </c>
      <c r="CI39" s="4" t="str">
        <f>IF(XS_Designer_Bed_Mix!$J39&lt;=XS_Designer!$BN$99,XS_Designer!BG$99,"")</f>
        <v/>
      </c>
      <c r="CJ39" s="4" t="str">
        <f>IF(XS_Designer_Bed_Mix!$J39&lt;=XS_Designer!$BN$99,XS_Designer!BH$99,"")</f>
        <v/>
      </c>
      <c r="CK39" s="4" t="str">
        <f>IF(XS_Designer_Bed_Mix!$J39&lt;=XS_Designer!$BN$99,XS_Designer!BI$99,"")</f>
        <v/>
      </c>
      <c r="CL39" s="4" t="str">
        <f>IF(XS_Designer_Bed_Mix!$J39&lt;=XS_Designer!$BN$99,XS_Designer!BJ$99,"")</f>
        <v/>
      </c>
      <c r="CM39" s="4" t="str">
        <f>IF(XS_Designer_Bed_Mix!$J39&lt;=XS_Designer!$BN$100,XS_Designer!BA$100,"")</f>
        <v/>
      </c>
      <c r="CN39" s="4" t="str">
        <f>IF(XS_Designer_Bed_Mix!$J39&lt;=XS_Designer!$BN$100,XS_Designer!BB$100,"")</f>
        <v/>
      </c>
      <c r="CO39" s="4" t="str">
        <f>IF(XS_Designer_Bed_Mix!$J39&lt;=XS_Designer!$BN$100,XS_Designer!BC$100,"")</f>
        <v/>
      </c>
      <c r="CP39" s="4" t="str">
        <f>IF(XS_Designer_Bed_Mix!$J39&lt;=XS_Designer!$BN$100,XS_Designer!BD$100,"")</f>
        <v/>
      </c>
      <c r="CQ39" s="4" t="str">
        <f>IF(XS_Designer_Bed_Mix!$J39&lt;=XS_Designer!$BN$100,XS_Designer!BE$100,"")</f>
        <v/>
      </c>
      <c r="CR39" s="4" t="str">
        <f>IF(XS_Designer_Bed_Mix!$J39&lt;=XS_Designer!$BN$100,XS_Designer!BF$100,"")</f>
        <v/>
      </c>
      <c r="CS39" s="4" t="str">
        <f>IF(XS_Designer_Bed_Mix!$J39&lt;=XS_Designer!$BN$100,XS_Designer!BG$100,"")</f>
        <v/>
      </c>
      <c r="CT39" s="4" t="str">
        <f>IF(XS_Designer_Bed_Mix!$J39&lt;=XS_Designer!$BN$100,XS_Designer!BH$100,"")</f>
        <v/>
      </c>
      <c r="CU39" s="4" t="str">
        <f>IF(XS_Designer_Bed_Mix!$J39&lt;=XS_Designer!$BN$100,XS_Designer!BI$100,"")</f>
        <v/>
      </c>
      <c r="CV39" s="4" t="str">
        <f>IF(XS_Designer_Bed_Mix!$J39&lt;=XS_Designer!$BN$100,XS_Designer!BJ$100,"")</f>
        <v/>
      </c>
      <c r="CW39" s="4" t="str">
        <f>IF(XS_Designer_Bed_Mix!$J39&lt;=XS_Designer!$BN$101,XS_Designer!BA$101,"")</f>
        <v/>
      </c>
      <c r="CX39" s="4" t="str">
        <f>IF(XS_Designer_Bed_Mix!$J39&lt;=XS_Designer!$BN$101,XS_Designer!BB$101,"")</f>
        <v/>
      </c>
      <c r="CY39" s="4" t="str">
        <f>IF(XS_Designer_Bed_Mix!$J39&lt;=XS_Designer!$BN$101,XS_Designer!BC$101,"")</f>
        <v/>
      </c>
      <c r="CZ39" s="4" t="str">
        <f>IF(XS_Designer_Bed_Mix!$J39&lt;=XS_Designer!$BN$101,XS_Designer!BD$101,"")</f>
        <v/>
      </c>
      <c r="DA39" s="4" t="str">
        <f>IF(XS_Designer_Bed_Mix!$J39&lt;=XS_Designer!$BN$101,XS_Designer!BE$101,"")</f>
        <v/>
      </c>
      <c r="DB39" s="4" t="str">
        <f>IF(XS_Designer_Bed_Mix!$J39&lt;=XS_Designer!$BN$101,XS_Designer!BF$101,"")</f>
        <v/>
      </c>
      <c r="DC39" s="4" t="str">
        <f>IF(XS_Designer_Bed_Mix!$J39&lt;=XS_Designer!$BN$101,XS_Designer!BG$101,"")</f>
        <v/>
      </c>
      <c r="DD39" s="4" t="str">
        <f>IF(XS_Designer_Bed_Mix!$J39&lt;=XS_Designer!$BN$101,XS_Designer!BH$101,"")</f>
        <v/>
      </c>
      <c r="DE39" s="4" t="str">
        <f>IF(XS_Designer_Bed_Mix!$J39&lt;=XS_Designer!$BN$101,XS_Designer!BI$101,"")</f>
        <v/>
      </c>
      <c r="DF39" s="4" t="str">
        <f>IF(XS_Designer_Bed_Mix!$J39&lt;=XS_Designer!$BN$101,XS_Designer!BJ$101,"")</f>
        <v/>
      </c>
      <c r="DG39" s="4" t="str">
        <f>IF(XS_Designer_Bed_Mix!$J39&lt;=XS_Designer!$BN$102,XS_Designer!BA$102,"")</f>
        <v/>
      </c>
      <c r="DH39" s="4" t="str">
        <f>IF(XS_Designer_Bed_Mix!$J39&lt;=XS_Designer!$BN$102,XS_Designer!BB$102,"")</f>
        <v/>
      </c>
      <c r="DI39" s="4" t="str">
        <f>IF(XS_Designer_Bed_Mix!$J39&lt;=XS_Designer!$BN$102,XS_Designer!BC$102,"")</f>
        <v/>
      </c>
      <c r="DJ39" s="4" t="str">
        <f>IF(XS_Designer_Bed_Mix!$J39&lt;=XS_Designer!$BN$102,XS_Designer!BD$102,"")</f>
        <v/>
      </c>
      <c r="DK39" s="4" t="str">
        <f>IF(XS_Designer_Bed_Mix!$J39&lt;=XS_Designer!$BN$102,XS_Designer!BE$102,"")</f>
        <v/>
      </c>
      <c r="DL39" s="4" t="str">
        <f>IF(XS_Designer_Bed_Mix!$J39&lt;=XS_Designer!$BN$102,XS_Designer!BF$102,"")</f>
        <v/>
      </c>
      <c r="DM39" s="4" t="str">
        <f>IF(XS_Designer_Bed_Mix!$J39&lt;=XS_Designer!$BN$102,XS_Designer!BG$102,"")</f>
        <v/>
      </c>
      <c r="DN39" s="4" t="str">
        <f>IF(XS_Designer_Bed_Mix!$J39&lt;=XS_Designer!$BN$102,XS_Designer!BH$102,"")</f>
        <v/>
      </c>
      <c r="DO39" s="4" t="str">
        <f>IF(XS_Designer_Bed_Mix!$J39&lt;=XS_Designer!$BN$102,XS_Designer!BI$102,"")</f>
        <v/>
      </c>
      <c r="DP39" s="4" t="str">
        <f>IF(XS_Designer_Bed_Mix!$J39&lt;=XS_Designer!$BN$102,XS_Designer!BJ$102,"")</f>
        <v/>
      </c>
    </row>
    <row r="40" spans="10:120">
      <c r="J40" s="3">
        <v>0.39</v>
      </c>
      <c r="K40" s="4" t="str">
        <f>IF(XS_Designer_Bed_Mix!$J40&lt;=XS_Designer!$BN$92,XS_Designer!BA$92,"")</f>
        <v/>
      </c>
      <c r="L40" s="4" t="str">
        <f>IF(XS_Designer_Bed_Mix!$J40&lt;=XS_Designer!$BN$92,XS_Designer!BB$92,"")</f>
        <v/>
      </c>
      <c r="M40" s="4" t="str">
        <f>IF(XS_Designer_Bed_Mix!$J40&lt;=XS_Designer!$BN$92,XS_Designer!BC$92,"")</f>
        <v/>
      </c>
      <c r="N40" s="4" t="str">
        <f>IF(XS_Designer_Bed_Mix!$J40&lt;=XS_Designer!$BN$92,XS_Designer!BD$92,"")</f>
        <v/>
      </c>
      <c r="O40" s="4" t="str">
        <f>IF(XS_Designer_Bed_Mix!$J40&lt;=XS_Designer!$BN$92,XS_Designer!BE$92,"")</f>
        <v/>
      </c>
      <c r="P40" s="4" t="str">
        <f>IF(XS_Designer_Bed_Mix!$J40&lt;=XS_Designer!$BN$92,XS_Designer!BF$92,"")</f>
        <v/>
      </c>
      <c r="Q40" s="4" t="str">
        <f>IF(XS_Designer_Bed_Mix!$J40&lt;=XS_Designer!$BN$92,XS_Designer!BG$92,"")</f>
        <v/>
      </c>
      <c r="R40" s="4" t="str">
        <f>IF(XS_Designer_Bed_Mix!$J40&lt;=XS_Designer!$BN$92,XS_Designer!BH$92,"")</f>
        <v/>
      </c>
      <c r="S40" s="4" t="str">
        <f>IF(XS_Designer_Bed_Mix!$J40&lt;=XS_Designer!$BN$92,XS_Designer!BI$92,"")</f>
        <v/>
      </c>
      <c r="T40" s="4" t="str">
        <f>IF(XS_Designer_Bed_Mix!$J40&lt;=XS_Designer!$BN$92,XS_Designer!BJ$92,"")</f>
        <v/>
      </c>
      <c r="U40" s="4" t="str">
        <f>IF(XS_Designer_Bed_Mix!$J40&lt;=XS_Designer!$BN$93,XS_Designer!BA$93,"")</f>
        <v/>
      </c>
      <c r="V40" s="4" t="str">
        <f>IF(XS_Designer_Bed_Mix!$J40&lt;=XS_Designer!$BN$93,XS_Designer!BB$93,"")</f>
        <v/>
      </c>
      <c r="W40" s="4" t="str">
        <f>IF(XS_Designer_Bed_Mix!$J40&lt;=XS_Designer!$BN$93,XS_Designer!BC$93,"")</f>
        <v/>
      </c>
      <c r="X40" s="4" t="str">
        <f>IF(XS_Designer_Bed_Mix!$J40&lt;=XS_Designer!$BN$93,XS_Designer!BD$93,"")</f>
        <v/>
      </c>
      <c r="Y40" s="4" t="str">
        <f>IF(XS_Designer_Bed_Mix!$J40&lt;=XS_Designer!$BN$93,XS_Designer!BE$93,"")</f>
        <v/>
      </c>
      <c r="Z40" s="4" t="str">
        <f>IF(XS_Designer_Bed_Mix!$J40&lt;=XS_Designer!$BN$93,XS_Designer!BF$93,"")</f>
        <v/>
      </c>
      <c r="AA40" s="4" t="str">
        <f>IF(XS_Designer_Bed_Mix!$J40&lt;=XS_Designer!$BN$93,XS_Designer!BG$93,"")</f>
        <v/>
      </c>
      <c r="AB40" s="4" t="str">
        <f>IF(XS_Designer_Bed_Mix!$J40&lt;=XS_Designer!$BN$93,XS_Designer!BH$93,"")</f>
        <v/>
      </c>
      <c r="AC40" s="4" t="str">
        <f>IF(XS_Designer_Bed_Mix!$J40&lt;=XS_Designer!$BN$93,XS_Designer!BI$93,"")</f>
        <v/>
      </c>
      <c r="AD40" s="4" t="str">
        <f>IF(XS_Designer_Bed_Mix!$J40&lt;=XS_Designer!$BN$93,XS_Designer!BJ$93,"")</f>
        <v/>
      </c>
      <c r="AE40" s="4" t="str">
        <f>IF(XS_Designer_Bed_Mix!$J40&lt;=XS_Designer!$BN$94,XS_Designer!BA$94,"")</f>
        <v/>
      </c>
      <c r="AF40" s="4" t="str">
        <f>IF(XS_Designer_Bed_Mix!$J40&lt;=XS_Designer!$BN$94,XS_Designer!BB$94,"")</f>
        <v/>
      </c>
      <c r="AG40" s="4" t="str">
        <f>IF(XS_Designer_Bed_Mix!$J40&lt;=XS_Designer!$BN$94,XS_Designer!BC$94,"")</f>
        <v/>
      </c>
      <c r="AH40" s="4" t="str">
        <f>IF(XS_Designer_Bed_Mix!$J40&lt;=XS_Designer!$BN$94,XS_Designer!BD$94,"")</f>
        <v/>
      </c>
      <c r="AI40" s="4" t="str">
        <f>IF(XS_Designer_Bed_Mix!$J40&lt;=XS_Designer!$BN$94,XS_Designer!BE$94,"")</f>
        <v/>
      </c>
      <c r="AJ40" s="4" t="str">
        <f>IF(XS_Designer_Bed_Mix!$J40&lt;=XS_Designer!$BN$94,XS_Designer!BF$94,"")</f>
        <v/>
      </c>
      <c r="AK40" s="4" t="str">
        <f>IF(XS_Designer_Bed_Mix!$J40&lt;=XS_Designer!$BN$94,XS_Designer!BG$94,"")</f>
        <v/>
      </c>
      <c r="AL40" s="4" t="str">
        <f>IF(XS_Designer_Bed_Mix!$J40&lt;=XS_Designer!$BN$94,XS_Designer!BH$94,"")</f>
        <v/>
      </c>
      <c r="AM40" s="4" t="str">
        <f>IF(XS_Designer_Bed_Mix!$J40&lt;=XS_Designer!$BN$94,XS_Designer!BI$94,"")</f>
        <v/>
      </c>
      <c r="AN40" s="4" t="str">
        <f>IF(XS_Designer_Bed_Mix!$J40&lt;=XS_Designer!$BN$94,XS_Designer!BJ$94,"")</f>
        <v/>
      </c>
      <c r="AO40" s="4" t="str">
        <f>IF(XS_Designer_Bed_Mix!$J40&lt;=XS_Designer!$BN$95,XS_Designer!BA$95,"")</f>
        <v/>
      </c>
      <c r="AP40" s="4" t="str">
        <f>IF(XS_Designer_Bed_Mix!$J40&lt;=XS_Designer!$BN$95,XS_Designer!BB$95,"")</f>
        <v/>
      </c>
      <c r="AQ40" s="4" t="str">
        <f>IF(XS_Designer_Bed_Mix!$J40&lt;=XS_Designer!$BN$95,XS_Designer!BC$95,"")</f>
        <v/>
      </c>
      <c r="AR40" s="4" t="str">
        <f>IF(XS_Designer_Bed_Mix!$J40&lt;=XS_Designer!$BN$95,XS_Designer!BD$95,"")</f>
        <v/>
      </c>
      <c r="AS40" s="4" t="str">
        <f>IF(XS_Designer_Bed_Mix!$J40&lt;=XS_Designer!$BN$95,XS_Designer!BE$95,"")</f>
        <v/>
      </c>
      <c r="AT40" s="4" t="str">
        <f>IF(XS_Designer_Bed_Mix!$J40&lt;=XS_Designer!$BN$95,XS_Designer!BF$95,"")</f>
        <v/>
      </c>
      <c r="AU40" s="4" t="str">
        <f>IF(XS_Designer_Bed_Mix!$J40&lt;=XS_Designer!$BN$95,XS_Designer!BG$95,"")</f>
        <v/>
      </c>
      <c r="AV40" s="4" t="str">
        <f>IF(XS_Designer_Bed_Mix!$J40&lt;=XS_Designer!$BN$95,XS_Designer!BH$95,"")</f>
        <v/>
      </c>
      <c r="AW40" s="4" t="str">
        <f>IF(XS_Designer_Bed_Mix!$J40&lt;=XS_Designer!$BN$95,XS_Designer!BI$95,"")</f>
        <v/>
      </c>
      <c r="AX40" s="4" t="str">
        <f>IF(XS_Designer_Bed_Mix!$J40&lt;=XS_Designer!$BN$95,XS_Designer!BJ$95,"")</f>
        <v/>
      </c>
      <c r="AY40" s="4">
        <f>IF(XS_Designer_Bed_Mix!$J40&lt;=XS_Designer!$BN$96,XS_Designer!BA$96,"")</f>
        <v>335.28000000000003</v>
      </c>
      <c r="AZ40" s="4">
        <f>IF(XS_Designer_Bed_Mix!$J40&lt;=XS_Designer!$BN$96,XS_Designer!BB$96,"")</f>
        <v>335.28000000000003</v>
      </c>
      <c r="BA40" s="4">
        <f>IF(XS_Designer_Bed_Mix!$J40&lt;=XS_Designer!$BN$96,XS_Designer!BC$96,"")</f>
        <v>335.28000000000003</v>
      </c>
      <c r="BB40" s="4">
        <f>IF(XS_Designer_Bed_Mix!$J40&lt;=XS_Designer!$BN$96,XS_Designer!BD$96,"")</f>
        <v>335.28000000000003</v>
      </c>
      <c r="BC40" s="4">
        <f>IF(XS_Designer_Bed_Mix!$J40&lt;=XS_Designer!$BN$96,XS_Designer!BE$96,"")</f>
        <v>335.28000000000003</v>
      </c>
      <c r="BD40" s="4">
        <f>IF(XS_Designer_Bed_Mix!$J40&lt;=XS_Designer!$BN$96,XS_Designer!BF$96,"")</f>
        <v>335.28000000000003</v>
      </c>
      <c r="BE40" s="4">
        <f>IF(XS_Designer_Bed_Mix!$J40&lt;=XS_Designer!$BN$96,XS_Designer!BG$96,"")</f>
        <v>335.28000000000003</v>
      </c>
      <c r="BF40" s="4">
        <f>IF(XS_Designer_Bed_Mix!$J40&lt;=XS_Designer!$BN$96,XS_Designer!BH$96,"")</f>
        <v>335.28000000000003</v>
      </c>
      <c r="BG40" s="4">
        <f>IF(XS_Designer_Bed_Mix!$J40&lt;=XS_Designer!$BN$96,XS_Designer!BI$96,"")</f>
        <v>335.28000000000003</v>
      </c>
      <c r="BH40" s="4">
        <f>IF(XS_Designer_Bed_Mix!$J40&lt;=XS_Designer!$BN$96,XS_Designer!BJ$96,"")</f>
        <v>335.28000000000003</v>
      </c>
      <c r="BI40" s="4" t="str">
        <f>IF(XS_Designer_Bed_Mix!$J40&lt;=XS_Designer!$BN$97,XS_Designer!BA$97,"")</f>
        <v/>
      </c>
      <c r="BJ40" s="4" t="str">
        <f>IF(XS_Designer_Bed_Mix!$J40&lt;=XS_Designer!$BN$97,XS_Designer!BB$97,"")</f>
        <v/>
      </c>
      <c r="BK40" s="4" t="str">
        <f>IF(XS_Designer_Bed_Mix!$J40&lt;=XS_Designer!$BN$97,XS_Designer!BC$97,"")</f>
        <v/>
      </c>
      <c r="BL40" s="4" t="str">
        <f>IF(XS_Designer_Bed_Mix!$J40&lt;=XS_Designer!$BN$97,XS_Designer!BD$97,"")</f>
        <v/>
      </c>
      <c r="BM40" s="4" t="str">
        <f>IF(XS_Designer_Bed_Mix!$J40&lt;=XS_Designer!$BN$97,XS_Designer!BE$97,"")</f>
        <v/>
      </c>
      <c r="BN40" s="4" t="str">
        <f>IF(XS_Designer_Bed_Mix!$J40&lt;=XS_Designer!$BN$97,XS_Designer!BF$97,"")</f>
        <v/>
      </c>
      <c r="BO40" s="4" t="str">
        <f>IF(XS_Designer_Bed_Mix!$J40&lt;=XS_Designer!$BN$97,XS_Designer!BG$97,"")</f>
        <v/>
      </c>
      <c r="BP40" s="4" t="str">
        <f>IF(XS_Designer_Bed_Mix!$J40&lt;=XS_Designer!$BN$97,XS_Designer!BH$97,"")</f>
        <v/>
      </c>
      <c r="BQ40" s="4" t="str">
        <f>IF(XS_Designer_Bed_Mix!$J40&lt;=XS_Designer!$BN$97,XS_Designer!BI$97,"")</f>
        <v/>
      </c>
      <c r="BR40" s="4" t="str">
        <f>IF(XS_Designer_Bed_Mix!$J40&lt;=XS_Designer!$BN$97,XS_Designer!BJ$97,"")</f>
        <v/>
      </c>
      <c r="BS40" s="4" t="str">
        <f>IF(XS_Designer_Bed_Mix!$J40&lt;=XS_Designer!$BN$98,XS_Designer!BA$98,"")</f>
        <v/>
      </c>
      <c r="BT40" s="4" t="str">
        <f>IF(XS_Designer_Bed_Mix!$J40&lt;=XS_Designer!$BN$98,XS_Designer!BB$98,"")</f>
        <v/>
      </c>
      <c r="BU40" s="4" t="str">
        <f>IF(XS_Designer_Bed_Mix!$J40&lt;=XS_Designer!$BN$98,XS_Designer!BC$98,"")</f>
        <v/>
      </c>
      <c r="BV40" s="4" t="str">
        <f>IF(XS_Designer_Bed_Mix!$J40&lt;=XS_Designer!$BN$98,XS_Designer!BD$98,"")</f>
        <v/>
      </c>
      <c r="BW40" s="4" t="str">
        <f>IF(XS_Designer_Bed_Mix!$J40&lt;=XS_Designer!$BN$98,XS_Designer!BE$98,"")</f>
        <v/>
      </c>
      <c r="BX40" s="4" t="str">
        <f>IF(XS_Designer_Bed_Mix!$J40&lt;=XS_Designer!$BN$98,XS_Designer!BF$98,"")</f>
        <v/>
      </c>
      <c r="BY40" s="4" t="str">
        <f>IF(XS_Designer_Bed_Mix!$J40&lt;=XS_Designer!$BN$98,XS_Designer!BG$98,"")</f>
        <v/>
      </c>
      <c r="BZ40" s="4" t="str">
        <f>IF(XS_Designer_Bed_Mix!$J40&lt;=XS_Designer!$BN$98,XS_Designer!BH$98,"")</f>
        <v/>
      </c>
      <c r="CA40" s="4" t="str">
        <f>IF(XS_Designer_Bed_Mix!$J40&lt;=XS_Designer!$BN$98,XS_Designer!BI$98,"")</f>
        <v/>
      </c>
      <c r="CB40" s="4" t="str">
        <f>IF(XS_Designer_Bed_Mix!$J40&lt;=XS_Designer!$BN$98,XS_Designer!BJ$98,"")</f>
        <v/>
      </c>
      <c r="CC40" s="4" t="str">
        <f>IF(XS_Designer_Bed_Mix!$J40&lt;=XS_Designer!$BN$99,XS_Designer!BA$99,"")</f>
        <v/>
      </c>
      <c r="CD40" s="4" t="str">
        <f>IF(XS_Designer_Bed_Mix!$J40&lt;=XS_Designer!$BN$99,XS_Designer!BB$99,"")</f>
        <v/>
      </c>
      <c r="CE40" s="4" t="str">
        <f>IF(XS_Designer_Bed_Mix!$J40&lt;=XS_Designer!$BN$99,XS_Designer!BC$99,"")</f>
        <v/>
      </c>
      <c r="CF40" s="4" t="str">
        <f>IF(XS_Designer_Bed_Mix!$J40&lt;=XS_Designer!$BN$99,XS_Designer!BD$99,"")</f>
        <v/>
      </c>
      <c r="CG40" s="4" t="str">
        <f>IF(XS_Designer_Bed_Mix!$J40&lt;=XS_Designer!$BN$99,XS_Designer!BE$99,"")</f>
        <v/>
      </c>
      <c r="CH40" s="4" t="str">
        <f>IF(XS_Designer_Bed_Mix!$J40&lt;=XS_Designer!$BN$99,XS_Designer!BF$99,"")</f>
        <v/>
      </c>
      <c r="CI40" s="4" t="str">
        <f>IF(XS_Designer_Bed_Mix!$J40&lt;=XS_Designer!$BN$99,XS_Designer!BG$99,"")</f>
        <v/>
      </c>
      <c r="CJ40" s="4" t="str">
        <f>IF(XS_Designer_Bed_Mix!$J40&lt;=XS_Designer!$BN$99,XS_Designer!BH$99,"")</f>
        <v/>
      </c>
      <c r="CK40" s="4" t="str">
        <f>IF(XS_Designer_Bed_Mix!$J40&lt;=XS_Designer!$BN$99,XS_Designer!BI$99,"")</f>
        <v/>
      </c>
      <c r="CL40" s="4" t="str">
        <f>IF(XS_Designer_Bed_Mix!$J40&lt;=XS_Designer!$BN$99,XS_Designer!BJ$99,"")</f>
        <v/>
      </c>
      <c r="CM40" s="4" t="str">
        <f>IF(XS_Designer_Bed_Mix!$J40&lt;=XS_Designer!$BN$100,XS_Designer!BA$100,"")</f>
        <v/>
      </c>
      <c r="CN40" s="4" t="str">
        <f>IF(XS_Designer_Bed_Mix!$J40&lt;=XS_Designer!$BN$100,XS_Designer!BB$100,"")</f>
        <v/>
      </c>
      <c r="CO40" s="4" t="str">
        <f>IF(XS_Designer_Bed_Mix!$J40&lt;=XS_Designer!$BN$100,XS_Designer!BC$100,"")</f>
        <v/>
      </c>
      <c r="CP40" s="4" t="str">
        <f>IF(XS_Designer_Bed_Mix!$J40&lt;=XS_Designer!$BN$100,XS_Designer!BD$100,"")</f>
        <v/>
      </c>
      <c r="CQ40" s="4" t="str">
        <f>IF(XS_Designer_Bed_Mix!$J40&lt;=XS_Designer!$BN$100,XS_Designer!BE$100,"")</f>
        <v/>
      </c>
      <c r="CR40" s="4" t="str">
        <f>IF(XS_Designer_Bed_Mix!$J40&lt;=XS_Designer!$BN$100,XS_Designer!BF$100,"")</f>
        <v/>
      </c>
      <c r="CS40" s="4" t="str">
        <f>IF(XS_Designer_Bed_Mix!$J40&lt;=XS_Designer!$BN$100,XS_Designer!BG$100,"")</f>
        <v/>
      </c>
      <c r="CT40" s="4" t="str">
        <f>IF(XS_Designer_Bed_Mix!$J40&lt;=XS_Designer!$BN$100,XS_Designer!BH$100,"")</f>
        <v/>
      </c>
      <c r="CU40" s="4" t="str">
        <f>IF(XS_Designer_Bed_Mix!$J40&lt;=XS_Designer!$BN$100,XS_Designer!BI$100,"")</f>
        <v/>
      </c>
      <c r="CV40" s="4" t="str">
        <f>IF(XS_Designer_Bed_Mix!$J40&lt;=XS_Designer!$BN$100,XS_Designer!BJ$100,"")</f>
        <v/>
      </c>
      <c r="CW40" s="4" t="str">
        <f>IF(XS_Designer_Bed_Mix!$J40&lt;=XS_Designer!$BN$101,XS_Designer!BA$101,"")</f>
        <v/>
      </c>
      <c r="CX40" s="4" t="str">
        <f>IF(XS_Designer_Bed_Mix!$J40&lt;=XS_Designer!$BN$101,XS_Designer!BB$101,"")</f>
        <v/>
      </c>
      <c r="CY40" s="4" t="str">
        <f>IF(XS_Designer_Bed_Mix!$J40&lt;=XS_Designer!$BN$101,XS_Designer!BC$101,"")</f>
        <v/>
      </c>
      <c r="CZ40" s="4" t="str">
        <f>IF(XS_Designer_Bed_Mix!$J40&lt;=XS_Designer!$BN$101,XS_Designer!BD$101,"")</f>
        <v/>
      </c>
      <c r="DA40" s="4" t="str">
        <f>IF(XS_Designer_Bed_Mix!$J40&lt;=XS_Designer!$BN$101,XS_Designer!BE$101,"")</f>
        <v/>
      </c>
      <c r="DB40" s="4" t="str">
        <f>IF(XS_Designer_Bed_Mix!$J40&lt;=XS_Designer!$BN$101,XS_Designer!BF$101,"")</f>
        <v/>
      </c>
      <c r="DC40" s="4" t="str">
        <f>IF(XS_Designer_Bed_Mix!$J40&lt;=XS_Designer!$BN$101,XS_Designer!BG$101,"")</f>
        <v/>
      </c>
      <c r="DD40" s="4" t="str">
        <f>IF(XS_Designer_Bed_Mix!$J40&lt;=XS_Designer!$BN$101,XS_Designer!BH$101,"")</f>
        <v/>
      </c>
      <c r="DE40" s="4" t="str">
        <f>IF(XS_Designer_Bed_Mix!$J40&lt;=XS_Designer!$BN$101,XS_Designer!BI$101,"")</f>
        <v/>
      </c>
      <c r="DF40" s="4" t="str">
        <f>IF(XS_Designer_Bed_Mix!$J40&lt;=XS_Designer!$BN$101,XS_Designer!BJ$101,"")</f>
        <v/>
      </c>
      <c r="DG40" s="4" t="str">
        <f>IF(XS_Designer_Bed_Mix!$J40&lt;=XS_Designer!$BN$102,XS_Designer!BA$102,"")</f>
        <v/>
      </c>
      <c r="DH40" s="4" t="str">
        <f>IF(XS_Designer_Bed_Mix!$J40&lt;=XS_Designer!$BN$102,XS_Designer!BB$102,"")</f>
        <v/>
      </c>
      <c r="DI40" s="4" t="str">
        <f>IF(XS_Designer_Bed_Mix!$J40&lt;=XS_Designer!$BN$102,XS_Designer!BC$102,"")</f>
        <v/>
      </c>
      <c r="DJ40" s="4" t="str">
        <f>IF(XS_Designer_Bed_Mix!$J40&lt;=XS_Designer!$BN$102,XS_Designer!BD$102,"")</f>
        <v/>
      </c>
      <c r="DK40" s="4" t="str">
        <f>IF(XS_Designer_Bed_Mix!$J40&lt;=XS_Designer!$BN$102,XS_Designer!BE$102,"")</f>
        <v/>
      </c>
      <c r="DL40" s="4" t="str">
        <f>IF(XS_Designer_Bed_Mix!$J40&lt;=XS_Designer!$BN$102,XS_Designer!BF$102,"")</f>
        <v/>
      </c>
      <c r="DM40" s="4" t="str">
        <f>IF(XS_Designer_Bed_Mix!$J40&lt;=XS_Designer!$BN$102,XS_Designer!BG$102,"")</f>
        <v/>
      </c>
      <c r="DN40" s="4" t="str">
        <f>IF(XS_Designer_Bed_Mix!$J40&lt;=XS_Designer!$BN$102,XS_Designer!BH$102,"")</f>
        <v/>
      </c>
      <c r="DO40" s="4" t="str">
        <f>IF(XS_Designer_Bed_Mix!$J40&lt;=XS_Designer!$BN$102,XS_Designer!BI$102,"")</f>
        <v/>
      </c>
      <c r="DP40" s="4" t="str">
        <f>IF(XS_Designer_Bed_Mix!$J40&lt;=XS_Designer!$BN$102,XS_Designer!BJ$102,"")</f>
        <v/>
      </c>
    </row>
    <row r="41" spans="10:120">
      <c r="J41" s="3">
        <v>0.4</v>
      </c>
      <c r="K41" s="4" t="str">
        <f>IF(XS_Designer_Bed_Mix!$J41&lt;=XS_Designer!$BN$92,XS_Designer!BA$92,"")</f>
        <v/>
      </c>
      <c r="L41" s="4" t="str">
        <f>IF(XS_Designer_Bed_Mix!$J41&lt;=XS_Designer!$BN$92,XS_Designer!BB$92,"")</f>
        <v/>
      </c>
      <c r="M41" s="4" t="str">
        <f>IF(XS_Designer_Bed_Mix!$J41&lt;=XS_Designer!$BN$92,XS_Designer!BC$92,"")</f>
        <v/>
      </c>
      <c r="N41" s="4" t="str">
        <f>IF(XS_Designer_Bed_Mix!$J41&lt;=XS_Designer!$BN$92,XS_Designer!BD$92,"")</f>
        <v/>
      </c>
      <c r="O41" s="4" t="str">
        <f>IF(XS_Designer_Bed_Mix!$J41&lt;=XS_Designer!$BN$92,XS_Designer!BE$92,"")</f>
        <v/>
      </c>
      <c r="P41" s="4" t="str">
        <f>IF(XS_Designer_Bed_Mix!$J41&lt;=XS_Designer!$BN$92,XS_Designer!BF$92,"")</f>
        <v/>
      </c>
      <c r="Q41" s="4" t="str">
        <f>IF(XS_Designer_Bed_Mix!$J41&lt;=XS_Designer!$BN$92,XS_Designer!BG$92,"")</f>
        <v/>
      </c>
      <c r="R41" s="4" t="str">
        <f>IF(XS_Designer_Bed_Mix!$J41&lt;=XS_Designer!$BN$92,XS_Designer!BH$92,"")</f>
        <v/>
      </c>
      <c r="S41" s="4" t="str">
        <f>IF(XS_Designer_Bed_Mix!$J41&lt;=XS_Designer!$BN$92,XS_Designer!BI$92,"")</f>
        <v/>
      </c>
      <c r="T41" s="4" t="str">
        <f>IF(XS_Designer_Bed_Mix!$J41&lt;=XS_Designer!$BN$92,XS_Designer!BJ$92,"")</f>
        <v/>
      </c>
      <c r="U41" s="4" t="str">
        <f>IF(XS_Designer_Bed_Mix!$J41&lt;=XS_Designer!$BN$93,XS_Designer!BA$93,"")</f>
        <v/>
      </c>
      <c r="V41" s="4" t="str">
        <f>IF(XS_Designer_Bed_Mix!$J41&lt;=XS_Designer!$BN$93,XS_Designer!BB$93,"")</f>
        <v/>
      </c>
      <c r="W41" s="4" t="str">
        <f>IF(XS_Designer_Bed_Mix!$J41&lt;=XS_Designer!$BN$93,XS_Designer!BC$93,"")</f>
        <v/>
      </c>
      <c r="X41" s="4" t="str">
        <f>IF(XS_Designer_Bed_Mix!$J41&lt;=XS_Designer!$BN$93,XS_Designer!BD$93,"")</f>
        <v/>
      </c>
      <c r="Y41" s="4" t="str">
        <f>IF(XS_Designer_Bed_Mix!$J41&lt;=XS_Designer!$BN$93,XS_Designer!BE$93,"")</f>
        <v/>
      </c>
      <c r="Z41" s="4" t="str">
        <f>IF(XS_Designer_Bed_Mix!$J41&lt;=XS_Designer!$BN$93,XS_Designer!BF$93,"")</f>
        <v/>
      </c>
      <c r="AA41" s="4" t="str">
        <f>IF(XS_Designer_Bed_Mix!$J41&lt;=XS_Designer!$BN$93,XS_Designer!BG$93,"")</f>
        <v/>
      </c>
      <c r="AB41" s="4" t="str">
        <f>IF(XS_Designer_Bed_Mix!$J41&lt;=XS_Designer!$BN$93,XS_Designer!BH$93,"")</f>
        <v/>
      </c>
      <c r="AC41" s="4" t="str">
        <f>IF(XS_Designer_Bed_Mix!$J41&lt;=XS_Designer!$BN$93,XS_Designer!BI$93,"")</f>
        <v/>
      </c>
      <c r="AD41" s="4" t="str">
        <f>IF(XS_Designer_Bed_Mix!$J41&lt;=XS_Designer!$BN$93,XS_Designer!BJ$93,"")</f>
        <v/>
      </c>
      <c r="AE41" s="4" t="str">
        <f>IF(XS_Designer_Bed_Mix!$J41&lt;=XS_Designer!$BN$94,XS_Designer!BA$94,"")</f>
        <v/>
      </c>
      <c r="AF41" s="4" t="str">
        <f>IF(XS_Designer_Bed_Mix!$J41&lt;=XS_Designer!$BN$94,XS_Designer!BB$94,"")</f>
        <v/>
      </c>
      <c r="AG41" s="4" t="str">
        <f>IF(XS_Designer_Bed_Mix!$J41&lt;=XS_Designer!$BN$94,XS_Designer!BC$94,"")</f>
        <v/>
      </c>
      <c r="AH41" s="4" t="str">
        <f>IF(XS_Designer_Bed_Mix!$J41&lt;=XS_Designer!$BN$94,XS_Designer!BD$94,"")</f>
        <v/>
      </c>
      <c r="AI41" s="4" t="str">
        <f>IF(XS_Designer_Bed_Mix!$J41&lt;=XS_Designer!$BN$94,XS_Designer!BE$94,"")</f>
        <v/>
      </c>
      <c r="AJ41" s="4" t="str">
        <f>IF(XS_Designer_Bed_Mix!$J41&lt;=XS_Designer!$BN$94,XS_Designer!BF$94,"")</f>
        <v/>
      </c>
      <c r="AK41" s="4" t="str">
        <f>IF(XS_Designer_Bed_Mix!$J41&lt;=XS_Designer!$BN$94,XS_Designer!BG$94,"")</f>
        <v/>
      </c>
      <c r="AL41" s="4" t="str">
        <f>IF(XS_Designer_Bed_Mix!$J41&lt;=XS_Designer!$BN$94,XS_Designer!BH$94,"")</f>
        <v/>
      </c>
      <c r="AM41" s="4" t="str">
        <f>IF(XS_Designer_Bed_Mix!$J41&lt;=XS_Designer!$BN$94,XS_Designer!BI$94,"")</f>
        <v/>
      </c>
      <c r="AN41" s="4" t="str">
        <f>IF(XS_Designer_Bed_Mix!$J41&lt;=XS_Designer!$BN$94,XS_Designer!BJ$94,"")</f>
        <v/>
      </c>
      <c r="AO41" s="4" t="str">
        <f>IF(XS_Designer_Bed_Mix!$J41&lt;=XS_Designer!$BN$95,XS_Designer!BA$95,"")</f>
        <v/>
      </c>
      <c r="AP41" s="4" t="str">
        <f>IF(XS_Designer_Bed_Mix!$J41&lt;=XS_Designer!$BN$95,XS_Designer!BB$95,"")</f>
        <v/>
      </c>
      <c r="AQ41" s="4" t="str">
        <f>IF(XS_Designer_Bed_Mix!$J41&lt;=XS_Designer!$BN$95,XS_Designer!BC$95,"")</f>
        <v/>
      </c>
      <c r="AR41" s="4" t="str">
        <f>IF(XS_Designer_Bed_Mix!$J41&lt;=XS_Designer!$BN$95,XS_Designer!BD$95,"")</f>
        <v/>
      </c>
      <c r="AS41" s="4" t="str">
        <f>IF(XS_Designer_Bed_Mix!$J41&lt;=XS_Designer!$BN$95,XS_Designer!BE$95,"")</f>
        <v/>
      </c>
      <c r="AT41" s="4" t="str">
        <f>IF(XS_Designer_Bed_Mix!$J41&lt;=XS_Designer!$BN$95,XS_Designer!BF$95,"")</f>
        <v/>
      </c>
      <c r="AU41" s="4" t="str">
        <f>IF(XS_Designer_Bed_Mix!$J41&lt;=XS_Designer!$BN$95,XS_Designer!BG$95,"")</f>
        <v/>
      </c>
      <c r="AV41" s="4" t="str">
        <f>IF(XS_Designer_Bed_Mix!$J41&lt;=XS_Designer!$BN$95,XS_Designer!BH$95,"")</f>
        <v/>
      </c>
      <c r="AW41" s="4" t="str">
        <f>IF(XS_Designer_Bed_Mix!$J41&lt;=XS_Designer!$BN$95,XS_Designer!BI$95,"")</f>
        <v/>
      </c>
      <c r="AX41" s="4" t="str">
        <f>IF(XS_Designer_Bed_Mix!$J41&lt;=XS_Designer!$BN$95,XS_Designer!BJ$95,"")</f>
        <v/>
      </c>
      <c r="AY41" s="4">
        <f>IF(XS_Designer_Bed_Mix!$J41&lt;=XS_Designer!$BN$96,XS_Designer!BA$96,"")</f>
        <v>335.28000000000003</v>
      </c>
      <c r="AZ41" s="4">
        <f>IF(XS_Designer_Bed_Mix!$J41&lt;=XS_Designer!$BN$96,XS_Designer!BB$96,"")</f>
        <v>335.28000000000003</v>
      </c>
      <c r="BA41" s="4">
        <f>IF(XS_Designer_Bed_Mix!$J41&lt;=XS_Designer!$BN$96,XS_Designer!BC$96,"")</f>
        <v>335.28000000000003</v>
      </c>
      <c r="BB41" s="4">
        <f>IF(XS_Designer_Bed_Mix!$J41&lt;=XS_Designer!$BN$96,XS_Designer!BD$96,"")</f>
        <v>335.28000000000003</v>
      </c>
      <c r="BC41" s="4">
        <f>IF(XS_Designer_Bed_Mix!$J41&lt;=XS_Designer!$BN$96,XS_Designer!BE$96,"")</f>
        <v>335.28000000000003</v>
      </c>
      <c r="BD41" s="4">
        <f>IF(XS_Designer_Bed_Mix!$J41&lt;=XS_Designer!$BN$96,XS_Designer!BF$96,"")</f>
        <v>335.28000000000003</v>
      </c>
      <c r="BE41" s="4">
        <f>IF(XS_Designer_Bed_Mix!$J41&lt;=XS_Designer!$BN$96,XS_Designer!BG$96,"")</f>
        <v>335.28000000000003</v>
      </c>
      <c r="BF41" s="4">
        <f>IF(XS_Designer_Bed_Mix!$J41&lt;=XS_Designer!$BN$96,XS_Designer!BH$96,"")</f>
        <v>335.28000000000003</v>
      </c>
      <c r="BG41" s="4">
        <f>IF(XS_Designer_Bed_Mix!$J41&lt;=XS_Designer!$BN$96,XS_Designer!BI$96,"")</f>
        <v>335.28000000000003</v>
      </c>
      <c r="BH41" s="4">
        <f>IF(XS_Designer_Bed_Mix!$J41&lt;=XS_Designer!$BN$96,XS_Designer!BJ$96,"")</f>
        <v>335.28000000000003</v>
      </c>
      <c r="BI41" s="4" t="str">
        <f>IF(XS_Designer_Bed_Mix!$J41&lt;=XS_Designer!$BN$97,XS_Designer!BA$97,"")</f>
        <v/>
      </c>
      <c r="BJ41" s="4" t="str">
        <f>IF(XS_Designer_Bed_Mix!$J41&lt;=XS_Designer!$BN$97,XS_Designer!BB$97,"")</f>
        <v/>
      </c>
      <c r="BK41" s="4" t="str">
        <f>IF(XS_Designer_Bed_Mix!$J41&lt;=XS_Designer!$BN$97,XS_Designer!BC$97,"")</f>
        <v/>
      </c>
      <c r="BL41" s="4" t="str">
        <f>IF(XS_Designer_Bed_Mix!$J41&lt;=XS_Designer!$BN$97,XS_Designer!BD$97,"")</f>
        <v/>
      </c>
      <c r="BM41" s="4" t="str">
        <f>IF(XS_Designer_Bed_Mix!$J41&lt;=XS_Designer!$BN$97,XS_Designer!BE$97,"")</f>
        <v/>
      </c>
      <c r="BN41" s="4" t="str">
        <f>IF(XS_Designer_Bed_Mix!$J41&lt;=XS_Designer!$BN$97,XS_Designer!BF$97,"")</f>
        <v/>
      </c>
      <c r="BO41" s="4" t="str">
        <f>IF(XS_Designer_Bed_Mix!$J41&lt;=XS_Designer!$BN$97,XS_Designer!BG$97,"")</f>
        <v/>
      </c>
      <c r="BP41" s="4" t="str">
        <f>IF(XS_Designer_Bed_Mix!$J41&lt;=XS_Designer!$BN$97,XS_Designer!BH$97,"")</f>
        <v/>
      </c>
      <c r="BQ41" s="4" t="str">
        <f>IF(XS_Designer_Bed_Mix!$J41&lt;=XS_Designer!$BN$97,XS_Designer!BI$97,"")</f>
        <v/>
      </c>
      <c r="BR41" s="4" t="str">
        <f>IF(XS_Designer_Bed_Mix!$J41&lt;=XS_Designer!$BN$97,XS_Designer!BJ$97,"")</f>
        <v/>
      </c>
      <c r="BS41" s="4" t="str">
        <f>IF(XS_Designer_Bed_Mix!$J41&lt;=XS_Designer!$BN$98,XS_Designer!BA$98,"")</f>
        <v/>
      </c>
      <c r="BT41" s="4" t="str">
        <f>IF(XS_Designer_Bed_Mix!$J41&lt;=XS_Designer!$BN$98,XS_Designer!BB$98,"")</f>
        <v/>
      </c>
      <c r="BU41" s="4" t="str">
        <f>IF(XS_Designer_Bed_Mix!$J41&lt;=XS_Designer!$BN$98,XS_Designer!BC$98,"")</f>
        <v/>
      </c>
      <c r="BV41" s="4" t="str">
        <f>IF(XS_Designer_Bed_Mix!$J41&lt;=XS_Designer!$BN$98,XS_Designer!BD$98,"")</f>
        <v/>
      </c>
      <c r="BW41" s="4" t="str">
        <f>IF(XS_Designer_Bed_Mix!$J41&lt;=XS_Designer!$BN$98,XS_Designer!BE$98,"")</f>
        <v/>
      </c>
      <c r="BX41" s="4" t="str">
        <f>IF(XS_Designer_Bed_Mix!$J41&lt;=XS_Designer!$BN$98,XS_Designer!BF$98,"")</f>
        <v/>
      </c>
      <c r="BY41" s="4" t="str">
        <f>IF(XS_Designer_Bed_Mix!$J41&lt;=XS_Designer!$BN$98,XS_Designer!BG$98,"")</f>
        <v/>
      </c>
      <c r="BZ41" s="4" t="str">
        <f>IF(XS_Designer_Bed_Mix!$J41&lt;=XS_Designer!$BN$98,XS_Designer!BH$98,"")</f>
        <v/>
      </c>
      <c r="CA41" s="4" t="str">
        <f>IF(XS_Designer_Bed_Mix!$J41&lt;=XS_Designer!$BN$98,XS_Designer!BI$98,"")</f>
        <v/>
      </c>
      <c r="CB41" s="4" t="str">
        <f>IF(XS_Designer_Bed_Mix!$J41&lt;=XS_Designer!$BN$98,XS_Designer!BJ$98,"")</f>
        <v/>
      </c>
      <c r="CC41" s="4" t="str">
        <f>IF(XS_Designer_Bed_Mix!$J41&lt;=XS_Designer!$BN$99,XS_Designer!BA$99,"")</f>
        <v/>
      </c>
      <c r="CD41" s="4" t="str">
        <f>IF(XS_Designer_Bed_Mix!$J41&lt;=XS_Designer!$BN$99,XS_Designer!BB$99,"")</f>
        <v/>
      </c>
      <c r="CE41" s="4" t="str">
        <f>IF(XS_Designer_Bed_Mix!$J41&lt;=XS_Designer!$BN$99,XS_Designer!BC$99,"")</f>
        <v/>
      </c>
      <c r="CF41" s="4" t="str">
        <f>IF(XS_Designer_Bed_Mix!$J41&lt;=XS_Designer!$BN$99,XS_Designer!BD$99,"")</f>
        <v/>
      </c>
      <c r="CG41" s="4" t="str">
        <f>IF(XS_Designer_Bed_Mix!$J41&lt;=XS_Designer!$BN$99,XS_Designer!BE$99,"")</f>
        <v/>
      </c>
      <c r="CH41" s="4" t="str">
        <f>IF(XS_Designer_Bed_Mix!$J41&lt;=XS_Designer!$BN$99,XS_Designer!BF$99,"")</f>
        <v/>
      </c>
      <c r="CI41" s="4" t="str">
        <f>IF(XS_Designer_Bed_Mix!$J41&lt;=XS_Designer!$BN$99,XS_Designer!BG$99,"")</f>
        <v/>
      </c>
      <c r="CJ41" s="4" t="str">
        <f>IF(XS_Designer_Bed_Mix!$J41&lt;=XS_Designer!$BN$99,XS_Designer!BH$99,"")</f>
        <v/>
      </c>
      <c r="CK41" s="4" t="str">
        <f>IF(XS_Designer_Bed_Mix!$J41&lt;=XS_Designer!$BN$99,XS_Designer!BI$99,"")</f>
        <v/>
      </c>
      <c r="CL41" s="4" t="str">
        <f>IF(XS_Designer_Bed_Mix!$J41&lt;=XS_Designer!$BN$99,XS_Designer!BJ$99,"")</f>
        <v/>
      </c>
      <c r="CM41" s="4" t="str">
        <f>IF(XS_Designer_Bed_Mix!$J41&lt;=XS_Designer!$BN$100,XS_Designer!BA$100,"")</f>
        <v/>
      </c>
      <c r="CN41" s="4" t="str">
        <f>IF(XS_Designer_Bed_Mix!$J41&lt;=XS_Designer!$BN$100,XS_Designer!BB$100,"")</f>
        <v/>
      </c>
      <c r="CO41" s="4" t="str">
        <f>IF(XS_Designer_Bed_Mix!$J41&lt;=XS_Designer!$BN$100,XS_Designer!BC$100,"")</f>
        <v/>
      </c>
      <c r="CP41" s="4" t="str">
        <f>IF(XS_Designer_Bed_Mix!$J41&lt;=XS_Designer!$BN$100,XS_Designer!BD$100,"")</f>
        <v/>
      </c>
      <c r="CQ41" s="4" t="str">
        <f>IF(XS_Designer_Bed_Mix!$J41&lt;=XS_Designer!$BN$100,XS_Designer!BE$100,"")</f>
        <v/>
      </c>
      <c r="CR41" s="4" t="str">
        <f>IF(XS_Designer_Bed_Mix!$J41&lt;=XS_Designer!$BN$100,XS_Designer!BF$100,"")</f>
        <v/>
      </c>
      <c r="CS41" s="4" t="str">
        <f>IF(XS_Designer_Bed_Mix!$J41&lt;=XS_Designer!$BN$100,XS_Designer!BG$100,"")</f>
        <v/>
      </c>
      <c r="CT41" s="4" t="str">
        <f>IF(XS_Designer_Bed_Mix!$J41&lt;=XS_Designer!$BN$100,XS_Designer!BH$100,"")</f>
        <v/>
      </c>
      <c r="CU41" s="4" t="str">
        <f>IF(XS_Designer_Bed_Mix!$J41&lt;=XS_Designer!$BN$100,XS_Designer!BI$100,"")</f>
        <v/>
      </c>
      <c r="CV41" s="4" t="str">
        <f>IF(XS_Designer_Bed_Mix!$J41&lt;=XS_Designer!$BN$100,XS_Designer!BJ$100,"")</f>
        <v/>
      </c>
      <c r="CW41" s="4" t="str">
        <f>IF(XS_Designer_Bed_Mix!$J41&lt;=XS_Designer!$BN$101,XS_Designer!BA$101,"")</f>
        <v/>
      </c>
      <c r="CX41" s="4" t="str">
        <f>IF(XS_Designer_Bed_Mix!$J41&lt;=XS_Designer!$BN$101,XS_Designer!BB$101,"")</f>
        <v/>
      </c>
      <c r="CY41" s="4" t="str">
        <f>IF(XS_Designer_Bed_Mix!$J41&lt;=XS_Designer!$BN$101,XS_Designer!BC$101,"")</f>
        <v/>
      </c>
      <c r="CZ41" s="4" t="str">
        <f>IF(XS_Designer_Bed_Mix!$J41&lt;=XS_Designer!$BN$101,XS_Designer!BD$101,"")</f>
        <v/>
      </c>
      <c r="DA41" s="4" t="str">
        <f>IF(XS_Designer_Bed_Mix!$J41&lt;=XS_Designer!$BN$101,XS_Designer!BE$101,"")</f>
        <v/>
      </c>
      <c r="DB41" s="4" t="str">
        <f>IF(XS_Designer_Bed_Mix!$J41&lt;=XS_Designer!$BN$101,XS_Designer!BF$101,"")</f>
        <v/>
      </c>
      <c r="DC41" s="4" t="str">
        <f>IF(XS_Designer_Bed_Mix!$J41&lt;=XS_Designer!$BN$101,XS_Designer!BG$101,"")</f>
        <v/>
      </c>
      <c r="DD41" s="4" t="str">
        <f>IF(XS_Designer_Bed_Mix!$J41&lt;=XS_Designer!$BN$101,XS_Designer!BH$101,"")</f>
        <v/>
      </c>
      <c r="DE41" s="4" t="str">
        <f>IF(XS_Designer_Bed_Mix!$J41&lt;=XS_Designer!$BN$101,XS_Designer!BI$101,"")</f>
        <v/>
      </c>
      <c r="DF41" s="4" t="str">
        <f>IF(XS_Designer_Bed_Mix!$J41&lt;=XS_Designer!$BN$101,XS_Designer!BJ$101,"")</f>
        <v/>
      </c>
      <c r="DG41" s="4" t="str">
        <f>IF(XS_Designer_Bed_Mix!$J41&lt;=XS_Designer!$BN$102,XS_Designer!BA$102,"")</f>
        <v/>
      </c>
      <c r="DH41" s="4" t="str">
        <f>IF(XS_Designer_Bed_Mix!$J41&lt;=XS_Designer!$BN$102,XS_Designer!BB$102,"")</f>
        <v/>
      </c>
      <c r="DI41" s="4" t="str">
        <f>IF(XS_Designer_Bed_Mix!$J41&lt;=XS_Designer!$BN$102,XS_Designer!BC$102,"")</f>
        <v/>
      </c>
      <c r="DJ41" s="4" t="str">
        <f>IF(XS_Designer_Bed_Mix!$J41&lt;=XS_Designer!$BN$102,XS_Designer!BD$102,"")</f>
        <v/>
      </c>
      <c r="DK41" s="4" t="str">
        <f>IF(XS_Designer_Bed_Mix!$J41&lt;=XS_Designer!$BN$102,XS_Designer!BE$102,"")</f>
        <v/>
      </c>
      <c r="DL41" s="4" t="str">
        <f>IF(XS_Designer_Bed_Mix!$J41&lt;=XS_Designer!$BN$102,XS_Designer!BF$102,"")</f>
        <v/>
      </c>
      <c r="DM41" s="4" t="str">
        <f>IF(XS_Designer_Bed_Mix!$J41&lt;=XS_Designer!$BN$102,XS_Designer!BG$102,"")</f>
        <v/>
      </c>
      <c r="DN41" s="4" t="str">
        <f>IF(XS_Designer_Bed_Mix!$J41&lt;=XS_Designer!$BN$102,XS_Designer!BH$102,"")</f>
        <v/>
      </c>
      <c r="DO41" s="4" t="str">
        <f>IF(XS_Designer_Bed_Mix!$J41&lt;=XS_Designer!$BN$102,XS_Designer!BI$102,"")</f>
        <v/>
      </c>
      <c r="DP41" s="4" t="str">
        <f>IF(XS_Designer_Bed_Mix!$J41&lt;=XS_Designer!$BN$102,XS_Designer!BJ$102,"")</f>
        <v/>
      </c>
    </row>
    <row r="42" spans="10:120">
      <c r="J42" s="3">
        <v>0.41</v>
      </c>
      <c r="K42" s="4" t="str">
        <f>IF(XS_Designer_Bed_Mix!$J42&lt;=XS_Designer!$BN$92,XS_Designer!BA$92,"")</f>
        <v/>
      </c>
      <c r="L42" s="4" t="str">
        <f>IF(XS_Designer_Bed_Mix!$J42&lt;=XS_Designer!$BN$92,XS_Designer!BB$92,"")</f>
        <v/>
      </c>
      <c r="M42" s="4" t="str">
        <f>IF(XS_Designer_Bed_Mix!$J42&lt;=XS_Designer!$BN$92,XS_Designer!BC$92,"")</f>
        <v/>
      </c>
      <c r="N42" s="4" t="str">
        <f>IF(XS_Designer_Bed_Mix!$J42&lt;=XS_Designer!$BN$92,XS_Designer!BD$92,"")</f>
        <v/>
      </c>
      <c r="O42" s="4" t="str">
        <f>IF(XS_Designer_Bed_Mix!$J42&lt;=XS_Designer!$BN$92,XS_Designer!BE$92,"")</f>
        <v/>
      </c>
      <c r="P42" s="4" t="str">
        <f>IF(XS_Designer_Bed_Mix!$J42&lt;=XS_Designer!$BN$92,XS_Designer!BF$92,"")</f>
        <v/>
      </c>
      <c r="Q42" s="4" t="str">
        <f>IF(XS_Designer_Bed_Mix!$J42&lt;=XS_Designer!$BN$92,XS_Designer!BG$92,"")</f>
        <v/>
      </c>
      <c r="R42" s="4" t="str">
        <f>IF(XS_Designer_Bed_Mix!$J42&lt;=XS_Designer!$BN$92,XS_Designer!BH$92,"")</f>
        <v/>
      </c>
      <c r="S42" s="4" t="str">
        <f>IF(XS_Designer_Bed_Mix!$J42&lt;=XS_Designer!$BN$92,XS_Designer!BI$92,"")</f>
        <v/>
      </c>
      <c r="T42" s="4" t="str">
        <f>IF(XS_Designer_Bed_Mix!$J42&lt;=XS_Designer!$BN$92,XS_Designer!BJ$92,"")</f>
        <v/>
      </c>
      <c r="U42" s="4" t="str">
        <f>IF(XS_Designer_Bed_Mix!$J42&lt;=XS_Designer!$BN$93,XS_Designer!BA$93,"")</f>
        <v/>
      </c>
      <c r="V42" s="4" t="str">
        <f>IF(XS_Designer_Bed_Mix!$J42&lt;=XS_Designer!$BN$93,XS_Designer!BB$93,"")</f>
        <v/>
      </c>
      <c r="W42" s="4" t="str">
        <f>IF(XS_Designer_Bed_Mix!$J42&lt;=XS_Designer!$BN$93,XS_Designer!BC$93,"")</f>
        <v/>
      </c>
      <c r="X42" s="4" t="str">
        <f>IF(XS_Designer_Bed_Mix!$J42&lt;=XS_Designer!$BN$93,XS_Designer!BD$93,"")</f>
        <v/>
      </c>
      <c r="Y42" s="4" t="str">
        <f>IF(XS_Designer_Bed_Mix!$J42&lt;=XS_Designer!$BN$93,XS_Designer!BE$93,"")</f>
        <v/>
      </c>
      <c r="Z42" s="4" t="str">
        <f>IF(XS_Designer_Bed_Mix!$J42&lt;=XS_Designer!$BN$93,XS_Designer!BF$93,"")</f>
        <v/>
      </c>
      <c r="AA42" s="4" t="str">
        <f>IF(XS_Designer_Bed_Mix!$J42&lt;=XS_Designer!$BN$93,XS_Designer!BG$93,"")</f>
        <v/>
      </c>
      <c r="AB42" s="4" t="str">
        <f>IF(XS_Designer_Bed_Mix!$J42&lt;=XS_Designer!$BN$93,XS_Designer!BH$93,"")</f>
        <v/>
      </c>
      <c r="AC42" s="4" t="str">
        <f>IF(XS_Designer_Bed_Mix!$J42&lt;=XS_Designer!$BN$93,XS_Designer!BI$93,"")</f>
        <v/>
      </c>
      <c r="AD42" s="4" t="str">
        <f>IF(XS_Designer_Bed_Mix!$J42&lt;=XS_Designer!$BN$93,XS_Designer!BJ$93,"")</f>
        <v/>
      </c>
      <c r="AE42" s="4" t="str">
        <f>IF(XS_Designer_Bed_Mix!$J42&lt;=XS_Designer!$BN$94,XS_Designer!BA$94,"")</f>
        <v/>
      </c>
      <c r="AF42" s="4" t="str">
        <f>IF(XS_Designer_Bed_Mix!$J42&lt;=XS_Designer!$BN$94,XS_Designer!BB$94,"")</f>
        <v/>
      </c>
      <c r="AG42" s="4" t="str">
        <f>IF(XS_Designer_Bed_Mix!$J42&lt;=XS_Designer!$BN$94,XS_Designer!BC$94,"")</f>
        <v/>
      </c>
      <c r="AH42" s="4" t="str">
        <f>IF(XS_Designer_Bed_Mix!$J42&lt;=XS_Designer!$BN$94,XS_Designer!BD$94,"")</f>
        <v/>
      </c>
      <c r="AI42" s="4" t="str">
        <f>IF(XS_Designer_Bed_Mix!$J42&lt;=XS_Designer!$BN$94,XS_Designer!BE$94,"")</f>
        <v/>
      </c>
      <c r="AJ42" s="4" t="str">
        <f>IF(XS_Designer_Bed_Mix!$J42&lt;=XS_Designer!$BN$94,XS_Designer!BF$94,"")</f>
        <v/>
      </c>
      <c r="AK42" s="4" t="str">
        <f>IF(XS_Designer_Bed_Mix!$J42&lt;=XS_Designer!$BN$94,XS_Designer!BG$94,"")</f>
        <v/>
      </c>
      <c r="AL42" s="4" t="str">
        <f>IF(XS_Designer_Bed_Mix!$J42&lt;=XS_Designer!$BN$94,XS_Designer!BH$94,"")</f>
        <v/>
      </c>
      <c r="AM42" s="4" t="str">
        <f>IF(XS_Designer_Bed_Mix!$J42&lt;=XS_Designer!$BN$94,XS_Designer!BI$94,"")</f>
        <v/>
      </c>
      <c r="AN42" s="4" t="str">
        <f>IF(XS_Designer_Bed_Mix!$J42&lt;=XS_Designer!$BN$94,XS_Designer!BJ$94,"")</f>
        <v/>
      </c>
      <c r="AO42" s="4" t="str">
        <f>IF(XS_Designer_Bed_Mix!$J42&lt;=XS_Designer!$BN$95,XS_Designer!BA$95,"")</f>
        <v/>
      </c>
      <c r="AP42" s="4" t="str">
        <f>IF(XS_Designer_Bed_Mix!$J42&lt;=XS_Designer!$BN$95,XS_Designer!BB$95,"")</f>
        <v/>
      </c>
      <c r="AQ42" s="4" t="str">
        <f>IF(XS_Designer_Bed_Mix!$J42&lt;=XS_Designer!$BN$95,XS_Designer!BC$95,"")</f>
        <v/>
      </c>
      <c r="AR42" s="4" t="str">
        <f>IF(XS_Designer_Bed_Mix!$J42&lt;=XS_Designer!$BN$95,XS_Designer!BD$95,"")</f>
        <v/>
      </c>
      <c r="AS42" s="4" t="str">
        <f>IF(XS_Designer_Bed_Mix!$J42&lt;=XS_Designer!$BN$95,XS_Designer!BE$95,"")</f>
        <v/>
      </c>
      <c r="AT42" s="4" t="str">
        <f>IF(XS_Designer_Bed_Mix!$J42&lt;=XS_Designer!$BN$95,XS_Designer!BF$95,"")</f>
        <v/>
      </c>
      <c r="AU42" s="4" t="str">
        <f>IF(XS_Designer_Bed_Mix!$J42&lt;=XS_Designer!$BN$95,XS_Designer!BG$95,"")</f>
        <v/>
      </c>
      <c r="AV42" s="4" t="str">
        <f>IF(XS_Designer_Bed_Mix!$J42&lt;=XS_Designer!$BN$95,XS_Designer!BH$95,"")</f>
        <v/>
      </c>
      <c r="AW42" s="4" t="str">
        <f>IF(XS_Designer_Bed_Mix!$J42&lt;=XS_Designer!$BN$95,XS_Designer!BI$95,"")</f>
        <v/>
      </c>
      <c r="AX42" s="4" t="str">
        <f>IF(XS_Designer_Bed_Mix!$J42&lt;=XS_Designer!$BN$95,XS_Designer!BJ$95,"")</f>
        <v/>
      </c>
      <c r="AY42" s="4">
        <f>IF(XS_Designer_Bed_Mix!$J42&lt;=XS_Designer!$BN$96,XS_Designer!BA$96,"")</f>
        <v>335.28000000000003</v>
      </c>
      <c r="AZ42" s="4">
        <f>IF(XS_Designer_Bed_Mix!$J42&lt;=XS_Designer!$BN$96,XS_Designer!BB$96,"")</f>
        <v>335.28000000000003</v>
      </c>
      <c r="BA42" s="4">
        <f>IF(XS_Designer_Bed_Mix!$J42&lt;=XS_Designer!$BN$96,XS_Designer!BC$96,"")</f>
        <v>335.28000000000003</v>
      </c>
      <c r="BB42" s="4">
        <f>IF(XS_Designer_Bed_Mix!$J42&lt;=XS_Designer!$BN$96,XS_Designer!BD$96,"")</f>
        <v>335.28000000000003</v>
      </c>
      <c r="BC42" s="4">
        <f>IF(XS_Designer_Bed_Mix!$J42&lt;=XS_Designer!$BN$96,XS_Designer!BE$96,"")</f>
        <v>335.28000000000003</v>
      </c>
      <c r="BD42" s="4">
        <f>IF(XS_Designer_Bed_Mix!$J42&lt;=XS_Designer!$BN$96,XS_Designer!BF$96,"")</f>
        <v>335.28000000000003</v>
      </c>
      <c r="BE42" s="4">
        <f>IF(XS_Designer_Bed_Mix!$J42&lt;=XS_Designer!$BN$96,XS_Designer!BG$96,"")</f>
        <v>335.28000000000003</v>
      </c>
      <c r="BF42" s="4">
        <f>IF(XS_Designer_Bed_Mix!$J42&lt;=XS_Designer!$BN$96,XS_Designer!BH$96,"")</f>
        <v>335.28000000000003</v>
      </c>
      <c r="BG42" s="4">
        <f>IF(XS_Designer_Bed_Mix!$J42&lt;=XS_Designer!$BN$96,XS_Designer!BI$96,"")</f>
        <v>335.28000000000003</v>
      </c>
      <c r="BH42" s="4">
        <f>IF(XS_Designer_Bed_Mix!$J42&lt;=XS_Designer!$BN$96,XS_Designer!BJ$96,"")</f>
        <v>335.28000000000003</v>
      </c>
      <c r="BI42" s="4" t="str">
        <f>IF(XS_Designer_Bed_Mix!$J42&lt;=XS_Designer!$BN$97,XS_Designer!BA$97,"")</f>
        <v/>
      </c>
      <c r="BJ42" s="4" t="str">
        <f>IF(XS_Designer_Bed_Mix!$J42&lt;=XS_Designer!$BN$97,XS_Designer!BB$97,"")</f>
        <v/>
      </c>
      <c r="BK42" s="4" t="str">
        <f>IF(XS_Designer_Bed_Mix!$J42&lt;=XS_Designer!$BN$97,XS_Designer!BC$97,"")</f>
        <v/>
      </c>
      <c r="BL42" s="4" t="str">
        <f>IF(XS_Designer_Bed_Mix!$J42&lt;=XS_Designer!$BN$97,XS_Designer!BD$97,"")</f>
        <v/>
      </c>
      <c r="BM42" s="4" t="str">
        <f>IF(XS_Designer_Bed_Mix!$J42&lt;=XS_Designer!$BN$97,XS_Designer!BE$97,"")</f>
        <v/>
      </c>
      <c r="BN42" s="4" t="str">
        <f>IF(XS_Designer_Bed_Mix!$J42&lt;=XS_Designer!$BN$97,XS_Designer!BF$97,"")</f>
        <v/>
      </c>
      <c r="BO42" s="4" t="str">
        <f>IF(XS_Designer_Bed_Mix!$J42&lt;=XS_Designer!$BN$97,XS_Designer!BG$97,"")</f>
        <v/>
      </c>
      <c r="BP42" s="4" t="str">
        <f>IF(XS_Designer_Bed_Mix!$J42&lt;=XS_Designer!$BN$97,XS_Designer!BH$97,"")</f>
        <v/>
      </c>
      <c r="BQ42" s="4" t="str">
        <f>IF(XS_Designer_Bed_Mix!$J42&lt;=XS_Designer!$BN$97,XS_Designer!BI$97,"")</f>
        <v/>
      </c>
      <c r="BR42" s="4" t="str">
        <f>IF(XS_Designer_Bed_Mix!$J42&lt;=XS_Designer!$BN$97,XS_Designer!BJ$97,"")</f>
        <v/>
      </c>
      <c r="BS42" s="4" t="str">
        <f>IF(XS_Designer_Bed_Mix!$J42&lt;=XS_Designer!$BN$98,XS_Designer!BA$98,"")</f>
        <v/>
      </c>
      <c r="BT42" s="4" t="str">
        <f>IF(XS_Designer_Bed_Mix!$J42&lt;=XS_Designer!$BN$98,XS_Designer!BB$98,"")</f>
        <v/>
      </c>
      <c r="BU42" s="4" t="str">
        <f>IF(XS_Designer_Bed_Mix!$J42&lt;=XS_Designer!$BN$98,XS_Designer!BC$98,"")</f>
        <v/>
      </c>
      <c r="BV42" s="4" t="str">
        <f>IF(XS_Designer_Bed_Mix!$J42&lt;=XS_Designer!$BN$98,XS_Designer!BD$98,"")</f>
        <v/>
      </c>
      <c r="BW42" s="4" t="str">
        <f>IF(XS_Designer_Bed_Mix!$J42&lt;=XS_Designer!$BN$98,XS_Designer!BE$98,"")</f>
        <v/>
      </c>
      <c r="BX42" s="4" t="str">
        <f>IF(XS_Designer_Bed_Mix!$J42&lt;=XS_Designer!$BN$98,XS_Designer!BF$98,"")</f>
        <v/>
      </c>
      <c r="BY42" s="4" t="str">
        <f>IF(XS_Designer_Bed_Mix!$J42&lt;=XS_Designer!$BN$98,XS_Designer!BG$98,"")</f>
        <v/>
      </c>
      <c r="BZ42" s="4" t="str">
        <f>IF(XS_Designer_Bed_Mix!$J42&lt;=XS_Designer!$BN$98,XS_Designer!BH$98,"")</f>
        <v/>
      </c>
      <c r="CA42" s="4" t="str">
        <f>IF(XS_Designer_Bed_Mix!$J42&lt;=XS_Designer!$BN$98,XS_Designer!BI$98,"")</f>
        <v/>
      </c>
      <c r="CB42" s="4" t="str">
        <f>IF(XS_Designer_Bed_Mix!$J42&lt;=XS_Designer!$BN$98,XS_Designer!BJ$98,"")</f>
        <v/>
      </c>
      <c r="CC42" s="4" t="str">
        <f>IF(XS_Designer_Bed_Mix!$J42&lt;=XS_Designer!$BN$99,XS_Designer!BA$99,"")</f>
        <v/>
      </c>
      <c r="CD42" s="4" t="str">
        <f>IF(XS_Designer_Bed_Mix!$J42&lt;=XS_Designer!$BN$99,XS_Designer!BB$99,"")</f>
        <v/>
      </c>
      <c r="CE42" s="4" t="str">
        <f>IF(XS_Designer_Bed_Mix!$J42&lt;=XS_Designer!$BN$99,XS_Designer!BC$99,"")</f>
        <v/>
      </c>
      <c r="CF42" s="4" t="str">
        <f>IF(XS_Designer_Bed_Mix!$J42&lt;=XS_Designer!$BN$99,XS_Designer!BD$99,"")</f>
        <v/>
      </c>
      <c r="CG42" s="4" t="str">
        <f>IF(XS_Designer_Bed_Mix!$J42&lt;=XS_Designer!$BN$99,XS_Designer!BE$99,"")</f>
        <v/>
      </c>
      <c r="CH42" s="4" t="str">
        <f>IF(XS_Designer_Bed_Mix!$J42&lt;=XS_Designer!$BN$99,XS_Designer!BF$99,"")</f>
        <v/>
      </c>
      <c r="CI42" s="4" t="str">
        <f>IF(XS_Designer_Bed_Mix!$J42&lt;=XS_Designer!$BN$99,XS_Designer!BG$99,"")</f>
        <v/>
      </c>
      <c r="CJ42" s="4" t="str">
        <f>IF(XS_Designer_Bed_Mix!$J42&lt;=XS_Designer!$BN$99,XS_Designer!BH$99,"")</f>
        <v/>
      </c>
      <c r="CK42" s="4" t="str">
        <f>IF(XS_Designer_Bed_Mix!$J42&lt;=XS_Designer!$BN$99,XS_Designer!BI$99,"")</f>
        <v/>
      </c>
      <c r="CL42" s="4" t="str">
        <f>IF(XS_Designer_Bed_Mix!$J42&lt;=XS_Designer!$BN$99,XS_Designer!BJ$99,"")</f>
        <v/>
      </c>
      <c r="CM42" s="4" t="str">
        <f>IF(XS_Designer_Bed_Mix!$J42&lt;=XS_Designer!$BN$100,XS_Designer!BA$100,"")</f>
        <v/>
      </c>
      <c r="CN42" s="4" t="str">
        <f>IF(XS_Designer_Bed_Mix!$J42&lt;=XS_Designer!$BN$100,XS_Designer!BB$100,"")</f>
        <v/>
      </c>
      <c r="CO42" s="4" t="str">
        <f>IF(XS_Designer_Bed_Mix!$J42&lt;=XS_Designer!$BN$100,XS_Designer!BC$100,"")</f>
        <v/>
      </c>
      <c r="CP42" s="4" t="str">
        <f>IF(XS_Designer_Bed_Mix!$J42&lt;=XS_Designer!$BN$100,XS_Designer!BD$100,"")</f>
        <v/>
      </c>
      <c r="CQ42" s="4" t="str">
        <f>IF(XS_Designer_Bed_Mix!$J42&lt;=XS_Designer!$BN$100,XS_Designer!BE$100,"")</f>
        <v/>
      </c>
      <c r="CR42" s="4" t="str">
        <f>IF(XS_Designer_Bed_Mix!$J42&lt;=XS_Designer!$BN$100,XS_Designer!BF$100,"")</f>
        <v/>
      </c>
      <c r="CS42" s="4" t="str">
        <f>IF(XS_Designer_Bed_Mix!$J42&lt;=XS_Designer!$BN$100,XS_Designer!BG$100,"")</f>
        <v/>
      </c>
      <c r="CT42" s="4" t="str">
        <f>IF(XS_Designer_Bed_Mix!$J42&lt;=XS_Designer!$BN$100,XS_Designer!BH$100,"")</f>
        <v/>
      </c>
      <c r="CU42" s="4" t="str">
        <f>IF(XS_Designer_Bed_Mix!$J42&lt;=XS_Designer!$BN$100,XS_Designer!BI$100,"")</f>
        <v/>
      </c>
      <c r="CV42" s="4" t="str">
        <f>IF(XS_Designer_Bed_Mix!$J42&lt;=XS_Designer!$BN$100,XS_Designer!BJ$100,"")</f>
        <v/>
      </c>
      <c r="CW42" s="4" t="str">
        <f>IF(XS_Designer_Bed_Mix!$J42&lt;=XS_Designer!$BN$101,XS_Designer!BA$101,"")</f>
        <v/>
      </c>
      <c r="CX42" s="4" t="str">
        <f>IF(XS_Designer_Bed_Mix!$J42&lt;=XS_Designer!$BN$101,XS_Designer!BB$101,"")</f>
        <v/>
      </c>
      <c r="CY42" s="4" t="str">
        <f>IF(XS_Designer_Bed_Mix!$J42&lt;=XS_Designer!$BN$101,XS_Designer!BC$101,"")</f>
        <v/>
      </c>
      <c r="CZ42" s="4" t="str">
        <f>IF(XS_Designer_Bed_Mix!$J42&lt;=XS_Designer!$BN$101,XS_Designer!BD$101,"")</f>
        <v/>
      </c>
      <c r="DA42" s="4" t="str">
        <f>IF(XS_Designer_Bed_Mix!$J42&lt;=XS_Designer!$BN$101,XS_Designer!BE$101,"")</f>
        <v/>
      </c>
      <c r="DB42" s="4" t="str">
        <f>IF(XS_Designer_Bed_Mix!$J42&lt;=XS_Designer!$BN$101,XS_Designer!BF$101,"")</f>
        <v/>
      </c>
      <c r="DC42" s="4" t="str">
        <f>IF(XS_Designer_Bed_Mix!$J42&lt;=XS_Designer!$BN$101,XS_Designer!BG$101,"")</f>
        <v/>
      </c>
      <c r="DD42" s="4" t="str">
        <f>IF(XS_Designer_Bed_Mix!$J42&lt;=XS_Designer!$BN$101,XS_Designer!BH$101,"")</f>
        <v/>
      </c>
      <c r="DE42" s="4" t="str">
        <f>IF(XS_Designer_Bed_Mix!$J42&lt;=XS_Designer!$BN$101,XS_Designer!BI$101,"")</f>
        <v/>
      </c>
      <c r="DF42" s="4" t="str">
        <f>IF(XS_Designer_Bed_Mix!$J42&lt;=XS_Designer!$BN$101,XS_Designer!BJ$101,"")</f>
        <v/>
      </c>
      <c r="DG42" s="4" t="str">
        <f>IF(XS_Designer_Bed_Mix!$J42&lt;=XS_Designer!$BN$102,XS_Designer!BA$102,"")</f>
        <v/>
      </c>
      <c r="DH42" s="4" t="str">
        <f>IF(XS_Designer_Bed_Mix!$J42&lt;=XS_Designer!$BN$102,XS_Designer!BB$102,"")</f>
        <v/>
      </c>
      <c r="DI42" s="4" t="str">
        <f>IF(XS_Designer_Bed_Mix!$J42&lt;=XS_Designer!$BN$102,XS_Designer!BC$102,"")</f>
        <v/>
      </c>
      <c r="DJ42" s="4" t="str">
        <f>IF(XS_Designer_Bed_Mix!$J42&lt;=XS_Designer!$BN$102,XS_Designer!BD$102,"")</f>
        <v/>
      </c>
      <c r="DK42" s="4" t="str">
        <f>IF(XS_Designer_Bed_Mix!$J42&lt;=XS_Designer!$BN$102,XS_Designer!BE$102,"")</f>
        <v/>
      </c>
      <c r="DL42" s="4" t="str">
        <f>IF(XS_Designer_Bed_Mix!$J42&lt;=XS_Designer!$BN$102,XS_Designer!BF$102,"")</f>
        <v/>
      </c>
      <c r="DM42" s="4" t="str">
        <f>IF(XS_Designer_Bed_Mix!$J42&lt;=XS_Designer!$BN$102,XS_Designer!BG$102,"")</f>
        <v/>
      </c>
      <c r="DN42" s="4" t="str">
        <f>IF(XS_Designer_Bed_Mix!$J42&lt;=XS_Designer!$BN$102,XS_Designer!BH$102,"")</f>
        <v/>
      </c>
      <c r="DO42" s="4" t="str">
        <f>IF(XS_Designer_Bed_Mix!$J42&lt;=XS_Designer!$BN$102,XS_Designer!BI$102,"")</f>
        <v/>
      </c>
      <c r="DP42" s="4" t="str">
        <f>IF(XS_Designer_Bed_Mix!$J42&lt;=XS_Designer!$BN$102,XS_Designer!BJ$102,"")</f>
        <v/>
      </c>
    </row>
    <row r="43" spans="10:120">
      <c r="J43" s="3">
        <v>0.42</v>
      </c>
      <c r="K43" s="4" t="str">
        <f>IF(XS_Designer_Bed_Mix!$J43&lt;=XS_Designer!$BN$92,XS_Designer!BA$92,"")</f>
        <v/>
      </c>
      <c r="L43" s="4" t="str">
        <f>IF(XS_Designer_Bed_Mix!$J43&lt;=XS_Designer!$BN$92,XS_Designer!BB$92,"")</f>
        <v/>
      </c>
      <c r="M43" s="4" t="str">
        <f>IF(XS_Designer_Bed_Mix!$J43&lt;=XS_Designer!$BN$92,XS_Designer!BC$92,"")</f>
        <v/>
      </c>
      <c r="N43" s="4" t="str">
        <f>IF(XS_Designer_Bed_Mix!$J43&lt;=XS_Designer!$BN$92,XS_Designer!BD$92,"")</f>
        <v/>
      </c>
      <c r="O43" s="4" t="str">
        <f>IF(XS_Designer_Bed_Mix!$J43&lt;=XS_Designer!$BN$92,XS_Designer!BE$92,"")</f>
        <v/>
      </c>
      <c r="P43" s="4" t="str">
        <f>IF(XS_Designer_Bed_Mix!$J43&lt;=XS_Designer!$BN$92,XS_Designer!BF$92,"")</f>
        <v/>
      </c>
      <c r="Q43" s="4" t="str">
        <f>IF(XS_Designer_Bed_Mix!$J43&lt;=XS_Designer!$BN$92,XS_Designer!BG$92,"")</f>
        <v/>
      </c>
      <c r="R43" s="4" t="str">
        <f>IF(XS_Designer_Bed_Mix!$J43&lt;=XS_Designer!$BN$92,XS_Designer!BH$92,"")</f>
        <v/>
      </c>
      <c r="S43" s="4" t="str">
        <f>IF(XS_Designer_Bed_Mix!$J43&lt;=XS_Designer!$BN$92,XS_Designer!BI$92,"")</f>
        <v/>
      </c>
      <c r="T43" s="4" t="str">
        <f>IF(XS_Designer_Bed_Mix!$J43&lt;=XS_Designer!$BN$92,XS_Designer!BJ$92,"")</f>
        <v/>
      </c>
      <c r="U43" s="4" t="str">
        <f>IF(XS_Designer_Bed_Mix!$J43&lt;=XS_Designer!$BN$93,XS_Designer!BA$93,"")</f>
        <v/>
      </c>
      <c r="V43" s="4" t="str">
        <f>IF(XS_Designer_Bed_Mix!$J43&lt;=XS_Designer!$BN$93,XS_Designer!BB$93,"")</f>
        <v/>
      </c>
      <c r="W43" s="4" t="str">
        <f>IF(XS_Designer_Bed_Mix!$J43&lt;=XS_Designer!$BN$93,XS_Designer!BC$93,"")</f>
        <v/>
      </c>
      <c r="X43" s="4" t="str">
        <f>IF(XS_Designer_Bed_Mix!$J43&lt;=XS_Designer!$BN$93,XS_Designer!BD$93,"")</f>
        <v/>
      </c>
      <c r="Y43" s="4" t="str">
        <f>IF(XS_Designer_Bed_Mix!$J43&lt;=XS_Designer!$BN$93,XS_Designer!BE$93,"")</f>
        <v/>
      </c>
      <c r="Z43" s="4" t="str">
        <f>IF(XS_Designer_Bed_Mix!$J43&lt;=XS_Designer!$BN$93,XS_Designer!BF$93,"")</f>
        <v/>
      </c>
      <c r="AA43" s="4" t="str">
        <f>IF(XS_Designer_Bed_Mix!$J43&lt;=XS_Designer!$BN$93,XS_Designer!BG$93,"")</f>
        <v/>
      </c>
      <c r="AB43" s="4" t="str">
        <f>IF(XS_Designer_Bed_Mix!$J43&lt;=XS_Designer!$BN$93,XS_Designer!BH$93,"")</f>
        <v/>
      </c>
      <c r="AC43" s="4" t="str">
        <f>IF(XS_Designer_Bed_Mix!$J43&lt;=XS_Designer!$BN$93,XS_Designer!BI$93,"")</f>
        <v/>
      </c>
      <c r="AD43" s="4" t="str">
        <f>IF(XS_Designer_Bed_Mix!$J43&lt;=XS_Designer!$BN$93,XS_Designer!BJ$93,"")</f>
        <v/>
      </c>
      <c r="AE43" s="4" t="str">
        <f>IF(XS_Designer_Bed_Mix!$J43&lt;=XS_Designer!$BN$94,XS_Designer!BA$94,"")</f>
        <v/>
      </c>
      <c r="AF43" s="4" t="str">
        <f>IF(XS_Designer_Bed_Mix!$J43&lt;=XS_Designer!$BN$94,XS_Designer!BB$94,"")</f>
        <v/>
      </c>
      <c r="AG43" s="4" t="str">
        <f>IF(XS_Designer_Bed_Mix!$J43&lt;=XS_Designer!$BN$94,XS_Designer!BC$94,"")</f>
        <v/>
      </c>
      <c r="AH43" s="4" t="str">
        <f>IF(XS_Designer_Bed_Mix!$J43&lt;=XS_Designer!$BN$94,XS_Designer!BD$94,"")</f>
        <v/>
      </c>
      <c r="AI43" s="4" t="str">
        <f>IF(XS_Designer_Bed_Mix!$J43&lt;=XS_Designer!$BN$94,XS_Designer!BE$94,"")</f>
        <v/>
      </c>
      <c r="AJ43" s="4" t="str">
        <f>IF(XS_Designer_Bed_Mix!$J43&lt;=XS_Designer!$BN$94,XS_Designer!BF$94,"")</f>
        <v/>
      </c>
      <c r="AK43" s="4" t="str">
        <f>IF(XS_Designer_Bed_Mix!$J43&lt;=XS_Designer!$BN$94,XS_Designer!BG$94,"")</f>
        <v/>
      </c>
      <c r="AL43" s="4" t="str">
        <f>IF(XS_Designer_Bed_Mix!$J43&lt;=XS_Designer!$BN$94,XS_Designer!BH$94,"")</f>
        <v/>
      </c>
      <c r="AM43" s="4" t="str">
        <f>IF(XS_Designer_Bed_Mix!$J43&lt;=XS_Designer!$BN$94,XS_Designer!BI$94,"")</f>
        <v/>
      </c>
      <c r="AN43" s="4" t="str">
        <f>IF(XS_Designer_Bed_Mix!$J43&lt;=XS_Designer!$BN$94,XS_Designer!BJ$94,"")</f>
        <v/>
      </c>
      <c r="AO43" s="4" t="str">
        <f>IF(XS_Designer_Bed_Mix!$J43&lt;=XS_Designer!$BN$95,XS_Designer!BA$95,"")</f>
        <v/>
      </c>
      <c r="AP43" s="4" t="str">
        <f>IF(XS_Designer_Bed_Mix!$J43&lt;=XS_Designer!$BN$95,XS_Designer!BB$95,"")</f>
        <v/>
      </c>
      <c r="AQ43" s="4" t="str">
        <f>IF(XS_Designer_Bed_Mix!$J43&lt;=XS_Designer!$BN$95,XS_Designer!BC$95,"")</f>
        <v/>
      </c>
      <c r="AR43" s="4" t="str">
        <f>IF(XS_Designer_Bed_Mix!$J43&lt;=XS_Designer!$BN$95,XS_Designer!BD$95,"")</f>
        <v/>
      </c>
      <c r="AS43" s="4" t="str">
        <f>IF(XS_Designer_Bed_Mix!$J43&lt;=XS_Designer!$BN$95,XS_Designer!BE$95,"")</f>
        <v/>
      </c>
      <c r="AT43" s="4" t="str">
        <f>IF(XS_Designer_Bed_Mix!$J43&lt;=XS_Designer!$BN$95,XS_Designer!BF$95,"")</f>
        <v/>
      </c>
      <c r="AU43" s="4" t="str">
        <f>IF(XS_Designer_Bed_Mix!$J43&lt;=XS_Designer!$BN$95,XS_Designer!BG$95,"")</f>
        <v/>
      </c>
      <c r="AV43" s="4" t="str">
        <f>IF(XS_Designer_Bed_Mix!$J43&lt;=XS_Designer!$BN$95,XS_Designer!BH$95,"")</f>
        <v/>
      </c>
      <c r="AW43" s="4" t="str">
        <f>IF(XS_Designer_Bed_Mix!$J43&lt;=XS_Designer!$BN$95,XS_Designer!BI$95,"")</f>
        <v/>
      </c>
      <c r="AX43" s="4" t="str">
        <f>IF(XS_Designer_Bed_Mix!$J43&lt;=XS_Designer!$BN$95,XS_Designer!BJ$95,"")</f>
        <v/>
      </c>
      <c r="AY43" s="4">
        <f>IF(XS_Designer_Bed_Mix!$J43&lt;=XS_Designer!$BN$96,XS_Designer!BA$96,"")</f>
        <v>335.28000000000003</v>
      </c>
      <c r="AZ43" s="4">
        <f>IF(XS_Designer_Bed_Mix!$J43&lt;=XS_Designer!$BN$96,XS_Designer!BB$96,"")</f>
        <v>335.28000000000003</v>
      </c>
      <c r="BA43" s="4">
        <f>IF(XS_Designer_Bed_Mix!$J43&lt;=XS_Designer!$BN$96,XS_Designer!BC$96,"")</f>
        <v>335.28000000000003</v>
      </c>
      <c r="BB43" s="4">
        <f>IF(XS_Designer_Bed_Mix!$J43&lt;=XS_Designer!$BN$96,XS_Designer!BD$96,"")</f>
        <v>335.28000000000003</v>
      </c>
      <c r="BC43" s="4">
        <f>IF(XS_Designer_Bed_Mix!$J43&lt;=XS_Designer!$BN$96,XS_Designer!BE$96,"")</f>
        <v>335.28000000000003</v>
      </c>
      <c r="BD43" s="4">
        <f>IF(XS_Designer_Bed_Mix!$J43&lt;=XS_Designer!$BN$96,XS_Designer!BF$96,"")</f>
        <v>335.28000000000003</v>
      </c>
      <c r="BE43" s="4">
        <f>IF(XS_Designer_Bed_Mix!$J43&lt;=XS_Designer!$BN$96,XS_Designer!BG$96,"")</f>
        <v>335.28000000000003</v>
      </c>
      <c r="BF43" s="4">
        <f>IF(XS_Designer_Bed_Mix!$J43&lt;=XS_Designer!$BN$96,XS_Designer!BH$96,"")</f>
        <v>335.28000000000003</v>
      </c>
      <c r="BG43" s="4">
        <f>IF(XS_Designer_Bed_Mix!$J43&lt;=XS_Designer!$BN$96,XS_Designer!BI$96,"")</f>
        <v>335.28000000000003</v>
      </c>
      <c r="BH43" s="4">
        <f>IF(XS_Designer_Bed_Mix!$J43&lt;=XS_Designer!$BN$96,XS_Designer!BJ$96,"")</f>
        <v>335.28000000000003</v>
      </c>
      <c r="BI43" s="4" t="str">
        <f>IF(XS_Designer_Bed_Mix!$J43&lt;=XS_Designer!$BN$97,XS_Designer!BA$97,"")</f>
        <v/>
      </c>
      <c r="BJ43" s="4" t="str">
        <f>IF(XS_Designer_Bed_Mix!$J43&lt;=XS_Designer!$BN$97,XS_Designer!BB$97,"")</f>
        <v/>
      </c>
      <c r="BK43" s="4" t="str">
        <f>IF(XS_Designer_Bed_Mix!$J43&lt;=XS_Designer!$BN$97,XS_Designer!BC$97,"")</f>
        <v/>
      </c>
      <c r="BL43" s="4" t="str">
        <f>IF(XS_Designer_Bed_Mix!$J43&lt;=XS_Designer!$BN$97,XS_Designer!BD$97,"")</f>
        <v/>
      </c>
      <c r="BM43" s="4" t="str">
        <f>IF(XS_Designer_Bed_Mix!$J43&lt;=XS_Designer!$BN$97,XS_Designer!BE$97,"")</f>
        <v/>
      </c>
      <c r="BN43" s="4" t="str">
        <f>IF(XS_Designer_Bed_Mix!$J43&lt;=XS_Designer!$BN$97,XS_Designer!BF$97,"")</f>
        <v/>
      </c>
      <c r="BO43" s="4" t="str">
        <f>IF(XS_Designer_Bed_Mix!$J43&lt;=XS_Designer!$BN$97,XS_Designer!BG$97,"")</f>
        <v/>
      </c>
      <c r="BP43" s="4" t="str">
        <f>IF(XS_Designer_Bed_Mix!$J43&lt;=XS_Designer!$BN$97,XS_Designer!BH$97,"")</f>
        <v/>
      </c>
      <c r="BQ43" s="4" t="str">
        <f>IF(XS_Designer_Bed_Mix!$J43&lt;=XS_Designer!$BN$97,XS_Designer!BI$97,"")</f>
        <v/>
      </c>
      <c r="BR43" s="4" t="str">
        <f>IF(XS_Designer_Bed_Mix!$J43&lt;=XS_Designer!$BN$97,XS_Designer!BJ$97,"")</f>
        <v/>
      </c>
      <c r="BS43" s="4" t="str">
        <f>IF(XS_Designer_Bed_Mix!$J43&lt;=XS_Designer!$BN$98,XS_Designer!BA$98,"")</f>
        <v/>
      </c>
      <c r="BT43" s="4" t="str">
        <f>IF(XS_Designer_Bed_Mix!$J43&lt;=XS_Designer!$BN$98,XS_Designer!BB$98,"")</f>
        <v/>
      </c>
      <c r="BU43" s="4" t="str">
        <f>IF(XS_Designer_Bed_Mix!$J43&lt;=XS_Designer!$BN$98,XS_Designer!BC$98,"")</f>
        <v/>
      </c>
      <c r="BV43" s="4" t="str">
        <f>IF(XS_Designer_Bed_Mix!$J43&lt;=XS_Designer!$BN$98,XS_Designer!BD$98,"")</f>
        <v/>
      </c>
      <c r="BW43" s="4" t="str">
        <f>IF(XS_Designer_Bed_Mix!$J43&lt;=XS_Designer!$BN$98,XS_Designer!BE$98,"")</f>
        <v/>
      </c>
      <c r="BX43" s="4" t="str">
        <f>IF(XS_Designer_Bed_Mix!$J43&lt;=XS_Designer!$BN$98,XS_Designer!BF$98,"")</f>
        <v/>
      </c>
      <c r="BY43" s="4" t="str">
        <f>IF(XS_Designer_Bed_Mix!$J43&lt;=XS_Designer!$BN$98,XS_Designer!BG$98,"")</f>
        <v/>
      </c>
      <c r="BZ43" s="4" t="str">
        <f>IF(XS_Designer_Bed_Mix!$J43&lt;=XS_Designer!$BN$98,XS_Designer!BH$98,"")</f>
        <v/>
      </c>
      <c r="CA43" s="4" t="str">
        <f>IF(XS_Designer_Bed_Mix!$J43&lt;=XS_Designer!$BN$98,XS_Designer!BI$98,"")</f>
        <v/>
      </c>
      <c r="CB43" s="4" t="str">
        <f>IF(XS_Designer_Bed_Mix!$J43&lt;=XS_Designer!$BN$98,XS_Designer!BJ$98,"")</f>
        <v/>
      </c>
      <c r="CC43" s="4" t="str">
        <f>IF(XS_Designer_Bed_Mix!$J43&lt;=XS_Designer!$BN$99,XS_Designer!BA$99,"")</f>
        <v/>
      </c>
      <c r="CD43" s="4" t="str">
        <f>IF(XS_Designer_Bed_Mix!$J43&lt;=XS_Designer!$BN$99,XS_Designer!BB$99,"")</f>
        <v/>
      </c>
      <c r="CE43" s="4" t="str">
        <f>IF(XS_Designer_Bed_Mix!$J43&lt;=XS_Designer!$BN$99,XS_Designer!BC$99,"")</f>
        <v/>
      </c>
      <c r="CF43" s="4" t="str">
        <f>IF(XS_Designer_Bed_Mix!$J43&lt;=XS_Designer!$BN$99,XS_Designer!BD$99,"")</f>
        <v/>
      </c>
      <c r="CG43" s="4" t="str">
        <f>IF(XS_Designer_Bed_Mix!$J43&lt;=XS_Designer!$BN$99,XS_Designer!BE$99,"")</f>
        <v/>
      </c>
      <c r="CH43" s="4" t="str">
        <f>IF(XS_Designer_Bed_Mix!$J43&lt;=XS_Designer!$BN$99,XS_Designer!BF$99,"")</f>
        <v/>
      </c>
      <c r="CI43" s="4" t="str">
        <f>IF(XS_Designer_Bed_Mix!$J43&lt;=XS_Designer!$BN$99,XS_Designer!BG$99,"")</f>
        <v/>
      </c>
      <c r="CJ43" s="4" t="str">
        <f>IF(XS_Designer_Bed_Mix!$J43&lt;=XS_Designer!$BN$99,XS_Designer!BH$99,"")</f>
        <v/>
      </c>
      <c r="CK43" s="4" t="str">
        <f>IF(XS_Designer_Bed_Mix!$J43&lt;=XS_Designer!$BN$99,XS_Designer!BI$99,"")</f>
        <v/>
      </c>
      <c r="CL43" s="4" t="str">
        <f>IF(XS_Designer_Bed_Mix!$J43&lt;=XS_Designer!$BN$99,XS_Designer!BJ$99,"")</f>
        <v/>
      </c>
      <c r="CM43" s="4" t="str">
        <f>IF(XS_Designer_Bed_Mix!$J43&lt;=XS_Designer!$BN$100,XS_Designer!BA$100,"")</f>
        <v/>
      </c>
      <c r="CN43" s="4" t="str">
        <f>IF(XS_Designer_Bed_Mix!$J43&lt;=XS_Designer!$BN$100,XS_Designer!BB$100,"")</f>
        <v/>
      </c>
      <c r="CO43" s="4" t="str">
        <f>IF(XS_Designer_Bed_Mix!$J43&lt;=XS_Designer!$BN$100,XS_Designer!BC$100,"")</f>
        <v/>
      </c>
      <c r="CP43" s="4" t="str">
        <f>IF(XS_Designer_Bed_Mix!$J43&lt;=XS_Designer!$BN$100,XS_Designer!BD$100,"")</f>
        <v/>
      </c>
      <c r="CQ43" s="4" t="str">
        <f>IF(XS_Designer_Bed_Mix!$J43&lt;=XS_Designer!$BN$100,XS_Designer!BE$100,"")</f>
        <v/>
      </c>
      <c r="CR43" s="4" t="str">
        <f>IF(XS_Designer_Bed_Mix!$J43&lt;=XS_Designer!$BN$100,XS_Designer!BF$100,"")</f>
        <v/>
      </c>
      <c r="CS43" s="4" t="str">
        <f>IF(XS_Designer_Bed_Mix!$J43&lt;=XS_Designer!$BN$100,XS_Designer!BG$100,"")</f>
        <v/>
      </c>
      <c r="CT43" s="4" t="str">
        <f>IF(XS_Designer_Bed_Mix!$J43&lt;=XS_Designer!$BN$100,XS_Designer!BH$100,"")</f>
        <v/>
      </c>
      <c r="CU43" s="4" t="str">
        <f>IF(XS_Designer_Bed_Mix!$J43&lt;=XS_Designer!$BN$100,XS_Designer!BI$100,"")</f>
        <v/>
      </c>
      <c r="CV43" s="4" t="str">
        <f>IF(XS_Designer_Bed_Mix!$J43&lt;=XS_Designer!$BN$100,XS_Designer!BJ$100,"")</f>
        <v/>
      </c>
      <c r="CW43" s="4" t="str">
        <f>IF(XS_Designer_Bed_Mix!$J43&lt;=XS_Designer!$BN$101,XS_Designer!BA$101,"")</f>
        <v/>
      </c>
      <c r="CX43" s="4" t="str">
        <f>IF(XS_Designer_Bed_Mix!$J43&lt;=XS_Designer!$BN$101,XS_Designer!BB$101,"")</f>
        <v/>
      </c>
      <c r="CY43" s="4" t="str">
        <f>IF(XS_Designer_Bed_Mix!$J43&lt;=XS_Designer!$BN$101,XS_Designer!BC$101,"")</f>
        <v/>
      </c>
      <c r="CZ43" s="4" t="str">
        <f>IF(XS_Designer_Bed_Mix!$J43&lt;=XS_Designer!$BN$101,XS_Designer!BD$101,"")</f>
        <v/>
      </c>
      <c r="DA43" s="4" t="str">
        <f>IF(XS_Designer_Bed_Mix!$J43&lt;=XS_Designer!$BN$101,XS_Designer!BE$101,"")</f>
        <v/>
      </c>
      <c r="DB43" s="4" t="str">
        <f>IF(XS_Designer_Bed_Mix!$J43&lt;=XS_Designer!$BN$101,XS_Designer!BF$101,"")</f>
        <v/>
      </c>
      <c r="DC43" s="4" t="str">
        <f>IF(XS_Designer_Bed_Mix!$J43&lt;=XS_Designer!$BN$101,XS_Designer!BG$101,"")</f>
        <v/>
      </c>
      <c r="DD43" s="4" t="str">
        <f>IF(XS_Designer_Bed_Mix!$J43&lt;=XS_Designer!$BN$101,XS_Designer!BH$101,"")</f>
        <v/>
      </c>
      <c r="DE43" s="4" t="str">
        <f>IF(XS_Designer_Bed_Mix!$J43&lt;=XS_Designer!$BN$101,XS_Designer!BI$101,"")</f>
        <v/>
      </c>
      <c r="DF43" s="4" t="str">
        <f>IF(XS_Designer_Bed_Mix!$J43&lt;=XS_Designer!$BN$101,XS_Designer!BJ$101,"")</f>
        <v/>
      </c>
      <c r="DG43" s="4" t="str">
        <f>IF(XS_Designer_Bed_Mix!$J43&lt;=XS_Designer!$BN$102,XS_Designer!BA$102,"")</f>
        <v/>
      </c>
      <c r="DH43" s="4" t="str">
        <f>IF(XS_Designer_Bed_Mix!$J43&lt;=XS_Designer!$BN$102,XS_Designer!BB$102,"")</f>
        <v/>
      </c>
      <c r="DI43" s="4" t="str">
        <f>IF(XS_Designer_Bed_Mix!$J43&lt;=XS_Designer!$BN$102,XS_Designer!BC$102,"")</f>
        <v/>
      </c>
      <c r="DJ43" s="4" t="str">
        <f>IF(XS_Designer_Bed_Mix!$J43&lt;=XS_Designer!$BN$102,XS_Designer!BD$102,"")</f>
        <v/>
      </c>
      <c r="DK43" s="4" t="str">
        <f>IF(XS_Designer_Bed_Mix!$J43&lt;=XS_Designer!$BN$102,XS_Designer!BE$102,"")</f>
        <v/>
      </c>
      <c r="DL43" s="4" t="str">
        <f>IF(XS_Designer_Bed_Mix!$J43&lt;=XS_Designer!$BN$102,XS_Designer!BF$102,"")</f>
        <v/>
      </c>
      <c r="DM43" s="4" t="str">
        <f>IF(XS_Designer_Bed_Mix!$J43&lt;=XS_Designer!$BN$102,XS_Designer!BG$102,"")</f>
        <v/>
      </c>
      <c r="DN43" s="4" t="str">
        <f>IF(XS_Designer_Bed_Mix!$J43&lt;=XS_Designer!$BN$102,XS_Designer!BH$102,"")</f>
        <v/>
      </c>
      <c r="DO43" s="4" t="str">
        <f>IF(XS_Designer_Bed_Mix!$J43&lt;=XS_Designer!$BN$102,XS_Designer!BI$102,"")</f>
        <v/>
      </c>
      <c r="DP43" s="4" t="str">
        <f>IF(XS_Designer_Bed_Mix!$J43&lt;=XS_Designer!$BN$102,XS_Designer!BJ$102,"")</f>
        <v/>
      </c>
    </row>
    <row r="44" spans="10:120">
      <c r="J44" s="3">
        <v>0.43</v>
      </c>
      <c r="K44" s="4" t="str">
        <f>IF(XS_Designer_Bed_Mix!$J44&lt;=XS_Designer!$BN$92,XS_Designer!BA$92,"")</f>
        <v/>
      </c>
      <c r="L44" s="4" t="str">
        <f>IF(XS_Designer_Bed_Mix!$J44&lt;=XS_Designer!$BN$92,XS_Designer!BB$92,"")</f>
        <v/>
      </c>
      <c r="M44" s="4" t="str">
        <f>IF(XS_Designer_Bed_Mix!$J44&lt;=XS_Designer!$BN$92,XS_Designer!BC$92,"")</f>
        <v/>
      </c>
      <c r="N44" s="4" t="str">
        <f>IF(XS_Designer_Bed_Mix!$J44&lt;=XS_Designer!$BN$92,XS_Designer!BD$92,"")</f>
        <v/>
      </c>
      <c r="O44" s="4" t="str">
        <f>IF(XS_Designer_Bed_Mix!$J44&lt;=XS_Designer!$BN$92,XS_Designer!BE$92,"")</f>
        <v/>
      </c>
      <c r="P44" s="4" t="str">
        <f>IF(XS_Designer_Bed_Mix!$J44&lt;=XS_Designer!$BN$92,XS_Designer!BF$92,"")</f>
        <v/>
      </c>
      <c r="Q44" s="4" t="str">
        <f>IF(XS_Designer_Bed_Mix!$J44&lt;=XS_Designer!$BN$92,XS_Designer!BG$92,"")</f>
        <v/>
      </c>
      <c r="R44" s="4" t="str">
        <f>IF(XS_Designer_Bed_Mix!$J44&lt;=XS_Designer!$BN$92,XS_Designer!BH$92,"")</f>
        <v/>
      </c>
      <c r="S44" s="4" t="str">
        <f>IF(XS_Designer_Bed_Mix!$J44&lt;=XS_Designer!$BN$92,XS_Designer!BI$92,"")</f>
        <v/>
      </c>
      <c r="T44" s="4" t="str">
        <f>IF(XS_Designer_Bed_Mix!$J44&lt;=XS_Designer!$BN$92,XS_Designer!BJ$92,"")</f>
        <v/>
      </c>
      <c r="U44" s="4" t="str">
        <f>IF(XS_Designer_Bed_Mix!$J44&lt;=XS_Designer!$BN$93,XS_Designer!BA$93,"")</f>
        <v/>
      </c>
      <c r="V44" s="4" t="str">
        <f>IF(XS_Designer_Bed_Mix!$J44&lt;=XS_Designer!$BN$93,XS_Designer!BB$93,"")</f>
        <v/>
      </c>
      <c r="W44" s="4" t="str">
        <f>IF(XS_Designer_Bed_Mix!$J44&lt;=XS_Designer!$BN$93,XS_Designer!BC$93,"")</f>
        <v/>
      </c>
      <c r="X44" s="4" t="str">
        <f>IF(XS_Designer_Bed_Mix!$J44&lt;=XS_Designer!$BN$93,XS_Designer!BD$93,"")</f>
        <v/>
      </c>
      <c r="Y44" s="4" t="str">
        <f>IF(XS_Designer_Bed_Mix!$J44&lt;=XS_Designer!$BN$93,XS_Designer!BE$93,"")</f>
        <v/>
      </c>
      <c r="Z44" s="4" t="str">
        <f>IF(XS_Designer_Bed_Mix!$J44&lt;=XS_Designer!$BN$93,XS_Designer!BF$93,"")</f>
        <v/>
      </c>
      <c r="AA44" s="4" t="str">
        <f>IF(XS_Designer_Bed_Mix!$J44&lt;=XS_Designer!$BN$93,XS_Designer!BG$93,"")</f>
        <v/>
      </c>
      <c r="AB44" s="4" t="str">
        <f>IF(XS_Designer_Bed_Mix!$J44&lt;=XS_Designer!$BN$93,XS_Designer!BH$93,"")</f>
        <v/>
      </c>
      <c r="AC44" s="4" t="str">
        <f>IF(XS_Designer_Bed_Mix!$J44&lt;=XS_Designer!$BN$93,XS_Designer!BI$93,"")</f>
        <v/>
      </c>
      <c r="AD44" s="4" t="str">
        <f>IF(XS_Designer_Bed_Mix!$J44&lt;=XS_Designer!$BN$93,XS_Designer!BJ$93,"")</f>
        <v/>
      </c>
      <c r="AE44" s="4" t="str">
        <f>IF(XS_Designer_Bed_Mix!$J44&lt;=XS_Designer!$BN$94,XS_Designer!BA$94,"")</f>
        <v/>
      </c>
      <c r="AF44" s="4" t="str">
        <f>IF(XS_Designer_Bed_Mix!$J44&lt;=XS_Designer!$BN$94,XS_Designer!BB$94,"")</f>
        <v/>
      </c>
      <c r="AG44" s="4" t="str">
        <f>IF(XS_Designer_Bed_Mix!$J44&lt;=XS_Designer!$BN$94,XS_Designer!BC$94,"")</f>
        <v/>
      </c>
      <c r="AH44" s="4" t="str">
        <f>IF(XS_Designer_Bed_Mix!$J44&lt;=XS_Designer!$BN$94,XS_Designer!BD$94,"")</f>
        <v/>
      </c>
      <c r="AI44" s="4" t="str">
        <f>IF(XS_Designer_Bed_Mix!$J44&lt;=XS_Designer!$BN$94,XS_Designer!BE$94,"")</f>
        <v/>
      </c>
      <c r="AJ44" s="4" t="str">
        <f>IF(XS_Designer_Bed_Mix!$J44&lt;=XS_Designer!$BN$94,XS_Designer!BF$94,"")</f>
        <v/>
      </c>
      <c r="AK44" s="4" t="str">
        <f>IF(XS_Designer_Bed_Mix!$J44&lt;=XS_Designer!$BN$94,XS_Designer!BG$94,"")</f>
        <v/>
      </c>
      <c r="AL44" s="4" t="str">
        <f>IF(XS_Designer_Bed_Mix!$J44&lt;=XS_Designer!$BN$94,XS_Designer!BH$94,"")</f>
        <v/>
      </c>
      <c r="AM44" s="4" t="str">
        <f>IF(XS_Designer_Bed_Mix!$J44&lt;=XS_Designer!$BN$94,XS_Designer!BI$94,"")</f>
        <v/>
      </c>
      <c r="AN44" s="4" t="str">
        <f>IF(XS_Designer_Bed_Mix!$J44&lt;=XS_Designer!$BN$94,XS_Designer!BJ$94,"")</f>
        <v/>
      </c>
      <c r="AO44" s="4" t="str">
        <f>IF(XS_Designer_Bed_Mix!$J44&lt;=XS_Designer!$BN$95,XS_Designer!BA$95,"")</f>
        <v/>
      </c>
      <c r="AP44" s="4" t="str">
        <f>IF(XS_Designer_Bed_Mix!$J44&lt;=XS_Designer!$BN$95,XS_Designer!BB$95,"")</f>
        <v/>
      </c>
      <c r="AQ44" s="4" t="str">
        <f>IF(XS_Designer_Bed_Mix!$J44&lt;=XS_Designer!$BN$95,XS_Designer!BC$95,"")</f>
        <v/>
      </c>
      <c r="AR44" s="4" t="str">
        <f>IF(XS_Designer_Bed_Mix!$J44&lt;=XS_Designer!$BN$95,XS_Designer!BD$95,"")</f>
        <v/>
      </c>
      <c r="AS44" s="4" t="str">
        <f>IF(XS_Designer_Bed_Mix!$J44&lt;=XS_Designer!$BN$95,XS_Designer!BE$95,"")</f>
        <v/>
      </c>
      <c r="AT44" s="4" t="str">
        <f>IF(XS_Designer_Bed_Mix!$J44&lt;=XS_Designer!$BN$95,XS_Designer!BF$95,"")</f>
        <v/>
      </c>
      <c r="AU44" s="4" t="str">
        <f>IF(XS_Designer_Bed_Mix!$J44&lt;=XS_Designer!$BN$95,XS_Designer!BG$95,"")</f>
        <v/>
      </c>
      <c r="AV44" s="4" t="str">
        <f>IF(XS_Designer_Bed_Mix!$J44&lt;=XS_Designer!$BN$95,XS_Designer!BH$95,"")</f>
        <v/>
      </c>
      <c r="AW44" s="4" t="str">
        <f>IF(XS_Designer_Bed_Mix!$J44&lt;=XS_Designer!$BN$95,XS_Designer!BI$95,"")</f>
        <v/>
      </c>
      <c r="AX44" s="4" t="str">
        <f>IF(XS_Designer_Bed_Mix!$J44&lt;=XS_Designer!$BN$95,XS_Designer!BJ$95,"")</f>
        <v/>
      </c>
      <c r="AY44" s="4">
        <f>IF(XS_Designer_Bed_Mix!$J44&lt;=XS_Designer!$BN$96,XS_Designer!BA$96,"")</f>
        <v>335.28000000000003</v>
      </c>
      <c r="AZ44" s="4">
        <f>IF(XS_Designer_Bed_Mix!$J44&lt;=XS_Designer!$BN$96,XS_Designer!BB$96,"")</f>
        <v>335.28000000000003</v>
      </c>
      <c r="BA44" s="4">
        <f>IF(XS_Designer_Bed_Mix!$J44&lt;=XS_Designer!$BN$96,XS_Designer!BC$96,"")</f>
        <v>335.28000000000003</v>
      </c>
      <c r="BB44" s="4">
        <f>IF(XS_Designer_Bed_Mix!$J44&lt;=XS_Designer!$BN$96,XS_Designer!BD$96,"")</f>
        <v>335.28000000000003</v>
      </c>
      <c r="BC44" s="4">
        <f>IF(XS_Designer_Bed_Mix!$J44&lt;=XS_Designer!$BN$96,XS_Designer!BE$96,"")</f>
        <v>335.28000000000003</v>
      </c>
      <c r="BD44" s="4">
        <f>IF(XS_Designer_Bed_Mix!$J44&lt;=XS_Designer!$BN$96,XS_Designer!BF$96,"")</f>
        <v>335.28000000000003</v>
      </c>
      <c r="BE44" s="4">
        <f>IF(XS_Designer_Bed_Mix!$J44&lt;=XS_Designer!$BN$96,XS_Designer!BG$96,"")</f>
        <v>335.28000000000003</v>
      </c>
      <c r="BF44" s="4">
        <f>IF(XS_Designer_Bed_Mix!$J44&lt;=XS_Designer!$BN$96,XS_Designer!BH$96,"")</f>
        <v>335.28000000000003</v>
      </c>
      <c r="BG44" s="4">
        <f>IF(XS_Designer_Bed_Mix!$J44&lt;=XS_Designer!$BN$96,XS_Designer!BI$96,"")</f>
        <v>335.28000000000003</v>
      </c>
      <c r="BH44" s="4">
        <f>IF(XS_Designer_Bed_Mix!$J44&lt;=XS_Designer!$BN$96,XS_Designer!BJ$96,"")</f>
        <v>335.28000000000003</v>
      </c>
      <c r="BI44" s="4" t="str">
        <f>IF(XS_Designer_Bed_Mix!$J44&lt;=XS_Designer!$BN$97,XS_Designer!BA$97,"")</f>
        <v/>
      </c>
      <c r="BJ44" s="4" t="str">
        <f>IF(XS_Designer_Bed_Mix!$J44&lt;=XS_Designer!$BN$97,XS_Designer!BB$97,"")</f>
        <v/>
      </c>
      <c r="BK44" s="4" t="str">
        <f>IF(XS_Designer_Bed_Mix!$J44&lt;=XS_Designer!$BN$97,XS_Designer!BC$97,"")</f>
        <v/>
      </c>
      <c r="BL44" s="4" t="str">
        <f>IF(XS_Designer_Bed_Mix!$J44&lt;=XS_Designer!$BN$97,XS_Designer!BD$97,"")</f>
        <v/>
      </c>
      <c r="BM44" s="4" t="str">
        <f>IF(XS_Designer_Bed_Mix!$J44&lt;=XS_Designer!$BN$97,XS_Designer!BE$97,"")</f>
        <v/>
      </c>
      <c r="BN44" s="4" t="str">
        <f>IF(XS_Designer_Bed_Mix!$J44&lt;=XS_Designer!$BN$97,XS_Designer!BF$97,"")</f>
        <v/>
      </c>
      <c r="BO44" s="4" t="str">
        <f>IF(XS_Designer_Bed_Mix!$J44&lt;=XS_Designer!$BN$97,XS_Designer!BG$97,"")</f>
        <v/>
      </c>
      <c r="BP44" s="4" t="str">
        <f>IF(XS_Designer_Bed_Mix!$J44&lt;=XS_Designer!$BN$97,XS_Designer!BH$97,"")</f>
        <v/>
      </c>
      <c r="BQ44" s="4" t="str">
        <f>IF(XS_Designer_Bed_Mix!$J44&lt;=XS_Designer!$BN$97,XS_Designer!BI$97,"")</f>
        <v/>
      </c>
      <c r="BR44" s="4" t="str">
        <f>IF(XS_Designer_Bed_Mix!$J44&lt;=XS_Designer!$BN$97,XS_Designer!BJ$97,"")</f>
        <v/>
      </c>
      <c r="BS44" s="4" t="str">
        <f>IF(XS_Designer_Bed_Mix!$J44&lt;=XS_Designer!$BN$98,XS_Designer!BA$98,"")</f>
        <v/>
      </c>
      <c r="BT44" s="4" t="str">
        <f>IF(XS_Designer_Bed_Mix!$J44&lt;=XS_Designer!$BN$98,XS_Designer!BB$98,"")</f>
        <v/>
      </c>
      <c r="BU44" s="4" t="str">
        <f>IF(XS_Designer_Bed_Mix!$J44&lt;=XS_Designer!$BN$98,XS_Designer!BC$98,"")</f>
        <v/>
      </c>
      <c r="BV44" s="4" t="str">
        <f>IF(XS_Designer_Bed_Mix!$J44&lt;=XS_Designer!$BN$98,XS_Designer!BD$98,"")</f>
        <v/>
      </c>
      <c r="BW44" s="4" t="str">
        <f>IF(XS_Designer_Bed_Mix!$J44&lt;=XS_Designer!$BN$98,XS_Designer!BE$98,"")</f>
        <v/>
      </c>
      <c r="BX44" s="4" t="str">
        <f>IF(XS_Designer_Bed_Mix!$J44&lt;=XS_Designer!$BN$98,XS_Designer!BF$98,"")</f>
        <v/>
      </c>
      <c r="BY44" s="4" t="str">
        <f>IF(XS_Designer_Bed_Mix!$J44&lt;=XS_Designer!$BN$98,XS_Designer!BG$98,"")</f>
        <v/>
      </c>
      <c r="BZ44" s="4" t="str">
        <f>IF(XS_Designer_Bed_Mix!$J44&lt;=XS_Designer!$BN$98,XS_Designer!BH$98,"")</f>
        <v/>
      </c>
      <c r="CA44" s="4" t="str">
        <f>IF(XS_Designer_Bed_Mix!$J44&lt;=XS_Designer!$BN$98,XS_Designer!BI$98,"")</f>
        <v/>
      </c>
      <c r="CB44" s="4" t="str">
        <f>IF(XS_Designer_Bed_Mix!$J44&lt;=XS_Designer!$BN$98,XS_Designer!BJ$98,"")</f>
        <v/>
      </c>
      <c r="CC44" s="4" t="str">
        <f>IF(XS_Designer_Bed_Mix!$J44&lt;=XS_Designer!$BN$99,XS_Designer!BA$99,"")</f>
        <v/>
      </c>
      <c r="CD44" s="4" t="str">
        <f>IF(XS_Designer_Bed_Mix!$J44&lt;=XS_Designer!$BN$99,XS_Designer!BB$99,"")</f>
        <v/>
      </c>
      <c r="CE44" s="4" t="str">
        <f>IF(XS_Designer_Bed_Mix!$J44&lt;=XS_Designer!$BN$99,XS_Designer!BC$99,"")</f>
        <v/>
      </c>
      <c r="CF44" s="4" t="str">
        <f>IF(XS_Designer_Bed_Mix!$J44&lt;=XS_Designer!$BN$99,XS_Designer!BD$99,"")</f>
        <v/>
      </c>
      <c r="CG44" s="4" t="str">
        <f>IF(XS_Designer_Bed_Mix!$J44&lt;=XS_Designer!$BN$99,XS_Designer!BE$99,"")</f>
        <v/>
      </c>
      <c r="CH44" s="4" t="str">
        <f>IF(XS_Designer_Bed_Mix!$J44&lt;=XS_Designer!$BN$99,XS_Designer!BF$99,"")</f>
        <v/>
      </c>
      <c r="CI44" s="4" t="str">
        <f>IF(XS_Designer_Bed_Mix!$J44&lt;=XS_Designer!$BN$99,XS_Designer!BG$99,"")</f>
        <v/>
      </c>
      <c r="CJ44" s="4" t="str">
        <f>IF(XS_Designer_Bed_Mix!$J44&lt;=XS_Designer!$BN$99,XS_Designer!BH$99,"")</f>
        <v/>
      </c>
      <c r="CK44" s="4" t="str">
        <f>IF(XS_Designer_Bed_Mix!$J44&lt;=XS_Designer!$BN$99,XS_Designer!BI$99,"")</f>
        <v/>
      </c>
      <c r="CL44" s="4" t="str">
        <f>IF(XS_Designer_Bed_Mix!$J44&lt;=XS_Designer!$BN$99,XS_Designer!BJ$99,"")</f>
        <v/>
      </c>
      <c r="CM44" s="4" t="str">
        <f>IF(XS_Designer_Bed_Mix!$J44&lt;=XS_Designer!$BN$100,XS_Designer!BA$100,"")</f>
        <v/>
      </c>
      <c r="CN44" s="4" t="str">
        <f>IF(XS_Designer_Bed_Mix!$J44&lt;=XS_Designer!$BN$100,XS_Designer!BB$100,"")</f>
        <v/>
      </c>
      <c r="CO44" s="4" t="str">
        <f>IF(XS_Designer_Bed_Mix!$J44&lt;=XS_Designer!$BN$100,XS_Designer!BC$100,"")</f>
        <v/>
      </c>
      <c r="CP44" s="4" t="str">
        <f>IF(XS_Designer_Bed_Mix!$J44&lt;=XS_Designer!$BN$100,XS_Designer!BD$100,"")</f>
        <v/>
      </c>
      <c r="CQ44" s="4" t="str">
        <f>IF(XS_Designer_Bed_Mix!$J44&lt;=XS_Designer!$BN$100,XS_Designer!BE$100,"")</f>
        <v/>
      </c>
      <c r="CR44" s="4" t="str">
        <f>IF(XS_Designer_Bed_Mix!$J44&lt;=XS_Designer!$BN$100,XS_Designer!BF$100,"")</f>
        <v/>
      </c>
      <c r="CS44" s="4" t="str">
        <f>IF(XS_Designer_Bed_Mix!$J44&lt;=XS_Designer!$BN$100,XS_Designer!BG$100,"")</f>
        <v/>
      </c>
      <c r="CT44" s="4" t="str">
        <f>IF(XS_Designer_Bed_Mix!$J44&lt;=XS_Designer!$BN$100,XS_Designer!BH$100,"")</f>
        <v/>
      </c>
      <c r="CU44" s="4" t="str">
        <f>IF(XS_Designer_Bed_Mix!$J44&lt;=XS_Designer!$BN$100,XS_Designer!BI$100,"")</f>
        <v/>
      </c>
      <c r="CV44" s="4" t="str">
        <f>IF(XS_Designer_Bed_Mix!$J44&lt;=XS_Designer!$BN$100,XS_Designer!BJ$100,"")</f>
        <v/>
      </c>
      <c r="CW44" s="4" t="str">
        <f>IF(XS_Designer_Bed_Mix!$J44&lt;=XS_Designer!$BN$101,XS_Designer!BA$101,"")</f>
        <v/>
      </c>
      <c r="CX44" s="4" t="str">
        <f>IF(XS_Designer_Bed_Mix!$J44&lt;=XS_Designer!$BN$101,XS_Designer!BB$101,"")</f>
        <v/>
      </c>
      <c r="CY44" s="4" t="str">
        <f>IF(XS_Designer_Bed_Mix!$J44&lt;=XS_Designer!$BN$101,XS_Designer!BC$101,"")</f>
        <v/>
      </c>
      <c r="CZ44" s="4" t="str">
        <f>IF(XS_Designer_Bed_Mix!$J44&lt;=XS_Designer!$BN$101,XS_Designer!BD$101,"")</f>
        <v/>
      </c>
      <c r="DA44" s="4" t="str">
        <f>IF(XS_Designer_Bed_Mix!$J44&lt;=XS_Designer!$BN$101,XS_Designer!BE$101,"")</f>
        <v/>
      </c>
      <c r="DB44" s="4" t="str">
        <f>IF(XS_Designer_Bed_Mix!$J44&lt;=XS_Designer!$BN$101,XS_Designer!BF$101,"")</f>
        <v/>
      </c>
      <c r="DC44" s="4" t="str">
        <f>IF(XS_Designer_Bed_Mix!$J44&lt;=XS_Designer!$BN$101,XS_Designer!BG$101,"")</f>
        <v/>
      </c>
      <c r="DD44" s="4" t="str">
        <f>IF(XS_Designer_Bed_Mix!$J44&lt;=XS_Designer!$BN$101,XS_Designer!BH$101,"")</f>
        <v/>
      </c>
      <c r="DE44" s="4" t="str">
        <f>IF(XS_Designer_Bed_Mix!$J44&lt;=XS_Designer!$BN$101,XS_Designer!BI$101,"")</f>
        <v/>
      </c>
      <c r="DF44" s="4" t="str">
        <f>IF(XS_Designer_Bed_Mix!$J44&lt;=XS_Designer!$BN$101,XS_Designer!BJ$101,"")</f>
        <v/>
      </c>
      <c r="DG44" s="4" t="str">
        <f>IF(XS_Designer_Bed_Mix!$J44&lt;=XS_Designer!$BN$102,XS_Designer!BA$102,"")</f>
        <v/>
      </c>
      <c r="DH44" s="4" t="str">
        <f>IF(XS_Designer_Bed_Mix!$J44&lt;=XS_Designer!$BN$102,XS_Designer!BB$102,"")</f>
        <v/>
      </c>
      <c r="DI44" s="4" t="str">
        <f>IF(XS_Designer_Bed_Mix!$J44&lt;=XS_Designer!$BN$102,XS_Designer!BC$102,"")</f>
        <v/>
      </c>
      <c r="DJ44" s="4" t="str">
        <f>IF(XS_Designer_Bed_Mix!$J44&lt;=XS_Designer!$BN$102,XS_Designer!BD$102,"")</f>
        <v/>
      </c>
      <c r="DK44" s="4" t="str">
        <f>IF(XS_Designer_Bed_Mix!$J44&lt;=XS_Designer!$BN$102,XS_Designer!BE$102,"")</f>
        <v/>
      </c>
      <c r="DL44" s="4" t="str">
        <f>IF(XS_Designer_Bed_Mix!$J44&lt;=XS_Designer!$BN$102,XS_Designer!BF$102,"")</f>
        <v/>
      </c>
      <c r="DM44" s="4" t="str">
        <f>IF(XS_Designer_Bed_Mix!$J44&lt;=XS_Designer!$BN$102,XS_Designer!BG$102,"")</f>
        <v/>
      </c>
      <c r="DN44" s="4" t="str">
        <f>IF(XS_Designer_Bed_Mix!$J44&lt;=XS_Designer!$BN$102,XS_Designer!BH$102,"")</f>
        <v/>
      </c>
      <c r="DO44" s="4" t="str">
        <f>IF(XS_Designer_Bed_Mix!$J44&lt;=XS_Designer!$BN$102,XS_Designer!BI$102,"")</f>
        <v/>
      </c>
      <c r="DP44" s="4" t="str">
        <f>IF(XS_Designer_Bed_Mix!$J44&lt;=XS_Designer!$BN$102,XS_Designer!BJ$102,"")</f>
        <v/>
      </c>
    </row>
    <row r="45" spans="10:120">
      <c r="J45" s="3">
        <v>0.44</v>
      </c>
      <c r="K45" s="4" t="str">
        <f>IF(XS_Designer_Bed_Mix!$J45&lt;=XS_Designer!$BN$92,XS_Designer!BA$92,"")</f>
        <v/>
      </c>
      <c r="L45" s="4" t="str">
        <f>IF(XS_Designer_Bed_Mix!$J45&lt;=XS_Designer!$BN$92,XS_Designer!BB$92,"")</f>
        <v/>
      </c>
      <c r="M45" s="4" t="str">
        <f>IF(XS_Designer_Bed_Mix!$J45&lt;=XS_Designer!$BN$92,XS_Designer!BC$92,"")</f>
        <v/>
      </c>
      <c r="N45" s="4" t="str">
        <f>IF(XS_Designer_Bed_Mix!$J45&lt;=XS_Designer!$BN$92,XS_Designer!BD$92,"")</f>
        <v/>
      </c>
      <c r="O45" s="4" t="str">
        <f>IF(XS_Designer_Bed_Mix!$J45&lt;=XS_Designer!$BN$92,XS_Designer!BE$92,"")</f>
        <v/>
      </c>
      <c r="P45" s="4" t="str">
        <f>IF(XS_Designer_Bed_Mix!$J45&lt;=XS_Designer!$BN$92,XS_Designer!BF$92,"")</f>
        <v/>
      </c>
      <c r="Q45" s="4" t="str">
        <f>IF(XS_Designer_Bed_Mix!$J45&lt;=XS_Designer!$BN$92,XS_Designer!BG$92,"")</f>
        <v/>
      </c>
      <c r="R45" s="4" t="str">
        <f>IF(XS_Designer_Bed_Mix!$J45&lt;=XS_Designer!$BN$92,XS_Designer!BH$92,"")</f>
        <v/>
      </c>
      <c r="S45" s="4" t="str">
        <f>IF(XS_Designer_Bed_Mix!$J45&lt;=XS_Designer!$BN$92,XS_Designer!BI$92,"")</f>
        <v/>
      </c>
      <c r="T45" s="4" t="str">
        <f>IF(XS_Designer_Bed_Mix!$J45&lt;=XS_Designer!$BN$92,XS_Designer!BJ$92,"")</f>
        <v/>
      </c>
      <c r="U45" s="4" t="str">
        <f>IF(XS_Designer_Bed_Mix!$J45&lt;=XS_Designer!$BN$93,XS_Designer!BA$93,"")</f>
        <v/>
      </c>
      <c r="V45" s="4" t="str">
        <f>IF(XS_Designer_Bed_Mix!$J45&lt;=XS_Designer!$BN$93,XS_Designer!BB$93,"")</f>
        <v/>
      </c>
      <c r="W45" s="4" t="str">
        <f>IF(XS_Designer_Bed_Mix!$J45&lt;=XS_Designer!$BN$93,XS_Designer!BC$93,"")</f>
        <v/>
      </c>
      <c r="X45" s="4" t="str">
        <f>IF(XS_Designer_Bed_Mix!$J45&lt;=XS_Designer!$BN$93,XS_Designer!BD$93,"")</f>
        <v/>
      </c>
      <c r="Y45" s="4" t="str">
        <f>IF(XS_Designer_Bed_Mix!$J45&lt;=XS_Designer!$BN$93,XS_Designer!BE$93,"")</f>
        <v/>
      </c>
      <c r="Z45" s="4" t="str">
        <f>IF(XS_Designer_Bed_Mix!$J45&lt;=XS_Designer!$BN$93,XS_Designer!BF$93,"")</f>
        <v/>
      </c>
      <c r="AA45" s="4" t="str">
        <f>IF(XS_Designer_Bed_Mix!$J45&lt;=XS_Designer!$BN$93,XS_Designer!BG$93,"")</f>
        <v/>
      </c>
      <c r="AB45" s="4" t="str">
        <f>IF(XS_Designer_Bed_Mix!$J45&lt;=XS_Designer!$BN$93,XS_Designer!BH$93,"")</f>
        <v/>
      </c>
      <c r="AC45" s="4" t="str">
        <f>IF(XS_Designer_Bed_Mix!$J45&lt;=XS_Designer!$BN$93,XS_Designer!BI$93,"")</f>
        <v/>
      </c>
      <c r="AD45" s="4" t="str">
        <f>IF(XS_Designer_Bed_Mix!$J45&lt;=XS_Designer!$BN$93,XS_Designer!BJ$93,"")</f>
        <v/>
      </c>
      <c r="AE45" s="4" t="str">
        <f>IF(XS_Designer_Bed_Mix!$J45&lt;=XS_Designer!$BN$94,XS_Designer!BA$94,"")</f>
        <v/>
      </c>
      <c r="AF45" s="4" t="str">
        <f>IF(XS_Designer_Bed_Mix!$J45&lt;=XS_Designer!$BN$94,XS_Designer!BB$94,"")</f>
        <v/>
      </c>
      <c r="AG45" s="4" t="str">
        <f>IF(XS_Designer_Bed_Mix!$J45&lt;=XS_Designer!$BN$94,XS_Designer!BC$94,"")</f>
        <v/>
      </c>
      <c r="AH45" s="4" t="str">
        <f>IF(XS_Designer_Bed_Mix!$J45&lt;=XS_Designer!$BN$94,XS_Designer!BD$94,"")</f>
        <v/>
      </c>
      <c r="AI45" s="4" t="str">
        <f>IF(XS_Designer_Bed_Mix!$J45&lt;=XS_Designer!$BN$94,XS_Designer!BE$94,"")</f>
        <v/>
      </c>
      <c r="AJ45" s="4" t="str">
        <f>IF(XS_Designer_Bed_Mix!$J45&lt;=XS_Designer!$BN$94,XS_Designer!BF$94,"")</f>
        <v/>
      </c>
      <c r="AK45" s="4" t="str">
        <f>IF(XS_Designer_Bed_Mix!$J45&lt;=XS_Designer!$BN$94,XS_Designer!BG$94,"")</f>
        <v/>
      </c>
      <c r="AL45" s="4" t="str">
        <f>IF(XS_Designer_Bed_Mix!$J45&lt;=XS_Designer!$BN$94,XS_Designer!BH$94,"")</f>
        <v/>
      </c>
      <c r="AM45" s="4" t="str">
        <f>IF(XS_Designer_Bed_Mix!$J45&lt;=XS_Designer!$BN$94,XS_Designer!BI$94,"")</f>
        <v/>
      </c>
      <c r="AN45" s="4" t="str">
        <f>IF(XS_Designer_Bed_Mix!$J45&lt;=XS_Designer!$BN$94,XS_Designer!BJ$94,"")</f>
        <v/>
      </c>
      <c r="AO45" s="4" t="str">
        <f>IF(XS_Designer_Bed_Mix!$J45&lt;=XS_Designer!$BN$95,XS_Designer!BA$95,"")</f>
        <v/>
      </c>
      <c r="AP45" s="4" t="str">
        <f>IF(XS_Designer_Bed_Mix!$J45&lt;=XS_Designer!$BN$95,XS_Designer!BB$95,"")</f>
        <v/>
      </c>
      <c r="AQ45" s="4" t="str">
        <f>IF(XS_Designer_Bed_Mix!$J45&lt;=XS_Designer!$BN$95,XS_Designer!BC$95,"")</f>
        <v/>
      </c>
      <c r="AR45" s="4" t="str">
        <f>IF(XS_Designer_Bed_Mix!$J45&lt;=XS_Designer!$BN$95,XS_Designer!BD$95,"")</f>
        <v/>
      </c>
      <c r="AS45" s="4" t="str">
        <f>IF(XS_Designer_Bed_Mix!$J45&lt;=XS_Designer!$BN$95,XS_Designer!BE$95,"")</f>
        <v/>
      </c>
      <c r="AT45" s="4" t="str">
        <f>IF(XS_Designer_Bed_Mix!$J45&lt;=XS_Designer!$BN$95,XS_Designer!BF$95,"")</f>
        <v/>
      </c>
      <c r="AU45" s="4" t="str">
        <f>IF(XS_Designer_Bed_Mix!$J45&lt;=XS_Designer!$BN$95,XS_Designer!BG$95,"")</f>
        <v/>
      </c>
      <c r="AV45" s="4" t="str">
        <f>IF(XS_Designer_Bed_Mix!$J45&lt;=XS_Designer!$BN$95,XS_Designer!BH$95,"")</f>
        <v/>
      </c>
      <c r="AW45" s="4" t="str">
        <f>IF(XS_Designer_Bed_Mix!$J45&lt;=XS_Designer!$BN$95,XS_Designer!BI$95,"")</f>
        <v/>
      </c>
      <c r="AX45" s="4" t="str">
        <f>IF(XS_Designer_Bed_Mix!$J45&lt;=XS_Designer!$BN$95,XS_Designer!BJ$95,"")</f>
        <v/>
      </c>
      <c r="AY45" s="4">
        <f>IF(XS_Designer_Bed_Mix!$J45&lt;=XS_Designer!$BN$96,XS_Designer!BA$96,"")</f>
        <v>335.28000000000003</v>
      </c>
      <c r="AZ45" s="4">
        <f>IF(XS_Designer_Bed_Mix!$J45&lt;=XS_Designer!$BN$96,XS_Designer!BB$96,"")</f>
        <v>335.28000000000003</v>
      </c>
      <c r="BA45" s="4">
        <f>IF(XS_Designer_Bed_Mix!$J45&lt;=XS_Designer!$BN$96,XS_Designer!BC$96,"")</f>
        <v>335.28000000000003</v>
      </c>
      <c r="BB45" s="4">
        <f>IF(XS_Designer_Bed_Mix!$J45&lt;=XS_Designer!$BN$96,XS_Designer!BD$96,"")</f>
        <v>335.28000000000003</v>
      </c>
      <c r="BC45" s="4">
        <f>IF(XS_Designer_Bed_Mix!$J45&lt;=XS_Designer!$BN$96,XS_Designer!BE$96,"")</f>
        <v>335.28000000000003</v>
      </c>
      <c r="BD45" s="4">
        <f>IF(XS_Designer_Bed_Mix!$J45&lt;=XS_Designer!$BN$96,XS_Designer!BF$96,"")</f>
        <v>335.28000000000003</v>
      </c>
      <c r="BE45" s="4">
        <f>IF(XS_Designer_Bed_Mix!$J45&lt;=XS_Designer!$BN$96,XS_Designer!BG$96,"")</f>
        <v>335.28000000000003</v>
      </c>
      <c r="BF45" s="4">
        <f>IF(XS_Designer_Bed_Mix!$J45&lt;=XS_Designer!$BN$96,XS_Designer!BH$96,"")</f>
        <v>335.28000000000003</v>
      </c>
      <c r="BG45" s="4">
        <f>IF(XS_Designer_Bed_Mix!$J45&lt;=XS_Designer!$BN$96,XS_Designer!BI$96,"")</f>
        <v>335.28000000000003</v>
      </c>
      <c r="BH45" s="4">
        <f>IF(XS_Designer_Bed_Mix!$J45&lt;=XS_Designer!$BN$96,XS_Designer!BJ$96,"")</f>
        <v>335.28000000000003</v>
      </c>
      <c r="BI45" s="4" t="str">
        <f>IF(XS_Designer_Bed_Mix!$J45&lt;=XS_Designer!$BN$97,XS_Designer!BA$97,"")</f>
        <v/>
      </c>
      <c r="BJ45" s="4" t="str">
        <f>IF(XS_Designer_Bed_Mix!$J45&lt;=XS_Designer!$BN$97,XS_Designer!BB$97,"")</f>
        <v/>
      </c>
      <c r="BK45" s="4" t="str">
        <f>IF(XS_Designer_Bed_Mix!$J45&lt;=XS_Designer!$BN$97,XS_Designer!BC$97,"")</f>
        <v/>
      </c>
      <c r="BL45" s="4" t="str">
        <f>IF(XS_Designer_Bed_Mix!$J45&lt;=XS_Designer!$BN$97,XS_Designer!BD$97,"")</f>
        <v/>
      </c>
      <c r="BM45" s="4" t="str">
        <f>IF(XS_Designer_Bed_Mix!$J45&lt;=XS_Designer!$BN$97,XS_Designer!BE$97,"")</f>
        <v/>
      </c>
      <c r="BN45" s="4" t="str">
        <f>IF(XS_Designer_Bed_Mix!$J45&lt;=XS_Designer!$BN$97,XS_Designer!BF$97,"")</f>
        <v/>
      </c>
      <c r="BO45" s="4" t="str">
        <f>IF(XS_Designer_Bed_Mix!$J45&lt;=XS_Designer!$BN$97,XS_Designer!BG$97,"")</f>
        <v/>
      </c>
      <c r="BP45" s="4" t="str">
        <f>IF(XS_Designer_Bed_Mix!$J45&lt;=XS_Designer!$BN$97,XS_Designer!BH$97,"")</f>
        <v/>
      </c>
      <c r="BQ45" s="4" t="str">
        <f>IF(XS_Designer_Bed_Mix!$J45&lt;=XS_Designer!$BN$97,XS_Designer!BI$97,"")</f>
        <v/>
      </c>
      <c r="BR45" s="4" t="str">
        <f>IF(XS_Designer_Bed_Mix!$J45&lt;=XS_Designer!$BN$97,XS_Designer!BJ$97,"")</f>
        <v/>
      </c>
      <c r="BS45" s="4" t="str">
        <f>IF(XS_Designer_Bed_Mix!$J45&lt;=XS_Designer!$BN$98,XS_Designer!BA$98,"")</f>
        <v/>
      </c>
      <c r="BT45" s="4" t="str">
        <f>IF(XS_Designer_Bed_Mix!$J45&lt;=XS_Designer!$BN$98,XS_Designer!BB$98,"")</f>
        <v/>
      </c>
      <c r="BU45" s="4" t="str">
        <f>IF(XS_Designer_Bed_Mix!$J45&lt;=XS_Designer!$BN$98,XS_Designer!BC$98,"")</f>
        <v/>
      </c>
      <c r="BV45" s="4" t="str">
        <f>IF(XS_Designer_Bed_Mix!$J45&lt;=XS_Designer!$BN$98,XS_Designer!BD$98,"")</f>
        <v/>
      </c>
      <c r="BW45" s="4" t="str">
        <f>IF(XS_Designer_Bed_Mix!$J45&lt;=XS_Designer!$BN$98,XS_Designer!BE$98,"")</f>
        <v/>
      </c>
      <c r="BX45" s="4" t="str">
        <f>IF(XS_Designer_Bed_Mix!$J45&lt;=XS_Designer!$BN$98,XS_Designer!BF$98,"")</f>
        <v/>
      </c>
      <c r="BY45" s="4" t="str">
        <f>IF(XS_Designer_Bed_Mix!$J45&lt;=XS_Designer!$BN$98,XS_Designer!BG$98,"")</f>
        <v/>
      </c>
      <c r="BZ45" s="4" t="str">
        <f>IF(XS_Designer_Bed_Mix!$J45&lt;=XS_Designer!$BN$98,XS_Designer!BH$98,"")</f>
        <v/>
      </c>
      <c r="CA45" s="4" t="str">
        <f>IF(XS_Designer_Bed_Mix!$J45&lt;=XS_Designer!$BN$98,XS_Designer!BI$98,"")</f>
        <v/>
      </c>
      <c r="CB45" s="4" t="str">
        <f>IF(XS_Designer_Bed_Mix!$J45&lt;=XS_Designer!$BN$98,XS_Designer!BJ$98,"")</f>
        <v/>
      </c>
      <c r="CC45" s="4" t="str">
        <f>IF(XS_Designer_Bed_Mix!$J45&lt;=XS_Designer!$BN$99,XS_Designer!BA$99,"")</f>
        <v/>
      </c>
      <c r="CD45" s="4" t="str">
        <f>IF(XS_Designer_Bed_Mix!$J45&lt;=XS_Designer!$BN$99,XS_Designer!BB$99,"")</f>
        <v/>
      </c>
      <c r="CE45" s="4" t="str">
        <f>IF(XS_Designer_Bed_Mix!$J45&lt;=XS_Designer!$BN$99,XS_Designer!BC$99,"")</f>
        <v/>
      </c>
      <c r="CF45" s="4" t="str">
        <f>IF(XS_Designer_Bed_Mix!$J45&lt;=XS_Designer!$BN$99,XS_Designer!BD$99,"")</f>
        <v/>
      </c>
      <c r="CG45" s="4" t="str">
        <f>IF(XS_Designer_Bed_Mix!$J45&lt;=XS_Designer!$BN$99,XS_Designer!BE$99,"")</f>
        <v/>
      </c>
      <c r="CH45" s="4" t="str">
        <f>IF(XS_Designer_Bed_Mix!$J45&lt;=XS_Designer!$BN$99,XS_Designer!BF$99,"")</f>
        <v/>
      </c>
      <c r="CI45" s="4" t="str">
        <f>IF(XS_Designer_Bed_Mix!$J45&lt;=XS_Designer!$BN$99,XS_Designer!BG$99,"")</f>
        <v/>
      </c>
      <c r="CJ45" s="4" t="str">
        <f>IF(XS_Designer_Bed_Mix!$J45&lt;=XS_Designer!$BN$99,XS_Designer!BH$99,"")</f>
        <v/>
      </c>
      <c r="CK45" s="4" t="str">
        <f>IF(XS_Designer_Bed_Mix!$J45&lt;=XS_Designer!$BN$99,XS_Designer!BI$99,"")</f>
        <v/>
      </c>
      <c r="CL45" s="4" t="str">
        <f>IF(XS_Designer_Bed_Mix!$J45&lt;=XS_Designer!$BN$99,XS_Designer!BJ$99,"")</f>
        <v/>
      </c>
      <c r="CM45" s="4" t="str">
        <f>IF(XS_Designer_Bed_Mix!$J45&lt;=XS_Designer!$BN$100,XS_Designer!BA$100,"")</f>
        <v/>
      </c>
      <c r="CN45" s="4" t="str">
        <f>IF(XS_Designer_Bed_Mix!$J45&lt;=XS_Designer!$BN$100,XS_Designer!BB$100,"")</f>
        <v/>
      </c>
      <c r="CO45" s="4" t="str">
        <f>IF(XS_Designer_Bed_Mix!$J45&lt;=XS_Designer!$BN$100,XS_Designer!BC$100,"")</f>
        <v/>
      </c>
      <c r="CP45" s="4" t="str">
        <f>IF(XS_Designer_Bed_Mix!$J45&lt;=XS_Designer!$BN$100,XS_Designer!BD$100,"")</f>
        <v/>
      </c>
      <c r="CQ45" s="4" t="str">
        <f>IF(XS_Designer_Bed_Mix!$J45&lt;=XS_Designer!$BN$100,XS_Designer!BE$100,"")</f>
        <v/>
      </c>
      <c r="CR45" s="4" t="str">
        <f>IF(XS_Designer_Bed_Mix!$J45&lt;=XS_Designer!$BN$100,XS_Designer!BF$100,"")</f>
        <v/>
      </c>
      <c r="CS45" s="4" t="str">
        <f>IF(XS_Designer_Bed_Mix!$J45&lt;=XS_Designer!$BN$100,XS_Designer!BG$100,"")</f>
        <v/>
      </c>
      <c r="CT45" s="4" t="str">
        <f>IF(XS_Designer_Bed_Mix!$J45&lt;=XS_Designer!$BN$100,XS_Designer!BH$100,"")</f>
        <v/>
      </c>
      <c r="CU45" s="4" t="str">
        <f>IF(XS_Designer_Bed_Mix!$J45&lt;=XS_Designer!$BN$100,XS_Designer!BI$100,"")</f>
        <v/>
      </c>
      <c r="CV45" s="4" t="str">
        <f>IF(XS_Designer_Bed_Mix!$J45&lt;=XS_Designer!$BN$100,XS_Designer!BJ$100,"")</f>
        <v/>
      </c>
      <c r="CW45" s="4" t="str">
        <f>IF(XS_Designer_Bed_Mix!$J45&lt;=XS_Designer!$BN$101,XS_Designer!BA$101,"")</f>
        <v/>
      </c>
      <c r="CX45" s="4" t="str">
        <f>IF(XS_Designer_Bed_Mix!$J45&lt;=XS_Designer!$BN$101,XS_Designer!BB$101,"")</f>
        <v/>
      </c>
      <c r="CY45" s="4" t="str">
        <f>IF(XS_Designer_Bed_Mix!$J45&lt;=XS_Designer!$BN$101,XS_Designer!BC$101,"")</f>
        <v/>
      </c>
      <c r="CZ45" s="4" t="str">
        <f>IF(XS_Designer_Bed_Mix!$J45&lt;=XS_Designer!$BN$101,XS_Designer!BD$101,"")</f>
        <v/>
      </c>
      <c r="DA45" s="4" t="str">
        <f>IF(XS_Designer_Bed_Mix!$J45&lt;=XS_Designer!$BN$101,XS_Designer!BE$101,"")</f>
        <v/>
      </c>
      <c r="DB45" s="4" t="str">
        <f>IF(XS_Designer_Bed_Mix!$J45&lt;=XS_Designer!$BN$101,XS_Designer!BF$101,"")</f>
        <v/>
      </c>
      <c r="DC45" s="4" t="str">
        <f>IF(XS_Designer_Bed_Mix!$J45&lt;=XS_Designer!$BN$101,XS_Designer!BG$101,"")</f>
        <v/>
      </c>
      <c r="DD45" s="4" t="str">
        <f>IF(XS_Designer_Bed_Mix!$J45&lt;=XS_Designer!$BN$101,XS_Designer!BH$101,"")</f>
        <v/>
      </c>
      <c r="DE45" s="4" t="str">
        <f>IF(XS_Designer_Bed_Mix!$J45&lt;=XS_Designer!$BN$101,XS_Designer!BI$101,"")</f>
        <v/>
      </c>
      <c r="DF45" s="4" t="str">
        <f>IF(XS_Designer_Bed_Mix!$J45&lt;=XS_Designer!$BN$101,XS_Designer!BJ$101,"")</f>
        <v/>
      </c>
      <c r="DG45" s="4" t="str">
        <f>IF(XS_Designer_Bed_Mix!$J45&lt;=XS_Designer!$BN$102,XS_Designer!BA$102,"")</f>
        <v/>
      </c>
      <c r="DH45" s="4" t="str">
        <f>IF(XS_Designer_Bed_Mix!$J45&lt;=XS_Designer!$BN$102,XS_Designer!BB$102,"")</f>
        <v/>
      </c>
      <c r="DI45" s="4" t="str">
        <f>IF(XS_Designer_Bed_Mix!$J45&lt;=XS_Designer!$BN$102,XS_Designer!BC$102,"")</f>
        <v/>
      </c>
      <c r="DJ45" s="4" t="str">
        <f>IF(XS_Designer_Bed_Mix!$J45&lt;=XS_Designer!$BN$102,XS_Designer!BD$102,"")</f>
        <v/>
      </c>
      <c r="DK45" s="4" t="str">
        <f>IF(XS_Designer_Bed_Mix!$J45&lt;=XS_Designer!$BN$102,XS_Designer!BE$102,"")</f>
        <v/>
      </c>
      <c r="DL45" s="4" t="str">
        <f>IF(XS_Designer_Bed_Mix!$J45&lt;=XS_Designer!$BN$102,XS_Designer!BF$102,"")</f>
        <v/>
      </c>
      <c r="DM45" s="4" t="str">
        <f>IF(XS_Designer_Bed_Mix!$J45&lt;=XS_Designer!$BN$102,XS_Designer!BG$102,"")</f>
        <v/>
      </c>
      <c r="DN45" s="4" t="str">
        <f>IF(XS_Designer_Bed_Mix!$J45&lt;=XS_Designer!$BN$102,XS_Designer!BH$102,"")</f>
        <v/>
      </c>
      <c r="DO45" s="4" t="str">
        <f>IF(XS_Designer_Bed_Mix!$J45&lt;=XS_Designer!$BN$102,XS_Designer!BI$102,"")</f>
        <v/>
      </c>
      <c r="DP45" s="4" t="str">
        <f>IF(XS_Designer_Bed_Mix!$J45&lt;=XS_Designer!$BN$102,XS_Designer!BJ$102,"")</f>
        <v/>
      </c>
    </row>
    <row r="46" spans="10:120">
      <c r="J46" s="3">
        <v>0.45</v>
      </c>
      <c r="K46" s="4" t="str">
        <f>IF(XS_Designer_Bed_Mix!$J46&lt;=XS_Designer!$BN$92,XS_Designer!BA$92,"")</f>
        <v/>
      </c>
      <c r="L46" s="4" t="str">
        <f>IF(XS_Designer_Bed_Mix!$J46&lt;=XS_Designer!$BN$92,XS_Designer!BB$92,"")</f>
        <v/>
      </c>
      <c r="M46" s="4" t="str">
        <f>IF(XS_Designer_Bed_Mix!$J46&lt;=XS_Designer!$BN$92,XS_Designer!BC$92,"")</f>
        <v/>
      </c>
      <c r="N46" s="4" t="str">
        <f>IF(XS_Designer_Bed_Mix!$J46&lt;=XS_Designer!$BN$92,XS_Designer!BD$92,"")</f>
        <v/>
      </c>
      <c r="O46" s="4" t="str">
        <f>IF(XS_Designer_Bed_Mix!$J46&lt;=XS_Designer!$BN$92,XS_Designer!BE$92,"")</f>
        <v/>
      </c>
      <c r="P46" s="4" t="str">
        <f>IF(XS_Designer_Bed_Mix!$J46&lt;=XS_Designer!$BN$92,XS_Designer!BF$92,"")</f>
        <v/>
      </c>
      <c r="Q46" s="4" t="str">
        <f>IF(XS_Designer_Bed_Mix!$J46&lt;=XS_Designer!$BN$92,XS_Designer!BG$92,"")</f>
        <v/>
      </c>
      <c r="R46" s="4" t="str">
        <f>IF(XS_Designer_Bed_Mix!$J46&lt;=XS_Designer!$BN$92,XS_Designer!BH$92,"")</f>
        <v/>
      </c>
      <c r="S46" s="4" t="str">
        <f>IF(XS_Designer_Bed_Mix!$J46&lt;=XS_Designer!$BN$92,XS_Designer!BI$92,"")</f>
        <v/>
      </c>
      <c r="T46" s="4" t="str">
        <f>IF(XS_Designer_Bed_Mix!$J46&lt;=XS_Designer!$BN$92,XS_Designer!BJ$92,"")</f>
        <v/>
      </c>
      <c r="U46" s="4" t="str">
        <f>IF(XS_Designer_Bed_Mix!$J46&lt;=XS_Designer!$BN$93,XS_Designer!BA$93,"")</f>
        <v/>
      </c>
      <c r="V46" s="4" t="str">
        <f>IF(XS_Designer_Bed_Mix!$J46&lt;=XS_Designer!$BN$93,XS_Designer!BB$93,"")</f>
        <v/>
      </c>
      <c r="W46" s="4" t="str">
        <f>IF(XS_Designer_Bed_Mix!$J46&lt;=XS_Designer!$BN$93,XS_Designer!BC$93,"")</f>
        <v/>
      </c>
      <c r="X46" s="4" t="str">
        <f>IF(XS_Designer_Bed_Mix!$J46&lt;=XS_Designer!$BN$93,XS_Designer!BD$93,"")</f>
        <v/>
      </c>
      <c r="Y46" s="4" t="str">
        <f>IF(XS_Designer_Bed_Mix!$J46&lt;=XS_Designer!$BN$93,XS_Designer!BE$93,"")</f>
        <v/>
      </c>
      <c r="Z46" s="4" t="str">
        <f>IF(XS_Designer_Bed_Mix!$J46&lt;=XS_Designer!$BN$93,XS_Designer!BF$93,"")</f>
        <v/>
      </c>
      <c r="AA46" s="4" t="str">
        <f>IF(XS_Designer_Bed_Mix!$J46&lt;=XS_Designer!$BN$93,XS_Designer!BG$93,"")</f>
        <v/>
      </c>
      <c r="AB46" s="4" t="str">
        <f>IF(XS_Designer_Bed_Mix!$J46&lt;=XS_Designer!$BN$93,XS_Designer!BH$93,"")</f>
        <v/>
      </c>
      <c r="AC46" s="4" t="str">
        <f>IF(XS_Designer_Bed_Mix!$J46&lt;=XS_Designer!$BN$93,XS_Designer!BI$93,"")</f>
        <v/>
      </c>
      <c r="AD46" s="4" t="str">
        <f>IF(XS_Designer_Bed_Mix!$J46&lt;=XS_Designer!$BN$93,XS_Designer!BJ$93,"")</f>
        <v/>
      </c>
      <c r="AE46" s="4" t="str">
        <f>IF(XS_Designer_Bed_Mix!$J46&lt;=XS_Designer!$BN$94,XS_Designer!BA$94,"")</f>
        <v/>
      </c>
      <c r="AF46" s="4" t="str">
        <f>IF(XS_Designer_Bed_Mix!$J46&lt;=XS_Designer!$BN$94,XS_Designer!BB$94,"")</f>
        <v/>
      </c>
      <c r="AG46" s="4" t="str">
        <f>IF(XS_Designer_Bed_Mix!$J46&lt;=XS_Designer!$BN$94,XS_Designer!BC$94,"")</f>
        <v/>
      </c>
      <c r="AH46" s="4" t="str">
        <f>IF(XS_Designer_Bed_Mix!$J46&lt;=XS_Designer!$BN$94,XS_Designer!BD$94,"")</f>
        <v/>
      </c>
      <c r="AI46" s="4" t="str">
        <f>IF(XS_Designer_Bed_Mix!$J46&lt;=XS_Designer!$BN$94,XS_Designer!BE$94,"")</f>
        <v/>
      </c>
      <c r="AJ46" s="4" t="str">
        <f>IF(XS_Designer_Bed_Mix!$J46&lt;=XS_Designer!$BN$94,XS_Designer!BF$94,"")</f>
        <v/>
      </c>
      <c r="AK46" s="4" t="str">
        <f>IF(XS_Designer_Bed_Mix!$J46&lt;=XS_Designer!$BN$94,XS_Designer!BG$94,"")</f>
        <v/>
      </c>
      <c r="AL46" s="4" t="str">
        <f>IF(XS_Designer_Bed_Mix!$J46&lt;=XS_Designer!$BN$94,XS_Designer!BH$94,"")</f>
        <v/>
      </c>
      <c r="AM46" s="4" t="str">
        <f>IF(XS_Designer_Bed_Mix!$J46&lt;=XS_Designer!$BN$94,XS_Designer!BI$94,"")</f>
        <v/>
      </c>
      <c r="AN46" s="4" t="str">
        <f>IF(XS_Designer_Bed_Mix!$J46&lt;=XS_Designer!$BN$94,XS_Designer!BJ$94,"")</f>
        <v/>
      </c>
      <c r="AO46" s="4" t="str">
        <f>IF(XS_Designer_Bed_Mix!$J46&lt;=XS_Designer!$BN$95,XS_Designer!BA$95,"")</f>
        <v/>
      </c>
      <c r="AP46" s="4" t="str">
        <f>IF(XS_Designer_Bed_Mix!$J46&lt;=XS_Designer!$BN$95,XS_Designer!BB$95,"")</f>
        <v/>
      </c>
      <c r="AQ46" s="4" t="str">
        <f>IF(XS_Designer_Bed_Mix!$J46&lt;=XS_Designer!$BN$95,XS_Designer!BC$95,"")</f>
        <v/>
      </c>
      <c r="AR46" s="4" t="str">
        <f>IF(XS_Designer_Bed_Mix!$J46&lt;=XS_Designer!$BN$95,XS_Designer!BD$95,"")</f>
        <v/>
      </c>
      <c r="AS46" s="4" t="str">
        <f>IF(XS_Designer_Bed_Mix!$J46&lt;=XS_Designer!$BN$95,XS_Designer!BE$95,"")</f>
        <v/>
      </c>
      <c r="AT46" s="4" t="str">
        <f>IF(XS_Designer_Bed_Mix!$J46&lt;=XS_Designer!$BN$95,XS_Designer!BF$95,"")</f>
        <v/>
      </c>
      <c r="AU46" s="4" t="str">
        <f>IF(XS_Designer_Bed_Mix!$J46&lt;=XS_Designer!$BN$95,XS_Designer!BG$95,"")</f>
        <v/>
      </c>
      <c r="AV46" s="4" t="str">
        <f>IF(XS_Designer_Bed_Mix!$J46&lt;=XS_Designer!$BN$95,XS_Designer!BH$95,"")</f>
        <v/>
      </c>
      <c r="AW46" s="4" t="str">
        <f>IF(XS_Designer_Bed_Mix!$J46&lt;=XS_Designer!$BN$95,XS_Designer!BI$95,"")</f>
        <v/>
      </c>
      <c r="AX46" s="4" t="str">
        <f>IF(XS_Designer_Bed_Mix!$J46&lt;=XS_Designer!$BN$95,XS_Designer!BJ$95,"")</f>
        <v/>
      </c>
      <c r="AY46" s="4">
        <f>IF(XS_Designer_Bed_Mix!$J46&lt;=XS_Designer!$BN$96,XS_Designer!BA$96,"")</f>
        <v>335.28000000000003</v>
      </c>
      <c r="AZ46" s="4">
        <f>IF(XS_Designer_Bed_Mix!$J46&lt;=XS_Designer!$BN$96,XS_Designer!BB$96,"")</f>
        <v>335.28000000000003</v>
      </c>
      <c r="BA46" s="4">
        <f>IF(XS_Designer_Bed_Mix!$J46&lt;=XS_Designer!$BN$96,XS_Designer!BC$96,"")</f>
        <v>335.28000000000003</v>
      </c>
      <c r="BB46" s="4">
        <f>IF(XS_Designer_Bed_Mix!$J46&lt;=XS_Designer!$BN$96,XS_Designer!BD$96,"")</f>
        <v>335.28000000000003</v>
      </c>
      <c r="BC46" s="4">
        <f>IF(XS_Designer_Bed_Mix!$J46&lt;=XS_Designer!$BN$96,XS_Designer!BE$96,"")</f>
        <v>335.28000000000003</v>
      </c>
      <c r="BD46" s="4">
        <f>IF(XS_Designer_Bed_Mix!$J46&lt;=XS_Designer!$BN$96,XS_Designer!BF$96,"")</f>
        <v>335.28000000000003</v>
      </c>
      <c r="BE46" s="4">
        <f>IF(XS_Designer_Bed_Mix!$J46&lt;=XS_Designer!$BN$96,XS_Designer!BG$96,"")</f>
        <v>335.28000000000003</v>
      </c>
      <c r="BF46" s="4">
        <f>IF(XS_Designer_Bed_Mix!$J46&lt;=XS_Designer!$BN$96,XS_Designer!BH$96,"")</f>
        <v>335.28000000000003</v>
      </c>
      <c r="BG46" s="4">
        <f>IF(XS_Designer_Bed_Mix!$J46&lt;=XS_Designer!$BN$96,XS_Designer!BI$96,"")</f>
        <v>335.28000000000003</v>
      </c>
      <c r="BH46" s="4">
        <f>IF(XS_Designer_Bed_Mix!$J46&lt;=XS_Designer!$BN$96,XS_Designer!BJ$96,"")</f>
        <v>335.28000000000003</v>
      </c>
      <c r="BI46" s="4" t="str">
        <f>IF(XS_Designer_Bed_Mix!$J46&lt;=XS_Designer!$BN$97,XS_Designer!BA$97,"")</f>
        <v/>
      </c>
      <c r="BJ46" s="4" t="str">
        <f>IF(XS_Designer_Bed_Mix!$J46&lt;=XS_Designer!$BN$97,XS_Designer!BB$97,"")</f>
        <v/>
      </c>
      <c r="BK46" s="4" t="str">
        <f>IF(XS_Designer_Bed_Mix!$J46&lt;=XS_Designer!$BN$97,XS_Designer!BC$97,"")</f>
        <v/>
      </c>
      <c r="BL46" s="4" t="str">
        <f>IF(XS_Designer_Bed_Mix!$J46&lt;=XS_Designer!$BN$97,XS_Designer!BD$97,"")</f>
        <v/>
      </c>
      <c r="BM46" s="4" t="str">
        <f>IF(XS_Designer_Bed_Mix!$J46&lt;=XS_Designer!$BN$97,XS_Designer!BE$97,"")</f>
        <v/>
      </c>
      <c r="BN46" s="4" t="str">
        <f>IF(XS_Designer_Bed_Mix!$J46&lt;=XS_Designer!$BN$97,XS_Designer!BF$97,"")</f>
        <v/>
      </c>
      <c r="BO46" s="4" t="str">
        <f>IF(XS_Designer_Bed_Mix!$J46&lt;=XS_Designer!$BN$97,XS_Designer!BG$97,"")</f>
        <v/>
      </c>
      <c r="BP46" s="4" t="str">
        <f>IF(XS_Designer_Bed_Mix!$J46&lt;=XS_Designer!$BN$97,XS_Designer!BH$97,"")</f>
        <v/>
      </c>
      <c r="BQ46" s="4" t="str">
        <f>IF(XS_Designer_Bed_Mix!$J46&lt;=XS_Designer!$BN$97,XS_Designer!BI$97,"")</f>
        <v/>
      </c>
      <c r="BR46" s="4" t="str">
        <f>IF(XS_Designer_Bed_Mix!$J46&lt;=XS_Designer!$BN$97,XS_Designer!BJ$97,"")</f>
        <v/>
      </c>
      <c r="BS46" s="4" t="str">
        <f>IF(XS_Designer_Bed_Mix!$J46&lt;=XS_Designer!$BN$98,XS_Designer!BA$98,"")</f>
        <v/>
      </c>
      <c r="BT46" s="4" t="str">
        <f>IF(XS_Designer_Bed_Mix!$J46&lt;=XS_Designer!$BN$98,XS_Designer!BB$98,"")</f>
        <v/>
      </c>
      <c r="BU46" s="4" t="str">
        <f>IF(XS_Designer_Bed_Mix!$J46&lt;=XS_Designer!$BN$98,XS_Designer!BC$98,"")</f>
        <v/>
      </c>
      <c r="BV46" s="4" t="str">
        <f>IF(XS_Designer_Bed_Mix!$J46&lt;=XS_Designer!$BN$98,XS_Designer!BD$98,"")</f>
        <v/>
      </c>
      <c r="BW46" s="4" t="str">
        <f>IF(XS_Designer_Bed_Mix!$J46&lt;=XS_Designer!$BN$98,XS_Designer!BE$98,"")</f>
        <v/>
      </c>
      <c r="BX46" s="4" t="str">
        <f>IF(XS_Designer_Bed_Mix!$J46&lt;=XS_Designer!$BN$98,XS_Designer!BF$98,"")</f>
        <v/>
      </c>
      <c r="BY46" s="4" t="str">
        <f>IF(XS_Designer_Bed_Mix!$J46&lt;=XS_Designer!$BN$98,XS_Designer!BG$98,"")</f>
        <v/>
      </c>
      <c r="BZ46" s="4" t="str">
        <f>IF(XS_Designer_Bed_Mix!$J46&lt;=XS_Designer!$BN$98,XS_Designer!BH$98,"")</f>
        <v/>
      </c>
      <c r="CA46" s="4" t="str">
        <f>IF(XS_Designer_Bed_Mix!$J46&lt;=XS_Designer!$BN$98,XS_Designer!BI$98,"")</f>
        <v/>
      </c>
      <c r="CB46" s="4" t="str">
        <f>IF(XS_Designer_Bed_Mix!$J46&lt;=XS_Designer!$BN$98,XS_Designer!BJ$98,"")</f>
        <v/>
      </c>
      <c r="CC46" s="4" t="str">
        <f>IF(XS_Designer_Bed_Mix!$J46&lt;=XS_Designer!$BN$99,XS_Designer!BA$99,"")</f>
        <v/>
      </c>
      <c r="CD46" s="4" t="str">
        <f>IF(XS_Designer_Bed_Mix!$J46&lt;=XS_Designer!$BN$99,XS_Designer!BB$99,"")</f>
        <v/>
      </c>
      <c r="CE46" s="4" t="str">
        <f>IF(XS_Designer_Bed_Mix!$J46&lt;=XS_Designer!$BN$99,XS_Designer!BC$99,"")</f>
        <v/>
      </c>
      <c r="CF46" s="4" t="str">
        <f>IF(XS_Designer_Bed_Mix!$J46&lt;=XS_Designer!$BN$99,XS_Designer!BD$99,"")</f>
        <v/>
      </c>
      <c r="CG46" s="4" t="str">
        <f>IF(XS_Designer_Bed_Mix!$J46&lt;=XS_Designer!$BN$99,XS_Designer!BE$99,"")</f>
        <v/>
      </c>
      <c r="CH46" s="4" t="str">
        <f>IF(XS_Designer_Bed_Mix!$J46&lt;=XS_Designer!$BN$99,XS_Designer!BF$99,"")</f>
        <v/>
      </c>
      <c r="CI46" s="4" t="str">
        <f>IF(XS_Designer_Bed_Mix!$J46&lt;=XS_Designer!$BN$99,XS_Designer!BG$99,"")</f>
        <v/>
      </c>
      <c r="CJ46" s="4" t="str">
        <f>IF(XS_Designer_Bed_Mix!$J46&lt;=XS_Designer!$BN$99,XS_Designer!BH$99,"")</f>
        <v/>
      </c>
      <c r="CK46" s="4" t="str">
        <f>IF(XS_Designer_Bed_Mix!$J46&lt;=XS_Designer!$BN$99,XS_Designer!BI$99,"")</f>
        <v/>
      </c>
      <c r="CL46" s="4" t="str">
        <f>IF(XS_Designer_Bed_Mix!$J46&lt;=XS_Designer!$BN$99,XS_Designer!BJ$99,"")</f>
        <v/>
      </c>
      <c r="CM46" s="4" t="str">
        <f>IF(XS_Designer_Bed_Mix!$J46&lt;=XS_Designer!$BN$100,XS_Designer!BA$100,"")</f>
        <v/>
      </c>
      <c r="CN46" s="4" t="str">
        <f>IF(XS_Designer_Bed_Mix!$J46&lt;=XS_Designer!$BN$100,XS_Designer!BB$100,"")</f>
        <v/>
      </c>
      <c r="CO46" s="4" t="str">
        <f>IF(XS_Designer_Bed_Mix!$J46&lt;=XS_Designer!$BN$100,XS_Designer!BC$100,"")</f>
        <v/>
      </c>
      <c r="CP46" s="4" t="str">
        <f>IF(XS_Designer_Bed_Mix!$J46&lt;=XS_Designer!$BN$100,XS_Designer!BD$100,"")</f>
        <v/>
      </c>
      <c r="CQ46" s="4" t="str">
        <f>IF(XS_Designer_Bed_Mix!$J46&lt;=XS_Designer!$BN$100,XS_Designer!BE$100,"")</f>
        <v/>
      </c>
      <c r="CR46" s="4" t="str">
        <f>IF(XS_Designer_Bed_Mix!$J46&lt;=XS_Designer!$BN$100,XS_Designer!BF$100,"")</f>
        <v/>
      </c>
      <c r="CS46" s="4" t="str">
        <f>IF(XS_Designer_Bed_Mix!$J46&lt;=XS_Designer!$BN$100,XS_Designer!BG$100,"")</f>
        <v/>
      </c>
      <c r="CT46" s="4" t="str">
        <f>IF(XS_Designer_Bed_Mix!$J46&lt;=XS_Designer!$BN$100,XS_Designer!BH$100,"")</f>
        <v/>
      </c>
      <c r="CU46" s="4" t="str">
        <f>IF(XS_Designer_Bed_Mix!$J46&lt;=XS_Designer!$BN$100,XS_Designer!BI$100,"")</f>
        <v/>
      </c>
      <c r="CV46" s="4" t="str">
        <f>IF(XS_Designer_Bed_Mix!$J46&lt;=XS_Designer!$BN$100,XS_Designer!BJ$100,"")</f>
        <v/>
      </c>
      <c r="CW46" s="4" t="str">
        <f>IF(XS_Designer_Bed_Mix!$J46&lt;=XS_Designer!$BN$101,XS_Designer!BA$101,"")</f>
        <v/>
      </c>
      <c r="CX46" s="4" t="str">
        <f>IF(XS_Designer_Bed_Mix!$J46&lt;=XS_Designer!$BN$101,XS_Designer!BB$101,"")</f>
        <v/>
      </c>
      <c r="CY46" s="4" t="str">
        <f>IF(XS_Designer_Bed_Mix!$J46&lt;=XS_Designer!$BN$101,XS_Designer!BC$101,"")</f>
        <v/>
      </c>
      <c r="CZ46" s="4" t="str">
        <f>IF(XS_Designer_Bed_Mix!$J46&lt;=XS_Designer!$BN$101,XS_Designer!BD$101,"")</f>
        <v/>
      </c>
      <c r="DA46" s="4" t="str">
        <f>IF(XS_Designer_Bed_Mix!$J46&lt;=XS_Designer!$BN$101,XS_Designer!BE$101,"")</f>
        <v/>
      </c>
      <c r="DB46" s="4" t="str">
        <f>IF(XS_Designer_Bed_Mix!$J46&lt;=XS_Designer!$BN$101,XS_Designer!BF$101,"")</f>
        <v/>
      </c>
      <c r="DC46" s="4" t="str">
        <f>IF(XS_Designer_Bed_Mix!$J46&lt;=XS_Designer!$BN$101,XS_Designer!BG$101,"")</f>
        <v/>
      </c>
      <c r="DD46" s="4" t="str">
        <f>IF(XS_Designer_Bed_Mix!$J46&lt;=XS_Designer!$BN$101,XS_Designer!BH$101,"")</f>
        <v/>
      </c>
      <c r="DE46" s="4" t="str">
        <f>IF(XS_Designer_Bed_Mix!$J46&lt;=XS_Designer!$BN$101,XS_Designer!BI$101,"")</f>
        <v/>
      </c>
      <c r="DF46" s="4" t="str">
        <f>IF(XS_Designer_Bed_Mix!$J46&lt;=XS_Designer!$BN$101,XS_Designer!BJ$101,"")</f>
        <v/>
      </c>
      <c r="DG46" s="4" t="str">
        <f>IF(XS_Designer_Bed_Mix!$J46&lt;=XS_Designer!$BN$102,XS_Designer!BA$102,"")</f>
        <v/>
      </c>
      <c r="DH46" s="4" t="str">
        <f>IF(XS_Designer_Bed_Mix!$J46&lt;=XS_Designer!$BN$102,XS_Designer!BB$102,"")</f>
        <v/>
      </c>
      <c r="DI46" s="4" t="str">
        <f>IF(XS_Designer_Bed_Mix!$J46&lt;=XS_Designer!$BN$102,XS_Designer!BC$102,"")</f>
        <v/>
      </c>
      <c r="DJ46" s="4" t="str">
        <f>IF(XS_Designer_Bed_Mix!$J46&lt;=XS_Designer!$BN$102,XS_Designer!BD$102,"")</f>
        <v/>
      </c>
      <c r="DK46" s="4" t="str">
        <f>IF(XS_Designer_Bed_Mix!$J46&lt;=XS_Designer!$BN$102,XS_Designer!BE$102,"")</f>
        <v/>
      </c>
      <c r="DL46" s="4" t="str">
        <f>IF(XS_Designer_Bed_Mix!$J46&lt;=XS_Designer!$BN$102,XS_Designer!BF$102,"")</f>
        <v/>
      </c>
      <c r="DM46" s="4" t="str">
        <f>IF(XS_Designer_Bed_Mix!$J46&lt;=XS_Designer!$BN$102,XS_Designer!BG$102,"")</f>
        <v/>
      </c>
      <c r="DN46" s="4" t="str">
        <f>IF(XS_Designer_Bed_Mix!$J46&lt;=XS_Designer!$BN$102,XS_Designer!BH$102,"")</f>
        <v/>
      </c>
      <c r="DO46" s="4" t="str">
        <f>IF(XS_Designer_Bed_Mix!$J46&lt;=XS_Designer!$BN$102,XS_Designer!BI$102,"")</f>
        <v/>
      </c>
      <c r="DP46" s="4" t="str">
        <f>IF(XS_Designer_Bed_Mix!$J46&lt;=XS_Designer!$BN$102,XS_Designer!BJ$102,"")</f>
        <v/>
      </c>
    </row>
    <row r="47" spans="10:120">
      <c r="J47" s="3">
        <v>0.46</v>
      </c>
      <c r="K47" s="4" t="str">
        <f>IF(XS_Designer_Bed_Mix!$J47&lt;=XS_Designer!$BN$92,XS_Designer!BA$92,"")</f>
        <v/>
      </c>
      <c r="L47" s="4" t="str">
        <f>IF(XS_Designer_Bed_Mix!$J47&lt;=XS_Designer!$BN$92,XS_Designer!BB$92,"")</f>
        <v/>
      </c>
      <c r="M47" s="4" t="str">
        <f>IF(XS_Designer_Bed_Mix!$J47&lt;=XS_Designer!$BN$92,XS_Designer!BC$92,"")</f>
        <v/>
      </c>
      <c r="N47" s="4" t="str">
        <f>IF(XS_Designer_Bed_Mix!$J47&lt;=XS_Designer!$BN$92,XS_Designer!BD$92,"")</f>
        <v/>
      </c>
      <c r="O47" s="4" t="str">
        <f>IF(XS_Designer_Bed_Mix!$J47&lt;=XS_Designer!$BN$92,XS_Designer!BE$92,"")</f>
        <v/>
      </c>
      <c r="P47" s="4" t="str">
        <f>IF(XS_Designer_Bed_Mix!$J47&lt;=XS_Designer!$BN$92,XS_Designer!BF$92,"")</f>
        <v/>
      </c>
      <c r="Q47" s="4" t="str">
        <f>IF(XS_Designer_Bed_Mix!$J47&lt;=XS_Designer!$BN$92,XS_Designer!BG$92,"")</f>
        <v/>
      </c>
      <c r="R47" s="4" t="str">
        <f>IF(XS_Designer_Bed_Mix!$J47&lt;=XS_Designer!$BN$92,XS_Designer!BH$92,"")</f>
        <v/>
      </c>
      <c r="S47" s="4" t="str">
        <f>IF(XS_Designer_Bed_Mix!$J47&lt;=XS_Designer!$BN$92,XS_Designer!BI$92,"")</f>
        <v/>
      </c>
      <c r="T47" s="4" t="str">
        <f>IF(XS_Designer_Bed_Mix!$J47&lt;=XS_Designer!$BN$92,XS_Designer!BJ$92,"")</f>
        <v/>
      </c>
      <c r="U47" s="4" t="str">
        <f>IF(XS_Designer_Bed_Mix!$J47&lt;=XS_Designer!$BN$93,XS_Designer!BA$93,"")</f>
        <v/>
      </c>
      <c r="V47" s="4" t="str">
        <f>IF(XS_Designer_Bed_Mix!$J47&lt;=XS_Designer!$BN$93,XS_Designer!BB$93,"")</f>
        <v/>
      </c>
      <c r="W47" s="4" t="str">
        <f>IF(XS_Designer_Bed_Mix!$J47&lt;=XS_Designer!$BN$93,XS_Designer!BC$93,"")</f>
        <v/>
      </c>
      <c r="X47" s="4" t="str">
        <f>IF(XS_Designer_Bed_Mix!$J47&lt;=XS_Designer!$BN$93,XS_Designer!BD$93,"")</f>
        <v/>
      </c>
      <c r="Y47" s="4" t="str">
        <f>IF(XS_Designer_Bed_Mix!$J47&lt;=XS_Designer!$BN$93,XS_Designer!BE$93,"")</f>
        <v/>
      </c>
      <c r="Z47" s="4" t="str">
        <f>IF(XS_Designer_Bed_Mix!$J47&lt;=XS_Designer!$BN$93,XS_Designer!BF$93,"")</f>
        <v/>
      </c>
      <c r="AA47" s="4" t="str">
        <f>IF(XS_Designer_Bed_Mix!$J47&lt;=XS_Designer!$BN$93,XS_Designer!BG$93,"")</f>
        <v/>
      </c>
      <c r="AB47" s="4" t="str">
        <f>IF(XS_Designer_Bed_Mix!$J47&lt;=XS_Designer!$BN$93,XS_Designer!BH$93,"")</f>
        <v/>
      </c>
      <c r="AC47" s="4" t="str">
        <f>IF(XS_Designer_Bed_Mix!$J47&lt;=XS_Designer!$BN$93,XS_Designer!BI$93,"")</f>
        <v/>
      </c>
      <c r="AD47" s="4" t="str">
        <f>IF(XS_Designer_Bed_Mix!$J47&lt;=XS_Designer!$BN$93,XS_Designer!BJ$93,"")</f>
        <v/>
      </c>
      <c r="AE47" s="4" t="str">
        <f>IF(XS_Designer_Bed_Mix!$J47&lt;=XS_Designer!$BN$94,XS_Designer!BA$94,"")</f>
        <v/>
      </c>
      <c r="AF47" s="4" t="str">
        <f>IF(XS_Designer_Bed_Mix!$J47&lt;=XS_Designer!$BN$94,XS_Designer!BB$94,"")</f>
        <v/>
      </c>
      <c r="AG47" s="4" t="str">
        <f>IF(XS_Designer_Bed_Mix!$J47&lt;=XS_Designer!$BN$94,XS_Designer!BC$94,"")</f>
        <v/>
      </c>
      <c r="AH47" s="4" t="str">
        <f>IF(XS_Designer_Bed_Mix!$J47&lt;=XS_Designer!$BN$94,XS_Designer!BD$94,"")</f>
        <v/>
      </c>
      <c r="AI47" s="4" t="str">
        <f>IF(XS_Designer_Bed_Mix!$J47&lt;=XS_Designer!$BN$94,XS_Designer!BE$94,"")</f>
        <v/>
      </c>
      <c r="AJ47" s="4" t="str">
        <f>IF(XS_Designer_Bed_Mix!$J47&lt;=XS_Designer!$BN$94,XS_Designer!BF$94,"")</f>
        <v/>
      </c>
      <c r="AK47" s="4" t="str">
        <f>IF(XS_Designer_Bed_Mix!$J47&lt;=XS_Designer!$BN$94,XS_Designer!BG$94,"")</f>
        <v/>
      </c>
      <c r="AL47" s="4" t="str">
        <f>IF(XS_Designer_Bed_Mix!$J47&lt;=XS_Designer!$BN$94,XS_Designer!BH$94,"")</f>
        <v/>
      </c>
      <c r="AM47" s="4" t="str">
        <f>IF(XS_Designer_Bed_Mix!$J47&lt;=XS_Designer!$BN$94,XS_Designer!BI$94,"")</f>
        <v/>
      </c>
      <c r="AN47" s="4" t="str">
        <f>IF(XS_Designer_Bed_Mix!$J47&lt;=XS_Designer!$BN$94,XS_Designer!BJ$94,"")</f>
        <v/>
      </c>
      <c r="AO47" s="4" t="str">
        <f>IF(XS_Designer_Bed_Mix!$J47&lt;=XS_Designer!$BN$95,XS_Designer!BA$95,"")</f>
        <v/>
      </c>
      <c r="AP47" s="4" t="str">
        <f>IF(XS_Designer_Bed_Mix!$J47&lt;=XS_Designer!$BN$95,XS_Designer!BB$95,"")</f>
        <v/>
      </c>
      <c r="AQ47" s="4" t="str">
        <f>IF(XS_Designer_Bed_Mix!$J47&lt;=XS_Designer!$BN$95,XS_Designer!BC$95,"")</f>
        <v/>
      </c>
      <c r="AR47" s="4" t="str">
        <f>IF(XS_Designer_Bed_Mix!$J47&lt;=XS_Designer!$BN$95,XS_Designer!BD$95,"")</f>
        <v/>
      </c>
      <c r="AS47" s="4" t="str">
        <f>IF(XS_Designer_Bed_Mix!$J47&lt;=XS_Designer!$BN$95,XS_Designer!BE$95,"")</f>
        <v/>
      </c>
      <c r="AT47" s="4" t="str">
        <f>IF(XS_Designer_Bed_Mix!$J47&lt;=XS_Designer!$BN$95,XS_Designer!BF$95,"")</f>
        <v/>
      </c>
      <c r="AU47" s="4" t="str">
        <f>IF(XS_Designer_Bed_Mix!$J47&lt;=XS_Designer!$BN$95,XS_Designer!BG$95,"")</f>
        <v/>
      </c>
      <c r="AV47" s="4" t="str">
        <f>IF(XS_Designer_Bed_Mix!$J47&lt;=XS_Designer!$BN$95,XS_Designer!BH$95,"")</f>
        <v/>
      </c>
      <c r="AW47" s="4" t="str">
        <f>IF(XS_Designer_Bed_Mix!$J47&lt;=XS_Designer!$BN$95,XS_Designer!BI$95,"")</f>
        <v/>
      </c>
      <c r="AX47" s="4" t="str">
        <f>IF(XS_Designer_Bed_Mix!$J47&lt;=XS_Designer!$BN$95,XS_Designer!BJ$95,"")</f>
        <v/>
      </c>
      <c r="AY47" s="4">
        <f>IF(XS_Designer_Bed_Mix!$J47&lt;=XS_Designer!$BN$96,XS_Designer!BA$96,"")</f>
        <v>335.28000000000003</v>
      </c>
      <c r="AZ47" s="4">
        <f>IF(XS_Designer_Bed_Mix!$J47&lt;=XS_Designer!$BN$96,XS_Designer!BB$96,"")</f>
        <v>335.28000000000003</v>
      </c>
      <c r="BA47" s="4">
        <f>IF(XS_Designer_Bed_Mix!$J47&lt;=XS_Designer!$BN$96,XS_Designer!BC$96,"")</f>
        <v>335.28000000000003</v>
      </c>
      <c r="BB47" s="4">
        <f>IF(XS_Designer_Bed_Mix!$J47&lt;=XS_Designer!$BN$96,XS_Designer!BD$96,"")</f>
        <v>335.28000000000003</v>
      </c>
      <c r="BC47" s="4">
        <f>IF(XS_Designer_Bed_Mix!$J47&lt;=XS_Designer!$BN$96,XS_Designer!BE$96,"")</f>
        <v>335.28000000000003</v>
      </c>
      <c r="BD47" s="4">
        <f>IF(XS_Designer_Bed_Mix!$J47&lt;=XS_Designer!$BN$96,XS_Designer!BF$96,"")</f>
        <v>335.28000000000003</v>
      </c>
      <c r="BE47" s="4">
        <f>IF(XS_Designer_Bed_Mix!$J47&lt;=XS_Designer!$BN$96,XS_Designer!BG$96,"")</f>
        <v>335.28000000000003</v>
      </c>
      <c r="BF47" s="4">
        <f>IF(XS_Designer_Bed_Mix!$J47&lt;=XS_Designer!$BN$96,XS_Designer!BH$96,"")</f>
        <v>335.28000000000003</v>
      </c>
      <c r="BG47" s="4">
        <f>IF(XS_Designer_Bed_Mix!$J47&lt;=XS_Designer!$BN$96,XS_Designer!BI$96,"")</f>
        <v>335.28000000000003</v>
      </c>
      <c r="BH47" s="4">
        <f>IF(XS_Designer_Bed_Mix!$J47&lt;=XS_Designer!$BN$96,XS_Designer!BJ$96,"")</f>
        <v>335.28000000000003</v>
      </c>
      <c r="BI47" s="4" t="str">
        <f>IF(XS_Designer_Bed_Mix!$J47&lt;=XS_Designer!$BN$97,XS_Designer!BA$97,"")</f>
        <v/>
      </c>
      <c r="BJ47" s="4" t="str">
        <f>IF(XS_Designer_Bed_Mix!$J47&lt;=XS_Designer!$BN$97,XS_Designer!BB$97,"")</f>
        <v/>
      </c>
      <c r="BK47" s="4" t="str">
        <f>IF(XS_Designer_Bed_Mix!$J47&lt;=XS_Designer!$BN$97,XS_Designer!BC$97,"")</f>
        <v/>
      </c>
      <c r="BL47" s="4" t="str">
        <f>IF(XS_Designer_Bed_Mix!$J47&lt;=XS_Designer!$BN$97,XS_Designer!BD$97,"")</f>
        <v/>
      </c>
      <c r="BM47" s="4" t="str">
        <f>IF(XS_Designer_Bed_Mix!$J47&lt;=XS_Designer!$BN$97,XS_Designer!BE$97,"")</f>
        <v/>
      </c>
      <c r="BN47" s="4" t="str">
        <f>IF(XS_Designer_Bed_Mix!$J47&lt;=XS_Designer!$BN$97,XS_Designer!BF$97,"")</f>
        <v/>
      </c>
      <c r="BO47" s="4" t="str">
        <f>IF(XS_Designer_Bed_Mix!$J47&lt;=XS_Designer!$BN$97,XS_Designer!BG$97,"")</f>
        <v/>
      </c>
      <c r="BP47" s="4" t="str">
        <f>IF(XS_Designer_Bed_Mix!$J47&lt;=XS_Designer!$BN$97,XS_Designer!BH$97,"")</f>
        <v/>
      </c>
      <c r="BQ47" s="4" t="str">
        <f>IF(XS_Designer_Bed_Mix!$J47&lt;=XS_Designer!$BN$97,XS_Designer!BI$97,"")</f>
        <v/>
      </c>
      <c r="BR47" s="4" t="str">
        <f>IF(XS_Designer_Bed_Mix!$J47&lt;=XS_Designer!$BN$97,XS_Designer!BJ$97,"")</f>
        <v/>
      </c>
      <c r="BS47" s="4" t="str">
        <f>IF(XS_Designer_Bed_Mix!$J47&lt;=XS_Designer!$BN$98,XS_Designer!BA$98,"")</f>
        <v/>
      </c>
      <c r="BT47" s="4" t="str">
        <f>IF(XS_Designer_Bed_Mix!$J47&lt;=XS_Designer!$BN$98,XS_Designer!BB$98,"")</f>
        <v/>
      </c>
      <c r="BU47" s="4" t="str">
        <f>IF(XS_Designer_Bed_Mix!$J47&lt;=XS_Designer!$BN$98,XS_Designer!BC$98,"")</f>
        <v/>
      </c>
      <c r="BV47" s="4" t="str">
        <f>IF(XS_Designer_Bed_Mix!$J47&lt;=XS_Designer!$BN$98,XS_Designer!BD$98,"")</f>
        <v/>
      </c>
      <c r="BW47" s="4" t="str">
        <f>IF(XS_Designer_Bed_Mix!$J47&lt;=XS_Designer!$BN$98,XS_Designer!BE$98,"")</f>
        <v/>
      </c>
      <c r="BX47" s="4" t="str">
        <f>IF(XS_Designer_Bed_Mix!$J47&lt;=XS_Designer!$BN$98,XS_Designer!BF$98,"")</f>
        <v/>
      </c>
      <c r="BY47" s="4" t="str">
        <f>IF(XS_Designer_Bed_Mix!$J47&lt;=XS_Designer!$BN$98,XS_Designer!BG$98,"")</f>
        <v/>
      </c>
      <c r="BZ47" s="4" t="str">
        <f>IF(XS_Designer_Bed_Mix!$J47&lt;=XS_Designer!$BN$98,XS_Designer!BH$98,"")</f>
        <v/>
      </c>
      <c r="CA47" s="4" t="str">
        <f>IF(XS_Designer_Bed_Mix!$J47&lt;=XS_Designer!$BN$98,XS_Designer!BI$98,"")</f>
        <v/>
      </c>
      <c r="CB47" s="4" t="str">
        <f>IF(XS_Designer_Bed_Mix!$J47&lt;=XS_Designer!$BN$98,XS_Designer!BJ$98,"")</f>
        <v/>
      </c>
      <c r="CC47" s="4" t="str">
        <f>IF(XS_Designer_Bed_Mix!$J47&lt;=XS_Designer!$BN$99,XS_Designer!BA$99,"")</f>
        <v/>
      </c>
      <c r="CD47" s="4" t="str">
        <f>IF(XS_Designer_Bed_Mix!$J47&lt;=XS_Designer!$BN$99,XS_Designer!BB$99,"")</f>
        <v/>
      </c>
      <c r="CE47" s="4" t="str">
        <f>IF(XS_Designer_Bed_Mix!$J47&lt;=XS_Designer!$BN$99,XS_Designer!BC$99,"")</f>
        <v/>
      </c>
      <c r="CF47" s="4" t="str">
        <f>IF(XS_Designer_Bed_Mix!$J47&lt;=XS_Designer!$BN$99,XS_Designer!BD$99,"")</f>
        <v/>
      </c>
      <c r="CG47" s="4" t="str">
        <f>IF(XS_Designer_Bed_Mix!$J47&lt;=XS_Designer!$BN$99,XS_Designer!BE$99,"")</f>
        <v/>
      </c>
      <c r="CH47" s="4" t="str">
        <f>IF(XS_Designer_Bed_Mix!$J47&lt;=XS_Designer!$BN$99,XS_Designer!BF$99,"")</f>
        <v/>
      </c>
      <c r="CI47" s="4" t="str">
        <f>IF(XS_Designer_Bed_Mix!$J47&lt;=XS_Designer!$BN$99,XS_Designer!BG$99,"")</f>
        <v/>
      </c>
      <c r="CJ47" s="4" t="str">
        <f>IF(XS_Designer_Bed_Mix!$J47&lt;=XS_Designer!$BN$99,XS_Designer!BH$99,"")</f>
        <v/>
      </c>
      <c r="CK47" s="4" t="str">
        <f>IF(XS_Designer_Bed_Mix!$J47&lt;=XS_Designer!$BN$99,XS_Designer!BI$99,"")</f>
        <v/>
      </c>
      <c r="CL47" s="4" t="str">
        <f>IF(XS_Designer_Bed_Mix!$J47&lt;=XS_Designer!$BN$99,XS_Designer!BJ$99,"")</f>
        <v/>
      </c>
      <c r="CM47" s="4" t="str">
        <f>IF(XS_Designer_Bed_Mix!$J47&lt;=XS_Designer!$BN$100,XS_Designer!BA$100,"")</f>
        <v/>
      </c>
      <c r="CN47" s="4" t="str">
        <f>IF(XS_Designer_Bed_Mix!$J47&lt;=XS_Designer!$BN$100,XS_Designer!BB$100,"")</f>
        <v/>
      </c>
      <c r="CO47" s="4" t="str">
        <f>IF(XS_Designer_Bed_Mix!$J47&lt;=XS_Designer!$BN$100,XS_Designer!BC$100,"")</f>
        <v/>
      </c>
      <c r="CP47" s="4" t="str">
        <f>IF(XS_Designer_Bed_Mix!$J47&lt;=XS_Designer!$BN$100,XS_Designer!BD$100,"")</f>
        <v/>
      </c>
      <c r="CQ47" s="4" t="str">
        <f>IF(XS_Designer_Bed_Mix!$J47&lt;=XS_Designer!$BN$100,XS_Designer!BE$100,"")</f>
        <v/>
      </c>
      <c r="CR47" s="4" t="str">
        <f>IF(XS_Designer_Bed_Mix!$J47&lt;=XS_Designer!$BN$100,XS_Designer!BF$100,"")</f>
        <v/>
      </c>
      <c r="CS47" s="4" t="str">
        <f>IF(XS_Designer_Bed_Mix!$J47&lt;=XS_Designer!$BN$100,XS_Designer!BG$100,"")</f>
        <v/>
      </c>
      <c r="CT47" s="4" t="str">
        <f>IF(XS_Designer_Bed_Mix!$J47&lt;=XS_Designer!$BN$100,XS_Designer!BH$100,"")</f>
        <v/>
      </c>
      <c r="CU47" s="4" t="str">
        <f>IF(XS_Designer_Bed_Mix!$J47&lt;=XS_Designer!$BN$100,XS_Designer!BI$100,"")</f>
        <v/>
      </c>
      <c r="CV47" s="4" t="str">
        <f>IF(XS_Designer_Bed_Mix!$J47&lt;=XS_Designer!$BN$100,XS_Designer!BJ$100,"")</f>
        <v/>
      </c>
      <c r="CW47" s="4" t="str">
        <f>IF(XS_Designer_Bed_Mix!$J47&lt;=XS_Designer!$BN$101,XS_Designer!BA$101,"")</f>
        <v/>
      </c>
      <c r="CX47" s="4" t="str">
        <f>IF(XS_Designer_Bed_Mix!$J47&lt;=XS_Designer!$BN$101,XS_Designer!BB$101,"")</f>
        <v/>
      </c>
      <c r="CY47" s="4" t="str">
        <f>IF(XS_Designer_Bed_Mix!$J47&lt;=XS_Designer!$BN$101,XS_Designer!BC$101,"")</f>
        <v/>
      </c>
      <c r="CZ47" s="4" t="str">
        <f>IF(XS_Designer_Bed_Mix!$J47&lt;=XS_Designer!$BN$101,XS_Designer!BD$101,"")</f>
        <v/>
      </c>
      <c r="DA47" s="4" t="str">
        <f>IF(XS_Designer_Bed_Mix!$J47&lt;=XS_Designer!$BN$101,XS_Designer!BE$101,"")</f>
        <v/>
      </c>
      <c r="DB47" s="4" t="str">
        <f>IF(XS_Designer_Bed_Mix!$J47&lt;=XS_Designer!$BN$101,XS_Designer!BF$101,"")</f>
        <v/>
      </c>
      <c r="DC47" s="4" t="str">
        <f>IF(XS_Designer_Bed_Mix!$J47&lt;=XS_Designer!$BN$101,XS_Designer!BG$101,"")</f>
        <v/>
      </c>
      <c r="DD47" s="4" t="str">
        <f>IF(XS_Designer_Bed_Mix!$J47&lt;=XS_Designer!$BN$101,XS_Designer!BH$101,"")</f>
        <v/>
      </c>
      <c r="DE47" s="4" t="str">
        <f>IF(XS_Designer_Bed_Mix!$J47&lt;=XS_Designer!$BN$101,XS_Designer!BI$101,"")</f>
        <v/>
      </c>
      <c r="DF47" s="4" t="str">
        <f>IF(XS_Designer_Bed_Mix!$J47&lt;=XS_Designer!$BN$101,XS_Designer!BJ$101,"")</f>
        <v/>
      </c>
      <c r="DG47" s="4" t="str">
        <f>IF(XS_Designer_Bed_Mix!$J47&lt;=XS_Designer!$BN$102,XS_Designer!BA$102,"")</f>
        <v/>
      </c>
      <c r="DH47" s="4" t="str">
        <f>IF(XS_Designer_Bed_Mix!$J47&lt;=XS_Designer!$BN$102,XS_Designer!BB$102,"")</f>
        <v/>
      </c>
      <c r="DI47" s="4" t="str">
        <f>IF(XS_Designer_Bed_Mix!$J47&lt;=XS_Designer!$BN$102,XS_Designer!BC$102,"")</f>
        <v/>
      </c>
      <c r="DJ47" s="4" t="str">
        <f>IF(XS_Designer_Bed_Mix!$J47&lt;=XS_Designer!$BN$102,XS_Designer!BD$102,"")</f>
        <v/>
      </c>
      <c r="DK47" s="4" t="str">
        <f>IF(XS_Designer_Bed_Mix!$J47&lt;=XS_Designer!$BN$102,XS_Designer!BE$102,"")</f>
        <v/>
      </c>
      <c r="DL47" s="4" t="str">
        <f>IF(XS_Designer_Bed_Mix!$J47&lt;=XS_Designer!$BN$102,XS_Designer!BF$102,"")</f>
        <v/>
      </c>
      <c r="DM47" s="4" t="str">
        <f>IF(XS_Designer_Bed_Mix!$J47&lt;=XS_Designer!$BN$102,XS_Designer!BG$102,"")</f>
        <v/>
      </c>
      <c r="DN47" s="4" t="str">
        <f>IF(XS_Designer_Bed_Mix!$J47&lt;=XS_Designer!$BN$102,XS_Designer!BH$102,"")</f>
        <v/>
      </c>
      <c r="DO47" s="4" t="str">
        <f>IF(XS_Designer_Bed_Mix!$J47&lt;=XS_Designer!$BN$102,XS_Designer!BI$102,"")</f>
        <v/>
      </c>
      <c r="DP47" s="4" t="str">
        <f>IF(XS_Designer_Bed_Mix!$J47&lt;=XS_Designer!$BN$102,XS_Designer!BJ$102,"")</f>
        <v/>
      </c>
    </row>
    <row r="48" spans="10:120">
      <c r="J48" s="3">
        <v>0.47</v>
      </c>
      <c r="K48" s="4" t="str">
        <f>IF(XS_Designer_Bed_Mix!$J48&lt;=XS_Designer!$BN$92,XS_Designer!BA$92,"")</f>
        <v/>
      </c>
      <c r="L48" s="4" t="str">
        <f>IF(XS_Designer_Bed_Mix!$J48&lt;=XS_Designer!$BN$92,XS_Designer!BB$92,"")</f>
        <v/>
      </c>
      <c r="M48" s="4" t="str">
        <f>IF(XS_Designer_Bed_Mix!$J48&lt;=XS_Designer!$BN$92,XS_Designer!BC$92,"")</f>
        <v/>
      </c>
      <c r="N48" s="4" t="str">
        <f>IF(XS_Designer_Bed_Mix!$J48&lt;=XS_Designer!$BN$92,XS_Designer!BD$92,"")</f>
        <v/>
      </c>
      <c r="O48" s="4" t="str">
        <f>IF(XS_Designer_Bed_Mix!$J48&lt;=XS_Designer!$BN$92,XS_Designer!BE$92,"")</f>
        <v/>
      </c>
      <c r="P48" s="4" t="str">
        <f>IF(XS_Designer_Bed_Mix!$J48&lt;=XS_Designer!$BN$92,XS_Designer!BF$92,"")</f>
        <v/>
      </c>
      <c r="Q48" s="4" t="str">
        <f>IF(XS_Designer_Bed_Mix!$J48&lt;=XS_Designer!$BN$92,XS_Designer!BG$92,"")</f>
        <v/>
      </c>
      <c r="R48" s="4" t="str">
        <f>IF(XS_Designer_Bed_Mix!$J48&lt;=XS_Designer!$BN$92,XS_Designer!BH$92,"")</f>
        <v/>
      </c>
      <c r="S48" s="4" t="str">
        <f>IF(XS_Designer_Bed_Mix!$J48&lt;=XS_Designer!$BN$92,XS_Designer!BI$92,"")</f>
        <v/>
      </c>
      <c r="T48" s="4" t="str">
        <f>IF(XS_Designer_Bed_Mix!$J48&lt;=XS_Designer!$BN$92,XS_Designer!BJ$92,"")</f>
        <v/>
      </c>
      <c r="U48" s="4" t="str">
        <f>IF(XS_Designer_Bed_Mix!$J48&lt;=XS_Designer!$BN$93,XS_Designer!BA$93,"")</f>
        <v/>
      </c>
      <c r="V48" s="4" t="str">
        <f>IF(XS_Designer_Bed_Mix!$J48&lt;=XS_Designer!$BN$93,XS_Designer!BB$93,"")</f>
        <v/>
      </c>
      <c r="W48" s="4" t="str">
        <f>IF(XS_Designer_Bed_Mix!$J48&lt;=XS_Designer!$BN$93,XS_Designer!BC$93,"")</f>
        <v/>
      </c>
      <c r="X48" s="4" t="str">
        <f>IF(XS_Designer_Bed_Mix!$J48&lt;=XS_Designer!$BN$93,XS_Designer!BD$93,"")</f>
        <v/>
      </c>
      <c r="Y48" s="4" t="str">
        <f>IF(XS_Designer_Bed_Mix!$J48&lt;=XS_Designer!$BN$93,XS_Designer!BE$93,"")</f>
        <v/>
      </c>
      <c r="Z48" s="4" t="str">
        <f>IF(XS_Designer_Bed_Mix!$J48&lt;=XS_Designer!$BN$93,XS_Designer!BF$93,"")</f>
        <v/>
      </c>
      <c r="AA48" s="4" t="str">
        <f>IF(XS_Designer_Bed_Mix!$J48&lt;=XS_Designer!$BN$93,XS_Designer!BG$93,"")</f>
        <v/>
      </c>
      <c r="AB48" s="4" t="str">
        <f>IF(XS_Designer_Bed_Mix!$J48&lt;=XS_Designer!$BN$93,XS_Designer!BH$93,"")</f>
        <v/>
      </c>
      <c r="AC48" s="4" t="str">
        <f>IF(XS_Designer_Bed_Mix!$J48&lt;=XS_Designer!$BN$93,XS_Designer!BI$93,"")</f>
        <v/>
      </c>
      <c r="AD48" s="4" t="str">
        <f>IF(XS_Designer_Bed_Mix!$J48&lt;=XS_Designer!$BN$93,XS_Designer!BJ$93,"")</f>
        <v/>
      </c>
      <c r="AE48" s="4" t="str">
        <f>IF(XS_Designer_Bed_Mix!$J48&lt;=XS_Designer!$BN$94,XS_Designer!BA$94,"")</f>
        <v/>
      </c>
      <c r="AF48" s="4" t="str">
        <f>IF(XS_Designer_Bed_Mix!$J48&lt;=XS_Designer!$BN$94,XS_Designer!BB$94,"")</f>
        <v/>
      </c>
      <c r="AG48" s="4" t="str">
        <f>IF(XS_Designer_Bed_Mix!$J48&lt;=XS_Designer!$BN$94,XS_Designer!BC$94,"")</f>
        <v/>
      </c>
      <c r="AH48" s="4" t="str">
        <f>IF(XS_Designer_Bed_Mix!$J48&lt;=XS_Designer!$BN$94,XS_Designer!BD$94,"")</f>
        <v/>
      </c>
      <c r="AI48" s="4" t="str">
        <f>IF(XS_Designer_Bed_Mix!$J48&lt;=XS_Designer!$BN$94,XS_Designer!BE$94,"")</f>
        <v/>
      </c>
      <c r="AJ48" s="4" t="str">
        <f>IF(XS_Designer_Bed_Mix!$J48&lt;=XS_Designer!$BN$94,XS_Designer!BF$94,"")</f>
        <v/>
      </c>
      <c r="AK48" s="4" t="str">
        <f>IF(XS_Designer_Bed_Mix!$J48&lt;=XS_Designer!$BN$94,XS_Designer!BG$94,"")</f>
        <v/>
      </c>
      <c r="AL48" s="4" t="str">
        <f>IF(XS_Designer_Bed_Mix!$J48&lt;=XS_Designer!$BN$94,XS_Designer!BH$94,"")</f>
        <v/>
      </c>
      <c r="AM48" s="4" t="str">
        <f>IF(XS_Designer_Bed_Mix!$J48&lt;=XS_Designer!$BN$94,XS_Designer!BI$94,"")</f>
        <v/>
      </c>
      <c r="AN48" s="4" t="str">
        <f>IF(XS_Designer_Bed_Mix!$J48&lt;=XS_Designer!$BN$94,XS_Designer!BJ$94,"")</f>
        <v/>
      </c>
      <c r="AO48" s="4" t="str">
        <f>IF(XS_Designer_Bed_Mix!$J48&lt;=XS_Designer!$BN$95,XS_Designer!BA$95,"")</f>
        <v/>
      </c>
      <c r="AP48" s="4" t="str">
        <f>IF(XS_Designer_Bed_Mix!$J48&lt;=XS_Designer!$BN$95,XS_Designer!BB$95,"")</f>
        <v/>
      </c>
      <c r="AQ48" s="4" t="str">
        <f>IF(XS_Designer_Bed_Mix!$J48&lt;=XS_Designer!$BN$95,XS_Designer!BC$95,"")</f>
        <v/>
      </c>
      <c r="AR48" s="4" t="str">
        <f>IF(XS_Designer_Bed_Mix!$J48&lt;=XS_Designer!$BN$95,XS_Designer!BD$95,"")</f>
        <v/>
      </c>
      <c r="AS48" s="4" t="str">
        <f>IF(XS_Designer_Bed_Mix!$J48&lt;=XS_Designer!$BN$95,XS_Designer!BE$95,"")</f>
        <v/>
      </c>
      <c r="AT48" s="4" t="str">
        <f>IF(XS_Designer_Bed_Mix!$J48&lt;=XS_Designer!$BN$95,XS_Designer!BF$95,"")</f>
        <v/>
      </c>
      <c r="AU48" s="4" t="str">
        <f>IF(XS_Designer_Bed_Mix!$J48&lt;=XS_Designer!$BN$95,XS_Designer!BG$95,"")</f>
        <v/>
      </c>
      <c r="AV48" s="4" t="str">
        <f>IF(XS_Designer_Bed_Mix!$J48&lt;=XS_Designer!$BN$95,XS_Designer!BH$95,"")</f>
        <v/>
      </c>
      <c r="AW48" s="4" t="str">
        <f>IF(XS_Designer_Bed_Mix!$J48&lt;=XS_Designer!$BN$95,XS_Designer!BI$95,"")</f>
        <v/>
      </c>
      <c r="AX48" s="4" t="str">
        <f>IF(XS_Designer_Bed_Mix!$J48&lt;=XS_Designer!$BN$95,XS_Designer!BJ$95,"")</f>
        <v/>
      </c>
      <c r="AY48" s="4">
        <f>IF(XS_Designer_Bed_Mix!$J48&lt;=XS_Designer!$BN$96,XS_Designer!BA$96,"")</f>
        <v>335.28000000000003</v>
      </c>
      <c r="AZ48" s="4">
        <f>IF(XS_Designer_Bed_Mix!$J48&lt;=XS_Designer!$BN$96,XS_Designer!BB$96,"")</f>
        <v>335.28000000000003</v>
      </c>
      <c r="BA48" s="4">
        <f>IF(XS_Designer_Bed_Mix!$J48&lt;=XS_Designer!$BN$96,XS_Designer!BC$96,"")</f>
        <v>335.28000000000003</v>
      </c>
      <c r="BB48" s="4">
        <f>IF(XS_Designer_Bed_Mix!$J48&lt;=XS_Designer!$BN$96,XS_Designer!BD$96,"")</f>
        <v>335.28000000000003</v>
      </c>
      <c r="BC48" s="4">
        <f>IF(XS_Designer_Bed_Mix!$J48&lt;=XS_Designer!$BN$96,XS_Designer!BE$96,"")</f>
        <v>335.28000000000003</v>
      </c>
      <c r="BD48" s="4">
        <f>IF(XS_Designer_Bed_Mix!$J48&lt;=XS_Designer!$BN$96,XS_Designer!BF$96,"")</f>
        <v>335.28000000000003</v>
      </c>
      <c r="BE48" s="4">
        <f>IF(XS_Designer_Bed_Mix!$J48&lt;=XS_Designer!$BN$96,XS_Designer!BG$96,"")</f>
        <v>335.28000000000003</v>
      </c>
      <c r="BF48" s="4">
        <f>IF(XS_Designer_Bed_Mix!$J48&lt;=XS_Designer!$BN$96,XS_Designer!BH$96,"")</f>
        <v>335.28000000000003</v>
      </c>
      <c r="BG48" s="4">
        <f>IF(XS_Designer_Bed_Mix!$J48&lt;=XS_Designer!$BN$96,XS_Designer!BI$96,"")</f>
        <v>335.28000000000003</v>
      </c>
      <c r="BH48" s="4">
        <f>IF(XS_Designer_Bed_Mix!$J48&lt;=XS_Designer!$BN$96,XS_Designer!BJ$96,"")</f>
        <v>335.28000000000003</v>
      </c>
      <c r="BI48" s="4" t="str">
        <f>IF(XS_Designer_Bed_Mix!$J48&lt;=XS_Designer!$BN$97,XS_Designer!BA$97,"")</f>
        <v/>
      </c>
      <c r="BJ48" s="4" t="str">
        <f>IF(XS_Designer_Bed_Mix!$J48&lt;=XS_Designer!$BN$97,XS_Designer!BB$97,"")</f>
        <v/>
      </c>
      <c r="BK48" s="4" t="str">
        <f>IF(XS_Designer_Bed_Mix!$J48&lt;=XS_Designer!$BN$97,XS_Designer!BC$97,"")</f>
        <v/>
      </c>
      <c r="BL48" s="4" t="str">
        <f>IF(XS_Designer_Bed_Mix!$J48&lt;=XS_Designer!$BN$97,XS_Designer!BD$97,"")</f>
        <v/>
      </c>
      <c r="BM48" s="4" t="str">
        <f>IF(XS_Designer_Bed_Mix!$J48&lt;=XS_Designer!$BN$97,XS_Designer!BE$97,"")</f>
        <v/>
      </c>
      <c r="BN48" s="4" t="str">
        <f>IF(XS_Designer_Bed_Mix!$J48&lt;=XS_Designer!$BN$97,XS_Designer!BF$97,"")</f>
        <v/>
      </c>
      <c r="BO48" s="4" t="str">
        <f>IF(XS_Designer_Bed_Mix!$J48&lt;=XS_Designer!$BN$97,XS_Designer!BG$97,"")</f>
        <v/>
      </c>
      <c r="BP48" s="4" t="str">
        <f>IF(XS_Designer_Bed_Mix!$J48&lt;=XS_Designer!$BN$97,XS_Designer!BH$97,"")</f>
        <v/>
      </c>
      <c r="BQ48" s="4" t="str">
        <f>IF(XS_Designer_Bed_Mix!$J48&lt;=XS_Designer!$BN$97,XS_Designer!BI$97,"")</f>
        <v/>
      </c>
      <c r="BR48" s="4" t="str">
        <f>IF(XS_Designer_Bed_Mix!$J48&lt;=XS_Designer!$BN$97,XS_Designer!BJ$97,"")</f>
        <v/>
      </c>
      <c r="BS48" s="4" t="str">
        <f>IF(XS_Designer_Bed_Mix!$J48&lt;=XS_Designer!$BN$98,XS_Designer!BA$98,"")</f>
        <v/>
      </c>
      <c r="BT48" s="4" t="str">
        <f>IF(XS_Designer_Bed_Mix!$J48&lt;=XS_Designer!$BN$98,XS_Designer!BB$98,"")</f>
        <v/>
      </c>
      <c r="BU48" s="4" t="str">
        <f>IF(XS_Designer_Bed_Mix!$J48&lt;=XS_Designer!$BN$98,XS_Designer!BC$98,"")</f>
        <v/>
      </c>
      <c r="BV48" s="4" t="str">
        <f>IF(XS_Designer_Bed_Mix!$J48&lt;=XS_Designer!$BN$98,XS_Designer!BD$98,"")</f>
        <v/>
      </c>
      <c r="BW48" s="4" t="str">
        <f>IF(XS_Designer_Bed_Mix!$J48&lt;=XS_Designer!$BN$98,XS_Designer!BE$98,"")</f>
        <v/>
      </c>
      <c r="BX48" s="4" t="str">
        <f>IF(XS_Designer_Bed_Mix!$J48&lt;=XS_Designer!$BN$98,XS_Designer!BF$98,"")</f>
        <v/>
      </c>
      <c r="BY48" s="4" t="str">
        <f>IF(XS_Designer_Bed_Mix!$J48&lt;=XS_Designer!$BN$98,XS_Designer!BG$98,"")</f>
        <v/>
      </c>
      <c r="BZ48" s="4" t="str">
        <f>IF(XS_Designer_Bed_Mix!$J48&lt;=XS_Designer!$BN$98,XS_Designer!BH$98,"")</f>
        <v/>
      </c>
      <c r="CA48" s="4" t="str">
        <f>IF(XS_Designer_Bed_Mix!$J48&lt;=XS_Designer!$BN$98,XS_Designer!BI$98,"")</f>
        <v/>
      </c>
      <c r="CB48" s="4" t="str">
        <f>IF(XS_Designer_Bed_Mix!$J48&lt;=XS_Designer!$BN$98,XS_Designer!BJ$98,"")</f>
        <v/>
      </c>
      <c r="CC48" s="4" t="str">
        <f>IF(XS_Designer_Bed_Mix!$J48&lt;=XS_Designer!$BN$99,XS_Designer!BA$99,"")</f>
        <v/>
      </c>
      <c r="CD48" s="4" t="str">
        <f>IF(XS_Designer_Bed_Mix!$J48&lt;=XS_Designer!$BN$99,XS_Designer!BB$99,"")</f>
        <v/>
      </c>
      <c r="CE48" s="4" t="str">
        <f>IF(XS_Designer_Bed_Mix!$J48&lt;=XS_Designer!$BN$99,XS_Designer!BC$99,"")</f>
        <v/>
      </c>
      <c r="CF48" s="4" t="str">
        <f>IF(XS_Designer_Bed_Mix!$J48&lt;=XS_Designer!$BN$99,XS_Designer!BD$99,"")</f>
        <v/>
      </c>
      <c r="CG48" s="4" t="str">
        <f>IF(XS_Designer_Bed_Mix!$J48&lt;=XS_Designer!$BN$99,XS_Designer!BE$99,"")</f>
        <v/>
      </c>
      <c r="CH48" s="4" t="str">
        <f>IF(XS_Designer_Bed_Mix!$J48&lt;=XS_Designer!$BN$99,XS_Designer!BF$99,"")</f>
        <v/>
      </c>
      <c r="CI48" s="4" t="str">
        <f>IF(XS_Designer_Bed_Mix!$J48&lt;=XS_Designer!$BN$99,XS_Designer!BG$99,"")</f>
        <v/>
      </c>
      <c r="CJ48" s="4" t="str">
        <f>IF(XS_Designer_Bed_Mix!$J48&lt;=XS_Designer!$BN$99,XS_Designer!BH$99,"")</f>
        <v/>
      </c>
      <c r="CK48" s="4" t="str">
        <f>IF(XS_Designer_Bed_Mix!$J48&lt;=XS_Designer!$BN$99,XS_Designer!BI$99,"")</f>
        <v/>
      </c>
      <c r="CL48" s="4" t="str">
        <f>IF(XS_Designer_Bed_Mix!$J48&lt;=XS_Designer!$BN$99,XS_Designer!BJ$99,"")</f>
        <v/>
      </c>
      <c r="CM48" s="4" t="str">
        <f>IF(XS_Designer_Bed_Mix!$J48&lt;=XS_Designer!$BN$100,XS_Designer!BA$100,"")</f>
        <v/>
      </c>
      <c r="CN48" s="4" t="str">
        <f>IF(XS_Designer_Bed_Mix!$J48&lt;=XS_Designer!$BN$100,XS_Designer!BB$100,"")</f>
        <v/>
      </c>
      <c r="CO48" s="4" t="str">
        <f>IF(XS_Designer_Bed_Mix!$J48&lt;=XS_Designer!$BN$100,XS_Designer!BC$100,"")</f>
        <v/>
      </c>
      <c r="CP48" s="4" t="str">
        <f>IF(XS_Designer_Bed_Mix!$J48&lt;=XS_Designer!$BN$100,XS_Designer!BD$100,"")</f>
        <v/>
      </c>
      <c r="CQ48" s="4" t="str">
        <f>IF(XS_Designer_Bed_Mix!$J48&lt;=XS_Designer!$BN$100,XS_Designer!BE$100,"")</f>
        <v/>
      </c>
      <c r="CR48" s="4" t="str">
        <f>IF(XS_Designer_Bed_Mix!$J48&lt;=XS_Designer!$BN$100,XS_Designer!BF$100,"")</f>
        <v/>
      </c>
      <c r="CS48" s="4" t="str">
        <f>IF(XS_Designer_Bed_Mix!$J48&lt;=XS_Designer!$BN$100,XS_Designer!BG$100,"")</f>
        <v/>
      </c>
      <c r="CT48" s="4" t="str">
        <f>IF(XS_Designer_Bed_Mix!$J48&lt;=XS_Designer!$BN$100,XS_Designer!BH$100,"")</f>
        <v/>
      </c>
      <c r="CU48" s="4" t="str">
        <f>IF(XS_Designer_Bed_Mix!$J48&lt;=XS_Designer!$BN$100,XS_Designer!BI$100,"")</f>
        <v/>
      </c>
      <c r="CV48" s="4" t="str">
        <f>IF(XS_Designer_Bed_Mix!$J48&lt;=XS_Designer!$BN$100,XS_Designer!BJ$100,"")</f>
        <v/>
      </c>
      <c r="CW48" s="4" t="str">
        <f>IF(XS_Designer_Bed_Mix!$J48&lt;=XS_Designer!$BN$101,XS_Designer!BA$101,"")</f>
        <v/>
      </c>
      <c r="CX48" s="4" t="str">
        <f>IF(XS_Designer_Bed_Mix!$J48&lt;=XS_Designer!$BN$101,XS_Designer!BB$101,"")</f>
        <v/>
      </c>
      <c r="CY48" s="4" t="str">
        <f>IF(XS_Designer_Bed_Mix!$J48&lt;=XS_Designer!$BN$101,XS_Designer!BC$101,"")</f>
        <v/>
      </c>
      <c r="CZ48" s="4" t="str">
        <f>IF(XS_Designer_Bed_Mix!$J48&lt;=XS_Designer!$BN$101,XS_Designer!BD$101,"")</f>
        <v/>
      </c>
      <c r="DA48" s="4" t="str">
        <f>IF(XS_Designer_Bed_Mix!$J48&lt;=XS_Designer!$BN$101,XS_Designer!BE$101,"")</f>
        <v/>
      </c>
      <c r="DB48" s="4" t="str">
        <f>IF(XS_Designer_Bed_Mix!$J48&lt;=XS_Designer!$BN$101,XS_Designer!BF$101,"")</f>
        <v/>
      </c>
      <c r="DC48" s="4" t="str">
        <f>IF(XS_Designer_Bed_Mix!$J48&lt;=XS_Designer!$BN$101,XS_Designer!BG$101,"")</f>
        <v/>
      </c>
      <c r="DD48" s="4" t="str">
        <f>IF(XS_Designer_Bed_Mix!$J48&lt;=XS_Designer!$BN$101,XS_Designer!BH$101,"")</f>
        <v/>
      </c>
      <c r="DE48" s="4" t="str">
        <f>IF(XS_Designer_Bed_Mix!$J48&lt;=XS_Designer!$BN$101,XS_Designer!BI$101,"")</f>
        <v/>
      </c>
      <c r="DF48" s="4" t="str">
        <f>IF(XS_Designer_Bed_Mix!$J48&lt;=XS_Designer!$BN$101,XS_Designer!BJ$101,"")</f>
        <v/>
      </c>
      <c r="DG48" s="4" t="str">
        <f>IF(XS_Designer_Bed_Mix!$J48&lt;=XS_Designer!$BN$102,XS_Designer!BA$102,"")</f>
        <v/>
      </c>
      <c r="DH48" s="4" t="str">
        <f>IF(XS_Designer_Bed_Mix!$J48&lt;=XS_Designer!$BN$102,XS_Designer!BB$102,"")</f>
        <v/>
      </c>
      <c r="DI48" s="4" t="str">
        <f>IF(XS_Designer_Bed_Mix!$J48&lt;=XS_Designer!$BN$102,XS_Designer!BC$102,"")</f>
        <v/>
      </c>
      <c r="DJ48" s="4" t="str">
        <f>IF(XS_Designer_Bed_Mix!$J48&lt;=XS_Designer!$BN$102,XS_Designer!BD$102,"")</f>
        <v/>
      </c>
      <c r="DK48" s="4" t="str">
        <f>IF(XS_Designer_Bed_Mix!$J48&lt;=XS_Designer!$BN$102,XS_Designer!BE$102,"")</f>
        <v/>
      </c>
      <c r="DL48" s="4" t="str">
        <f>IF(XS_Designer_Bed_Mix!$J48&lt;=XS_Designer!$BN$102,XS_Designer!BF$102,"")</f>
        <v/>
      </c>
      <c r="DM48" s="4" t="str">
        <f>IF(XS_Designer_Bed_Mix!$J48&lt;=XS_Designer!$BN$102,XS_Designer!BG$102,"")</f>
        <v/>
      </c>
      <c r="DN48" s="4" t="str">
        <f>IF(XS_Designer_Bed_Mix!$J48&lt;=XS_Designer!$BN$102,XS_Designer!BH$102,"")</f>
        <v/>
      </c>
      <c r="DO48" s="4" t="str">
        <f>IF(XS_Designer_Bed_Mix!$J48&lt;=XS_Designer!$BN$102,XS_Designer!BI$102,"")</f>
        <v/>
      </c>
      <c r="DP48" s="4" t="str">
        <f>IF(XS_Designer_Bed_Mix!$J48&lt;=XS_Designer!$BN$102,XS_Designer!BJ$102,"")</f>
        <v/>
      </c>
    </row>
    <row r="49" spans="10:120">
      <c r="J49" s="3">
        <v>0.48</v>
      </c>
      <c r="K49" s="4" t="str">
        <f>IF(XS_Designer_Bed_Mix!$J49&lt;=XS_Designer!$BN$92,XS_Designer!BA$92,"")</f>
        <v/>
      </c>
      <c r="L49" s="4" t="str">
        <f>IF(XS_Designer_Bed_Mix!$J49&lt;=XS_Designer!$BN$92,XS_Designer!BB$92,"")</f>
        <v/>
      </c>
      <c r="M49" s="4" t="str">
        <f>IF(XS_Designer_Bed_Mix!$J49&lt;=XS_Designer!$BN$92,XS_Designer!BC$92,"")</f>
        <v/>
      </c>
      <c r="N49" s="4" t="str">
        <f>IF(XS_Designer_Bed_Mix!$J49&lt;=XS_Designer!$BN$92,XS_Designer!BD$92,"")</f>
        <v/>
      </c>
      <c r="O49" s="4" t="str">
        <f>IF(XS_Designer_Bed_Mix!$J49&lt;=XS_Designer!$BN$92,XS_Designer!BE$92,"")</f>
        <v/>
      </c>
      <c r="P49" s="4" t="str">
        <f>IF(XS_Designer_Bed_Mix!$J49&lt;=XS_Designer!$BN$92,XS_Designer!BF$92,"")</f>
        <v/>
      </c>
      <c r="Q49" s="4" t="str">
        <f>IF(XS_Designer_Bed_Mix!$J49&lt;=XS_Designer!$BN$92,XS_Designer!BG$92,"")</f>
        <v/>
      </c>
      <c r="R49" s="4" t="str">
        <f>IF(XS_Designer_Bed_Mix!$J49&lt;=XS_Designer!$BN$92,XS_Designer!BH$92,"")</f>
        <v/>
      </c>
      <c r="S49" s="4" t="str">
        <f>IF(XS_Designer_Bed_Mix!$J49&lt;=XS_Designer!$BN$92,XS_Designer!BI$92,"")</f>
        <v/>
      </c>
      <c r="T49" s="4" t="str">
        <f>IF(XS_Designer_Bed_Mix!$J49&lt;=XS_Designer!$BN$92,XS_Designer!BJ$92,"")</f>
        <v/>
      </c>
      <c r="U49" s="4" t="str">
        <f>IF(XS_Designer_Bed_Mix!$J49&lt;=XS_Designer!$BN$93,XS_Designer!BA$93,"")</f>
        <v/>
      </c>
      <c r="V49" s="4" t="str">
        <f>IF(XS_Designer_Bed_Mix!$J49&lt;=XS_Designer!$BN$93,XS_Designer!BB$93,"")</f>
        <v/>
      </c>
      <c r="W49" s="4" t="str">
        <f>IF(XS_Designer_Bed_Mix!$J49&lt;=XS_Designer!$BN$93,XS_Designer!BC$93,"")</f>
        <v/>
      </c>
      <c r="X49" s="4" t="str">
        <f>IF(XS_Designer_Bed_Mix!$J49&lt;=XS_Designer!$BN$93,XS_Designer!BD$93,"")</f>
        <v/>
      </c>
      <c r="Y49" s="4" t="str">
        <f>IF(XS_Designer_Bed_Mix!$J49&lt;=XS_Designer!$BN$93,XS_Designer!BE$93,"")</f>
        <v/>
      </c>
      <c r="Z49" s="4" t="str">
        <f>IF(XS_Designer_Bed_Mix!$J49&lt;=XS_Designer!$BN$93,XS_Designer!BF$93,"")</f>
        <v/>
      </c>
      <c r="AA49" s="4" t="str">
        <f>IF(XS_Designer_Bed_Mix!$J49&lt;=XS_Designer!$BN$93,XS_Designer!BG$93,"")</f>
        <v/>
      </c>
      <c r="AB49" s="4" t="str">
        <f>IF(XS_Designer_Bed_Mix!$J49&lt;=XS_Designer!$BN$93,XS_Designer!BH$93,"")</f>
        <v/>
      </c>
      <c r="AC49" s="4" t="str">
        <f>IF(XS_Designer_Bed_Mix!$J49&lt;=XS_Designer!$BN$93,XS_Designer!BI$93,"")</f>
        <v/>
      </c>
      <c r="AD49" s="4" t="str">
        <f>IF(XS_Designer_Bed_Mix!$J49&lt;=XS_Designer!$BN$93,XS_Designer!BJ$93,"")</f>
        <v/>
      </c>
      <c r="AE49" s="4" t="str">
        <f>IF(XS_Designer_Bed_Mix!$J49&lt;=XS_Designer!$BN$94,XS_Designer!BA$94,"")</f>
        <v/>
      </c>
      <c r="AF49" s="4" t="str">
        <f>IF(XS_Designer_Bed_Mix!$J49&lt;=XS_Designer!$BN$94,XS_Designer!BB$94,"")</f>
        <v/>
      </c>
      <c r="AG49" s="4" t="str">
        <f>IF(XS_Designer_Bed_Mix!$J49&lt;=XS_Designer!$BN$94,XS_Designer!BC$94,"")</f>
        <v/>
      </c>
      <c r="AH49" s="4" t="str">
        <f>IF(XS_Designer_Bed_Mix!$J49&lt;=XS_Designer!$BN$94,XS_Designer!BD$94,"")</f>
        <v/>
      </c>
      <c r="AI49" s="4" t="str">
        <f>IF(XS_Designer_Bed_Mix!$J49&lt;=XS_Designer!$BN$94,XS_Designer!BE$94,"")</f>
        <v/>
      </c>
      <c r="AJ49" s="4" t="str">
        <f>IF(XS_Designer_Bed_Mix!$J49&lt;=XS_Designer!$BN$94,XS_Designer!BF$94,"")</f>
        <v/>
      </c>
      <c r="AK49" s="4" t="str">
        <f>IF(XS_Designer_Bed_Mix!$J49&lt;=XS_Designer!$BN$94,XS_Designer!BG$94,"")</f>
        <v/>
      </c>
      <c r="AL49" s="4" t="str">
        <f>IF(XS_Designer_Bed_Mix!$J49&lt;=XS_Designer!$BN$94,XS_Designer!BH$94,"")</f>
        <v/>
      </c>
      <c r="AM49" s="4" t="str">
        <f>IF(XS_Designer_Bed_Mix!$J49&lt;=XS_Designer!$BN$94,XS_Designer!BI$94,"")</f>
        <v/>
      </c>
      <c r="AN49" s="4" t="str">
        <f>IF(XS_Designer_Bed_Mix!$J49&lt;=XS_Designer!$BN$94,XS_Designer!BJ$94,"")</f>
        <v/>
      </c>
      <c r="AO49" s="4" t="str">
        <f>IF(XS_Designer_Bed_Mix!$J49&lt;=XS_Designer!$BN$95,XS_Designer!BA$95,"")</f>
        <v/>
      </c>
      <c r="AP49" s="4" t="str">
        <f>IF(XS_Designer_Bed_Mix!$J49&lt;=XS_Designer!$BN$95,XS_Designer!BB$95,"")</f>
        <v/>
      </c>
      <c r="AQ49" s="4" t="str">
        <f>IF(XS_Designer_Bed_Mix!$J49&lt;=XS_Designer!$BN$95,XS_Designer!BC$95,"")</f>
        <v/>
      </c>
      <c r="AR49" s="4" t="str">
        <f>IF(XS_Designer_Bed_Mix!$J49&lt;=XS_Designer!$BN$95,XS_Designer!BD$95,"")</f>
        <v/>
      </c>
      <c r="AS49" s="4" t="str">
        <f>IF(XS_Designer_Bed_Mix!$J49&lt;=XS_Designer!$BN$95,XS_Designer!BE$95,"")</f>
        <v/>
      </c>
      <c r="AT49" s="4" t="str">
        <f>IF(XS_Designer_Bed_Mix!$J49&lt;=XS_Designer!$BN$95,XS_Designer!BF$95,"")</f>
        <v/>
      </c>
      <c r="AU49" s="4" t="str">
        <f>IF(XS_Designer_Bed_Mix!$J49&lt;=XS_Designer!$BN$95,XS_Designer!BG$95,"")</f>
        <v/>
      </c>
      <c r="AV49" s="4" t="str">
        <f>IF(XS_Designer_Bed_Mix!$J49&lt;=XS_Designer!$BN$95,XS_Designer!BH$95,"")</f>
        <v/>
      </c>
      <c r="AW49" s="4" t="str">
        <f>IF(XS_Designer_Bed_Mix!$J49&lt;=XS_Designer!$BN$95,XS_Designer!BI$95,"")</f>
        <v/>
      </c>
      <c r="AX49" s="4" t="str">
        <f>IF(XS_Designer_Bed_Mix!$J49&lt;=XS_Designer!$BN$95,XS_Designer!BJ$95,"")</f>
        <v/>
      </c>
      <c r="AY49" s="4">
        <f>IF(XS_Designer_Bed_Mix!$J49&lt;=XS_Designer!$BN$96,XS_Designer!BA$96,"")</f>
        <v>335.28000000000003</v>
      </c>
      <c r="AZ49" s="4">
        <f>IF(XS_Designer_Bed_Mix!$J49&lt;=XS_Designer!$BN$96,XS_Designer!BB$96,"")</f>
        <v>335.28000000000003</v>
      </c>
      <c r="BA49" s="4">
        <f>IF(XS_Designer_Bed_Mix!$J49&lt;=XS_Designer!$BN$96,XS_Designer!BC$96,"")</f>
        <v>335.28000000000003</v>
      </c>
      <c r="BB49" s="4">
        <f>IF(XS_Designer_Bed_Mix!$J49&lt;=XS_Designer!$BN$96,XS_Designer!BD$96,"")</f>
        <v>335.28000000000003</v>
      </c>
      <c r="BC49" s="4">
        <f>IF(XS_Designer_Bed_Mix!$J49&lt;=XS_Designer!$BN$96,XS_Designer!BE$96,"")</f>
        <v>335.28000000000003</v>
      </c>
      <c r="BD49" s="4">
        <f>IF(XS_Designer_Bed_Mix!$J49&lt;=XS_Designer!$BN$96,XS_Designer!BF$96,"")</f>
        <v>335.28000000000003</v>
      </c>
      <c r="BE49" s="4">
        <f>IF(XS_Designer_Bed_Mix!$J49&lt;=XS_Designer!$BN$96,XS_Designer!BG$96,"")</f>
        <v>335.28000000000003</v>
      </c>
      <c r="BF49" s="4">
        <f>IF(XS_Designer_Bed_Mix!$J49&lt;=XS_Designer!$BN$96,XS_Designer!BH$96,"")</f>
        <v>335.28000000000003</v>
      </c>
      <c r="BG49" s="4">
        <f>IF(XS_Designer_Bed_Mix!$J49&lt;=XS_Designer!$BN$96,XS_Designer!BI$96,"")</f>
        <v>335.28000000000003</v>
      </c>
      <c r="BH49" s="4">
        <f>IF(XS_Designer_Bed_Mix!$J49&lt;=XS_Designer!$BN$96,XS_Designer!BJ$96,"")</f>
        <v>335.28000000000003</v>
      </c>
      <c r="BI49" s="4" t="str">
        <f>IF(XS_Designer_Bed_Mix!$J49&lt;=XS_Designer!$BN$97,XS_Designer!BA$97,"")</f>
        <v/>
      </c>
      <c r="BJ49" s="4" t="str">
        <f>IF(XS_Designer_Bed_Mix!$J49&lt;=XS_Designer!$BN$97,XS_Designer!BB$97,"")</f>
        <v/>
      </c>
      <c r="BK49" s="4" t="str">
        <f>IF(XS_Designer_Bed_Mix!$J49&lt;=XS_Designer!$BN$97,XS_Designer!BC$97,"")</f>
        <v/>
      </c>
      <c r="BL49" s="4" t="str">
        <f>IF(XS_Designer_Bed_Mix!$J49&lt;=XS_Designer!$BN$97,XS_Designer!BD$97,"")</f>
        <v/>
      </c>
      <c r="BM49" s="4" t="str">
        <f>IF(XS_Designer_Bed_Mix!$J49&lt;=XS_Designer!$BN$97,XS_Designer!BE$97,"")</f>
        <v/>
      </c>
      <c r="BN49" s="4" t="str">
        <f>IF(XS_Designer_Bed_Mix!$J49&lt;=XS_Designer!$BN$97,XS_Designer!BF$97,"")</f>
        <v/>
      </c>
      <c r="BO49" s="4" t="str">
        <f>IF(XS_Designer_Bed_Mix!$J49&lt;=XS_Designer!$BN$97,XS_Designer!BG$97,"")</f>
        <v/>
      </c>
      <c r="BP49" s="4" t="str">
        <f>IF(XS_Designer_Bed_Mix!$J49&lt;=XS_Designer!$BN$97,XS_Designer!BH$97,"")</f>
        <v/>
      </c>
      <c r="BQ49" s="4" t="str">
        <f>IF(XS_Designer_Bed_Mix!$J49&lt;=XS_Designer!$BN$97,XS_Designer!BI$97,"")</f>
        <v/>
      </c>
      <c r="BR49" s="4" t="str">
        <f>IF(XS_Designer_Bed_Mix!$J49&lt;=XS_Designer!$BN$97,XS_Designer!BJ$97,"")</f>
        <v/>
      </c>
      <c r="BS49" s="4" t="str">
        <f>IF(XS_Designer_Bed_Mix!$J49&lt;=XS_Designer!$BN$98,XS_Designer!BA$98,"")</f>
        <v/>
      </c>
      <c r="BT49" s="4" t="str">
        <f>IF(XS_Designer_Bed_Mix!$J49&lt;=XS_Designer!$BN$98,XS_Designer!BB$98,"")</f>
        <v/>
      </c>
      <c r="BU49" s="4" t="str">
        <f>IF(XS_Designer_Bed_Mix!$J49&lt;=XS_Designer!$BN$98,XS_Designer!BC$98,"")</f>
        <v/>
      </c>
      <c r="BV49" s="4" t="str">
        <f>IF(XS_Designer_Bed_Mix!$J49&lt;=XS_Designer!$BN$98,XS_Designer!BD$98,"")</f>
        <v/>
      </c>
      <c r="BW49" s="4" t="str">
        <f>IF(XS_Designer_Bed_Mix!$J49&lt;=XS_Designer!$BN$98,XS_Designer!BE$98,"")</f>
        <v/>
      </c>
      <c r="BX49" s="4" t="str">
        <f>IF(XS_Designer_Bed_Mix!$J49&lt;=XS_Designer!$BN$98,XS_Designer!BF$98,"")</f>
        <v/>
      </c>
      <c r="BY49" s="4" t="str">
        <f>IF(XS_Designer_Bed_Mix!$J49&lt;=XS_Designer!$BN$98,XS_Designer!BG$98,"")</f>
        <v/>
      </c>
      <c r="BZ49" s="4" t="str">
        <f>IF(XS_Designer_Bed_Mix!$J49&lt;=XS_Designer!$BN$98,XS_Designer!BH$98,"")</f>
        <v/>
      </c>
      <c r="CA49" s="4" t="str">
        <f>IF(XS_Designer_Bed_Mix!$J49&lt;=XS_Designer!$BN$98,XS_Designer!BI$98,"")</f>
        <v/>
      </c>
      <c r="CB49" s="4" t="str">
        <f>IF(XS_Designer_Bed_Mix!$J49&lt;=XS_Designer!$BN$98,XS_Designer!BJ$98,"")</f>
        <v/>
      </c>
      <c r="CC49" s="4" t="str">
        <f>IF(XS_Designer_Bed_Mix!$J49&lt;=XS_Designer!$BN$99,XS_Designer!BA$99,"")</f>
        <v/>
      </c>
      <c r="CD49" s="4" t="str">
        <f>IF(XS_Designer_Bed_Mix!$J49&lt;=XS_Designer!$BN$99,XS_Designer!BB$99,"")</f>
        <v/>
      </c>
      <c r="CE49" s="4" t="str">
        <f>IF(XS_Designer_Bed_Mix!$J49&lt;=XS_Designer!$BN$99,XS_Designer!BC$99,"")</f>
        <v/>
      </c>
      <c r="CF49" s="4" t="str">
        <f>IF(XS_Designer_Bed_Mix!$J49&lt;=XS_Designer!$BN$99,XS_Designer!BD$99,"")</f>
        <v/>
      </c>
      <c r="CG49" s="4" t="str">
        <f>IF(XS_Designer_Bed_Mix!$J49&lt;=XS_Designer!$BN$99,XS_Designer!BE$99,"")</f>
        <v/>
      </c>
      <c r="CH49" s="4" t="str">
        <f>IF(XS_Designer_Bed_Mix!$J49&lt;=XS_Designer!$BN$99,XS_Designer!BF$99,"")</f>
        <v/>
      </c>
      <c r="CI49" s="4" t="str">
        <f>IF(XS_Designer_Bed_Mix!$J49&lt;=XS_Designer!$BN$99,XS_Designer!BG$99,"")</f>
        <v/>
      </c>
      <c r="CJ49" s="4" t="str">
        <f>IF(XS_Designer_Bed_Mix!$J49&lt;=XS_Designer!$BN$99,XS_Designer!BH$99,"")</f>
        <v/>
      </c>
      <c r="CK49" s="4" t="str">
        <f>IF(XS_Designer_Bed_Mix!$J49&lt;=XS_Designer!$BN$99,XS_Designer!BI$99,"")</f>
        <v/>
      </c>
      <c r="CL49" s="4" t="str">
        <f>IF(XS_Designer_Bed_Mix!$J49&lt;=XS_Designer!$BN$99,XS_Designer!BJ$99,"")</f>
        <v/>
      </c>
      <c r="CM49" s="4" t="str">
        <f>IF(XS_Designer_Bed_Mix!$J49&lt;=XS_Designer!$BN$100,XS_Designer!BA$100,"")</f>
        <v/>
      </c>
      <c r="CN49" s="4" t="str">
        <f>IF(XS_Designer_Bed_Mix!$J49&lt;=XS_Designer!$BN$100,XS_Designer!BB$100,"")</f>
        <v/>
      </c>
      <c r="CO49" s="4" t="str">
        <f>IF(XS_Designer_Bed_Mix!$J49&lt;=XS_Designer!$BN$100,XS_Designer!BC$100,"")</f>
        <v/>
      </c>
      <c r="CP49" s="4" t="str">
        <f>IF(XS_Designer_Bed_Mix!$J49&lt;=XS_Designer!$BN$100,XS_Designer!BD$100,"")</f>
        <v/>
      </c>
      <c r="CQ49" s="4" t="str">
        <f>IF(XS_Designer_Bed_Mix!$J49&lt;=XS_Designer!$BN$100,XS_Designer!BE$100,"")</f>
        <v/>
      </c>
      <c r="CR49" s="4" t="str">
        <f>IF(XS_Designer_Bed_Mix!$J49&lt;=XS_Designer!$BN$100,XS_Designer!BF$100,"")</f>
        <v/>
      </c>
      <c r="CS49" s="4" t="str">
        <f>IF(XS_Designer_Bed_Mix!$J49&lt;=XS_Designer!$BN$100,XS_Designer!BG$100,"")</f>
        <v/>
      </c>
      <c r="CT49" s="4" t="str">
        <f>IF(XS_Designer_Bed_Mix!$J49&lt;=XS_Designer!$BN$100,XS_Designer!BH$100,"")</f>
        <v/>
      </c>
      <c r="CU49" s="4" t="str">
        <f>IF(XS_Designer_Bed_Mix!$J49&lt;=XS_Designer!$BN$100,XS_Designer!BI$100,"")</f>
        <v/>
      </c>
      <c r="CV49" s="4" t="str">
        <f>IF(XS_Designer_Bed_Mix!$J49&lt;=XS_Designer!$BN$100,XS_Designer!BJ$100,"")</f>
        <v/>
      </c>
      <c r="CW49" s="4" t="str">
        <f>IF(XS_Designer_Bed_Mix!$J49&lt;=XS_Designer!$BN$101,XS_Designer!BA$101,"")</f>
        <v/>
      </c>
      <c r="CX49" s="4" t="str">
        <f>IF(XS_Designer_Bed_Mix!$J49&lt;=XS_Designer!$BN$101,XS_Designer!BB$101,"")</f>
        <v/>
      </c>
      <c r="CY49" s="4" t="str">
        <f>IF(XS_Designer_Bed_Mix!$J49&lt;=XS_Designer!$BN$101,XS_Designer!BC$101,"")</f>
        <v/>
      </c>
      <c r="CZ49" s="4" t="str">
        <f>IF(XS_Designer_Bed_Mix!$J49&lt;=XS_Designer!$BN$101,XS_Designer!BD$101,"")</f>
        <v/>
      </c>
      <c r="DA49" s="4" t="str">
        <f>IF(XS_Designer_Bed_Mix!$J49&lt;=XS_Designer!$BN$101,XS_Designer!BE$101,"")</f>
        <v/>
      </c>
      <c r="DB49" s="4" t="str">
        <f>IF(XS_Designer_Bed_Mix!$J49&lt;=XS_Designer!$BN$101,XS_Designer!BF$101,"")</f>
        <v/>
      </c>
      <c r="DC49" s="4" t="str">
        <f>IF(XS_Designer_Bed_Mix!$J49&lt;=XS_Designer!$BN$101,XS_Designer!BG$101,"")</f>
        <v/>
      </c>
      <c r="DD49" s="4" t="str">
        <f>IF(XS_Designer_Bed_Mix!$J49&lt;=XS_Designer!$BN$101,XS_Designer!BH$101,"")</f>
        <v/>
      </c>
      <c r="DE49" s="4" t="str">
        <f>IF(XS_Designer_Bed_Mix!$J49&lt;=XS_Designer!$BN$101,XS_Designer!BI$101,"")</f>
        <v/>
      </c>
      <c r="DF49" s="4" t="str">
        <f>IF(XS_Designer_Bed_Mix!$J49&lt;=XS_Designer!$BN$101,XS_Designer!BJ$101,"")</f>
        <v/>
      </c>
      <c r="DG49" s="4" t="str">
        <f>IF(XS_Designer_Bed_Mix!$J49&lt;=XS_Designer!$BN$102,XS_Designer!BA$102,"")</f>
        <v/>
      </c>
      <c r="DH49" s="4" t="str">
        <f>IF(XS_Designer_Bed_Mix!$J49&lt;=XS_Designer!$BN$102,XS_Designer!BB$102,"")</f>
        <v/>
      </c>
      <c r="DI49" s="4" t="str">
        <f>IF(XS_Designer_Bed_Mix!$J49&lt;=XS_Designer!$BN$102,XS_Designer!BC$102,"")</f>
        <v/>
      </c>
      <c r="DJ49" s="4" t="str">
        <f>IF(XS_Designer_Bed_Mix!$J49&lt;=XS_Designer!$BN$102,XS_Designer!BD$102,"")</f>
        <v/>
      </c>
      <c r="DK49" s="4" t="str">
        <f>IF(XS_Designer_Bed_Mix!$J49&lt;=XS_Designer!$BN$102,XS_Designer!BE$102,"")</f>
        <v/>
      </c>
      <c r="DL49" s="4" t="str">
        <f>IF(XS_Designer_Bed_Mix!$J49&lt;=XS_Designer!$BN$102,XS_Designer!BF$102,"")</f>
        <v/>
      </c>
      <c r="DM49" s="4" t="str">
        <f>IF(XS_Designer_Bed_Mix!$J49&lt;=XS_Designer!$BN$102,XS_Designer!BG$102,"")</f>
        <v/>
      </c>
      <c r="DN49" s="4" t="str">
        <f>IF(XS_Designer_Bed_Mix!$J49&lt;=XS_Designer!$BN$102,XS_Designer!BH$102,"")</f>
        <v/>
      </c>
      <c r="DO49" s="4" t="str">
        <f>IF(XS_Designer_Bed_Mix!$J49&lt;=XS_Designer!$BN$102,XS_Designer!BI$102,"")</f>
        <v/>
      </c>
      <c r="DP49" s="4" t="str">
        <f>IF(XS_Designer_Bed_Mix!$J49&lt;=XS_Designer!$BN$102,XS_Designer!BJ$102,"")</f>
        <v/>
      </c>
    </row>
    <row r="50" spans="10:120">
      <c r="J50" s="3">
        <v>0.49</v>
      </c>
      <c r="K50" s="4" t="str">
        <f>IF(XS_Designer_Bed_Mix!$J50&lt;=XS_Designer!$BN$92,XS_Designer!BA$92,"")</f>
        <v/>
      </c>
      <c r="L50" s="4" t="str">
        <f>IF(XS_Designer_Bed_Mix!$J50&lt;=XS_Designer!$BN$92,XS_Designer!BB$92,"")</f>
        <v/>
      </c>
      <c r="M50" s="4" t="str">
        <f>IF(XS_Designer_Bed_Mix!$J50&lt;=XS_Designer!$BN$92,XS_Designer!BC$92,"")</f>
        <v/>
      </c>
      <c r="N50" s="4" t="str">
        <f>IF(XS_Designer_Bed_Mix!$J50&lt;=XS_Designer!$BN$92,XS_Designer!BD$92,"")</f>
        <v/>
      </c>
      <c r="O50" s="4" t="str">
        <f>IF(XS_Designer_Bed_Mix!$J50&lt;=XS_Designer!$BN$92,XS_Designer!BE$92,"")</f>
        <v/>
      </c>
      <c r="P50" s="4" t="str">
        <f>IF(XS_Designer_Bed_Mix!$J50&lt;=XS_Designer!$BN$92,XS_Designer!BF$92,"")</f>
        <v/>
      </c>
      <c r="Q50" s="4" t="str">
        <f>IF(XS_Designer_Bed_Mix!$J50&lt;=XS_Designer!$BN$92,XS_Designer!BG$92,"")</f>
        <v/>
      </c>
      <c r="R50" s="4" t="str">
        <f>IF(XS_Designer_Bed_Mix!$J50&lt;=XS_Designer!$BN$92,XS_Designer!BH$92,"")</f>
        <v/>
      </c>
      <c r="S50" s="4" t="str">
        <f>IF(XS_Designer_Bed_Mix!$J50&lt;=XS_Designer!$BN$92,XS_Designer!BI$92,"")</f>
        <v/>
      </c>
      <c r="T50" s="4" t="str">
        <f>IF(XS_Designer_Bed_Mix!$J50&lt;=XS_Designer!$BN$92,XS_Designer!BJ$92,"")</f>
        <v/>
      </c>
      <c r="U50" s="4" t="str">
        <f>IF(XS_Designer_Bed_Mix!$J50&lt;=XS_Designer!$BN$93,XS_Designer!BA$93,"")</f>
        <v/>
      </c>
      <c r="V50" s="4" t="str">
        <f>IF(XS_Designer_Bed_Mix!$J50&lt;=XS_Designer!$BN$93,XS_Designer!BB$93,"")</f>
        <v/>
      </c>
      <c r="W50" s="4" t="str">
        <f>IF(XS_Designer_Bed_Mix!$J50&lt;=XS_Designer!$BN$93,XS_Designer!BC$93,"")</f>
        <v/>
      </c>
      <c r="X50" s="4" t="str">
        <f>IF(XS_Designer_Bed_Mix!$J50&lt;=XS_Designer!$BN$93,XS_Designer!BD$93,"")</f>
        <v/>
      </c>
      <c r="Y50" s="4" t="str">
        <f>IF(XS_Designer_Bed_Mix!$J50&lt;=XS_Designer!$BN$93,XS_Designer!BE$93,"")</f>
        <v/>
      </c>
      <c r="Z50" s="4" t="str">
        <f>IF(XS_Designer_Bed_Mix!$J50&lt;=XS_Designer!$BN$93,XS_Designer!BF$93,"")</f>
        <v/>
      </c>
      <c r="AA50" s="4" t="str">
        <f>IF(XS_Designer_Bed_Mix!$J50&lt;=XS_Designer!$BN$93,XS_Designer!BG$93,"")</f>
        <v/>
      </c>
      <c r="AB50" s="4" t="str">
        <f>IF(XS_Designer_Bed_Mix!$J50&lt;=XS_Designer!$BN$93,XS_Designer!BH$93,"")</f>
        <v/>
      </c>
      <c r="AC50" s="4" t="str">
        <f>IF(XS_Designer_Bed_Mix!$J50&lt;=XS_Designer!$BN$93,XS_Designer!BI$93,"")</f>
        <v/>
      </c>
      <c r="AD50" s="4" t="str">
        <f>IF(XS_Designer_Bed_Mix!$J50&lt;=XS_Designer!$BN$93,XS_Designer!BJ$93,"")</f>
        <v/>
      </c>
      <c r="AE50" s="4" t="str">
        <f>IF(XS_Designer_Bed_Mix!$J50&lt;=XS_Designer!$BN$94,XS_Designer!BA$94,"")</f>
        <v/>
      </c>
      <c r="AF50" s="4" t="str">
        <f>IF(XS_Designer_Bed_Mix!$J50&lt;=XS_Designer!$BN$94,XS_Designer!BB$94,"")</f>
        <v/>
      </c>
      <c r="AG50" s="4" t="str">
        <f>IF(XS_Designer_Bed_Mix!$J50&lt;=XS_Designer!$BN$94,XS_Designer!BC$94,"")</f>
        <v/>
      </c>
      <c r="AH50" s="4" t="str">
        <f>IF(XS_Designer_Bed_Mix!$J50&lt;=XS_Designer!$BN$94,XS_Designer!BD$94,"")</f>
        <v/>
      </c>
      <c r="AI50" s="4" t="str">
        <f>IF(XS_Designer_Bed_Mix!$J50&lt;=XS_Designer!$BN$94,XS_Designer!BE$94,"")</f>
        <v/>
      </c>
      <c r="AJ50" s="4" t="str">
        <f>IF(XS_Designer_Bed_Mix!$J50&lt;=XS_Designer!$BN$94,XS_Designer!BF$94,"")</f>
        <v/>
      </c>
      <c r="AK50" s="4" t="str">
        <f>IF(XS_Designer_Bed_Mix!$J50&lt;=XS_Designer!$BN$94,XS_Designer!BG$94,"")</f>
        <v/>
      </c>
      <c r="AL50" s="4" t="str">
        <f>IF(XS_Designer_Bed_Mix!$J50&lt;=XS_Designer!$BN$94,XS_Designer!BH$94,"")</f>
        <v/>
      </c>
      <c r="AM50" s="4" t="str">
        <f>IF(XS_Designer_Bed_Mix!$J50&lt;=XS_Designer!$BN$94,XS_Designer!BI$94,"")</f>
        <v/>
      </c>
      <c r="AN50" s="4" t="str">
        <f>IF(XS_Designer_Bed_Mix!$J50&lt;=XS_Designer!$BN$94,XS_Designer!BJ$94,"")</f>
        <v/>
      </c>
      <c r="AO50" s="4" t="str">
        <f>IF(XS_Designer_Bed_Mix!$J50&lt;=XS_Designer!$BN$95,XS_Designer!BA$95,"")</f>
        <v/>
      </c>
      <c r="AP50" s="4" t="str">
        <f>IF(XS_Designer_Bed_Mix!$J50&lt;=XS_Designer!$BN$95,XS_Designer!BB$95,"")</f>
        <v/>
      </c>
      <c r="AQ50" s="4" t="str">
        <f>IF(XS_Designer_Bed_Mix!$J50&lt;=XS_Designer!$BN$95,XS_Designer!BC$95,"")</f>
        <v/>
      </c>
      <c r="AR50" s="4" t="str">
        <f>IF(XS_Designer_Bed_Mix!$J50&lt;=XS_Designer!$BN$95,XS_Designer!BD$95,"")</f>
        <v/>
      </c>
      <c r="AS50" s="4" t="str">
        <f>IF(XS_Designer_Bed_Mix!$J50&lt;=XS_Designer!$BN$95,XS_Designer!BE$95,"")</f>
        <v/>
      </c>
      <c r="AT50" s="4" t="str">
        <f>IF(XS_Designer_Bed_Mix!$J50&lt;=XS_Designer!$BN$95,XS_Designer!BF$95,"")</f>
        <v/>
      </c>
      <c r="AU50" s="4" t="str">
        <f>IF(XS_Designer_Bed_Mix!$J50&lt;=XS_Designer!$BN$95,XS_Designer!BG$95,"")</f>
        <v/>
      </c>
      <c r="AV50" s="4" t="str">
        <f>IF(XS_Designer_Bed_Mix!$J50&lt;=XS_Designer!$BN$95,XS_Designer!BH$95,"")</f>
        <v/>
      </c>
      <c r="AW50" s="4" t="str">
        <f>IF(XS_Designer_Bed_Mix!$J50&lt;=XS_Designer!$BN$95,XS_Designer!BI$95,"")</f>
        <v/>
      </c>
      <c r="AX50" s="4" t="str">
        <f>IF(XS_Designer_Bed_Mix!$J50&lt;=XS_Designer!$BN$95,XS_Designer!BJ$95,"")</f>
        <v/>
      </c>
      <c r="AY50" s="4">
        <f>IF(XS_Designer_Bed_Mix!$J50&lt;=XS_Designer!$BN$96,XS_Designer!BA$96,"")</f>
        <v>335.28000000000003</v>
      </c>
      <c r="AZ50" s="4">
        <f>IF(XS_Designer_Bed_Mix!$J50&lt;=XS_Designer!$BN$96,XS_Designer!BB$96,"")</f>
        <v>335.28000000000003</v>
      </c>
      <c r="BA50" s="4">
        <f>IF(XS_Designer_Bed_Mix!$J50&lt;=XS_Designer!$BN$96,XS_Designer!BC$96,"")</f>
        <v>335.28000000000003</v>
      </c>
      <c r="BB50" s="4">
        <f>IF(XS_Designer_Bed_Mix!$J50&lt;=XS_Designer!$BN$96,XS_Designer!BD$96,"")</f>
        <v>335.28000000000003</v>
      </c>
      <c r="BC50" s="4">
        <f>IF(XS_Designer_Bed_Mix!$J50&lt;=XS_Designer!$BN$96,XS_Designer!BE$96,"")</f>
        <v>335.28000000000003</v>
      </c>
      <c r="BD50" s="4">
        <f>IF(XS_Designer_Bed_Mix!$J50&lt;=XS_Designer!$BN$96,XS_Designer!BF$96,"")</f>
        <v>335.28000000000003</v>
      </c>
      <c r="BE50" s="4">
        <f>IF(XS_Designer_Bed_Mix!$J50&lt;=XS_Designer!$BN$96,XS_Designer!BG$96,"")</f>
        <v>335.28000000000003</v>
      </c>
      <c r="BF50" s="4">
        <f>IF(XS_Designer_Bed_Mix!$J50&lt;=XS_Designer!$BN$96,XS_Designer!BH$96,"")</f>
        <v>335.28000000000003</v>
      </c>
      <c r="BG50" s="4">
        <f>IF(XS_Designer_Bed_Mix!$J50&lt;=XS_Designer!$BN$96,XS_Designer!BI$96,"")</f>
        <v>335.28000000000003</v>
      </c>
      <c r="BH50" s="4">
        <f>IF(XS_Designer_Bed_Mix!$J50&lt;=XS_Designer!$BN$96,XS_Designer!BJ$96,"")</f>
        <v>335.28000000000003</v>
      </c>
      <c r="BI50" s="4" t="str">
        <f>IF(XS_Designer_Bed_Mix!$J50&lt;=XS_Designer!$BN$97,XS_Designer!BA$97,"")</f>
        <v/>
      </c>
      <c r="BJ50" s="4" t="str">
        <f>IF(XS_Designer_Bed_Mix!$J50&lt;=XS_Designer!$BN$97,XS_Designer!BB$97,"")</f>
        <v/>
      </c>
      <c r="BK50" s="4" t="str">
        <f>IF(XS_Designer_Bed_Mix!$J50&lt;=XS_Designer!$BN$97,XS_Designer!BC$97,"")</f>
        <v/>
      </c>
      <c r="BL50" s="4" t="str">
        <f>IF(XS_Designer_Bed_Mix!$J50&lt;=XS_Designer!$BN$97,XS_Designer!BD$97,"")</f>
        <v/>
      </c>
      <c r="BM50" s="4" t="str">
        <f>IF(XS_Designer_Bed_Mix!$J50&lt;=XS_Designer!$BN$97,XS_Designer!BE$97,"")</f>
        <v/>
      </c>
      <c r="BN50" s="4" t="str">
        <f>IF(XS_Designer_Bed_Mix!$J50&lt;=XS_Designer!$BN$97,XS_Designer!BF$97,"")</f>
        <v/>
      </c>
      <c r="BO50" s="4" t="str">
        <f>IF(XS_Designer_Bed_Mix!$J50&lt;=XS_Designer!$BN$97,XS_Designer!BG$97,"")</f>
        <v/>
      </c>
      <c r="BP50" s="4" t="str">
        <f>IF(XS_Designer_Bed_Mix!$J50&lt;=XS_Designer!$BN$97,XS_Designer!BH$97,"")</f>
        <v/>
      </c>
      <c r="BQ50" s="4" t="str">
        <f>IF(XS_Designer_Bed_Mix!$J50&lt;=XS_Designer!$BN$97,XS_Designer!BI$97,"")</f>
        <v/>
      </c>
      <c r="BR50" s="4" t="str">
        <f>IF(XS_Designer_Bed_Mix!$J50&lt;=XS_Designer!$BN$97,XS_Designer!BJ$97,"")</f>
        <v/>
      </c>
      <c r="BS50" s="4" t="str">
        <f>IF(XS_Designer_Bed_Mix!$J50&lt;=XS_Designer!$BN$98,XS_Designer!BA$98,"")</f>
        <v/>
      </c>
      <c r="BT50" s="4" t="str">
        <f>IF(XS_Designer_Bed_Mix!$J50&lt;=XS_Designer!$BN$98,XS_Designer!BB$98,"")</f>
        <v/>
      </c>
      <c r="BU50" s="4" t="str">
        <f>IF(XS_Designer_Bed_Mix!$J50&lt;=XS_Designer!$BN$98,XS_Designer!BC$98,"")</f>
        <v/>
      </c>
      <c r="BV50" s="4" t="str">
        <f>IF(XS_Designer_Bed_Mix!$J50&lt;=XS_Designer!$BN$98,XS_Designer!BD$98,"")</f>
        <v/>
      </c>
      <c r="BW50" s="4" t="str">
        <f>IF(XS_Designer_Bed_Mix!$J50&lt;=XS_Designer!$BN$98,XS_Designer!BE$98,"")</f>
        <v/>
      </c>
      <c r="BX50" s="4" t="str">
        <f>IF(XS_Designer_Bed_Mix!$J50&lt;=XS_Designer!$BN$98,XS_Designer!BF$98,"")</f>
        <v/>
      </c>
      <c r="BY50" s="4" t="str">
        <f>IF(XS_Designer_Bed_Mix!$J50&lt;=XS_Designer!$BN$98,XS_Designer!BG$98,"")</f>
        <v/>
      </c>
      <c r="BZ50" s="4" t="str">
        <f>IF(XS_Designer_Bed_Mix!$J50&lt;=XS_Designer!$BN$98,XS_Designer!BH$98,"")</f>
        <v/>
      </c>
      <c r="CA50" s="4" t="str">
        <f>IF(XS_Designer_Bed_Mix!$J50&lt;=XS_Designer!$BN$98,XS_Designer!BI$98,"")</f>
        <v/>
      </c>
      <c r="CB50" s="4" t="str">
        <f>IF(XS_Designer_Bed_Mix!$J50&lt;=XS_Designer!$BN$98,XS_Designer!BJ$98,"")</f>
        <v/>
      </c>
      <c r="CC50" s="4" t="str">
        <f>IF(XS_Designer_Bed_Mix!$J50&lt;=XS_Designer!$BN$99,XS_Designer!BA$99,"")</f>
        <v/>
      </c>
      <c r="CD50" s="4" t="str">
        <f>IF(XS_Designer_Bed_Mix!$J50&lt;=XS_Designer!$BN$99,XS_Designer!BB$99,"")</f>
        <v/>
      </c>
      <c r="CE50" s="4" t="str">
        <f>IF(XS_Designer_Bed_Mix!$J50&lt;=XS_Designer!$BN$99,XS_Designer!BC$99,"")</f>
        <v/>
      </c>
      <c r="CF50" s="4" t="str">
        <f>IF(XS_Designer_Bed_Mix!$J50&lt;=XS_Designer!$BN$99,XS_Designer!BD$99,"")</f>
        <v/>
      </c>
      <c r="CG50" s="4" t="str">
        <f>IF(XS_Designer_Bed_Mix!$J50&lt;=XS_Designer!$BN$99,XS_Designer!BE$99,"")</f>
        <v/>
      </c>
      <c r="CH50" s="4" t="str">
        <f>IF(XS_Designer_Bed_Mix!$J50&lt;=XS_Designer!$BN$99,XS_Designer!BF$99,"")</f>
        <v/>
      </c>
      <c r="CI50" s="4" t="str">
        <f>IF(XS_Designer_Bed_Mix!$J50&lt;=XS_Designer!$BN$99,XS_Designer!BG$99,"")</f>
        <v/>
      </c>
      <c r="CJ50" s="4" t="str">
        <f>IF(XS_Designer_Bed_Mix!$J50&lt;=XS_Designer!$BN$99,XS_Designer!BH$99,"")</f>
        <v/>
      </c>
      <c r="CK50" s="4" t="str">
        <f>IF(XS_Designer_Bed_Mix!$J50&lt;=XS_Designer!$BN$99,XS_Designer!BI$99,"")</f>
        <v/>
      </c>
      <c r="CL50" s="4" t="str">
        <f>IF(XS_Designer_Bed_Mix!$J50&lt;=XS_Designer!$BN$99,XS_Designer!BJ$99,"")</f>
        <v/>
      </c>
      <c r="CM50" s="4" t="str">
        <f>IF(XS_Designer_Bed_Mix!$J50&lt;=XS_Designer!$BN$100,XS_Designer!BA$100,"")</f>
        <v/>
      </c>
      <c r="CN50" s="4" t="str">
        <f>IF(XS_Designer_Bed_Mix!$J50&lt;=XS_Designer!$BN$100,XS_Designer!BB$100,"")</f>
        <v/>
      </c>
      <c r="CO50" s="4" t="str">
        <f>IF(XS_Designer_Bed_Mix!$J50&lt;=XS_Designer!$BN$100,XS_Designer!BC$100,"")</f>
        <v/>
      </c>
      <c r="CP50" s="4" t="str">
        <f>IF(XS_Designer_Bed_Mix!$J50&lt;=XS_Designer!$BN$100,XS_Designer!BD$100,"")</f>
        <v/>
      </c>
      <c r="CQ50" s="4" t="str">
        <f>IF(XS_Designer_Bed_Mix!$J50&lt;=XS_Designer!$BN$100,XS_Designer!BE$100,"")</f>
        <v/>
      </c>
      <c r="CR50" s="4" t="str">
        <f>IF(XS_Designer_Bed_Mix!$J50&lt;=XS_Designer!$BN$100,XS_Designer!BF$100,"")</f>
        <v/>
      </c>
      <c r="CS50" s="4" t="str">
        <f>IF(XS_Designer_Bed_Mix!$J50&lt;=XS_Designer!$BN$100,XS_Designer!BG$100,"")</f>
        <v/>
      </c>
      <c r="CT50" s="4" t="str">
        <f>IF(XS_Designer_Bed_Mix!$J50&lt;=XS_Designer!$BN$100,XS_Designer!BH$100,"")</f>
        <v/>
      </c>
      <c r="CU50" s="4" t="str">
        <f>IF(XS_Designer_Bed_Mix!$J50&lt;=XS_Designer!$BN$100,XS_Designer!BI$100,"")</f>
        <v/>
      </c>
      <c r="CV50" s="4" t="str">
        <f>IF(XS_Designer_Bed_Mix!$J50&lt;=XS_Designer!$BN$100,XS_Designer!BJ$100,"")</f>
        <v/>
      </c>
      <c r="CW50" s="4" t="str">
        <f>IF(XS_Designer_Bed_Mix!$J50&lt;=XS_Designer!$BN$101,XS_Designer!BA$101,"")</f>
        <v/>
      </c>
      <c r="CX50" s="4" t="str">
        <f>IF(XS_Designer_Bed_Mix!$J50&lt;=XS_Designer!$BN$101,XS_Designer!BB$101,"")</f>
        <v/>
      </c>
      <c r="CY50" s="4" t="str">
        <f>IF(XS_Designer_Bed_Mix!$J50&lt;=XS_Designer!$BN$101,XS_Designer!BC$101,"")</f>
        <v/>
      </c>
      <c r="CZ50" s="4" t="str">
        <f>IF(XS_Designer_Bed_Mix!$J50&lt;=XS_Designer!$BN$101,XS_Designer!BD$101,"")</f>
        <v/>
      </c>
      <c r="DA50" s="4" t="str">
        <f>IF(XS_Designer_Bed_Mix!$J50&lt;=XS_Designer!$BN$101,XS_Designer!BE$101,"")</f>
        <v/>
      </c>
      <c r="DB50" s="4" t="str">
        <f>IF(XS_Designer_Bed_Mix!$J50&lt;=XS_Designer!$BN$101,XS_Designer!BF$101,"")</f>
        <v/>
      </c>
      <c r="DC50" s="4" t="str">
        <f>IF(XS_Designer_Bed_Mix!$J50&lt;=XS_Designer!$BN$101,XS_Designer!BG$101,"")</f>
        <v/>
      </c>
      <c r="DD50" s="4" t="str">
        <f>IF(XS_Designer_Bed_Mix!$J50&lt;=XS_Designer!$BN$101,XS_Designer!BH$101,"")</f>
        <v/>
      </c>
      <c r="DE50" s="4" t="str">
        <f>IF(XS_Designer_Bed_Mix!$J50&lt;=XS_Designer!$BN$101,XS_Designer!BI$101,"")</f>
        <v/>
      </c>
      <c r="DF50" s="4" t="str">
        <f>IF(XS_Designer_Bed_Mix!$J50&lt;=XS_Designer!$BN$101,XS_Designer!BJ$101,"")</f>
        <v/>
      </c>
      <c r="DG50" s="4" t="str">
        <f>IF(XS_Designer_Bed_Mix!$J50&lt;=XS_Designer!$BN$102,XS_Designer!BA$102,"")</f>
        <v/>
      </c>
      <c r="DH50" s="4" t="str">
        <f>IF(XS_Designer_Bed_Mix!$J50&lt;=XS_Designer!$BN$102,XS_Designer!BB$102,"")</f>
        <v/>
      </c>
      <c r="DI50" s="4" t="str">
        <f>IF(XS_Designer_Bed_Mix!$J50&lt;=XS_Designer!$BN$102,XS_Designer!BC$102,"")</f>
        <v/>
      </c>
      <c r="DJ50" s="4" t="str">
        <f>IF(XS_Designer_Bed_Mix!$J50&lt;=XS_Designer!$BN$102,XS_Designer!BD$102,"")</f>
        <v/>
      </c>
      <c r="DK50" s="4" t="str">
        <f>IF(XS_Designer_Bed_Mix!$J50&lt;=XS_Designer!$BN$102,XS_Designer!BE$102,"")</f>
        <v/>
      </c>
      <c r="DL50" s="4" t="str">
        <f>IF(XS_Designer_Bed_Mix!$J50&lt;=XS_Designer!$BN$102,XS_Designer!BF$102,"")</f>
        <v/>
      </c>
      <c r="DM50" s="4" t="str">
        <f>IF(XS_Designer_Bed_Mix!$J50&lt;=XS_Designer!$BN$102,XS_Designer!BG$102,"")</f>
        <v/>
      </c>
      <c r="DN50" s="4" t="str">
        <f>IF(XS_Designer_Bed_Mix!$J50&lt;=XS_Designer!$BN$102,XS_Designer!BH$102,"")</f>
        <v/>
      </c>
      <c r="DO50" s="4" t="str">
        <f>IF(XS_Designer_Bed_Mix!$J50&lt;=XS_Designer!$BN$102,XS_Designer!BI$102,"")</f>
        <v/>
      </c>
      <c r="DP50" s="4" t="str">
        <f>IF(XS_Designer_Bed_Mix!$J50&lt;=XS_Designer!$BN$102,XS_Designer!BJ$102,"")</f>
        <v/>
      </c>
    </row>
    <row r="51" spans="10:120">
      <c r="J51" s="3">
        <v>0.5</v>
      </c>
      <c r="K51" s="4" t="str">
        <f>IF(XS_Designer_Bed_Mix!$J51&lt;=XS_Designer!$BN$92,XS_Designer!BA$92,"")</f>
        <v/>
      </c>
      <c r="L51" s="4" t="str">
        <f>IF(XS_Designer_Bed_Mix!$J51&lt;=XS_Designer!$BN$92,XS_Designer!BB$92,"")</f>
        <v/>
      </c>
      <c r="M51" s="4" t="str">
        <f>IF(XS_Designer_Bed_Mix!$J51&lt;=XS_Designer!$BN$92,XS_Designer!BC$92,"")</f>
        <v/>
      </c>
      <c r="N51" s="4" t="str">
        <f>IF(XS_Designer_Bed_Mix!$J51&lt;=XS_Designer!$BN$92,XS_Designer!BD$92,"")</f>
        <v/>
      </c>
      <c r="O51" s="4" t="str">
        <f>IF(XS_Designer_Bed_Mix!$J51&lt;=XS_Designer!$BN$92,XS_Designer!BE$92,"")</f>
        <v/>
      </c>
      <c r="P51" s="4" t="str">
        <f>IF(XS_Designer_Bed_Mix!$J51&lt;=XS_Designer!$BN$92,XS_Designer!BF$92,"")</f>
        <v/>
      </c>
      <c r="Q51" s="4" t="str">
        <f>IF(XS_Designer_Bed_Mix!$J51&lt;=XS_Designer!$BN$92,XS_Designer!BG$92,"")</f>
        <v/>
      </c>
      <c r="R51" s="4" t="str">
        <f>IF(XS_Designer_Bed_Mix!$J51&lt;=XS_Designer!$BN$92,XS_Designer!BH$92,"")</f>
        <v/>
      </c>
      <c r="S51" s="4" t="str">
        <f>IF(XS_Designer_Bed_Mix!$J51&lt;=XS_Designer!$BN$92,XS_Designer!BI$92,"")</f>
        <v/>
      </c>
      <c r="T51" s="4" t="str">
        <f>IF(XS_Designer_Bed_Mix!$J51&lt;=XS_Designer!$BN$92,XS_Designer!BJ$92,"")</f>
        <v/>
      </c>
      <c r="U51" s="4" t="str">
        <f>IF(XS_Designer_Bed_Mix!$J51&lt;=XS_Designer!$BN$93,XS_Designer!BA$93,"")</f>
        <v/>
      </c>
      <c r="V51" s="4" t="str">
        <f>IF(XS_Designer_Bed_Mix!$J51&lt;=XS_Designer!$BN$93,XS_Designer!BB$93,"")</f>
        <v/>
      </c>
      <c r="W51" s="4" t="str">
        <f>IF(XS_Designer_Bed_Mix!$J51&lt;=XS_Designer!$BN$93,XS_Designer!BC$93,"")</f>
        <v/>
      </c>
      <c r="X51" s="4" t="str">
        <f>IF(XS_Designer_Bed_Mix!$J51&lt;=XS_Designer!$BN$93,XS_Designer!BD$93,"")</f>
        <v/>
      </c>
      <c r="Y51" s="4" t="str">
        <f>IF(XS_Designer_Bed_Mix!$J51&lt;=XS_Designer!$BN$93,XS_Designer!BE$93,"")</f>
        <v/>
      </c>
      <c r="Z51" s="4" t="str">
        <f>IF(XS_Designer_Bed_Mix!$J51&lt;=XS_Designer!$BN$93,XS_Designer!BF$93,"")</f>
        <v/>
      </c>
      <c r="AA51" s="4" t="str">
        <f>IF(XS_Designer_Bed_Mix!$J51&lt;=XS_Designer!$BN$93,XS_Designer!BG$93,"")</f>
        <v/>
      </c>
      <c r="AB51" s="4" t="str">
        <f>IF(XS_Designer_Bed_Mix!$J51&lt;=XS_Designer!$BN$93,XS_Designer!BH$93,"")</f>
        <v/>
      </c>
      <c r="AC51" s="4" t="str">
        <f>IF(XS_Designer_Bed_Mix!$J51&lt;=XS_Designer!$BN$93,XS_Designer!BI$93,"")</f>
        <v/>
      </c>
      <c r="AD51" s="4" t="str">
        <f>IF(XS_Designer_Bed_Mix!$J51&lt;=XS_Designer!$BN$93,XS_Designer!BJ$93,"")</f>
        <v/>
      </c>
      <c r="AE51" s="4" t="str">
        <f>IF(XS_Designer_Bed_Mix!$J51&lt;=XS_Designer!$BN$94,XS_Designer!BA$94,"")</f>
        <v/>
      </c>
      <c r="AF51" s="4" t="str">
        <f>IF(XS_Designer_Bed_Mix!$J51&lt;=XS_Designer!$BN$94,XS_Designer!BB$94,"")</f>
        <v/>
      </c>
      <c r="AG51" s="4" t="str">
        <f>IF(XS_Designer_Bed_Mix!$J51&lt;=XS_Designer!$BN$94,XS_Designer!BC$94,"")</f>
        <v/>
      </c>
      <c r="AH51" s="4" t="str">
        <f>IF(XS_Designer_Bed_Mix!$J51&lt;=XS_Designer!$BN$94,XS_Designer!BD$94,"")</f>
        <v/>
      </c>
      <c r="AI51" s="4" t="str">
        <f>IF(XS_Designer_Bed_Mix!$J51&lt;=XS_Designer!$BN$94,XS_Designer!BE$94,"")</f>
        <v/>
      </c>
      <c r="AJ51" s="4" t="str">
        <f>IF(XS_Designer_Bed_Mix!$J51&lt;=XS_Designer!$BN$94,XS_Designer!BF$94,"")</f>
        <v/>
      </c>
      <c r="AK51" s="4" t="str">
        <f>IF(XS_Designer_Bed_Mix!$J51&lt;=XS_Designer!$BN$94,XS_Designer!BG$94,"")</f>
        <v/>
      </c>
      <c r="AL51" s="4" t="str">
        <f>IF(XS_Designer_Bed_Mix!$J51&lt;=XS_Designer!$BN$94,XS_Designer!BH$94,"")</f>
        <v/>
      </c>
      <c r="AM51" s="4" t="str">
        <f>IF(XS_Designer_Bed_Mix!$J51&lt;=XS_Designer!$BN$94,XS_Designer!BI$94,"")</f>
        <v/>
      </c>
      <c r="AN51" s="4" t="str">
        <f>IF(XS_Designer_Bed_Mix!$J51&lt;=XS_Designer!$BN$94,XS_Designer!BJ$94,"")</f>
        <v/>
      </c>
      <c r="AO51" s="4" t="str">
        <f>IF(XS_Designer_Bed_Mix!$J51&lt;=XS_Designer!$BN$95,XS_Designer!BA$95,"")</f>
        <v/>
      </c>
      <c r="AP51" s="4" t="str">
        <f>IF(XS_Designer_Bed_Mix!$J51&lt;=XS_Designer!$BN$95,XS_Designer!BB$95,"")</f>
        <v/>
      </c>
      <c r="AQ51" s="4" t="str">
        <f>IF(XS_Designer_Bed_Mix!$J51&lt;=XS_Designer!$BN$95,XS_Designer!BC$95,"")</f>
        <v/>
      </c>
      <c r="AR51" s="4" t="str">
        <f>IF(XS_Designer_Bed_Mix!$J51&lt;=XS_Designer!$BN$95,XS_Designer!BD$95,"")</f>
        <v/>
      </c>
      <c r="AS51" s="4" t="str">
        <f>IF(XS_Designer_Bed_Mix!$J51&lt;=XS_Designer!$BN$95,XS_Designer!BE$95,"")</f>
        <v/>
      </c>
      <c r="AT51" s="4" t="str">
        <f>IF(XS_Designer_Bed_Mix!$J51&lt;=XS_Designer!$BN$95,XS_Designer!BF$95,"")</f>
        <v/>
      </c>
      <c r="AU51" s="4" t="str">
        <f>IF(XS_Designer_Bed_Mix!$J51&lt;=XS_Designer!$BN$95,XS_Designer!BG$95,"")</f>
        <v/>
      </c>
      <c r="AV51" s="4" t="str">
        <f>IF(XS_Designer_Bed_Mix!$J51&lt;=XS_Designer!$BN$95,XS_Designer!BH$95,"")</f>
        <v/>
      </c>
      <c r="AW51" s="4" t="str">
        <f>IF(XS_Designer_Bed_Mix!$J51&lt;=XS_Designer!$BN$95,XS_Designer!BI$95,"")</f>
        <v/>
      </c>
      <c r="AX51" s="4" t="str">
        <f>IF(XS_Designer_Bed_Mix!$J51&lt;=XS_Designer!$BN$95,XS_Designer!BJ$95,"")</f>
        <v/>
      </c>
      <c r="AY51" s="4">
        <f>IF(XS_Designer_Bed_Mix!$J51&lt;=XS_Designer!$BN$96,XS_Designer!BA$96,"")</f>
        <v>335.28000000000003</v>
      </c>
      <c r="AZ51" s="4">
        <f>IF(XS_Designer_Bed_Mix!$J51&lt;=XS_Designer!$BN$96,XS_Designer!BB$96,"")</f>
        <v>335.28000000000003</v>
      </c>
      <c r="BA51" s="4">
        <f>IF(XS_Designer_Bed_Mix!$J51&lt;=XS_Designer!$BN$96,XS_Designer!BC$96,"")</f>
        <v>335.28000000000003</v>
      </c>
      <c r="BB51" s="4">
        <f>IF(XS_Designer_Bed_Mix!$J51&lt;=XS_Designer!$BN$96,XS_Designer!BD$96,"")</f>
        <v>335.28000000000003</v>
      </c>
      <c r="BC51" s="4">
        <f>IF(XS_Designer_Bed_Mix!$J51&lt;=XS_Designer!$BN$96,XS_Designer!BE$96,"")</f>
        <v>335.28000000000003</v>
      </c>
      <c r="BD51" s="4">
        <f>IF(XS_Designer_Bed_Mix!$J51&lt;=XS_Designer!$BN$96,XS_Designer!BF$96,"")</f>
        <v>335.28000000000003</v>
      </c>
      <c r="BE51" s="4">
        <f>IF(XS_Designer_Bed_Mix!$J51&lt;=XS_Designer!$BN$96,XS_Designer!BG$96,"")</f>
        <v>335.28000000000003</v>
      </c>
      <c r="BF51" s="4">
        <f>IF(XS_Designer_Bed_Mix!$J51&lt;=XS_Designer!$BN$96,XS_Designer!BH$96,"")</f>
        <v>335.28000000000003</v>
      </c>
      <c r="BG51" s="4">
        <f>IF(XS_Designer_Bed_Mix!$J51&lt;=XS_Designer!$BN$96,XS_Designer!BI$96,"")</f>
        <v>335.28000000000003</v>
      </c>
      <c r="BH51" s="4">
        <f>IF(XS_Designer_Bed_Mix!$J51&lt;=XS_Designer!$BN$96,XS_Designer!BJ$96,"")</f>
        <v>335.28000000000003</v>
      </c>
      <c r="BI51" s="4" t="str">
        <f>IF(XS_Designer_Bed_Mix!$J51&lt;=XS_Designer!$BN$97,XS_Designer!BA$97,"")</f>
        <v/>
      </c>
      <c r="BJ51" s="4" t="str">
        <f>IF(XS_Designer_Bed_Mix!$J51&lt;=XS_Designer!$BN$97,XS_Designer!BB$97,"")</f>
        <v/>
      </c>
      <c r="BK51" s="4" t="str">
        <f>IF(XS_Designer_Bed_Mix!$J51&lt;=XS_Designer!$BN$97,XS_Designer!BC$97,"")</f>
        <v/>
      </c>
      <c r="BL51" s="4" t="str">
        <f>IF(XS_Designer_Bed_Mix!$J51&lt;=XS_Designer!$BN$97,XS_Designer!BD$97,"")</f>
        <v/>
      </c>
      <c r="BM51" s="4" t="str">
        <f>IF(XS_Designer_Bed_Mix!$J51&lt;=XS_Designer!$BN$97,XS_Designer!BE$97,"")</f>
        <v/>
      </c>
      <c r="BN51" s="4" t="str">
        <f>IF(XS_Designer_Bed_Mix!$J51&lt;=XS_Designer!$BN$97,XS_Designer!BF$97,"")</f>
        <v/>
      </c>
      <c r="BO51" s="4" t="str">
        <f>IF(XS_Designer_Bed_Mix!$J51&lt;=XS_Designer!$BN$97,XS_Designer!BG$97,"")</f>
        <v/>
      </c>
      <c r="BP51" s="4" t="str">
        <f>IF(XS_Designer_Bed_Mix!$J51&lt;=XS_Designer!$BN$97,XS_Designer!BH$97,"")</f>
        <v/>
      </c>
      <c r="BQ51" s="4" t="str">
        <f>IF(XS_Designer_Bed_Mix!$J51&lt;=XS_Designer!$BN$97,XS_Designer!BI$97,"")</f>
        <v/>
      </c>
      <c r="BR51" s="4" t="str">
        <f>IF(XS_Designer_Bed_Mix!$J51&lt;=XS_Designer!$BN$97,XS_Designer!BJ$97,"")</f>
        <v/>
      </c>
      <c r="BS51" s="4" t="str">
        <f>IF(XS_Designer_Bed_Mix!$J51&lt;=XS_Designer!$BN$98,XS_Designer!BA$98,"")</f>
        <v/>
      </c>
      <c r="BT51" s="4" t="str">
        <f>IF(XS_Designer_Bed_Mix!$J51&lt;=XS_Designer!$BN$98,XS_Designer!BB$98,"")</f>
        <v/>
      </c>
      <c r="BU51" s="4" t="str">
        <f>IF(XS_Designer_Bed_Mix!$J51&lt;=XS_Designer!$BN$98,XS_Designer!BC$98,"")</f>
        <v/>
      </c>
      <c r="BV51" s="4" t="str">
        <f>IF(XS_Designer_Bed_Mix!$J51&lt;=XS_Designer!$BN$98,XS_Designer!BD$98,"")</f>
        <v/>
      </c>
      <c r="BW51" s="4" t="str">
        <f>IF(XS_Designer_Bed_Mix!$J51&lt;=XS_Designer!$BN$98,XS_Designer!BE$98,"")</f>
        <v/>
      </c>
      <c r="BX51" s="4" t="str">
        <f>IF(XS_Designer_Bed_Mix!$J51&lt;=XS_Designer!$BN$98,XS_Designer!BF$98,"")</f>
        <v/>
      </c>
      <c r="BY51" s="4" t="str">
        <f>IF(XS_Designer_Bed_Mix!$J51&lt;=XS_Designer!$BN$98,XS_Designer!BG$98,"")</f>
        <v/>
      </c>
      <c r="BZ51" s="4" t="str">
        <f>IF(XS_Designer_Bed_Mix!$J51&lt;=XS_Designer!$BN$98,XS_Designer!BH$98,"")</f>
        <v/>
      </c>
      <c r="CA51" s="4" t="str">
        <f>IF(XS_Designer_Bed_Mix!$J51&lt;=XS_Designer!$BN$98,XS_Designer!BI$98,"")</f>
        <v/>
      </c>
      <c r="CB51" s="4" t="str">
        <f>IF(XS_Designer_Bed_Mix!$J51&lt;=XS_Designer!$BN$98,XS_Designer!BJ$98,"")</f>
        <v/>
      </c>
      <c r="CC51" s="4" t="str">
        <f>IF(XS_Designer_Bed_Mix!$J51&lt;=XS_Designer!$BN$99,XS_Designer!BA$99,"")</f>
        <v/>
      </c>
      <c r="CD51" s="4" t="str">
        <f>IF(XS_Designer_Bed_Mix!$J51&lt;=XS_Designer!$BN$99,XS_Designer!BB$99,"")</f>
        <v/>
      </c>
      <c r="CE51" s="4" t="str">
        <f>IF(XS_Designer_Bed_Mix!$J51&lt;=XS_Designer!$BN$99,XS_Designer!BC$99,"")</f>
        <v/>
      </c>
      <c r="CF51" s="4" t="str">
        <f>IF(XS_Designer_Bed_Mix!$J51&lt;=XS_Designer!$BN$99,XS_Designer!BD$99,"")</f>
        <v/>
      </c>
      <c r="CG51" s="4" t="str">
        <f>IF(XS_Designer_Bed_Mix!$J51&lt;=XS_Designer!$BN$99,XS_Designer!BE$99,"")</f>
        <v/>
      </c>
      <c r="CH51" s="4" t="str">
        <f>IF(XS_Designer_Bed_Mix!$J51&lt;=XS_Designer!$BN$99,XS_Designer!BF$99,"")</f>
        <v/>
      </c>
      <c r="CI51" s="4" t="str">
        <f>IF(XS_Designer_Bed_Mix!$J51&lt;=XS_Designer!$BN$99,XS_Designer!BG$99,"")</f>
        <v/>
      </c>
      <c r="CJ51" s="4" t="str">
        <f>IF(XS_Designer_Bed_Mix!$J51&lt;=XS_Designer!$BN$99,XS_Designer!BH$99,"")</f>
        <v/>
      </c>
      <c r="CK51" s="4" t="str">
        <f>IF(XS_Designer_Bed_Mix!$J51&lt;=XS_Designer!$BN$99,XS_Designer!BI$99,"")</f>
        <v/>
      </c>
      <c r="CL51" s="4" t="str">
        <f>IF(XS_Designer_Bed_Mix!$J51&lt;=XS_Designer!$BN$99,XS_Designer!BJ$99,"")</f>
        <v/>
      </c>
      <c r="CM51" s="4" t="str">
        <f>IF(XS_Designer_Bed_Mix!$J51&lt;=XS_Designer!$BN$100,XS_Designer!BA$100,"")</f>
        <v/>
      </c>
      <c r="CN51" s="4" t="str">
        <f>IF(XS_Designer_Bed_Mix!$J51&lt;=XS_Designer!$BN$100,XS_Designer!BB$100,"")</f>
        <v/>
      </c>
      <c r="CO51" s="4" t="str">
        <f>IF(XS_Designer_Bed_Mix!$J51&lt;=XS_Designer!$BN$100,XS_Designer!BC$100,"")</f>
        <v/>
      </c>
      <c r="CP51" s="4" t="str">
        <f>IF(XS_Designer_Bed_Mix!$J51&lt;=XS_Designer!$BN$100,XS_Designer!BD$100,"")</f>
        <v/>
      </c>
      <c r="CQ51" s="4" t="str">
        <f>IF(XS_Designer_Bed_Mix!$J51&lt;=XS_Designer!$BN$100,XS_Designer!BE$100,"")</f>
        <v/>
      </c>
      <c r="CR51" s="4" t="str">
        <f>IF(XS_Designer_Bed_Mix!$J51&lt;=XS_Designer!$BN$100,XS_Designer!BF$100,"")</f>
        <v/>
      </c>
      <c r="CS51" s="4" t="str">
        <f>IF(XS_Designer_Bed_Mix!$J51&lt;=XS_Designer!$BN$100,XS_Designer!BG$100,"")</f>
        <v/>
      </c>
      <c r="CT51" s="4" t="str">
        <f>IF(XS_Designer_Bed_Mix!$J51&lt;=XS_Designer!$BN$100,XS_Designer!BH$100,"")</f>
        <v/>
      </c>
      <c r="CU51" s="4" t="str">
        <f>IF(XS_Designer_Bed_Mix!$J51&lt;=XS_Designer!$BN$100,XS_Designer!BI$100,"")</f>
        <v/>
      </c>
      <c r="CV51" s="4" t="str">
        <f>IF(XS_Designer_Bed_Mix!$J51&lt;=XS_Designer!$BN$100,XS_Designer!BJ$100,"")</f>
        <v/>
      </c>
      <c r="CW51" s="4" t="str">
        <f>IF(XS_Designer_Bed_Mix!$J51&lt;=XS_Designer!$BN$101,XS_Designer!BA$101,"")</f>
        <v/>
      </c>
      <c r="CX51" s="4" t="str">
        <f>IF(XS_Designer_Bed_Mix!$J51&lt;=XS_Designer!$BN$101,XS_Designer!BB$101,"")</f>
        <v/>
      </c>
      <c r="CY51" s="4" t="str">
        <f>IF(XS_Designer_Bed_Mix!$J51&lt;=XS_Designer!$BN$101,XS_Designer!BC$101,"")</f>
        <v/>
      </c>
      <c r="CZ51" s="4" t="str">
        <f>IF(XS_Designer_Bed_Mix!$J51&lt;=XS_Designer!$BN$101,XS_Designer!BD$101,"")</f>
        <v/>
      </c>
      <c r="DA51" s="4" t="str">
        <f>IF(XS_Designer_Bed_Mix!$J51&lt;=XS_Designer!$BN$101,XS_Designer!BE$101,"")</f>
        <v/>
      </c>
      <c r="DB51" s="4" t="str">
        <f>IF(XS_Designer_Bed_Mix!$J51&lt;=XS_Designer!$BN$101,XS_Designer!BF$101,"")</f>
        <v/>
      </c>
      <c r="DC51" s="4" t="str">
        <f>IF(XS_Designer_Bed_Mix!$J51&lt;=XS_Designer!$BN$101,XS_Designer!BG$101,"")</f>
        <v/>
      </c>
      <c r="DD51" s="4" t="str">
        <f>IF(XS_Designer_Bed_Mix!$J51&lt;=XS_Designer!$BN$101,XS_Designer!BH$101,"")</f>
        <v/>
      </c>
      <c r="DE51" s="4" t="str">
        <f>IF(XS_Designer_Bed_Mix!$J51&lt;=XS_Designer!$BN$101,XS_Designer!BI$101,"")</f>
        <v/>
      </c>
      <c r="DF51" s="4" t="str">
        <f>IF(XS_Designer_Bed_Mix!$J51&lt;=XS_Designer!$BN$101,XS_Designer!BJ$101,"")</f>
        <v/>
      </c>
      <c r="DG51" s="4" t="str">
        <f>IF(XS_Designer_Bed_Mix!$J51&lt;=XS_Designer!$BN$102,XS_Designer!BA$102,"")</f>
        <v/>
      </c>
      <c r="DH51" s="4" t="str">
        <f>IF(XS_Designer_Bed_Mix!$J51&lt;=XS_Designer!$BN$102,XS_Designer!BB$102,"")</f>
        <v/>
      </c>
      <c r="DI51" s="4" t="str">
        <f>IF(XS_Designer_Bed_Mix!$J51&lt;=XS_Designer!$BN$102,XS_Designer!BC$102,"")</f>
        <v/>
      </c>
      <c r="DJ51" s="4" t="str">
        <f>IF(XS_Designer_Bed_Mix!$J51&lt;=XS_Designer!$BN$102,XS_Designer!BD$102,"")</f>
        <v/>
      </c>
      <c r="DK51" s="4" t="str">
        <f>IF(XS_Designer_Bed_Mix!$J51&lt;=XS_Designer!$BN$102,XS_Designer!BE$102,"")</f>
        <v/>
      </c>
      <c r="DL51" s="4" t="str">
        <f>IF(XS_Designer_Bed_Mix!$J51&lt;=XS_Designer!$BN$102,XS_Designer!BF$102,"")</f>
        <v/>
      </c>
      <c r="DM51" s="4" t="str">
        <f>IF(XS_Designer_Bed_Mix!$J51&lt;=XS_Designer!$BN$102,XS_Designer!BG$102,"")</f>
        <v/>
      </c>
      <c r="DN51" s="4" t="str">
        <f>IF(XS_Designer_Bed_Mix!$J51&lt;=XS_Designer!$BN$102,XS_Designer!BH$102,"")</f>
        <v/>
      </c>
      <c r="DO51" s="4" t="str">
        <f>IF(XS_Designer_Bed_Mix!$J51&lt;=XS_Designer!$BN$102,XS_Designer!BI$102,"")</f>
        <v/>
      </c>
      <c r="DP51" s="4" t="str">
        <f>IF(XS_Designer_Bed_Mix!$J51&lt;=XS_Designer!$BN$102,XS_Designer!BJ$102,"")</f>
        <v/>
      </c>
    </row>
    <row r="52" spans="10:120">
      <c r="J52" s="3">
        <v>0.51</v>
      </c>
      <c r="K52" s="4" t="str">
        <f>IF(XS_Designer_Bed_Mix!$J52&lt;=XS_Designer!$BN$92,XS_Designer!BA$92,"")</f>
        <v/>
      </c>
      <c r="L52" s="4" t="str">
        <f>IF(XS_Designer_Bed_Mix!$J52&lt;=XS_Designer!$BN$92,XS_Designer!BB$92,"")</f>
        <v/>
      </c>
      <c r="M52" s="4" t="str">
        <f>IF(XS_Designer_Bed_Mix!$J52&lt;=XS_Designer!$BN$92,XS_Designer!BC$92,"")</f>
        <v/>
      </c>
      <c r="N52" s="4" t="str">
        <f>IF(XS_Designer_Bed_Mix!$J52&lt;=XS_Designer!$BN$92,XS_Designer!BD$92,"")</f>
        <v/>
      </c>
      <c r="O52" s="4" t="str">
        <f>IF(XS_Designer_Bed_Mix!$J52&lt;=XS_Designer!$BN$92,XS_Designer!BE$92,"")</f>
        <v/>
      </c>
      <c r="P52" s="4" t="str">
        <f>IF(XS_Designer_Bed_Mix!$J52&lt;=XS_Designer!$BN$92,XS_Designer!BF$92,"")</f>
        <v/>
      </c>
      <c r="Q52" s="4" t="str">
        <f>IF(XS_Designer_Bed_Mix!$J52&lt;=XS_Designer!$BN$92,XS_Designer!BG$92,"")</f>
        <v/>
      </c>
      <c r="R52" s="4" t="str">
        <f>IF(XS_Designer_Bed_Mix!$J52&lt;=XS_Designer!$BN$92,XS_Designer!BH$92,"")</f>
        <v/>
      </c>
      <c r="S52" s="4" t="str">
        <f>IF(XS_Designer_Bed_Mix!$J52&lt;=XS_Designer!$BN$92,XS_Designer!BI$92,"")</f>
        <v/>
      </c>
      <c r="T52" s="4" t="str">
        <f>IF(XS_Designer_Bed_Mix!$J52&lt;=XS_Designer!$BN$92,XS_Designer!BJ$92,"")</f>
        <v/>
      </c>
      <c r="U52" s="4" t="str">
        <f>IF(XS_Designer_Bed_Mix!$J52&lt;=XS_Designer!$BN$93,XS_Designer!BA$93,"")</f>
        <v/>
      </c>
      <c r="V52" s="4" t="str">
        <f>IF(XS_Designer_Bed_Mix!$J52&lt;=XS_Designer!$BN$93,XS_Designer!BB$93,"")</f>
        <v/>
      </c>
      <c r="W52" s="4" t="str">
        <f>IF(XS_Designer_Bed_Mix!$J52&lt;=XS_Designer!$BN$93,XS_Designer!BC$93,"")</f>
        <v/>
      </c>
      <c r="X52" s="4" t="str">
        <f>IF(XS_Designer_Bed_Mix!$J52&lt;=XS_Designer!$BN$93,XS_Designer!BD$93,"")</f>
        <v/>
      </c>
      <c r="Y52" s="4" t="str">
        <f>IF(XS_Designer_Bed_Mix!$J52&lt;=XS_Designer!$BN$93,XS_Designer!BE$93,"")</f>
        <v/>
      </c>
      <c r="Z52" s="4" t="str">
        <f>IF(XS_Designer_Bed_Mix!$J52&lt;=XS_Designer!$BN$93,XS_Designer!BF$93,"")</f>
        <v/>
      </c>
      <c r="AA52" s="4" t="str">
        <f>IF(XS_Designer_Bed_Mix!$J52&lt;=XS_Designer!$BN$93,XS_Designer!BG$93,"")</f>
        <v/>
      </c>
      <c r="AB52" s="4" t="str">
        <f>IF(XS_Designer_Bed_Mix!$J52&lt;=XS_Designer!$BN$93,XS_Designer!BH$93,"")</f>
        <v/>
      </c>
      <c r="AC52" s="4" t="str">
        <f>IF(XS_Designer_Bed_Mix!$J52&lt;=XS_Designer!$BN$93,XS_Designer!BI$93,"")</f>
        <v/>
      </c>
      <c r="AD52" s="4" t="str">
        <f>IF(XS_Designer_Bed_Mix!$J52&lt;=XS_Designer!$BN$93,XS_Designer!BJ$93,"")</f>
        <v/>
      </c>
      <c r="AE52" s="4" t="str">
        <f>IF(XS_Designer_Bed_Mix!$J52&lt;=XS_Designer!$BN$94,XS_Designer!BA$94,"")</f>
        <v/>
      </c>
      <c r="AF52" s="4" t="str">
        <f>IF(XS_Designer_Bed_Mix!$J52&lt;=XS_Designer!$BN$94,XS_Designer!BB$94,"")</f>
        <v/>
      </c>
      <c r="AG52" s="4" t="str">
        <f>IF(XS_Designer_Bed_Mix!$J52&lt;=XS_Designer!$BN$94,XS_Designer!BC$94,"")</f>
        <v/>
      </c>
      <c r="AH52" s="4" t="str">
        <f>IF(XS_Designer_Bed_Mix!$J52&lt;=XS_Designer!$BN$94,XS_Designer!BD$94,"")</f>
        <v/>
      </c>
      <c r="AI52" s="4" t="str">
        <f>IF(XS_Designer_Bed_Mix!$J52&lt;=XS_Designer!$BN$94,XS_Designer!BE$94,"")</f>
        <v/>
      </c>
      <c r="AJ52" s="4" t="str">
        <f>IF(XS_Designer_Bed_Mix!$J52&lt;=XS_Designer!$BN$94,XS_Designer!BF$94,"")</f>
        <v/>
      </c>
      <c r="AK52" s="4" t="str">
        <f>IF(XS_Designer_Bed_Mix!$J52&lt;=XS_Designer!$BN$94,XS_Designer!BG$94,"")</f>
        <v/>
      </c>
      <c r="AL52" s="4" t="str">
        <f>IF(XS_Designer_Bed_Mix!$J52&lt;=XS_Designer!$BN$94,XS_Designer!BH$94,"")</f>
        <v/>
      </c>
      <c r="AM52" s="4" t="str">
        <f>IF(XS_Designer_Bed_Mix!$J52&lt;=XS_Designer!$BN$94,XS_Designer!BI$94,"")</f>
        <v/>
      </c>
      <c r="AN52" s="4" t="str">
        <f>IF(XS_Designer_Bed_Mix!$J52&lt;=XS_Designer!$BN$94,XS_Designer!BJ$94,"")</f>
        <v/>
      </c>
      <c r="AO52" s="4" t="str">
        <f>IF(XS_Designer_Bed_Mix!$J52&lt;=XS_Designer!$BN$95,XS_Designer!BA$95,"")</f>
        <v/>
      </c>
      <c r="AP52" s="4" t="str">
        <f>IF(XS_Designer_Bed_Mix!$J52&lt;=XS_Designer!$BN$95,XS_Designer!BB$95,"")</f>
        <v/>
      </c>
      <c r="AQ52" s="4" t="str">
        <f>IF(XS_Designer_Bed_Mix!$J52&lt;=XS_Designer!$BN$95,XS_Designer!BC$95,"")</f>
        <v/>
      </c>
      <c r="AR52" s="4" t="str">
        <f>IF(XS_Designer_Bed_Mix!$J52&lt;=XS_Designer!$BN$95,XS_Designer!BD$95,"")</f>
        <v/>
      </c>
      <c r="AS52" s="4" t="str">
        <f>IF(XS_Designer_Bed_Mix!$J52&lt;=XS_Designer!$BN$95,XS_Designer!BE$95,"")</f>
        <v/>
      </c>
      <c r="AT52" s="4" t="str">
        <f>IF(XS_Designer_Bed_Mix!$J52&lt;=XS_Designer!$BN$95,XS_Designer!BF$95,"")</f>
        <v/>
      </c>
      <c r="AU52" s="4" t="str">
        <f>IF(XS_Designer_Bed_Mix!$J52&lt;=XS_Designer!$BN$95,XS_Designer!BG$95,"")</f>
        <v/>
      </c>
      <c r="AV52" s="4" t="str">
        <f>IF(XS_Designer_Bed_Mix!$J52&lt;=XS_Designer!$BN$95,XS_Designer!BH$95,"")</f>
        <v/>
      </c>
      <c r="AW52" s="4" t="str">
        <f>IF(XS_Designer_Bed_Mix!$J52&lt;=XS_Designer!$BN$95,XS_Designer!BI$95,"")</f>
        <v/>
      </c>
      <c r="AX52" s="4" t="str">
        <f>IF(XS_Designer_Bed_Mix!$J52&lt;=XS_Designer!$BN$95,XS_Designer!BJ$95,"")</f>
        <v/>
      </c>
      <c r="AY52" s="4" t="str">
        <f>IF(XS_Designer_Bed_Mix!$J52&lt;=XS_Designer!$BN$96,XS_Designer!BA$96,"")</f>
        <v/>
      </c>
      <c r="AZ52" s="4" t="str">
        <f>IF(XS_Designer_Bed_Mix!$J52&lt;=XS_Designer!$BN$96,XS_Designer!BB$96,"")</f>
        <v/>
      </c>
      <c r="BA52" s="4" t="str">
        <f>IF(XS_Designer_Bed_Mix!$J52&lt;=XS_Designer!$BN$96,XS_Designer!BC$96,"")</f>
        <v/>
      </c>
      <c r="BB52" s="4" t="str">
        <f>IF(XS_Designer_Bed_Mix!$J52&lt;=XS_Designer!$BN$96,XS_Designer!BD$96,"")</f>
        <v/>
      </c>
      <c r="BC52" s="4" t="str">
        <f>IF(XS_Designer_Bed_Mix!$J52&lt;=XS_Designer!$BN$96,XS_Designer!BE$96,"")</f>
        <v/>
      </c>
      <c r="BD52" s="4" t="str">
        <f>IF(XS_Designer_Bed_Mix!$J52&lt;=XS_Designer!$BN$96,XS_Designer!BF$96,"")</f>
        <v/>
      </c>
      <c r="BE52" s="4" t="str">
        <f>IF(XS_Designer_Bed_Mix!$J52&lt;=XS_Designer!$BN$96,XS_Designer!BG$96,"")</f>
        <v/>
      </c>
      <c r="BF52" s="4" t="str">
        <f>IF(XS_Designer_Bed_Mix!$J52&lt;=XS_Designer!$BN$96,XS_Designer!BH$96,"")</f>
        <v/>
      </c>
      <c r="BG52" s="4" t="str">
        <f>IF(XS_Designer_Bed_Mix!$J52&lt;=XS_Designer!$BN$96,XS_Designer!BI$96,"")</f>
        <v/>
      </c>
      <c r="BH52" s="4" t="str">
        <f>IF(XS_Designer_Bed_Mix!$J52&lt;=XS_Designer!$BN$96,XS_Designer!BJ$96,"")</f>
        <v/>
      </c>
      <c r="BI52" s="4" t="str">
        <f>IF(XS_Designer_Bed_Mix!$J52&lt;=XS_Designer!$BN$97,XS_Designer!BA$97,"")</f>
        <v/>
      </c>
      <c r="BJ52" s="4" t="str">
        <f>IF(XS_Designer_Bed_Mix!$J52&lt;=XS_Designer!$BN$97,XS_Designer!BB$97,"")</f>
        <v/>
      </c>
      <c r="BK52" s="4" t="str">
        <f>IF(XS_Designer_Bed_Mix!$J52&lt;=XS_Designer!$BN$97,XS_Designer!BC$97,"")</f>
        <v/>
      </c>
      <c r="BL52" s="4" t="str">
        <f>IF(XS_Designer_Bed_Mix!$J52&lt;=XS_Designer!$BN$97,XS_Designer!BD$97,"")</f>
        <v/>
      </c>
      <c r="BM52" s="4" t="str">
        <f>IF(XS_Designer_Bed_Mix!$J52&lt;=XS_Designer!$BN$97,XS_Designer!BE$97,"")</f>
        <v/>
      </c>
      <c r="BN52" s="4" t="str">
        <f>IF(XS_Designer_Bed_Mix!$J52&lt;=XS_Designer!$BN$97,XS_Designer!BF$97,"")</f>
        <v/>
      </c>
      <c r="BO52" s="4" t="str">
        <f>IF(XS_Designer_Bed_Mix!$J52&lt;=XS_Designer!$BN$97,XS_Designer!BG$97,"")</f>
        <v/>
      </c>
      <c r="BP52" s="4" t="str">
        <f>IF(XS_Designer_Bed_Mix!$J52&lt;=XS_Designer!$BN$97,XS_Designer!BH$97,"")</f>
        <v/>
      </c>
      <c r="BQ52" s="4" t="str">
        <f>IF(XS_Designer_Bed_Mix!$J52&lt;=XS_Designer!$BN$97,XS_Designer!BI$97,"")</f>
        <v/>
      </c>
      <c r="BR52" s="4" t="str">
        <f>IF(XS_Designer_Bed_Mix!$J52&lt;=XS_Designer!$BN$97,XS_Designer!BJ$97,"")</f>
        <v/>
      </c>
      <c r="BS52" s="4" t="str">
        <f>IF(XS_Designer_Bed_Mix!$J52&lt;=XS_Designer!$BN$98,XS_Designer!BA$98,"")</f>
        <v/>
      </c>
      <c r="BT52" s="4" t="str">
        <f>IF(XS_Designer_Bed_Mix!$J52&lt;=XS_Designer!$BN$98,XS_Designer!BB$98,"")</f>
        <v/>
      </c>
      <c r="BU52" s="4" t="str">
        <f>IF(XS_Designer_Bed_Mix!$J52&lt;=XS_Designer!$BN$98,XS_Designer!BC$98,"")</f>
        <v/>
      </c>
      <c r="BV52" s="4" t="str">
        <f>IF(XS_Designer_Bed_Mix!$J52&lt;=XS_Designer!$BN$98,XS_Designer!BD$98,"")</f>
        <v/>
      </c>
      <c r="BW52" s="4" t="str">
        <f>IF(XS_Designer_Bed_Mix!$J52&lt;=XS_Designer!$BN$98,XS_Designer!BE$98,"")</f>
        <v/>
      </c>
      <c r="BX52" s="4" t="str">
        <f>IF(XS_Designer_Bed_Mix!$J52&lt;=XS_Designer!$BN$98,XS_Designer!BF$98,"")</f>
        <v/>
      </c>
      <c r="BY52" s="4" t="str">
        <f>IF(XS_Designer_Bed_Mix!$J52&lt;=XS_Designer!$BN$98,XS_Designer!BG$98,"")</f>
        <v/>
      </c>
      <c r="BZ52" s="4" t="str">
        <f>IF(XS_Designer_Bed_Mix!$J52&lt;=XS_Designer!$BN$98,XS_Designer!BH$98,"")</f>
        <v/>
      </c>
      <c r="CA52" s="4" t="str">
        <f>IF(XS_Designer_Bed_Mix!$J52&lt;=XS_Designer!$BN$98,XS_Designer!BI$98,"")</f>
        <v/>
      </c>
      <c r="CB52" s="4" t="str">
        <f>IF(XS_Designer_Bed_Mix!$J52&lt;=XS_Designer!$BN$98,XS_Designer!BJ$98,"")</f>
        <v/>
      </c>
      <c r="CC52" s="4" t="str">
        <f>IF(XS_Designer_Bed_Mix!$J52&lt;=XS_Designer!$BN$99,XS_Designer!BA$99,"")</f>
        <v/>
      </c>
      <c r="CD52" s="4" t="str">
        <f>IF(XS_Designer_Bed_Mix!$J52&lt;=XS_Designer!$BN$99,XS_Designer!BB$99,"")</f>
        <v/>
      </c>
      <c r="CE52" s="4" t="str">
        <f>IF(XS_Designer_Bed_Mix!$J52&lt;=XS_Designer!$BN$99,XS_Designer!BC$99,"")</f>
        <v/>
      </c>
      <c r="CF52" s="4" t="str">
        <f>IF(XS_Designer_Bed_Mix!$J52&lt;=XS_Designer!$BN$99,XS_Designer!BD$99,"")</f>
        <v/>
      </c>
      <c r="CG52" s="4" t="str">
        <f>IF(XS_Designer_Bed_Mix!$J52&lt;=XS_Designer!$BN$99,XS_Designer!BE$99,"")</f>
        <v/>
      </c>
      <c r="CH52" s="4" t="str">
        <f>IF(XS_Designer_Bed_Mix!$J52&lt;=XS_Designer!$BN$99,XS_Designer!BF$99,"")</f>
        <v/>
      </c>
      <c r="CI52" s="4" t="str">
        <f>IF(XS_Designer_Bed_Mix!$J52&lt;=XS_Designer!$BN$99,XS_Designer!BG$99,"")</f>
        <v/>
      </c>
      <c r="CJ52" s="4" t="str">
        <f>IF(XS_Designer_Bed_Mix!$J52&lt;=XS_Designer!$BN$99,XS_Designer!BH$99,"")</f>
        <v/>
      </c>
      <c r="CK52" s="4" t="str">
        <f>IF(XS_Designer_Bed_Mix!$J52&lt;=XS_Designer!$BN$99,XS_Designer!BI$99,"")</f>
        <v/>
      </c>
      <c r="CL52" s="4" t="str">
        <f>IF(XS_Designer_Bed_Mix!$J52&lt;=XS_Designer!$BN$99,XS_Designer!BJ$99,"")</f>
        <v/>
      </c>
      <c r="CM52" s="4" t="str">
        <f>IF(XS_Designer_Bed_Mix!$J52&lt;=XS_Designer!$BN$100,XS_Designer!BA$100,"")</f>
        <v/>
      </c>
      <c r="CN52" s="4" t="str">
        <f>IF(XS_Designer_Bed_Mix!$J52&lt;=XS_Designer!$BN$100,XS_Designer!BB$100,"")</f>
        <v/>
      </c>
      <c r="CO52" s="4" t="str">
        <f>IF(XS_Designer_Bed_Mix!$J52&lt;=XS_Designer!$BN$100,XS_Designer!BC$100,"")</f>
        <v/>
      </c>
      <c r="CP52" s="4" t="str">
        <f>IF(XS_Designer_Bed_Mix!$J52&lt;=XS_Designer!$BN$100,XS_Designer!BD$100,"")</f>
        <v/>
      </c>
      <c r="CQ52" s="4" t="str">
        <f>IF(XS_Designer_Bed_Mix!$J52&lt;=XS_Designer!$BN$100,XS_Designer!BE$100,"")</f>
        <v/>
      </c>
      <c r="CR52" s="4" t="str">
        <f>IF(XS_Designer_Bed_Mix!$J52&lt;=XS_Designer!$BN$100,XS_Designer!BF$100,"")</f>
        <v/>
      </c>
      <c r="CS52" s="4" t="str">
        <f>IF(XS_Designer_Bed_Mix!$J52&lt;=XS_Designer!$BN$100,XS_Designer!BG$100,"")</f>
        <v/>
      </c>
      <c r="CT52" s="4" t="str">
        <f>IF(XS_Designer_Bed_Mix!$J52&lt;=XS_Designer!$BN$100,XS_Designer!BH$100,"")</f>
        <v/>
      </c>
      <c r="CU52" s="4" t="str">
        <f>IF(XS_Designer_Bed_Mix!$J52&lt;=XS_Designer!$BN$100,XS_Designer!BI$100,"")</f>
        <v/>
      </c>
      <c r="CV52" s="4" t="str">
        <f>IF(XS_Designer_Bed_Mix!$J52&lt;=XS_Designer!$BN$100,XS_Designer!BJ$100,"")</f>
        <v/>
      </c>
      <c r="CW52" s="4" t="str">
        <f>IF(XS_Designer_Bed_Mix!$J52&lt;=XS_Designer!$BN$101,XS_Designer!BA$101,"")</f>
        <v/>
      </c>
      <c r="CX52" s="4" t="str">
        <f>IF(XS_Designer_Bed_Mix!$J52&lt;=XS_Designer!$BN$101,XS_Designer!BB$101,"")</f>
        <v/>
      </c>
      <c r="CY52" s="4" t="str">
        <f>IF(XS_Designer_Bed_Mix!$J52&lt;=XS_Designer!$BN$101,XS_Designer!BC$101,"")</f>
        <v/>
      </c>
      <c r="CZ52" s="4" t="str">
        <f>IF(XS_Designer_Bed_Mix!$J52&lt;=XS_Designer!$BN$101,XS_Designer!BD$101,"")</f>
        <v/>
      </c>
      <c r="DA52" s="4" t="str">
        <f>IF(XS_Designer_Bed_Mix!$J52&lt;=XS_Designer!$BN$101,XS_Designer!BE$101,"")</f>
        <v/>
      </c>
      <c r="DB52" s="4" t="str">
        <f>IF(XS_Designer_Bed_Mix!$J52&lt;=XS_Designer!$BN$101,XS_Designer!BF$101,"")</f>
        <v/>
      </c>
      <c r="DC52" s="4" t="str">
        <f>IF(XS_Designer_Bed_Mix!$J52&lt;=XS_Designer!$BN$101,XS_Designer!BG$101,"")</f>
        <v/>
      </c>
      <c r="DD52" s="4" t="str">
        <f>IF(XS_Designer_Bed_Mix!$J52&lt;=XS_Designer!$BN$101,XS_Designer!BH$101,"")</f>
        <v/>
      </c>
      <c r="DE52" s="4" t="str">
        <f>IF(XS_Designer_Bed_Mix!$J52&lt;=XS_Designer!$BN$101,XS_Designer!BI$101,"")</f>
        <v/>
      </c>
      <c r="DF52" s="4" t="str">
        <f>IF(XS_Designer_Bed_Mix!$J52&lt;=XS_Designer!$BN$101,XS_Designer!BJ$101,"")</f>
        <v/>
      </c>
      <c r="DG52" s="4" t="str">
        <f>IF(XS_Designer_Bed_Mix!$J52&lt;=XS_Designer!$BN$102,XS_Designer!BA$102,"")</f>
        <v/>
      </c>
      <c r="DH52" s="4" t="str">
        <f>IF(XS_Designer_Bed_Mix!$J52&lt;=XS_Designer!$BN$102,XS_Designer!BB$102,"")</f>
        <v/>
      </c>
      <c r="DI52" s="4" t="str">
        <f>IF(XS_Designer_Bed_Mix!$J52&lt;=XS_Designer!$BN$102,XS_Designer!BC$102,"")</f>
        <v/>
      </c>
      <c r="DJ52" s="4" t="str">
        <f>IF(XS_Designer_Bed_Mix!$J52&lt;=XS_Designer!$BN$102,XS_Designer!BD$102,"")</f>
        <v/>
      </c>
      <c r="DK52" s="4" t="str">
        <f>IF(XS_Designer_Bed_Mix!$J52&lt;=XS_Designer!$BN$102,XS_Designer!BE$102,"")</f>
        <v/>
      </c>
      <c r="DL52" s="4" t="str">
        <f>IF(XS_Designer_Bed_Mix!$J52&lt;=XS_Designer!$BN$102,XS_Designer!BF$102,"")</f>
        <v/>
      </c>
      <c r="DM52" s="4" t="str">
        <f>IF(XS_Designer_Bed_Mix!$J52&lt;=XS_Designer!$BN$102,XS_Designer!BG$102,"")</f>
        <v/>
      </c>
      <c r="DN52" s="4" t="str">
        <f>IF(XS_Designer_Bed_Mix!$J52&lt;=XS_Designer!$BN$102,XS_Designer!BH$102,"")</f>
        <v/>
      </c>
      <c r="DO52" s="4" t="str">
        <f>IF(XS_Designer_Bed_Mix!$J52&lt;=XS_Designer!$BN$102,XS_Designer!BI$102,"")</f>
        <v/>
      </c>
      <c r="DP52" s="4" t="str">
        <f>IF(XS_Designer_Bed_Mix!$J52&lt;=XS_Designer!$BN$102,XS_Designer!BJ$102,"")</f>
        <v/>
      </c>
    </row>
    <row r="53" spans="10:120">
      <c r="J53" s="3">
        <v>0.52</v>
      </c>
      <c r="K53" s="4" t="str">
        <f>IF(XS_Designer_Bed_Mix!$J53&lt;=XS_Designer!$BN$92,XS_Designer!BA$92,"")</f>
        <v/>
      </c>
      <c r="L53" s="4" t="str">
        <f>IF(XS_Designer_Bed_Mix!$J53&lt;=XS_Designer!$BN$92,XS_Designer!BB$92,"")</f>
        <v/>
      </c>
      <c r="M53" s="4" t="str">
        <f>IF(XS_Designer_Bed_Mix!$J53&lt;=XS_Designer!$BN$92,XS_Designer!BC$92,"")</f>
        <v/>
      </c>
      <c r="N53" s="4" t="str">
        <f>IF(XS_Designer_Bed_Mix!$J53&lt;=XS_Designer!$BN$92,XS_Designer!BD$92,"")</f>
        <v/>
      </c>
      <c r="O53" s="4" t="str">
        <f>IF(XS_Designer_Bed_Mix!$J53&lt;=XS_Designer!$BN$92,XS_Designer!BE$92,"")</f>
        <v/>
      </c>
      <c r="P53" s="4" t="str">
        <f>IF(XS_Designer_Bed_Mix!$J53&lt;=XS_Designer!$BN$92,XS_Designer!BF$92,"")</f>
        <v/>
      </c>
      <c r="Q53" s="4" t="str">
        <f>IF(XS_Designer_Bed_Mix!$J53&lt;=XS_Designer!$BN$92,XS_Designer!BG$92,"")</f>
        <v/>
      </c>
      <c r="R53" s="4" t="str">
        <f>IF(XS_Designer_Bed_Mix!$J53&lt;=XS_Designer!$BN$92,XS_Designer!BH$92,"")</f>
        <v/>
      </c>
      <c r="S53" s="4" t="str">
        <f>IF(XS_Designer_Bed_Mix!$J53&lt;=XS_Designer!$BN$92,XS_Designer!BI$92,"")</f>
        <v/>
      </c>
      <c r="T53" s="4" t="str">
        <f>IF(XS_Designer_Bed_Mix!$J53&lt;=XS_Designer!$BN$92,XS_Designer!BJ$92,"")</f>
        <v/>
      </c>
      <c r="U53" s="4" t="str">
        <f>IF(XS_Designer_Bed_Mix!$J53&lt;=XS_Designer!$BN$93,XS_Designer!BA$93,"")</f>
        <v/>
      </c>
      <c r="V53" s="4" t="str">
        <f>IF(XS_Designer_Bed_Mix!$J53&lt;=XS_Designer!$BN$93,XS_Designer!BB$93,"")</f>
        <v/>
      </c>
      <c r="W53" s="4" t="str">
        <f>IF(XS_Designer_Bed_Mix!$J53&lt;=XS_Designer!$BN$93,XS_Designer!BC$93,"")</f>
        <v/>
      </c>
      <c r="X53" s="4" t="str">
        <f>IF(XS_Designer_Bed_Mix!$J53&lt;=XS_Designer!$BN$93,XS_Designer!BD$93,"")</f>
        <v/>
      </c>
      <c r="Y53" s="4" t="str">
        <f>IF(XS_Designer_Bed_Mix!$J53&lt;=XS_Designer!$BN$93,XS_Designer!BE$93,"")</f>
        <v/>
      </c>
      <c r="Z53" s="4" t="str">
        <f>IF(XS_Designer_Bed_Mix!$J53&lt;=XS_Designer!$BN$93,XS_Designer!BF$93,"")</f>
        <v/>
      </c>
      <c r="AA53" s="4" t="str">
        <f>IF(XS_Designer_Bed_Mix!$J53&lt;=XS_Designer!$BN$93,XS_Designer!BG$93,"")</f>
        <v/>
      </c>
      <c r="AB53" s="4" t="str">
        <f>IF(XS_Designer_Bed_Mix!$J53&lt;=XS_Designer!$BN$93,XS_Designer!BH$93,"")</f>
        <v/>
      </c>
      <c r="AC53" s="4" t="str">
        <f>IF(XS_Designer_Bed_Mix!$J53&lt;=XS_Designer!$BN$93,XS_Designer!BI$93,"")</f>
        <v/>
      </c>
      <c r="AD53" s="4" t="str">
        <f>IF(XS_Designer_Bed_Mix!$J53&lt;=XS_Designer!$BN$93,XS_Designer!BJ$93,"")</f>
        <v/>
      </c>
      <c r="AE53" s="4" t="str">
        <f>IF(XS_Designer_Bed_Mix!$J53&lt;=XS_Designer!$BN$94,XS_Designer!BA$94,"")</f>
        <v/>
      </c>
      <c r="AF53" s="4" t="str">
        <f>IF(XS_Designer_Bed_Mix!$J53&lt;=XS_Designer!$BN$94,XS_Designer!BB$94,"")</f>
        <v/>
      </c>
      <c r="AG53" s="4" t="str">
        <f>IF(XS_Designer_Bed_Mix!$J53&lt;=XS_Designer!$BN$94,XS_Designer!BC$94,"")</f>
        <v/>
      </c>
      <c r="AH53" s="4" t="str">
        <f>IF(XS_Designer_Bed_Mix!$J53&lt;=XS_Designer!$BN$94,XS_Designer!BD$94,"")</f>
        <v/>
      </c>
      <c r="AI53" s="4" t="str">
        <f>IF(XS_Designer_Bed_Mix!$J53&lt;=XS_Designer!$BN$94,XS_Designer!BE$94,"")</f>
        <v/>
      </c>
      <c r="AJ53" s="4" t="str">
        <f>IF(XS_Designer_Bed_Mix!$J53&lt;=XS_Designer!$BN$94,XS_Designer!BF$94,"")</f>
        <v/>
      </c>
      <c r="AK53" s="4" t="str">
        <f>IF(XS_Designer_Bed_Mix!$J53&lt;=XS_Designer!$BN$94,XS_Designer!BG$94,"")</f>
        <v/>
      </c>
      <c r="AL53" s="4" t="str">
        <f>IF(XS_Designer_Bed_Mix!$J53&lt;=XS_Designer!$BN$94,XS_Designer!BH$94,"")</f>
        <v/>
      </c>
      <c r="AM53" s="4" t="str">
        <f>IF(XS_Designer_Bed_Mix!$J53&lt;=XS_Designer!$BN$94,XS_Designer!BI$94,"")</f>
        <v/>
      </c>
      <c r="AN53" s="4" t="str">
        <f>IF(XS_Designer_Bed_Mix!$J53&lt;=XS_Designer!$BN$94,XS_Designer!BJ$94,"")</f>
        <v/>
      </c>
      <c r="AO53" s="4" t="str">
        <f>IF(XS_Designer_Bed_Mix!$J53&lt;=XS_Designer!$BN$95,XS_Designer!BA$95,"")</f>
        <v/>
      </c>
      <c r="AP53" s="4" t="str">
        <f>IF(XS_Designer_Bed_Mix!$J53&lt;=XS_Designer!$BN$95,XS_Designer!BB$95,"")</f>
        <v/>
      </c>
      <c r="AQ53" s="4" t="str">
        <f>IF(XS_Designer_Bed_Mix!$J53&lt;=XS_Designer!$BN$95,XS_Designer!BC$95,"")</f>
        <v/>
      </c>
      <c r="AR53" s="4" t="str">
        <f>IF(XS_Designer_Bed_Mix!$J53&lt;=XS_Designer!$BN$95,XS_Designer!BD$95,"")</f>
        <v/>
      </c>
      <c r="AS53" s="4" t="str">
        <f>IF(XS_Designer_Bed_Mix!$J53&lt;=XS_Designer!$BN$95,XS_Designer!BE$95,"")</f>
        <v/>
      </c>
      <c r="AT53" s="4" t="str">
        <f>IF(XS_Designer_Bed_Mix!$J53&lt;=XS_Designer!$BN$95,XS_Designer!BF$95,"")</f>
        <v/>
      </c>
      <c r="AU53" s="4" t="str">
        <f>IF(XS_Designer_Bed_Mix!$J53&lt;=XS_Designer!$BN$95,XS_Designer!BG$95,"")</f>
        <v/>
      </c>
      <c r="AV53" s="4" t="str">
        <f>IF(XS_Designer_Bed_Mix!$J53&lt;=XS_Designer!$BN$95,XS_Designer!BH$95,"")</f>
        <v/>
      </c>
      <c r="AW53" s="4" t="str">
        <f>IF(XS_Designer_Bed_Mix!$J53&lt;=XS_Designer!$BN$95,XS_Designer!BI$95,"")</f>
        <v/>
      </c>
      <c r="AX53" s="4" t="str">
        <f>IF(XS_Designer_Bed_Mix!$J53&lt;=XS_Designer!$BN$95,XS_Designer!BJ$95,"")</f>
        <v/>
      </c>
      <c r="AY53" s="4" t="str">
        <f>IF(XS_Designer_Bed_Mix!$J53&lt;=XS_Designer!$BN$96,XS_Designer!BA$96,"")</f>
        <v/>
      </c>
      <c r="AZ53" s="4" t="str">
        <f>IF(XS_Designer_Bed_Mix!$J53&lt;=XS_Designer!$BN$96,XS_Designer!BB$96,"")</f>
        <v/>
      </c>
      <c r="BA53" s="4" t="str">
        <f>IF(XS_Designer_Bed_Mix!$J53&lt;=XS_Designer!$BN$96,XS_Designer!BC$96,"")</f>
        <v/>
      </c>
      <c r="BB53" s="4" t="str">
        <f>IF(XS_Designer_Bed_Mix!$J53&lt;=XS_Designer!$BN$96,XS_Designer!BD$96,"")</f>
        <v/>
      </c>
      <c r="BC53" s="4" t="str">
        <f>IF(XS_Designer_Bed_Mix!$J53&lt;=XS_Designer!$BN$96,XS_Designer!BE$96,"")</f>
        <v/>
      </c>
      <c r="BD53" s="4" t="str">
        <f>IF(XS_Designer_Bed_Mix!$J53&lt;=XS_Designer!$BN$96,XS_Designer!BF$96,"")</f>
        <v/>
      </c>
      <c r="BE53" s="4" t="str">
        <f>IF(XS_Designer_Bed_Mix!$J53&lt;=XS_Designer!$BN$96,XS_Designer!BG$96,"")</f>
        <v/>
      </c>
      <c r="BF53" s="4" t="str">
        <f>IF(XS_Designer_Bed_Mix!$J53&lt;=XS_Designer!$BN$96,XS_Designer!BH$96,"")</f>
        <v/>
      </c>
      <c r="BG53" s="4" t="str">
        <f>IF(XS_Designer_Bed_Mix!$J53&lt;=XS_Designer!$BN$96,XS_Designer!BI$96,"")</f>
        <v/>
      </c>
      <c r="BH53" s="4" t="str">
        <f>IF(XS_Designer_Bed_Mix!$J53&lt;=XS_Designer!$BN$96,XS_Designer!BJ$96,"")</f>
        <v/>
      </c>
      <c r="BI53" s="4" t="str">
        <f>IF(XS_Designer_Bed_Mix!$J53&lt;=XS_Designer!$BN$97,XS_Designer!BA$97,"")</f>
        <v/>
      </c>
      <c r="BJ53" s="4" t="str">
        <f>IF(XS_Designer_Bed_Mix!$J53&lt;=XS_Designer!$BN$97,XS_Designer!BB$97,"")</f>
        <v/>
      </c>
      <c r="BK53" s="4" t="str">
        <f>IF(XS_Designer_Bed_Mix!$J53&lt;=XS_Designer!$BN$97,XS_Designer!BC$97,"")</f>
        <v/>
      </c>
      <c r="BL53" s="4" t="str">
        <f>IF(XS_Designer_Bed_Mix!$J53&lt;=XS_Designer!$BN$97,XS_Designer!BD$97,"")</f>
        <v/>
      </c>
      <c r="BM53" s="4" t="str">
        <f>IF(XS_Designer_Bed_Mix!$J53&lt;=XS_Designer!$BN$97,XS_Designer!BE$97,"")</f>
        <v/>
      </c>
      <c r="BN53" s="4" t="str">
        <f>IF(XS_Designer_Bed_Mix!$J53&lt;=XS_Designer!$BN$97,XS_Designer!BF$97,"")</f>
        <v/>
      </c>
      <c r="BO53" s="4" t="str">
        <f>IF(XS_Designer_Bed_Mix!$J53&lt;=XS_Designer!$BN$97,XS_Designer!BG$97,"")</f>
        <v/>
      </c>
      <c r="BP53" s="4" t="str">
        <f>IF(XS_Designer_Bed_Mix!$J53&lt;=XS_Designer!$BN$97,XS_Designer!BH$97,"")</f>
        <v/>
      </c>
      <c r="BQ53" s="4" t="str">
        <f>IF(XS_Designer_Bed_Mix!$J53&lt;=XS_Designer!$BN$97,XS_Designer!BI$97,"")</f>
        <v/>
      </c>
      <c r="BR53" s="4" t="str">
        <f>IF(XS_Designer_Bed_Mix!$J53&lt;=XS_Designer!$BN$97,XS_Designer!BJ$97,"")</f>
        <v/>
      </c>
      <c r="BS53" s="4" t="str">
        <f>IF(XS_Designer_Bed_Mix!$J53&lt;=XS_Designer!$BN$98,XS_Designer!BA$98,"")</f>
        <v/>
      </c>
      <c r="BT53" s="4" t="str">
        <f>IF(XS_Designer_Bed_Mix!$J53&lt;=XS_Designer!$BN$98,XS_Designer!BB$98,"")</f>
        <v/>
      </c>
      <c r="BU53" s="4" t="str">
        <f>IF(XS_Designer_Bed_Mix!$J53&lt;=XS_Designer!$BN$98,XS_Designer!BC$98,"")</f>
        <v/>
      </c>
      <c r="BV53" s="4" t="str">
        <f>IF(XS_Designer_Bed_Mix!$J53&lt;=XS_Designer!$BN$98,XS_Designer!BD$98,"")</f>
        <v/>
      </c>
      <c r="BW53" s="4" t="str">
        <f>IF(XS_Designer_Bed_Mix!$J53&lt;=XS_Designer!$BN$98,XS_Designer!BE$98,"")</f>
        <v/>
      </c>
      <c r="BX53" s="4" t="str">
        <f>IF(XS_Designer_Bed_Mix!$J53&lt;=XS_Designer!$BN$98,XS_Designer!BF$98,"")</f>
        <v/>
      </c>
      <c r="BY53" s="4" t="str">
        <f>IF(XS_Designer_Bed_Mix!$J53&lt;=XS_Designer!$BN$98,XS_Designer!BG$98,"")</f>
        <v/>
      </c>
      <c r="BZ53" s="4" t="str">
        <f>IF(XS_Designer_Bed_Mix!$J53&lt;=XS_Designer!$BN$98,XS_Designer!BH$98,"")</f>
        <v/>
      </c>
      <c r="CA53" s="4" t="str">
        <f>IF(XS_Designer_Bed_Mix!$J53&lt;=XS_Designer!$BN$98,XS_Designer!BI$98,"")</f>
        <v/>
      </c>
      <c r="CB53" s="4" t="str">
        <f>IF(XS_Designer_Bed_Mix!$J53&lt;=XS_Designer!$BN$98,XS_Designer!BJ$98,"")</f>
        <v/>
      </c>
      <c r="CC53" s="4" t="str">
        <f>IF(XS_Designer_Bed_Mix!$J53&lt;=XS_Designer!$BN$99,XS_Designer!BA$99,"")</f>
        <v/>
      </c>
      <c r="CD53" s="4" t="str">
        <f>IF(XS_Designer_Bed_Mix!$J53&lt;=XS_Designer!$BN$99,XS_Designer!BB$99,"")</f>
        <v/>
      </c>
      <c r="CE53" s="4" t="str">
        <f>IF(XS_Designer_Bed_Mix!$J53&lt;=XS_Designer!$BN$99,XS_Designer!BC$99,"")</f>
        <v/>
      </c>
      <c r="CF53" s="4" t="str">
        <f>IF(XS_Designer_Bed_Mix!$J53&lt;=XS_Designer!$BN$99,XS_Designer!BD$99,"")</f>
        <v/>
      </c>
      <c r="CG53" s="4" t="str">
        <f>IF(XS_Designer_Bed_Mix!$J53&lt;=XS_Designer!$BN$99,XS_Designer!BE$99,"")</f>
        <v/>
      </c>
      <c r="CH53" s="4" t="str">
        <f>IF(XS_Designer_Bed_Mix!$J53&lt;=XS_Designer!$BN$99,XS_Designer!BF$99,"")</f>
        <v/>
      </c>
      <c r="CI53" s="4" t="str">
        <f>IF(XS_Designer_Bed_Mix!$J53&lt;=XS_Designer!$BN$99,XS_Designer!BG$99,"")</f>
        <v/>
      </c>
      <c r="CJ53" s="4" t="str">
        <f>IF(XS_Designer_Bed_Mix!$J53&lt;=XS_Designer!$BN$99,XS_Designer!BH$99,"")</f>
        <v/>
      </c>
      <c r="CK53" s="4" t="str">
        <f>IF(XS_Designer_Bed_Mix!$J53&lt;=XS_Designer!$BN$99,XS_Designer!BI$99,"")</f>
        <v/>
      </c>
      <c r="CL53" s="4" t="str">
        <f>IF(XS_Designer_Bed_Mix!$J53&lt;=XS_Designer!$BN$99,XS_Designer!BJ$99,"")</f>
        <v/>
      </c>
      <c r="CM53" s="4" t="str">
        <f>IF(XS_Designer_Bed_Mix!$J53&lt;=XS_Designer!$BN$100,XS_Designer!BA$100,"")</f>
        <v/>
      </c>
      <c r="CN53" s="4" t="str">
        <f>IF(XS_Designer_Bed_Mix!$J53&lt;=XS_Designer!$BN$100,XS_Designer!BB$100,"")</f>
        <v/>
      </c>
      <c r="CO53" s="4" t="str">
        <f>IF(XS_Designer_Bed_Mix!$J53&lt;=XS_Designer!$BN$100,XS_Designer!BC$100,"")</f>
        <v/>
      </c>
      <c r="CP53" s="4" t="str">
        <f>IF(XS_Designer_Bed_Mix!$J53&lt;=XS_Designer!$BN$100,XS_Designer!BD$100,"")</f>
        <v/>
      </c>
      <c r="CQ53" s="4" t="str">
        <f>IF(XS_Designer_Bed_Mix!$J53&lt;=XS_Designer!$BN$100,XS_Designer!BE$100,"")</f>
        <v/>
      </c>
      <c r="CR53" s="4" t="str">
        <f>IF(XS_Designer_Bed_Mix!$J53&lt;=XS_Designer!$BN$100,XS_Designer!BF$100,"")</f>
        <v/>
      </c>
      <c r="CS53" s="4" t="str">
        <f>IF(XS_Designer_Bed_Mix!$J53&lt;=XS_Designer!$BN$100,XS_Designer!BG$100,"")</f>
        <v/>
      </c>
      <c r="CT53" s="4" t="str">
        <f>IF(XS_Designer_Bed_Mix!$J53&lt;=XS_Designer!$BN$100,XS_Designer!BH$100,"")</f>
        <v/>
      </c>
      <c r="CU53" s="4" t="str">
        <f>IF(XS_Designer_Bed_Mix!$J53&lt;=XS_Designer!$BN$100,XS_Designer!BI$100,"")</f>
        <v/>
      </c>
      <c r="CV53" s="4" t="str">
        <f>IF(XS_Designer_Bed_Mix!$J53&lt;=XS_Designer!$BN$100,XS_Designer!BJ$100,"")</f>
        <v/>
      </c>
      <c r="CW53" s="4" t="str">
        <f>IF(XS_Designer_Bed_Mix!$J53&lt;=XS_Designer!$BN$101,XS_Designer!BA$101,"")</f>
        <v/>
      </c>
      <c r="CX53" s="4" t="str">
        <f>IF(XS_Designer_Bed_Mix!$J53&lt;=XS_Designer!$BN$101,XS_Designer!BB$101,"")</f>
        <v/>
      </c>
      <c r="CY53" s="4" t="str">
        <f>IF(XS_Designer_Bed_Mix!$J53&lt;=XS_Designer!$BN$101,XS_Designer!BC$101,"")</f>
        <v/>
      </c>
      <c r="CZ53" s="4" t="str">
        <f>IF(XS_Designer_Bed_Mix!$J53&lt;=XS_Designer!$BN$101,XS_Designer!BD$101,"")</f>
        <v/>
      </c>
      <c r="DA53" s="4" t="str">
        <f>IF(XS_Designer_Bed_Mix!$J53&lt;=XS_Designer!$BN$101,XS_Designer!BE$101,"")</f>
        <v/>
      </c>
      <c r="DB53" s="4" t="str">
        <f>IF(XS_Designer_Bed_Mix!$J53&lt;=XS_Designer!$BN$101,XS_Designer!BF$101,"")</f>
        <v/>
      </c>
      <c r="DC53" s="4" t="str">
        <f>IF(XS_Designer_Bed_Mix!$J53&lt;=XS_Designer!$BN$101,XS_Designer!BG$101,"")</f>
        <v/>
      </c>
      <c r="DD53" s="4" t="str">
        <f>IF(XS_Designer_Bed_Mix!$J53&lt;=XS_Designer!$BN$101,XS_Designer!BH$101,"")</f>
        <v/>
      </c>
      <c r="DE53" s="4" t="str">
        <f>IF(XS_Designer_Bed_Mix!$J53&lt;=XS_Designer!$BN$101,XS_Designer!BI$101,"")</f>
        <v/>
      </c>
      <c r="DF53" s="4" t="str">
        <f>IF(XS_Designer_Bed_Mix!$J53&lt;=XS_Designer!$BN$101,XS_Designer!BJ$101,"")</f>
        <v/>
      </c>
      <c r="DG53" s="4" t="str">
        <f>IF(XS_Designer_Bed_Mix!$J53&lt;=XS_Designer!$BN$102,XS_Designer!BA$102,"")</f>
        <v/>
      </c>
      <c r="DH53" s="4" t="str">
        <f>IF(XS_Designer_Bed_Mix!$J53&lt;=XS_Designer!$BN$102,XS_Designer!BB$102,"")</f>
        <v/>
      </c>
      <c r="DI53" s="4" t="str">
        <f>IF(XS_Designer_Bed_Mix!$J53&lt;=XS_Designer!$BN$102,XS_Designer!BC$102,"")</f>
        <v/>
      </c>
      <c r="DJ53" s="4" t="str">
        <f>IF(XS_Designer_Bed_Mix!$J53&lt;=XS_Designer!$BN$102,XS_Designer!BD$102,"")</f>
        <v/>
      </c>
      <c r="DK53" s="4" t="str">
        <f>IF(XS_Designer_Bed_Mix!$J53&lt;=XS_Designer!$BN$102,XS_Designer!BE$102,"")</f>
        <v/>
      </c>
      <c r="DL53" s="4" t="str">
        <f>IF(XS_Designer_Bed_Mix!$J53&lt;=XS_Designer!$BN$102,XS_Designer!BF$102,"")</f>
        <v/>
      </c>
      <c r="DM53" s="4" t="str">
        <f>IF(XS_Designer_Bed_Mix!$J53&lt;=XS_Designer!$BN$102,XS_Designer!BG$102,"")</f>
        <v/>
      </c>
      <c r="DN53" s="4" t="str">
        <f>IF(XS_Designer_Bed_Mix!$J53&lt;=XS_Designer!$BN$102,XS_Designer!BH$102,"")</f>
        <v/>
      </c>
      <c r="DO53" s="4" t="str">
        <f>IF(XS_Designer_Bed_Mix!$J53&lt;=XS_Designer!$BN$102,XS_Designer!BI$102,"")</f>
        <v/>
      </c>
      <c r="DP53" s="4" t="str">
        <f>IF(XS_Designer_Bed_Mix!$J53&lt;=XS_Designer!$BN$102,XS_Designer!BJ$102,"")</f>
        <v/>
      </c>
    </row>
    <row r="54" spans="10:120">
      <c r="J54" s="3">
        <v>0.53</v>
      </c>
      <c r="K54" s="4" t="str">
        <f>IF(XS_Designer_Bed_Mix!$J54&lt;=XS_Designer!$BN$92,XS_Designer!BA$92,"")</f>
        <v/>
      </c>
      <c r="L54" s="4" t="str">
        <f>IF(XS_Designer_Bed_Mix!$J54&lt;=XS_Designer!$BN$92,XS_Designer!BB$92,"")</f>
        <v/>
      </c>
      <c r="M54" s="4" t="str">
        <f>IF(XS_Designer_Bed_Mix!$J54&lt;=XS_Designer!$BN$92,XS_Designer!BC$92,"")</f>
        <v/>
      </c>
      <c r="N54" s="4" t="str">
        <f>IF(XS_Designer_Bed_Mix!$J54&lt;=XS_Designer!$BN$92,XS_Designer!BD$92,"")</f>
        <v/>
      </c>
      <c r="O54" s="4" t="str">
        <f>IF(XS_Designer_Bed_Mix!$J54&lt;=XS_Designer!$BN$92,XS_Designer!BE$92,"")</f>
        <v/>
      </c>
      <c r="P54" s="4" t="str">
        <f>IF(XS_Designer_Bed_Mix!$J54&lt;=XS_Designer!$BN$92,XS_Designer!BF$92,"")</f>
        <v/>
      </c>
      <c r="Q54" s="4" t="str">
        <f>IF(XS_Designer_Bed_Mix!$J54&lt;=XS_Designer!$BN$92,XS_Designer!BG$92,"")</f>
        <v/>
      </c>
      <c r="R54" s="4" t="str">
        <f>IF(XS_Designer_Bed_Mix!$J54&lt;=XS_Designer!$BN$92,XS_Designer!BH$92,"")</f>
        <v/>
      </c>
      <c r="S54" s="4" t="str">
        <f>IF(XS_Designer_Bed_Mix!$J54&lt;=XS_Designer!$BN$92,XS_Designer!BI$92,"")</f>
        <v/>
      </c>
      <c r="T54" s="4" t="str">
        <f>IF(XS_Designer_Bed_Mix!$J54&lt;=XS_Designer!$BN$92,XS_Designer!BJ$92,"")</f>
        <v/>
      </c>
      <c r="U54" s="4" t="str">
        <f>IF(XS_Designer_Bed_Mix!$J54&lt;=XS_Designer!$BN$93,XS_Designer!BA$93,"")</f>
        <v/>
      </c>
      <c r="V54" s="4" t="str">
        <f>IF(XS_Designer_Bed_Mix!$J54&lt;=XS_Designer!$BN$93,XS_Designer!BB$93,"")</f>
        <v/>
      </c>
      <c r="W54" s="4" t="str">
        <f>IF(XS_Designer_Bed_Mix!$J54&lt;=XS_Designer!$BN$93,XS_Designer!BC$93,"")</f>
        <v/>
      </c>
      <c r="X54" s="4" t="str">
        <f>IF(XS_Designer_Bed_Mix!$J54&lt;=XS_Designer!$BN$93,XS_Designer!BD$93,"")</f>
        <v/>
      </c>
      <c r="Y54" s="4" t="str">
        <f>IF(XS_Designer_Bed_Mix!$J54&lt;=XS_Designer!$BN$93,XS_Designer!BE$93,"")</f>
        <v/>
      </c>
      <c r="Z54" s="4" t="str">
        <f>IF(XS_Designer_Bed_Mix!$J54&lt;=XS_Designer!$BN$93,XS_Designer!BF$93,"")</f>
        <v/>
      </c>
      <c r="AA54" s="4" t="str">
        <f>IF(XS_Designer_Bed_Mix!$J54&lt;=XS_Designer!$BN$93,XS_Designer!BG$93,"")</f>
        <v/>
      </c>
      <c r="AB54" s="4" t="str">
        <f>IF(XS_Designer_Bed_Mix!$J54&lt;=XS_Designer!$BN$93,XS_Designer!BH$93,"")</f>
        <v/>
      </c>
      <c r="AC54" s="4" t="str">
        <f>IF(XS_Designer_Bed_Mix!$J54&lt;=XS_Designer!$BN$93,XS_Designer!BI$93,"")</f>
        <v/>
      </c>
      <c r="AD54" s="4" t="str">
        <f>IF(XS_Designer_Bed_Mix!$J54&lt;=XS_Designer!$BN$93,XS_Designer!BJ$93,"")</f>
        <v/>
      </c>
      <c r="AE54" s="4" t="str">
        <f>IF(XS_Designer_Bed_Mix!$J54&lt;=XS_Designer!$BN$94,XS_Designer!BA$94,"")</f>
        <v/>
      </c>
      <c r="AF54" s="4" t="str">
        <f>IF(XS_Designer_Bed_Mix!$J54&lt;=XS_Designer!$BN$94,XS_Designer!BB$94,"")</f>
        <v/>
      </c>
      <c r="AG54" s="4" t="str">
        <f>IF(XS_Designer_Bed_Mix!$J54&lt;=XS_Designer!$BN$94,XS_Designer!BC$94,"")</f>
        <v/>
      </c>
      <c r="AH54" s="4" t="str">
        <f>IF(XS_Designer_Bed_Mix!$J54&lt;=XS_Designer!$BN$94,XS_Designer!BD$94,"")</f>
        <v/>
      </c>
      <c r="AI54" s="4" t="str">
        <f>IF(XS_Designer_Bed_Mix!$J54&lt;=XS_Designer!$BN$94,XS_Designer!BE$94,"")</f>
        <v/>
      </c>
      <c r="AJ54" s="4" t="str">
        <f>IF(XS_Designer_Bed_Mix!$J54&lt;=XS_Designer!$BN$94,XS_Designer!BF$94,"")</f>
        <v/>
      </c>
      <c r="AK54" s="4" t="str">
        <f>IF(XS_Designer_Bed_Mix!$J54&lt;=XS_Designer!$BN$94,XS_Designer!BG$94,"")</f>
        <v/>
      </c>
      <c r="AL54" s="4" t="str">
        <f>IF(XS_Designer_Bed_Mix!$J54&lt;=XS_Designer!$BN$94,XS_Designer!BH$94,"")</f>
        <v/>
      </c>
      <c r="AM54" s="4" t="str">
        <f>IF(XS_Designer_Bed_Mix!$J54&lt;=XS_Designer!$BN$94,XS_Designer!BI$94,"")</f>
        <v/>
      </c>
      <c r="AN54" s="4" t="str">
        <f>IF(XS_Designer_Bed_Mix!$J54&lt;=XS_Designer!$BN$94,XS_Designer!BJ$94,"")</f>
        <v/>
      </c>
      <c r="AO54" s="4" t="str">
        <f>IF(XS_Designer_Bed_Mix!$J54&lt;=XS_Designer!$BN$95,XS_Designer!BA$95,"")</f>
        <v/>
      </c>
      <c r="AP54" s="4" t="str">
        <f>IF(XS_Designer_Bed_Mix!$J54&lt;=XS_Designer!$BN$95,XS_Designer!BB$95,"")</f>
        <v/>
      </c>
      <c r="AQ54" s="4" t="str">
        <f>IF(XS_Designer_Bed_Mix!$J54&lt;=XS_Designer!$BN$95,XS_Designer!BC$95,"")</f>
        <v/>
      </c>
      <c r="AR54" s="4" t="str">
        <f>IF(XS_Designer_Bed_Mix!$J54&lt;=XS_Designer!$BN$95,XS_Designer!BD$95,"")</f>
        <v/>
      </c>
      <c r="AS54" s="4" t="str">
        <f>IF(XS_Designer_Bed_Mix!$J54&lt;=XS_Designer!$BN$95,XS_Designer!BE$95,"")</f>
        <v/>
      </c>
      <c r="AT54" s="4" t="str">
        <f>IF(XS_Designer_Bed_Mix!$J54&lt;=XS_Designer!$BN$95,XS_Designer!BF$95,"")</f>
        <v/>
      </c>
      <c r="AU54" s="4" t="str">
        <f>IF(XS_Designer_Bed_Mix!$J54&lt;=XS_Designer!$BN$95,XS_Designer!BG$95,"")</f>
        <v/>
      </c>
      <c r="AV54" s="4" t="str">
        <f>IF(XS_Designer_Bed_Mix!$J54&lt;=XS_Designer!$BN$95,XS_Designer!BH$95,"")</f>
        <v/>
      </c>
      <c r="AW54" s="4" t="str">
        <f>IF(XS_Designer_Bed_Mix!$J54&lt;=XS_Designer!$BN$95,XS_Designer!BI$95,"")</f>
        <v/>
      </c>
      <c r="AX54" s="4" t="str">
        <f>IF(XS_Designer_Bed_Mix!$J54&lt;=XS_Designer!$BN$95,XS_Designer!BJ$95,"")</f>
        <v/>
      </c>
      <c r="AY54" s="4" t="str">
        <f>IF(XS_Designer_Bed_Mix!$J54&lt;=XS_Designer!$BN$96,XS_Designer!BA$96,"")</f>
        <v/>
      </c>
      <c r="AZ54" s="4" t="str">
        <f>IF(XS_Designer_Bed_Mix!$J54&lt;=XS_Designer!$BN$96,XS_Designer!BB$96,"")</f>
        <v/>
      </c>
      <c r="BA54" s="4" t="str">
        <f>IF(XS_Designer_Bed_Mix!$J54&lt;=XS_Designer!$BN$96,XS_Designer!BC$96,"")</f>
        <v/>
      </c>
      <c r="BB54" s="4" t="str">
        <f>IF(XS_Designer_Bed_Mix!$J54&lt;=XS_Designer!$BN$96,XS_Designer!BD$96,"")</f>
        <v/>
      </c>
      <c r="BC54" s="4" t="str">
        <f>IF(XS_Designer_Bed_Mix!$J54&lt;=XS_Designer!$BN$96,XS_Designer!BE$96,"")</f>
        <v/>
      </c>
      <c r="BD54" s="4" t="str">
        <f>IF(XS_Designer_Bed_Mix!$J54&lt;=XS_Designer!$BN$96,XS_Designer!BF$96,"")</f>
        <v/>
      </c>
      <c r="BE54" s="4" t="str">
        <f>IF(XS_Designer_Bed_Mix!$J54&lt;=XS_Designer!$BN$96,XS_Designer!BG$96,"")</f>
        <v/>
      </c>
      <c r="BF54" s="4" t="str">
        <f>IF(XS_Designer_Bed_Mix!$J54&lt;=XS_Designer!$BN$96,XS_Designer!BH$96,"")</f>
        <v/>
      </c>
      <c r="BG54" s="4" t="str">
        <f>IF(XS_Designer_Bed_Mix!$J54&lt;=XS_Designer!$BN$96,XS_Designer!BI$96,"")</f>
        <v/>
      </c>
      <c r="BH54" s="4" t="str">
        <f>IF(XS_Designer_Bed_Mix!$J54&lt;=XS_Designer!$BN$96,XS_Designer!BJ$96,"")</f>
        <v/>
      </c>
      <c r="BI54" s="4" t="str">
        <f>IF(XS_Designer_Bed_Mix!$J54&lt;=XS_Designer!$BN$97,XS_Designer!BA$97,"")</f>
        <v/>
      </c>
      <c r="BJ54" s="4" t="str">
        <f>IF(XS_Designer_Bed_Mix!$J54&lt;=XS_Designer!$BN$97,XS_Designer!BB$97,"")</f>
        <v/>
      </c>
      <c r="BK54" s="4" t="str">
        <f>IF(XS_Designer_Bed_Mix!$J54&lt;=XS_Designer!$BN$97,XS_Designer!BC$97,"")</f>
        <v/>
      </c>
      <c r="BL54" s="4" t="str">
        <f>IF(XS_Designer_Bed_Mix!$J54&lt;=XS_Designer!$BN$97,XS_Designer!BD$97,"")</f>
        <v/>
      </c>
      <c r="BM54" s="4" t="str">
        <f>IF(XS_Designer_Bed_Mix!$J54&lt;=XS_Designer!$BN$97,XS_Designer!BE$97,"")</f>
        <v/>
      </c>
      <c r="BN54" s="4" t="str">
        <f>IF(XS_Designer_Bed_Mix!$J54&lt;=XS_Designer!$BN$97,XS_Designer!BF$97,"")</f>
        <v/>
      </c>
      <c r="BO54" s="4" t="str">
        <f>IF(XS_Designer_Bed_Mix!$J54&lt;=XS_Designer!$BN$97,XS_Designer!BG$97,"")</f>
        <v/>
      </c>
      <c r="BP54" s="4" t="str">
        <f>IF(XS_Designer_Bed_Mix!$J54&lt;=XS_Designer!$BN$97,XS_Designer!BH$97,"")</f>
        <v/>
      </c>
      <c r="BQ54" s="4" t="str">
        <f>IF(XS_Designer_Bed_Mix!$J54&lt;=XS_Designer!$BN$97,XS_Designer!BI$97,"")</f>
        <v/>
      </c>
      <c r="BR54" s="4" t="str">
        <f>IF(XS_Designer_Bed_Mix!$J54&lt;=XS_Designer!$BN$97,XS_Designer!BJ$97,"")</f>
        <v/>
      </c>
      <c r="BS54" s="4" t="str">
        <f>IF(XS_Designer_Bed_Mix!$J54&lt;=XS_Designer!$BN$98,XS_Designer!BA$98,"")</f>
        <v/>
      </c>
      <c r="BT54" s="4" t="str">
        <f>IF(XS_Designer_Bed_Mix!$J54&lt;=XS_Designer!$BN$98,XS_Designer!BB$98,"")</f>
        <v/>
      </c>
      <c r="BU54" s="4" t="str">
        <f>IF(XS_Designer_Bed_Mix!$J54&lt;=XS_Designer!$BN$98,XS_Designer!BC$98,"")</f>
        <v/>
      </c>
      <c r="BV54" s="4" t="str">
        <f>IF(XS_Designer_Bed_Mix!$J54&lt;=XS_Designer!$BN$98,XS_Designer!BD$98,"")</f>
        <v/>
      </c>
      <c r="BW54" s="4" t="str">
        <f>IF(XS_Designer_Bed_Mix!$J54&lt;=XS_Designer!$BN$98,XS_Designer!BE$98,"")</f>
        <v/>
      </c>
      <c r="BX54" s="4" t="str">
        <f>IF(XS_Designer_Bed_Mix!$J54&lt;=XS_Designer!$BN$98,XS_Designer!BF$98,"")</f>
        <v/>
      </c>
      <c r="BY54" s="4" t="str">
        <f>IF(XS_Designer_Bed_Mix!$J54&lt;=XS_Designer!$BN$98,XS_Designer!BG$98,"")</f>
        <v/>
      </c>
      <c r="BZ54" s="4" t="str">
        <f>IF(XS_Designer_Bed_Mix!$J54&lt;=XS_Designer!$BN$98,XS_Designer!BH$98,"")</f>
        <v/>
      </c>
      <c r="CA54" s="4" t="str">
        <f>IF(XS_Designer_Bed_Mix!$J54&lt;=XS_Designer!$BN$98,XS_Designer!BI$98,"")</f>
        <v/>
      </c>
      <c r="CB54" s="4" t="str">
        <f>IF(XS_Designer_Bed_Mix!$J54&lt;=XS_Designer!$BN$98,XS_Designer!BJ$98,"")</f>
        <v/>
      </c>
      <c r="CC54" s="4" t="str">
        <f>IF(XS_Designer_Bed_Mix!$J54&lt;=XS_Designer!$BN$99,XS_Designer!BA$99,"")</f>
        <v/>
      </c>
      <c r="CD54" s="4" t="str">
        <f>IF(XS_Designer_Bed_Mix!$J54&lt;=XS_Designer!$BN$99,XS_Designer!BB$99,"")</f>
        <v/>
      </c>
      <c r="CE54" s="4" t="str">
        <f>IF(XS_Designer_Bed_Mix!$J54&lt;=XS_Designer!$BN$99,XS_Designer!BC$99,"")</f>
        <v/>
      </c>
      <c r="CF54" s="4" t="str">
        <f>IF(XS_Designer_Bed_Mix!$J54&lt;=XS_Designer!$BN$99,XS_Designer!BD$99,"")</f>
        <v/>
      </c>
      <c r="CG54" s="4" t="str">
        <f>IF(XS_Designer_Bed_Mix!$J54&lt;=XS_Designer!$BN$99,XS_Designer!BE$99,"")</f>
        <v/>
      </c>
      <c r="CH54" s="4" t="str">
        <f>IF(XS_Designer_Bed_Mix!$J54&lt;=XS_Designer!$BN$99,XS_Designer!BF$99,"")</f>
        <v/>
      </c>
      <c r="CI54" s="4" t="str">
        <f>IF(XS_Designer_Bed_Mix!$J54&lt;=XS_Designer!$BN$99,XS_Designer!BG$99,"")</f>
        <v/>
      </c>
      <c r="CJ54" s="4" t="str">
        <f>IF(XS_Designer_Bed_Mix!$J54&lt;=XS_Designer!$BN$99,XS_Designer!BH$99,"")</f>
        <v/>
      </c>
      <c r="CK54" s="4" t="str">
        <f>IF(XS_Designer_Bed_Mix!$J54&lt;=XS_Designer!$BN$99,XS_Designer!BI$99,"")</f>
        <v/>
      </c>
      <c r="CL54" s="4" t="str">
        <f>IF(XS_Designer_Bed_Mix!$J54&lt;=XS_Designer!$BN$99,XS_Designer!BJ$99,"")</f>
        <v/>
      </c>
      <c r="CM54" s="4" t="str">
        <f>IF(XS_Designer_Bed_Mix!$J54&lt;=XS_Designer!$BN$100,XS_Designer!BA$100,"")</f>
        <v/>
      </c>
      <c r="CN54" s="4" t="str">
        <f>IF(XS_Designer_Bed_Mix!$J54&lt;=XS_Designer!$BN$100,XS_Designer!BB$100,"")</f>
        <v/>
      </c>
      <c r="CO54" s="4" t="str">
        <f>IF(XS_Designer_Bed_Mix!$J54&lt;=XS_Designer!$BN$100,XS_Designer!BC$100,"")</f>
        <v/>
      </c>
      <c r="CP54" s="4" t="str">
        <f>IF(XS_Designer_Bed_Mix!$J54&lt;=XS_Designer!$BN$100,XS_Designer!BD$100,"")</f>
        <v/>
      </c>
      <c r="CQ54" s="4" t="str">
        <f>IF(XS_Designer_Bed_Mix!$J54&lt;=XS_Designer!$BN$100,XS_Designer!BE$100,"")</f>
        <v/>
      </c>
      <c r="CR54" s="4" t="str">
        <f>IF(XS_Designer_Bed_Mix!$J54&lt;=XS_Designer!$BN$100,XS_Designer!BF$100,"")</f>
        <v/>
      </c>
      <c r="CS54" s="4" t="str">
        <f>IF(XS_Designer_Bed_Mix!$J54&lt;=XS_Designer!$BN$100,XS_Designer!BG$100,"")</f>
        <v/>
      </c>
      <c r="CT54" s="4" t="str">
        <f>IF(XS_Designer_Bed_Mix!$J54&lt;=XS_Designer!$BN$100,XS_Designer!BH$100,"")</f>
        <v/>
      </c>
      <c r="CU54" s="4" t="str">
        <f>IF(XS_Designer_Bed_Mix!$J54&lt;=XS_Designer!$BN$100,XS_Designer!BI$100,"")</f>
        <v/>
      </c>
      <c r="CV54" s="4" t="str">
        <f>IF(XS_Designer_Bed_Mix!$J54&lt;=XS_Designer!$BN$100,XS_Designer!BJ$100,"")</f>
        <v/>
      </c>
      <c r="CW54" s="4" t="str">
        <f>IF(XS_Designer_Bed_Mix!$J54&lt;=XS_Designer!$BN$101,XS_Designer!BA$101,"")</f>
        <v/>
      </c>
      <c r="CX54" s="4" t="str">
        <f>IF(XS_Designer_Bed_Mix!$J54&lt;=XS_Designer!$BN$101,XS_Designer!BB$101,"")</f>
        <v/>
      </c>
      <c r="CY54" s="4" t="str">
        <f>IF(XS_Designer_Bed_Mix!$J54&lt;=XS_Designer!$BN$101,XS_Designer!BC$101,"")</f>
        <v/>
      </c>
      <c r="CZ54" s="4" t="str">
        <f>IF(XS_Designer_Bed_Mix!$J54&lt;=XS_Designer!$BN$101,XS_Designer!BD$101,"")</f>
        <v/>
      </c>
      <c r="DA54" s="4" t="str">
        <f>IF(XS_Designer_Bed_Mix!$J54&lt;=XS_Designer!$BN$101,XS_Designer!BE$101,"")</f>
        <v/>
      </c>
      <c r="DB54" s="4" t="str">
        <f>IF(XS_Designer_Bed_Mix!$J54&lt;=XS_Designer!$BN$101,XS_Designer!BF$101,"")</f>
        <v/>
      </c>
      <c r="DC54" s="4" t="str">
        <f>IF(XS_Designer_Bed_Mix!$J54&lt;=XS_Designer!$BN$101,XS_Designer!BG$101,"")</f>
        <v/>
      </c>
      <c r="DD54" s="4" t="str">
        <f>IF(XS_Designer_Bed_Mix!$J54&lt;=XS_Designer!$BN$101,XS_Designer!BH$101,"")</f>
        <v/>
      </c>
      <c r="DE54" s="4" t="str">
        <f>IF(XS_Designer_Bed_Mix!$J54&lt;=XS_Designer!$BN$101,XS_Designer!BI$101,"")</f>
        <v/>
      </c>
      <c r="DF54" s="4" t="str">
        <f>IF(XS_Designer_Bed_Mix!$J54&lt;=XS_Designer!$BN$101,XS_Designer!BJ$101,"")</f>
        <v/>
      </c>
      <c r="DG54" s="4" t="str">
        <f>IF(XS_Designer_Bed_Mix!$J54&lt;=XS_Designer!$BN$102,XS_Designer!BA$102,"")</f>
        <v/>
      </c>
      <c r="DH54" s="4" t="str">
        <f>IF(XS_Designer_Bed_Mix!$J54&lt;=XS_Designer!$BN$102,XS_Designer!BB$102,"")</f>
        <v/>
      </c>
      <c r="DI54" s="4" t="str">
        <f>IF(XS_Designer_Bed_Mix!$J54&lt;=XS_Designer!$BN$102,XS_Designer!BC$102,"")</f>
        <v/>
      </c>
      <c r="DJ54" s="4" t="str">
        <f>IF(XS_Designer_Bed_Mix!$J54&lt;=XS_Designer!$BN$102,XS_Designer!BD$102,"")</f>
        <v/>
      </c>
      <c r="DK54" s="4" t="str">
        <f>IF(XS_Designer_Bed_Mix!$J54&lt;=XS_Designer!$BN$102,XS_Designer!BE$102,"")</f>
        <v/>
      </c>
      <c r="DL54" s="4" t="str">
        <f>IF(XS_Designer_Bed_Mix!$J54&lt;=XS_Designer!$BN$102,XS_Designer!BF$102,"")</f>
        <v/>
      </c>
      <c r="DM54" s="4" t="str">
        <f>IF(XS_Designer_Bed_Mix!$J54&lt;=XS_Designer!$BN$102,XS_Designer!BG$102,"")</f>
        <v/>
      </c>
      <c r="DN54" s="4" t="str">
        <f>IF(XS_Designer_Bed_Mix!$J54&lt;=XS_Designer!$BN$102,XS_Designer!BH$102,"")</f>
        <v/>
      </c>
      <c r="DO54" s="4" t="str">
        <f>IF(XS_Designer_Bed_Mix!$J54&lt;=XS_Designer!$BN$102,XS_Designer!BI$102,"")</f>
        <v/>
      </c>
      <c r="DP54" s="4" t="str">
        <f>IF(XS_Designer_Bed_Mix!$J54&lt;=XS_Designer!$BN$102,XS_Designer!BJ$102,"")</f>
        <v/>
      </c>
    </row>
    <row r="55" spans="10:120">
      <c r="J55" s="3">
        <v>0.54</v>
      </c>
      <c r="K55" s="4" t="str">
        <f>IF(XS_Designer_Bed_Mix!$J55&lt;=XS_Designer!$BN$92,XS_Designer!BA$92,"")</f>
        <v/>
      </c>
      <c r="L55" s="4" t="str">
        <f>IF(XS_Designer_Bed_Mix!$J55&lt;=XS_Designer!$BN$92,XS_Designer!BB$92,"")</f>
        <v/>
      </c>
      <c r="M55" s="4" t="str">
        <f>IF(XS_Designer_Bed_Mix!$J55&lt;=XS_Designer!$BN$92,XS_Designer!BC$92,"")</f>
        <v/>
      </c>
      <c r="N55" s="4" t="str">
        <f>IF(XS_Designer_Bed_Mix!$J55&lt;=XS_Designer!$BN$92,XS_Designer!BD$92,"")</f>
        <v/>
      </c>
      <c r="O55" s="4" t="str">
        <f>IF(XS_Designer_Bed_Mix!$J55&lt;=XS_Designer!$BN$92,XS_Designer!BE$92,"")</f>
        <v/>
      </c>
      <c r="P55" s="4" t="str">
        <f>IF(XS_Designer_Bed_Mix!$J55&lt;=XS_Designer!$BN$92,XS_Designer!BF$92,"")</f>
        <v/>
      </c>
      <c r="Q55" s="4" t="str">
        <f>IF(XS_Designer_Bed_Mix!$J55&lt;=XS_Designer!$BN$92,XS_Designer!BG$92,"")</f>
        <v/>
      </c>
      <c r="R55" s="4" t="str">
        <f>IF(XS_Designer_Bed_Mix!$J55&lt;=XS_Designer!$BN$92,XS_Designer!BH$92,"")</f>
        <v/>
      </c>
      <c r="S55" s="4" t="str">
        <f>IF(XS_Designer_Bed_Mix!$J55&lt;=XS_Designer!$BN$92,XS_Designer!BI$92,"")</f>
        <v/>
      </c>
      <c r="T55" s="4" t="str">
        <f>IF(XS_Designer_Bed_Mix!$J55&lt;=XS_Designer!$BN$92,XS_Designer!BJ$92,"")</f>
        <v/>
      </c>
      <c r="U55" s="4" t="str">
        <f>IF(XS_Designer_Bed_Mix!$J55&lt;=XS_Designer!$BN$93,XS_Designer!BA$93,"")</f>
        <v/>
      </c>
      <c r="V55" s="4" t="str">
        <f>IF(XS_Designer_Bed_Mix!$J55&lt;=XS_Designer!$BN$93,XS_Designer!BB$93,"")</f>
        <v/>
      </c>
      <c r="W55" s="4" t="str">
        <f>IF(XS_Designer_Bed_Mix!$J55&lt;=XS_Designer!$BN$93,XS_Designer!BC$93,"")</f>
        <v/>
      </c>
      <c r="X55" s="4" t="str">
        <f>IF(XS_Designer_Bed_Mix!$J55&lt;=XS_Designer!$BN$93,XS_Designer!BD$93,"")</f>
        <v/>
      </c>
      <c r="Y55" s="4" t="str">
        <f>IF(XS_Designer_Bed_Mix!$J55&lt;=XS_Designer!$BN$93,XS_Designer!BE$93,"")</f>
        <v/>
      </c>
      <c r="Z55" s="4" t="str">
        <f>IF(XS_Designer_Bed_Mix!$J55&lt;=XS_Designer!$BN$93,XS_Designer!BF$93,"")</f>
        <v/>
      </c>
      <c r="AA55" s="4" t="str">
        <f>IF(XS_Designer_Bed_Mix!$J55&lt;=XS_Designer!$BN$93,XS_Designer!BG$93,"")</f>
        <v/>
      </c>
      <c r="AB55" s="4" t="str">
        <f>IF(XS_Designer_Bed_Mix!$J55&lt;=XS_Designer!$BN$93,XS_Designer!BH$93,"")</f>
        <v/>
      </c>
      <c r="AC55" s="4" t="str">
        <f>IF(XS_Designer_Bed_Mix!$J55&lt;=XS_Designer!$BN$93,XS_Designer!BI$93,"")</f>
        <v/>
      </c>
      <c r="AD55" s="4" t="str">
        <f>IF(XS_Designer_Bed_Mix!$J55&lt;=XS_Designer!$BN$93,XS_Designer!BJ$93,"")</f>
        <v/>
      </c>
      <c r="AE55" s="4" t="str">
        <f>IF(XS_Designer_Bed_Mix!$J55&lt;=XS_Designer!$BN$94,XS_Designer!BA$94,"")</f>
        <v/>
      </c>
      <c r="AF55" s="4" t="str">
        <f>IF(XS_Designer_Bed_Mix!$J55&lt;=XS_Designer!$BN$94,XS_Designer!BB$94,"")</f>
        <v/>
      </c>
      <c r="AG55" s="4" t="str">
        <f>IF(XS_Designer_Bed_Mix!$J55&lt;=XS_Designer!$BN$94,XS_Designer!BC$94,"")</f>
        <v/>
      </c>
      <c r="AH55" s="4" t="str">
        <f>IF(XS_Designer_Bed_Mix!$J55&lt;=XS_Designer!$BN$94,XS_Designer!BD$94,"")</f>
        <v/>
      </c>
      <c r="AI55" s="4" t="str">
        <f>IF(XS_Designer_Bed_Mix!$J55&lt;=XS_Designer!$BN$94,XS_Designer!BE$94,"")</f>
        <v/>
      </c>
      <c r="AJ55" s="4" t="str">
        <f>IF(XS_Designer_Bed_Mix!$J55&lt;=XS_Designer!$BN$94,XS_Designer!BF$94,"")</f>
        <v/>
      </c>
      <c r="AK55" s="4" t="str">
        <f>IF(XS_Designer_Bed_Mix!$J55&lt;=XS_Designer!$BN$94,XS_Designer!BG$94,"")</f>
        <v/>
      </c>
      <c r="AL55" s="4" t="str">
        <f>IF(XS_Designer_Bed_Mix!$J55&lt;=XS_Designer!$BN$94,XS_Designer!BH$94,"")</f>
        <v/>
      </c>
      <c r="AM55" s="4" t="str">
        <f>IF(XS_Designer_Bed_Mix!$J55&lt;=XS_Designer!$BN$94,XS_Designer!BI$94,"")</f>
        <v/>
      </c>
      <c r="AN55" s="4" t="str">
        <f>IF(XS_Designer_Bed_Mix!$J55&lt;=XS_Designer!$BN$94,XS_Designer!BJ$94,"")</f>
        <v/>
      </c>
      <c r="AO55" s="4" t="str">
        <f>IF(XS_Designer_Bed_Mix!$J55&lt;=XS_Designer!$BN$95,XS_Designer!BA$95,"")</f>
        <v/>
      </c>
      <c r="AP55" s="4" t="str">
        <f>IF(XS_Designer_Bed_Mix!$J55&lt;=XS_Designer!$BN$95,XS_Designer!BB$95,"")</f>
        <v/>
      </c>
      <c r="AQ55" s="4" t="str">
        <f>IF(XS_Designer_Bed_Mix!$J55&lt;=XS_Designer!$BN$95,XS_Designer!BC$95,"")</f>
        <v/>
      </c>
      <c r="AR55" s="4" t="str">
        <f>IF(XS_Designer_Bed_Mix!$J55&lt;=XS_Designer!$BN$95,XS_Designer!BD$95,"")</f>
        <v/>
      </c>
      <c r="AS55" s="4" t="str">
        <f>IF(XS_Designer_Bed_Mix!$J55&lt;=XS_Designer!$BN$95,XS_Designer!BE$95,"")</f>
        <v/>
      </c>
      <c r="AT55" s="4" t="str">
        <f>IF(XS_Designer_Bed_Mix!$J55&lt;=XS_Designer!$BN$95,XS_Designer!BF$95,"")</f>
        <v/>
      </c>
      <c r="AU55" s="4" t="str">
        <f>IF(XS_Designer_Bed_Mix!$J55&lt;=XS_Designer!$BN$95,XS_Designer!BG$95,"")</f>
        <v/>
      </c>
      <c r="AV55" s="4" t="str">
        <f>IF(XS_Designer_Bed_Mix!$J55&lt;=XS_Designer!$BN$95,XS_Designer!BH$95,"")</f>
        <v/>
      </c>
      <c r="AW55" s="4" t="str">
        <f>IF(XS_Designer_Bed_Mix!$J55&lt;=XS_Designer!$BN$95,XS_Designer!BI$95,"")</f>
        <v/>
      </c>
      <c r="AX55" s="4" t="str">
        <f>IF(XS_Designer_Bed_Mix!$J55&lt;=XS_Designer!$BN$95,XS_Designer!BJ$95,"")</f>
        <v/>
      </c>
      <c r="AY55" s="4" t="str">
        <f>IF(XS_Designer_Bed_Mix!$J55&lt;=XS_Designer!$BN$96,XS_Designer!BA$96,"")</f>
        <v/>
      </c>
      <c r="AZ55" s="4" t="str">
        <f>IF(XS_Designer_Bed_Mix!$J55&lt;=XS_Designer!$BN$96,XS_Designer!BB$96,"")</f>
        <v/>
      </c>
      <c r="BA55" s="4" t="str">
        <f>IF(XS_Designer_Bed_Mix!$J55&lt;=XS_Designer!$BN$96,XS_Designer!BC$96,"")</f>
        <v/>
      </c>
      <c r="BB55" s="4" t="str">
        <f>IF(XS_Designer_Bed_Mix!$J55&lt;=XS_Designer!$BN$96,XS_Designer!BD$96,"")</f>
        <v/>
      </c>
      <c r="BC55" s="4" t="str">
        <f>IF(XS_Designer_Bed_Mix!$J55&lt;=XS_Designer!$BN$96,XS_Designer!BE$96,"")</f>
        <v/>
      </c>
      <c r="BD55" s="4" t="str">
        <f>IF(XS_Designer_Bed_Mix!$J55&lt;=XS_Designer!$BN$96,XS_Designer!BF$96,"")</f>
        <v/>
      </c>
      <c r="BE55" s="4" t="str">
        <f>IF(XS_Designer_Bed_Mix!$J55&lt;=XS_Designer!$BN$96,XS_Designer!BG$96,"")</f>
        <v/>
      </c>
      <c r="BF55" s="4" t="str">
        <f>IF(XS_Designer_Bed_Mix!$J55&lt;=XS_Designer!$BN$96,XS_Designer!BH$96,"")</f>
        <v/>
      </c>
      <c r="BG55" s="4" t="str">
        <f>IF(XS_Designer_Bed_Mix!$J55&lt;=XS_Designer!$BN$96,XS_Designer!BI$96,"")</f>
        <v/>
      </c>
      <c r="BH55" s="4" t="str">
        <f>IF(XS_Designer_Bed_Mix!$J55&lt;=XS_Designer!$BN$96,XS_Designer!BJ$96,"")</f>
        <v/>
      </c>
      <c r="BI55" s="4" t="str">
        <f>IF(XS_Designer_Bed_Mix!$J55&lt;=XS_Designer!$BN$97,XS_Designer!BA$97,"")</f>
        <v/>
      </c>
      <c r="BJ55" s="4" t="str">
        <f>IF(XS_Designer_Bed_Mix!$J55&lt;=XS_Designer!$BN$97,XS_Designer!BB$97,"")</f>
        <v/>
      </c>
      <c r="BK55" s="4" t="str">
        <f>IF(XS_Designer_Bed_Mix!$J55&lt;=XS_Designer!$BN$97,XS_Designer!BC$97,"")</f>
        <v/>
      </c>
      <c r="BL55" s="4" t="str">
        <f>IF(XS_Designer_Bed_Mix!$J55&lt;=XS_Designer!$BN$97,XS_Designer!BD$97,"")</f>
        <v/>
      </c>
      <c r="BM55" s="4" t="str">
        <f>IF(XS_Designer_Bed_Mix!$J55&lt;=XS_Designer!$BN$97,XS_Designer!BE$97,"")</f>
        <v/>
      </c>
      <c r="BN55" s="4" t="str">
        <f>IF(XS_Designer_Bed_Mix!$J55&lt;=XS_Designer!$BN$97,XS_Designer!BF$97,"")</f>
        <v/>
      </c>
      <c r="BO55" s="4" t="str">
        <f>IF(XS_Designer_Bed_Mix!$J55&lt;=XS_Designer!$BN$97,XS_Designer!BG$97,"")</f>
        <v/>
      </c>
      <c r="BP55" s="4" t="str">
        <f>IF(XS_Designer_Bed_Mix!$J55&lt;=XS_Designer!$BN$97,XS_Designer!BH$97,"")</f>
        <v/>
      </c>
      <c r="BQ55" s="4" t="str">
        <f>IF(XS_Designer_Bed_Mix!$J55&lt;=XS_Designer!$BN$97,XS_Designer!BI$97,"")</f>
        <v/>
      </c>
      <c r="BR55" s="4" t="str">
        <f>IF(XS_Designer_Bed_Mix!$J55&lt;=XS_Designer!$BN$97,XS_Designer!BJ$97,"")</f>
        <v/>
      </c>
      <c r="BS55" s="4" t="str">
        <f>IF(XS_Designer_Bed_Mix!$J55&lt;=XS_Designer!$BN$98,XS_Designer!BA$98,"")</f>
        <v/>
      </c>
      <c r="BT55" s="4" t="str">
        <f>IF(XS_Designer_Bed_Mix!$J55&lt;=XS_Designer!$BN$98,XS_Designer!BB$98,"")</f>
        <v/>
      </c>
      <c r="BU55" s="4" t="str">
        <f>IF(XS_Designer_Bed_Mix!$J55&lt;=XS_Designer!$BN$98,XS_Designer!BC$98,"")</f>
        <v/>
      </c>
      <c r="BV55" s="4" t="str">
        <f>IF(XS_Designer_Bed_Mix!$J55&lt;=XS_Designer!$BN$98,XS_Designer!BD$98,"")</f>
        <v/>
      </c>
      <c r="BW55" s="4" t="str">
        <f>IF(XS_Designer_Bed_Mix!$J55&lt;=XS_Designer!$BN$98,XS_Designer!BE$98,"")</f>
        <v/>
      </c>
      <c r="BX55" s="4" t="str">
        <f>IF(XS_Designer_Bed_Mix!$J55&lt;=XS_Designer!$BN$98,XS_Designer!BF$98,"")</f>
        <v/>
      </c>
      <c r="BY55" s="4" t="str">
        <f>IF(XS_Designer_Bed_Mix!$J55&lt;=XS_Designer!$BN$98,XS_Designer!BG$98,"")</f>
        <v/>
      </c>
      <c r="BZ55" s="4" t="str">
        <f>IF(XS_Designer_Bed_Mix!$J55&lt;=XS_Designer!$BN$98,XS_Designer!BH$98,"")</f>
        <v/>
      </c>
      <c r="CA55" s="4" t="str">
        <f>IF(XS_Designer_Bed_Mix!$J55&lt;=XS_Designer!$BN$98,XS_Designer!BI$98,"")</f>
        <v/>
      </c>
      <c r="CB55" s="4" t="str">
        <f>IF(XS_Designer_Bed_Mix!$J55&lt;=XS_Designer!$BN$98,XS_Designer!BJ$98,"")</f>
        <v/>
      </c>
      <c r="CC55" s="4" t="str">
        <f>IF(XS_Designer_Bed_Mix!$J55&lt;=XS_Designer!$BN$99,XS_Designer!BA$99,"")</f>
        <v/>
      </c>
      <c r="CD55" s="4" t="str">
        <f>IF(XS_Designer_Bed_Mix!$J55&lt;=XS_Designer!$BN$99,XS_Designer!BB$99,"")</f>
        <v/>
      </c>
      <c r="CE55" s="4" t="str">
        <f>IF(XS_Designer_Bed_Mix!$J55&lt;=XS_Designer!$BN$99,XS_Designer!BC$99,"")</f>
        <v/>
      </c>
      <c r="CF55" s="4" t="str">
        <f>IF(XS_Designer_Bed_Mix!$J55&lt;=XS_Designer!$BN$99,XS_Designer!BD$99,"")</f>
        <v/>
      </c>
      <c r="CG55" s="4" t="str">
        <f>IF(XS_Designer_Bed_Mix!$J55&lt;=XS_Designer!$BN$99,XS_Designer!BE$99,"")</f>
        <v/>
      </c>
      <c r="CH55" s="4" t="str">
        <f>IF(XS_Designer_Bed_Mix!$J55&lt;=XS_Designer!$BN$99,XS_Designer!BF$99,"")</f>
        <v/>
      </c>
      <c r="CI55" s="4" t="str">
        <f>IF(XS_Designer_Bed_Mix!$J55&lt;=XS_Designer!$BN$99,XS_Designer!BG$99,"")</f>
        <v/>
      </c>
      <c r="CJ55" s="4" t="str">
        <f>IF(XS_Designer_Bed_Mix!$J55&lt;=XS_Designer!$BN$99,XS_Designer!BH$99,"")</f>
        <v/>
      </c>
      <c r="CK55" s="4" t="str">
        <f>IF(XS_Designer_Bed_Mix!$J55&lt;=XS_Designer!$BN$99,XS_Designer!BI$99,"")</f>
        <v/>
      </c>
      <c r="CL55" s="4" t="str">
        <f>IF(XS_Designer_Bed_Mix!$J55&lt;=XS_Designer!$BN$99,XS_Designer!BJ$99,"")</f>
        <v/>
      </c>
      <c r="CM55" s="4" t="str">
        <f>IF(XS_Designer_Bed_Mix!$J55&lt;=XS_Designer!$BN$100,XS_Designer!BA$100,"")</f>
        <v/>
      </c>
      <c r="CN55" s="4" t="str">
        <f>IF(XS_Designer_Bed_Mix!$J55&lt;=XS_Designer!$BN$100,XS_Designer!BB$100,"")</f>
        <v/>
      </c>
      <c r="CO55" s="4" t="str">
        <f>IF(XS_Designer_Bed_Mix!$J55&lt;=XS_Designer!$BN$100,XS_Designer!BC$100,"")</f>
        <v/>
      </c>
      <c r="CP55" s="4" t="str">
        <f>IF(XS_Designer_Bed_Mix!$J55&lt;=XS_Designer!$BN$100,XS_Designer!BD$100,"")</f>
        <v/>
      </c>
      <c r="CQ55" s="4" t="str">
        <f>IF(XS_Designer_Bed_Mix!$J55&lt;=XS_Designer!$BN$100,XS_Designer!BE$100,"")</f>
        <v/>
      </c>
      <c r="CR55" s="4" t="str">
        <f>IF(XS_Designer_Bed_Mix!$J55&lt;=XS_Designer!$BN$100,XS_Designer!BF$100,"")</f>
        <v/>
      </c>
      <c r="CS55" s="4" t="str">
        <f>IF(XS_Designer_Bed_Mix!$J55&lt;=XS_Designer!$BN$100,XS_Designer!BG$100,"")</f>
        <v/>
      </c>
      <c r="CT55" s="4" t="str">
        <f>IF(XS_Designer_Bed_Mix!$J55&lt;=XS_Designer!$BN$100,XS_Designer!BH$100,"")</f>
        <v/>
      </c>
      <c r="CU55" s="4" t="str">
        <f>IF(XS_Designer_Bed_Mix!$J55&lt;=XS_Designer!$BN$100,XS_Designer!BI$100,"")</f>
        <v/>
      </c>
      <c r="CV55" s="4" t="str">
        <f>IF(XS_Designer_Bed_Mix!$J55&lt;=XS_Designer!$BN$100,XS_Designer!BJ$100,"")</f>
        <v/>
      </c>
      <c r="CW55" s="4" t="str">
        <f>IF(XS_Designer_Bed_Mix!$J55&lt;=XS_Designer!$BN$101,XS_Designer!BA$101,"")</f>
        <v/>
      </c>
      <c r="CX55" s="4" t="str">
        <f>IF(XS_Designer_Bed_Mix!$J55&lt;=XS_Designer!$BN$101,XS_Designer!BB$101,"")</f>
        <v/>
      </c>
      <c r="CY55" s="4" t="str">
        <f>IF(XS_Designer_Bed_Mix!$J55&lt;=XS_Designer!$BN$101,XS_Designer!BC$101,"")</f>
        <v/>
      </c>
      <c r="CZ55" s="4" t="str">
        <f>IF(XS_Designer_Bed_Mix!$J55&lt;=XS_Designer!$BN$101,XS_Designer!BD$101,"")</f>
        <v/>
      </c>
      <c r="DA55" s="4" t="str">
        <f>IF(XS_Designer_Bed_Mix!$J55&lt;=XS_Designer!$BN$101,XS_Designer!BE$101,"")</f>
        <v/>
      </c>
      <c r="DB55" s="4" t="str">
        <f>IF(XS_Designer_Bed_Mix!$J55&lt;=XS_Designer!$BN$101,XS_Designer!BF$101,"")</f>
        <v/>
      </c>
      <c r="DC55" s="4" t="str">
        <f>IF(XS_Designer_Bed_Mix!$J55&lt;=XS_Designer!$BN$101,XS_Designer!BG$101,"")</f>
        <v/>
      </c>
      <c r="DD55" s="4" t="str">
        <f>IF(XS_Designer_Bed_Mix!$J55&lt;=XS_Designer!$BN$101,XS_Designer!BH$101,"")</f>
        <v/>
      </c>
      <c r="DE55" s="4" t="str">
        <f>IF(XS_Designer_Bed_Mix!$J55&lt;=XS_Designer!$BN$101,XS_Designer!BI$101,"")</f>
        <v/>
      </c>
      <c r="DF55" s="4" t="str">
        <f>IF(XS_Designer_Bed_Mix!$J55&lt;=XS_Designer!$BN$101,XS_Designer!BJ$101,"")</f>
        <v/>
      </c>
      <c r="DG55" s="4" t="str">
        <f>IF(XS_Designer_Bed_Mix!$J55&lt;=XS_Designer!$BN$102,XS_Designer!BA$102,"")</f>
        <v/>
      </c>
      <c r="DH55" s="4" t="str">
        <f>IF(XS_Designer_Bed_Mix!$J55&lt;=XS_Designer!$BN$102,XS_Designer!BB$102,"")</f>
        <v/>
      </c>
      <c r="DI55" s="4" t="str">
        <f>IF(XS_Designer_Bed_Mix!$J55&lt;=XS_Designer!$BN$102,XS_Designer!BC$102,"")</f>
        <v/>
      </c>
      <c r="DJ55" s="4" t="str">
        <f>IF(XS_Designer_Bed_Mix!$J55&lt;=XS_Designer!$BN$102,XS_Designer!BD$102,"")</f>
        <v/>
      </c>
      <c r="DK55" s="4" t="str">
        <f>IF(XS_Designer_Bed_Mix!$J55&lt;=XS_Designer!$BN$102,XS_Designer!BE$102,"")</f>
        <v/>
      </c>
      <c r="DL55" s="4" t="str">
        <f>IF(XS_Designer_Bed_Mix!$J55&lt;=XS_Designer!$BN$102,XS_Designer!BF$102,"")</f>
        <v/>
      </c>
      <c r="DM55" s="4" t="str">
        <f>IF(XS_Designer_Bed_Mix!$J55&lt;=XS_Designer!$BN$102,XS_Designer!BG$102,"")</f>
        <v/>
      </c>
      <c r="DN55" s="4" t="str">
        <f>IF(XS_Designer_Bed_Mix!$J55&lt;=XS_Designer!$BN$102,XS_Designer!BH$102,"")</f>
        <v/>
      </c>
      <c r="DO55" s="4" t="str">
        <f>IF(XS_Designer_Bed_Mix!$J55&lt;=XS_Designer!$BN$102,XS_Designer!BI$102,"")</f>
        <v/>
      </c>
      <c r="DP55" s="4" t="str">
        <f>IF(XS_Designer_Bed_Mix!$J55&lt;=XS_Designer!$BN$102,XS_Designer!BJ$102,"")</f>
        <v/>
      </c>
    </row>
    <row r="56" spans="10:120">
      <c r="J56" s="3">
        <v>0.55000000000000004</v>
      </c>
      <c r="K56" s="4" t="str">
        <f>IF(XS_Designer_Bed_Mix!$J56&lt;=XS_Designer!$BN$92,XS_Designer!BA$92,"")</f>
        <v/>
      </c>
      <c r="L56" s="4" t="str">
        <f>IF(XS_Designer_Bed_Mix!$J56&lt;=XS_Designer!$BN$92,XS_Designer!BB$92,"")</f>
        <v/>
      </c>
      <c r="M56" s="4" t="str">
        <f>IF(XS_Designer_Bed_Mix!$J56&lt;=XS_Designer!$BN$92,XS_Designer!BC$92,"")</f>
        <v/>
      </c>
      <c r="N56" s="4" t="str">
        <f>IF(XS_Designer_Bed_Mix!$J56&lt;=XS_Designer!$BN$92,XS_Designer!BD$92,"")</f>
        <v/>
      </c>
      <c r="O56" s="4" t="str">
        <f>IF(XS_Designer_Bed_Mix!$J56&lt;=XS_Designer!$BN$92,XS_Designer!BE$92,"")</f>
        <v/>
      </c>
      <c r="P56" s="4" t="str">
        <f>IF(XS_Designer_Bed_Mix!$J56&lt;=XS_Designer!$BN$92,XS_Designer!BF$92,"")</f>
        <v/>
      </c>
      <c r="Q56" s="4" t="str">
        <f>IF(XS_Designer_Bed_Mix!$J56&lt;=XS_Designer!$BN$92,XS_Designer!BG$92,"")</f>
        <v/>
      </c>
      <c r="R56" s="4" t="str">
        <f>IF(XS_Designer_Bed_Mix!$J56&lt;=XS_Designer!$BN$92,XS_Designer!BH$92,"")</f>
        <v/>
      </c>
      <c r="S56" s="4" t="str">
        <f>IF(XS_Designer_Bed_Mix!$J56&lt;=XS_Designer!$BN$92,XS_Designer!BI$92,"")</f>
        <v/>
      </c>
      <c r="T56" s="4" t="str">
        <f>IF(XS_Designer_Bed_Mix!$J56&lt;=XS_Designer!$BN$92,XS_Designer!BJ$92,"")</f>
        <v/>
      </c>
      <c r="U56" s="4" t="str">
        <f>IF(XS_Designer_Bed_Mix!$J56&lt;=XS_Designer!$BN$93,XS_Designer!BA$93,"")</f>
        <v/>
      </c>
      <c r="V56" s="4" t="str">
        <f>IF(XS_Designer_Bed_Mix!$J56&lt;=XS_Designer!$BN$93,XS_Designer!BB$93,"")</f>
        <v/>
      </c>
      <c r="W56" s="4" t="str">
        <f>IF(XS_Designer_Bed_Mix!$J56&lt;=XS_Designer!$BN$93,XS_Designer!BC$93,"")</f>
        <v/>
      </c>
      <c r="X56" s="4" t="str">
        <f>IF(XS_Designer_Bed_Mix!$J56&lt;=XS_Designer!$BN$93,XS_Designer!BD$93,"")</f>
        <v/>
      </c>
      <c r="Y56" s="4" t="str">
        <f>IF(XS_Designer_Bed_Mix!$J56&lt;=XS_Designer!$BN$93,XS_Designer!BE$93,"")</f>
        <v/>
      </c>
      <c r="Z56" s="4" t="str">
        <f>IF(XS_Designer_Bed_Mix!$J56&lt;=XS_Designer!$BN$93,XS_Designer!BF$93,"")</f>
        <v/>
      </c>
      <c r="AA56" s="4" t="str">
        <f>IF(XS_Designer_Bed_Mix!$J56&lt;=XS_Designer!$BN$93,XS_Designer!BG$93,"")</f>
        <v/>
      </c>
      <c r="AB56" s="4" t="str">
        <f>IF(XS_Designer_Bed_Mix!$J56&lt;=XS_Designer!$BN$93,XS_Designer!BH$93,"")</f>
        <v/>
      </c>
      <c r="AC56" s="4" t="str">
        <f>IF(XS_Designer_Bed_Mix!$J56&lt;=XS_Designer!$BN$93,XS_Designer!BI$93,"")</f>
        <v/>
      </c>
      <c r="AD56" s="4" t="str">
        <f>IF(XS_Designer_Bed_Mix!$J56&lt;=XS_Designer!$BN$93,XS_Designer!BJ$93,"")</f>
        <v/>
      </c>
      <c r="AE56" s="4" t="str">
        <f>IF(XS_Designer_Bed_Mix!$J56&lt;=XS_Designer!$BN$94,XS_Designer!BA$94,"")</f>
        <v/>
      </c>
      <c r="AF56" s="4" t="str">
        <f>IF(XS_Designer_Bed_Mix!$J56&lt;=XS_Designer!$BN$94,XS_Designer!BB$94,"")</f>
        <v/>
      </c>
      <c r="AG56" s="4" t="str">
        <f>IF(XS_Designer_Bed_Mix!$J56&lt;=XS_Designer!$BN$94,XS_Designer!BC$94,"")</f>
        <v/>
      </c>
      <c r="AH56" s="4" t="str">
        <f>IF(XS_Designer_Bed_Mix!$J56&lt;=XS_Designer!$BN$94,XS_Designer!BD$94,"")</f>
        <v/>
      </c>
      <c r="AI56" s="4" t="str">
        <f>IF(XS_Designer_Bed_Mix!$J56&lt;=XS_Designer!$BN$94,XS_Designer!BE$94,"")</f>
        <v/>
      </c>
      <c r="AJ56" s="4" t="str">
        <f>IF(XS_Designer_Bed_Mix!$J56&lt;=XS_Designer!$BN$94,XS_Designer!BF$94,"")</f>
        <v/>
      </c>
      <c r="AK56" s="4" t="str">
        <f>IF(XS_Designer_Bed_Mix!$J56&lt;=XS_Designer!$BN$94,XS_Designer!BG$94,"")</f>
        <v/>
      </c>
      <c r="AL56" s="4" t="str">
        <f>IF(XS_Designer_Bed_Mix!$J56&lt;=XS_Designer!$BN$94,XS_Designer!BH$94,"")</f>
        <v/>
      </c>
      <c r="AM56" s="4" t="str">
        <f>IF(XS_Designer_Bed_Mix!$J56&lt;=XS_Designer!$BN$94,XS_Designer!BI$94,"")</f>
        <v/>
      </c>
      <c r="AN56" s="4" t="str">
        <f>IF(XS_Designer_Bed_Mix!$J56&lt;=XS_Designer!$BN$94,XS_Designer!BJ$94,"")</f>
        <v/>
      </c>
      <c r="AO56" s="4" t="str">
        <f>IF(XS_Designer_Bed_Mix!$J56&lt;=XS_Designer!$BN$95,XS_Designer!BA$95,"")</f>
        <v/>
      </c>
      <c r="AP56" s="4" t="str">
        <f>IF(XS_Designer_Bed_Mix!$J56&lt;=XS_Designer!$BN$95,XS_Designer!BB$95,"")</f>
        <v/>
      </c>
      <c r="AQ56" s="4" t="str">
        <f>IF(XS_Designer_Bed_Mix!$J56&lt;=XS_Designer!$BN$95,XS_Designer!BC$95,"")</f>
        <v/>
      </c>
      <c r="AR56" s="4" t="str">
        <f>IF(XS_Designer_Bed_Mix!$J56&lt;=XS_Designer!$BN$95,XS_Designer!BD$95,"")</f>
        <v/>
      </c>
      <c r="AS56" s="4" t="str">
        <f>IF(XS_Designer_Bed_Mix!$J56&lt;=XS_Designer!$BN$95,XS_Designer!BE$95,"")</f>
        <v/>
      </c>
      <c r="AT56" s="4" t="str">
        <f>IF(XS_Designer_Bed_Mix!$J56&lt;=XS_Designer!$BN$95,XS_Designer!BF$95,"")</f>
        <v/>
      </c>
      <c r="AU56" s="4" t="str">
        <f>IF(XS_Designer_Bed_Mix!$J56&lt;=XS_Designer!$BN$95,XS_Designer!BG$95,"")</f>
        <v/>
      </c>
      <c r="AV56" s="4" t="str">
        <f>IF(XS_Designer_Bed_Mix!$J56&lt;=XS_Designer!$BN$95,XS_Designer!BH$95,"")</f>
        <v/>
      </c>
      <c r="AW56" s="4" t="str">
        <f>IF(XS_Designer_Bed_Mix!$J56&lt;=XS_Designer!$BN$95,XS_Designer!BI$95,"")</f>
        <v/>
      </c>
      <c r="AX56" s="4" t="str">
        <f>IF(XS_Designer_Bed_Mix!$J56&lt;=XS_Designer!$BN$95,XS_Designer!BJ$95,"")</f>
        <v/>
      </c>
      <c r="AY56" s="4" t="str">
        <f>IF(XS_Designer_Bed_Mix!$J56&lt;=XS_Designer!$BN$96,XS_Designer!BA$96,"")</f>
        <v/>
      </c>
      <c r="AZ56" s="4" t="str">
        <f>IF(XS_Designer_Bed_Mix!$J56&lt;=XS_Designer!$BN$96,XS_Designer!BB$96,"")</f>
        <v/>
      </c>
      <c r="BA56" s="4" t="str">
        <f>IF(XS_Designer_Bed_Mix!$J56&lt;=XS_Designer!$BN$96,XS_Designer!BC$96,"")</f>
        <v/>
      </c>
      <c r="BB56" s="4" t="str">
        <f>IF(XS_Designer_Bed_Mix!$J56&lt;=XS_Designer!$BN$96,XS_Designer!BD$96,"")</f>
        <v/>
      </c>
      <c r="BC56" s="4" t="str">
        <f>IF(XS_Designer_Bed_Mix!$J56&lt;=XS_Designer!$BN$96,XS_Designer!BE$96,"")</f>
        <v/>
      </c>
      <c r="BD56" s="4" t="str">
        <f>IF(XS_Designer_Bed_Mix!$J56&lt;=XS_Designer!$BN$96,XS_Designer!BF$96,"")</f>
        <v/>
      </c>
      <c r="BE56" s="4" t="str">
        <f>IF(XS_Designer_Bed_Mix!$J56&lt;=XS_Designer!$BN$96,XS_Designer!BG$96,"")</f>
        <v/>
      </c>
      <c r="BF56" s="4" t="str">
        <f>IF(XS_Designer_Bed_Mix!$J56&lt;=XS_Designer!$BN$96,XS_Designer!BH$96,"")</f>
        <v/>
      </c>
      <c r="BG56" s="4" t="str">
        <f>IF(XS_Designer_Bed_Mix!$J56&lt;=XS_Designer!$BN$96,XS_Designer!BI$96,"")</f>
        <v/>
      </c>
      <c r="BH56" s="4" t="str">
        <f>IF(XS_Designer_Bed_Mix!$J56&lt;=XS_Designer!$BN$96,XS_Designer!BJ$96,"")</f>
        <v/>
      </c>
      <c r="BI56" s="4" t="str">
        <f>IF(XS_Designer_Bed_Mix!$J56&lt;=XS_Designer!$BN$97,XS_Designer!BA$97,"")</f>
        <v/>
      </c>
      <c r="BJ56" s="4" t="str">
        <f>IF(XS_Designer_Bed_Mix!$J56&lt;=XS_Designer!$BN$97,XS_Designer!BB$97,"")</f>
        <v/>
      </c>
      <c r="BK56" s="4" t="str">
        <f>IF(XS_Designer_Bed_Mix!$J56&lt;=XS_Designer!$BN$97,XS_Designer!BC$97,"")</f>
        <v/>
      </c>
      <c r="BL56" s="4" t="str">
        <f>IF(XS_Designer_Bed_Mix!$J56&lt;=XS_Designer!$BN$97,XS_Designer!BD$97,"")</f>
        <v/>
      </c>
      <c r="BM56" s="4" t="str">
        <f>IF(XS_Designer_Bed_Mix!$J56&lt;=XS_Designer!$BN$97,XS_Designer!BE$97,"")</f>
        <v/>
      </c>
      <c r="BN56" s="4" t="str">
        <f>IF(XS_Designer_Bed_Mix!$J56&lt;=XS_Designer!$BN$97,XS_Designer!BF$97,"")</f>
        <v/>
      </c>
      <c r="BO56" s="4" t="str">
        <f>IF(XS_Designer_Bed_Mix!$J56&lt;=XS_Designer!$BN$97,XS_Designer!BG$97,"")</f>
        <v/>
      </c>
      <c r="BP56" s="4" t="str">
        <f>IF(XS_Designer_Bed_Mix!$J56&lt;=XS_Designer!$BN$97,XS_Designer!BH$97,"")</f>
        <v/>
      </c>
      <c r="BQ56" s="4" t="str">
        <f>IF(XS_Designer_Bed_Mix!$J56&lt;=XS_Designer!$BN$97,XS_Designer!BI$97,"")</f>
        <v/>
      </c>
      <c r="BR56" s="4" t="str">
        <f>IF(XS_Designer_Bed_Mix!$J56&lt;=XS_Designer!$BN$97,XS_Designer!BJ$97,"")</f>
        <v/>
      </c>
      <c r="BS56" s="4" t="str">
        <f>IF(XS_Designer_Bed_Mix!$J56&lt;=XS_Designer!$BN$98,XS_Designer!BA$98,"")</f>
        <v/>
      </c>
      <c r="BT56" s="4" t="str">
        <f>IF(XS_Designer_Bed_Mix!$J56&lt;=XS_Designer!$BN$98,XS_Designer!BB$98,"")</f>
        <v/>
      </c>
      <c r="BU56" s="4" t="str">
        <f>IF(XS_Designer_Bed_Mix!$J56&lt;=XS_Designer!$BN$98,XS_Designer!BC$98,"")</f>
        <v/>
      </c>
      <c r="BV56" s="4" t="str">
        <f>IF(XS_Designer_Bed_Mix!$J56&lt;=XS_Designer!$BN$98,XS_Designer!BD$98,"")</f>
        <v/>
      </c>
      <c r="BW56" s="4" t="str">
        <f>IF(XS_Designer_Bed_Mix!$J56&lt;=XS_Designer!$BN$98,XS_Designer!BE$98,"")</f>
        <v/>
      </c>
      <c r="BX56" s="4" t="str">
        <f>IF(XS_Designer_Bed_Mix!$J56&lt;=XS_Designer!$BN$98,XS_Designer!BF$98,"")</f>
        <v/>
      </c>
      <c r="BY56" s="4" t="str">
        <f>IF(XS_Designer_Bed_Mix!$J56&lt;=XS_Designer!$BN$98,XS_Designer!BG$98,"")</f>
        <v/>
      </c>
      <c r="BZ56" s="4" t="str">
        <f>IF(XS_Designer_Bed_Mix!$J56&lt;=XS_Designer!$BN$98,XS_Designer!BH$98,"")</f>
        <v/>
      </c>
      <c r="CA56" s="4" t="str">
        <f>IF(XS_Designer_Bed_Mix!$J56&lt;=XS_Designer!$BN$98,XS_Designer!BI$98,"")</f>
        <v/>
      </c>
      <c r="CB56" s="4" t="str">
        <f>IF(XS_Designer_Bed_Mix!$J56&lt;=XS_Designer!$BN$98,XS_Designer!BJ$98,"")</f>
        <v/>
      </c>
      <c r="CC56" s="4" t="str">
        <f>IF(XS_Designer_Bed_Mix!$J56&lt;=XS_Designer!$BN$99,XS_Designer!BA$99,"")</f>
        <v/>
      </c>
      <c r="CD56" s="4" t="str">
        <f>IF(XS_Designer_Bed_Mix!$J56&lt;=XS_Designer!$BN$99,XS_Designer!BB$99,"")</f>
        <v/>
      </c>
      <c r="CE56" s="4" t="str">
        <f>IF(XS_Designer_Bed_Mix!$J56&lt;=XS_Designer!$BN$99,XS_Designer!BC$99,"")</f>
        <v/>
      </c>
      <c r="CF56" s="4" t="str">
        <f>IF(XS_Designer_Bed_Mix!$J56&lt;=XS_Designer!$BN$99,XS_Designer!BD$99,"")</f>
        <v/>
      </c>
      <c r="CG56" s="4" t="str">
        <f>IF(XS_Designer_Bed_Mix!$J56&lt;=XS_Designer!$BN$99,XS_Designer!BE$99,"")</f>
        <v/>
      </c>
      <c r="CH56" s="4" t="str">
        <f>IF(XS_Designer_Bed_Mix!$J56&lt;=XS_Designer!$BN$99,XS_Designer!BF$99,"")</f>
        <v/>
      </c>
      <c r="CI56" s="4" t="str">
        <f>IF(XS_Designer_Bed_Mix!$J56&lt;=XS_Designer!$BN$99,XS_Designer!BG$99,"")</f>
        <v/>
      </c>
      <c r="CJ56" s="4" t="str">
        <f>IF(XS_Designer_Bed_Mix!$J56&lt;=XS_Designer!$BN$99,XS_Designer!BH$99,"")</f>
        <v/>
      </c>
      <c r="CK56" s="4" t="str">
        <f>IF(XS_Designer_Bed_Mix!$J56&lt;=XS_Designer!$BN$99,XS_Designer!BI$99,"")</f>
        <v/>
      </c>
      <c r="CL56" s="4" t="str">
        <f>IF(XS_Designer_Bed_Mix!$J56&lt;=XS_Designer!$BN$99,XS_Designer!BJ$99,"")</f>
        <v/>
      </c>
      <c r="CM56" s="4" t="str">
        <f>IF(XS_Designer_Bed_Mix!$J56&lt;=XS_Designer!$BN$100,XS_Designer!BA$100,"")</f>
        <v/>
      </c>
      <c r="CN56" s="4" t="str">
        <f>IF(XS_Designer_Bed_Mix!$J56&lt;=XS_Designer!$BN$100,XS_Designer!BB$100,"")</f>
        <v/>
      </c>
      <c r="CO56" s="4" t="str">
        <f>IF(XS_Designer_Bed_Mix!$J56&lt;=XS_Designer!$BN$100,XS_Designer!BC$100,"")</f>
        <v/>
      </c>
      <c r="CP56" s="4" t="str">
        <f>IF(XS_Designer_Bed_Mix!$J56&lt;=XS_Designer!$BN$100,XS_Designer!BD$100,"")</f>
        <v/>
      </c>
      <c r="CQ56" s="4" t="str">
        <f>IF(XS_Designer_Bed_Mix!$J56&lt;=XS_Designer!$BN$100,XS_Designer!BE$100,"")</f>
        <v/>
      </c>
      <c r="CR56" s="4" t="str">
        <f>IF(XS_Designer_Bed_Mix!$J56&lt;=XS_Designer!$BN$100,XS_Designer!BF$100,"")</f>
        <v/>
      </c>
      <c r="CS56" s="4" t="str">
        <f>IF(XS_Designer_Bed_Mix!$J56&lt;=XS_Designer!$BN$100,XS_Designer!BG$100,"")</f>
        <v/>
      </c>
      <c r="CT56" s="4" t="str">
        <f>IF(XS_Designer_Bed_Mix!$J56&lt;=XS_Designer!$BN$100,XS_Designer!BH$100,"")</f>
        <v/>
      </c>
      <c r="CU56" s="4" t="str">
        <f>IF(XS_Designer_Bed_Mix!$J56&lt;=XS_Designer!$BN$100,XS_Designer!BI$100,"")</f>
        <v/>
      </c>
      <c r="CV56" s="4" t="str">
        <f>IF(XS_Designer_Bed_Mix!$J56&lt;=XS_Designer!$BN$100,XS_Designer!BJ$100,"")</f>
        <v/>
      </c>
      <c r="CW56" s="4" t="str">
        <f>IF(XS_Designer_Bed_Mix!$J56&lt;=XS_Designer!$BN$101,XS_Designer!BA$101,"")</f>
        <v/>
      </c>
      <c r="CX56" s="4" t="str">
        <f>IF(XS_Designer_Bed_Mix!$J56&lt;=XS_Designer!$BN$101,XS_Designer!BB$101,"")</f>
        <v/>
      </c>
      <c r="CY56" s="4" t="str">
        <f>IF(XS_Designer_Bed_Mix!$J56&lt;=XS_Designer!$BN$101,XS_Designer!BC$101,"")</f>
        <v/>
      </c>
      <c r="CZ56" s="4" t="str">
        <f>IF(XS_Designer_Bed_Mix!$J56&lt;=XS_Designer!$BN$101,XS_Designer!BD$101,"")</f>
        <v/>
      </c>
      <c r="DA56" s="4" t="str">
        <f>IF(XS_Designer_Bed_Mix!$J56&lt;=XS_Designer!$BN$101,XS_Designer!BE$101,"")</f>
        <v/>
      </c>
      <c r="DB56" s="4" t="str">
        <f>IF(XS_Designer_Bed_Mix!$J56&lt;=XS_Designer!$BN$101,XS_Designer!BF$101,"")</f>
        <v/>
      </c>
      <c r="DC56" s="4" t="str">
        <f>IF(XS_Designer_Bed_Mix!$J56&lt;=XS_Designer!$BN$101,XS_Designer!BG$101,"")</f>
        <v/>
      </c>
      <c r="DD56" s="4" t="str">
        <f>IF(XS_Designer_Bed_Mix!$J56&lt;=XS_Designer!$BN$101,XS_Designer!BH$101,"")</f>
        <v/>
      </c>
      <c r="DE56" s="4" t="str">
        <f>IF(XS_Designer_Bed_Mix!$J56&lt;=XS_Designer!$BN$101,XS_Designer!BI$101,"")</f>
        <v/>
      </c>
      <c r="DF56" s="4" t="str">
        <f>IF(XS_Designer_Bed_Mix!$J56&lt;=XS_Designer!$BN$101,XS_Designer!BJ$101,"")</f>
        <v/>
      </c>
      <c r="DG56" s="4" t="str">
        <f>IF(XS_Designer_Bed_Mix!$J56&lt;=XS_Designer!$BN$102,XS_Designer!BA$102,"")</f>
        <v/>
      </c>
      <c r="DH56" s="4" t="str">
        <f>IF(XS_Designer_Bed_Mix!$J56&lt;=XS_Designer!$BN$102,XS_Designer!BB$102,"")</f>
        <v/>
      </c>
      <c r="DI56" s="4" t="str">
        <f>IF(XS_Designer_Bed_Mix!$J56&lt;=XS_Designer!$BN$102,XS_Designer!BC$102,"")</f>
        <v/>
      </c>
      <c r="DJ56" s="4" t="str">
        <f>IF(XS_Designer_Bed_Mix!$J56&lt;=XS_Designer!$BN$102,XS_Designer!BD$102,"")</f>
        <v/>
      </c>
      <c r="DK56" s="4" t="str">
        <f>IF(XS_Designer_Bed_Mix!$J56&lt;=XS_Designer!$BN$102,XS_Designer!BE$102,"")</f>
        <v/>
      </c>
      <c r="DL56" s="4" t="str">
        <f>IF(XS_Designer_Bed_Mix!$J56&lt;=XS_Designer!$BN$102,XS_Designer!BF$102,"")</f>
        <v/>
      </c>
      <c r="DM56" s="4" t="str">
        <f>IF(XS_Designer_Bed_Mix!$J56&lt;=XS_Designer!$BN$102,XS_Designer!BG$102,"")</f>
        <v/>
      </c>
      <c r="DN56" s="4" t="str">
        <f>IF(XS_Designer_Bed_Mix!$J56&lt;=XS_Designer!$BN$102,XS_Designer!BH$102,"")</f>
        <v/>
      </c>
      <c r="DO56" s="4" t="str">
        <f>IF(XS_Designer_Bed_Mix!$J56&lt;=XS_Designer!$BN$102,XS_Designer!BI$102,"")</f>
        <v/>
      </c>
      <c r="DP56" s="4" t="str">
        <f>IF(XS_Designer_Bed_Mix!$J56&lt;=XS_Designer!$BN$102,XS_Designer!BJ$102,"")</f>
        <v/>
      </c>
    </row>
    <row r="57" spans="10:120">
      <c r="J57" s="3">
        <v>0.56000000000000005</v>
      </c>
      <c r="K57" s="4" t="str">
        <f>IF(XS_Designer_Bed_Mix!$J57&lt;=XS_Designer!$BN$92,XS_Designer!BA$92,"")</f>
        <v/>
      </c>
      <c r="L57" s="4" t="str">
        <f>IF(XS_Designer_Bed_Mix!$J57&lt;=XS_Designer!$BN$92,XS_Designer!BB$92,"")</f>
        <v/>
      </c>
      <c r="M57" s="4" t="str">
        <f>IF(XS_Designer_Bed_Mix!$J57&lt;=XS_Designer!$BN$92,XS_Designer!BC$92,"")</f>
        <v/>
      </c>
      <c r="N57" s="4" t="str">
        <f>IF(XS_Designer_Bed_Mix!$J57&lt;=XS_Designer!$BN$92,XS_Designer!BD$92,"")</f>
        <v/>
      </c>
      <c r="O57" s="4" t="str">
        <f>IF(XS_Designer_Bed_Mix!$J57&lt;=XS_Designer!$BN$92,XS_Designer!BE$92,"")</f>
        <v/>
      </c>
      <c r="P57" s="4" t="str">
        <f>IF(XS_Designer_Bed_Mix!$J57&lt;=XS_Designer!$BN$92,XS_Designer!BF$92,"")</f>
        <v/>
      </c>
      <c r="Q57" s="4" t="str">
        <f>IF(XS_Designer_Bed_Mix!$J57&lt;=XS_Designer!$BN$92,XS_Designer!BG$92,"")</f>
        <v/>
      </c>
      <c r="R57" s="4" t="str">
        <f>IF(XS_Designer_Bed_Mix!$J57&lt;=XS_Designer!$BN$92,XS_Designer!BH$92,"")</f>
        <v/>
      </c>
      <c r="S57" s="4" t="str">
        <f>IF(XS_Designer_Bed_Mix!$J57&lt;=XS_Designer!$BN$92,XS_Designer!BI$92,"")</f>
        <v/>
      </c>
      <c r="T57" s="4" t="str">
        <f>IF(XS_Designer_Bed_Mix!$J57&lt;=XS_Designer!$BN$92,XS_Designer!BJ$92,"")</f>
        <v/>
      </c>
      <c r="U57" s="4" t="str">
        <f>IF(XS_Designer_Bed_Mix!$J57&lt;=XS_Designer!$BN$93,XS_Designer!BA$93,"")</f>
        <v/>
      </c>
      <c r="V57" s="4" t="str">
        <f>IF(XS_Designer_Bed_Mix!$J57&lt;=XS_Designer!$BN$93,XS_Designer!BB$93,"")</f>
        <v/>
      </c>
      <c r="W57" s="4" t="str">
        <f>IF(XS_Designer_Bed_Mix!$J57&lt;=XS_Designer!$BN$93,XS_Designer!BC$93,"")</f>
        <v/>
      </c>
      <c r="X57" s="4" t="str">
        <f>IF(XS_Designer_Bed_Mix!$J57&lt;=XS_Designer!$BN$93,XS_Designer!BD$93,"")</f>
        <v/>
      </c>
      <c r="Y57" s="4" t="str">
        <f>IF(XS_Designer_Bed_Mix!$J57&lt;=XS_Designer!$BN$93,XS_Designer!BE$93,"")</f>
        <v/>
      </c>
      <c r="Z57" s="4" t="str">
        <f>IF(XS_Designer_Bed_Mix!$J57&lt;=XS_Designer!$BN$93,XS_Designer!BF$93,"")</f>
        <v/>
      </c>
      <c r="AA57" s="4" t="str">
        <f>IF(XS_Designer_Bed_Mix!$J57&lt;=XS_Designer!$BN$93,XS_Designer!BG$93,"")</f>
        <v/>
      </c>
      <c r="AB57" s="4" t="str">
        <f>IF(XS_Designer_Bed_Mix!$J57&lt;=XS_Designer!$BN$93,XS_Designer!BH$93,"")</f>
        <v/>
      </c>
      <c r="AC57" s="4" t="str">
        <f>IF(XS_Designer_Bed_Mix!$J57&lt;=XS_Designer!$BN$93,XS_Designer!BI$93,"")</f>
        <v/>
      </c>
      <c r="AD57" s="4" t="str">
        <f>IF(XS_Designer_Bed_Mix!$J57&lt;=XS_Designer!$BN$93,XS_Designer!BJ$93,"")</f>
        <v/>
      </c>
      <c r="AE57" s="4" t="str">
        <f>IF(XS_Designer_Bed_Mix!$J57&lt;=XS_Designer!$BN$94,XS_Designer!BA$94,"")</f>
        <v/>
      </c>
      <c r="AF57" s="4" t="str">
        <f>IF(XS_Designer_Bed_Mix!$J57&lt;=XS_Designer!$BN$94,XS_Designer!BB$94,"")</f>
        <v/>
      </c>
      <c r="AG57" s="4" t="str">
        <f>IF(XS_Designer_Bed_Mix!$J57&lt;=XS_Designer!$BN$94,XS_Designer!BC$94,"")</f>
        <v/>
      </c>
      <c r="AH57" s="4" t="str">
        <f>IF(XS_Designer_Bed_Mix!$J57&lt;=XS_Designer!$BN$94,XS_Designer!BD$94,"")</f>
        <v/>
      </c>
      <c r="AI57" s="4" t="str">
        <f>IF(XS_Designer_Bed_Mix!$J57&lt;=XS_Designer!$BN$94,XS_Designer!BE$94,"")</f>
        <v/>
      </c>
      <c r="AJ57" s="4" t="str">
        <f>IF(XS_Designer_Bed_Mix!$J57&lt;=XS_Designer!$BN$94,XS_Designer!BF$94,"")</f>
        <v/>
      </c>
      <c r="AK57" s="4" t="str">
        <f>IF(XS_Designer_Bed_Mix!$J57&lt;=XS_Designer!$BN$94,XS_Designer!BG$94,"")</f>
        <v/>
      </c>
      <c r="AL57" s="4" t="str">
        <f>IF(XS_Designer_Bed_Mix!$J57&lt;=XS_Designer!$BN$94,XS_Designer!BH$94,"")</f>
        <v/>
      </c>
      <c r="AM57" s="4" t="str">
        <f>IF(XS_Designer_Bed_Mix!$J57&lt;=XS_Designer!$BN$94,XS_Designer!BI$94,"")</f>
        <v/>
      </c>
      <c r="AN57" s="4" t="str">
        <f>IF(XS_Designer_Bed_Mix!$J57&lt;=XS_Designer!$BN$94,XS_Designer!BJ$94,"")</f>
        <v/>
      </c>
      <c r="AO57" s="4" t="str">
        <f>IF(XS_Designer_Bed_Mix!$J57&lt;=XS_Designer!$BN$95,XS_Designer!BA$95,"")</f>
        <v/>
      </c>
      <c r="AP57" s="4" t="str">
        <f>IF(XS_Designer_Bed_Mix!$J57&lt;=XS_Designer!$BN$95,XS_Designer!BB$95,"")</f>
        <v/>
      </c>
      <c r="AQ57" s="4" t="str">
        <f>IF(XS_Designer_Bed_Mix!$J57&lt;=XS_Designer!$BN$95,XS_Designer!BC$95,"")</f>
        <v/>
      </c>
      <c r="AR57" s="4" t="str">
        <f>IF(XS_Designer_Bed_Mix!$J57&lt;=XS_Designer!$BN$95,XS_Designer!BD$95,"")</f>
        <v/>
      </c>
      <c r="AS57" s="4" t="str">
        <f>IF(XS_Designer_Bed_Mix!$J57&lt;=XS_Designer!$BN$95,XS_Designer!BE$95,"")</f>
        <v/>
      </c>
      <c r="AT57" s="4" t="str">
        <f>IF(XS_Designer_Bed_Mix!$J57&lt;=XS_Designer!$BN$95,XS_Designer!BF$95,"")</f>
        <v/>
      </c>
      <c r="AU57" s="4" t="str">
        <f>IF(XS_Designer_Bed_Mix!$J57&lt;=XS_Designer!$BN$95,XS_Designer!BG$95,"")</f>
        <v/>
      </c>
      <c r="AV57" s="4" t="str">
        <f>IF(XS_Designer_Bed_Mix!$J57&lt;=XS_Designer!$BN$95,XS_Designer!BH$95,"")</f>
        <v/>
      </c>
      <c r="AW57" s="4" t="str">
        <f>IF(XS_Designer_Bed_Mix!$J57&lt;=XS_Designer!$BN$95,XS_Designer!BI$95,"")</f>
        <v/>
      </c>
      <c r="AX57" s="4" t="str">
        <f>IF(XS_Designer_Bed_Mix!$J57&lt;=XS_Designer!$BN$95,XS_Designer!BJ$95,"")</f>
        <v/>
      </c>
      <c r="AY57" s="4" t="str">
        <f>IF(XS_Designer_Bed_Mix!$J57&lt;=XS_Designer!$BN$96,XS_Designer!BA$96,"")</f>
        <v/>
      </c>
      <c r="AZ57" s="4" t="str">
        <f>IF(XS_Designer_Bed_Mix!$J57&lt;=XS_Designer!$BN$96,XS_Designer!BB$96,"")</f>
        <v/>
      </c>
      <c r="BA57" s="4" t="str">
        <f>IF(XS_Designer_Bed_Mix!$J57&lt;=XS_Designer!$BN$96,XS_Designer!BC$96,"")</f>
        <v/>
      </c>
      <c r="BB57" s="4" t="str">
        <f>IF(XS_Designer_Bed_Mix!$J57&lt;=XS_Designer!$BN$96,XS_Designer!BD$96,"")</f>
        <v/>
      </c>
      <c r="BC57" s="4" t="str">
        <f>IF(XS_Designer_Bed_Mix!$J57&lt;=XS_Designer!$BN$96,XS_Designer!BE$96,"")</f>
        <v/>
      </c>
      <c r="BD57" s="4" t="str">
        <f>IF(XS_Designer_Bed_Mix!$J57&lt;=XS_Designer!$BN$96,XS_Designer!BF$96,"")</f>
        <v/>
      </c>
      <c r="BE57" s="4" t="str">
        <f>IF(XS_Designer_Bed_Mix!$J57&lt;=XS_Designer!$BN$96,XS_Designer!BG$96,"")</f>
        <v/>
      </c>
      <c r="BF57" s="4" t="str">
        <f>IF(XS_Designer_Bed_Mix!$J57&lt;=XS_Designer!$BN$96,XS_Designer!BH$96,"")</f>
        <v/>
      </c>
      <c r="BG57" s="4" t="str">
        <f>IF(XS_Designer_Bed_Mix!$J57&lt;=XS_Designer!$BN$96,XS_Designer!BI$96,"")</f>
        <v/>
      </c>
      <c r="BH57" s="4" t="str">
        <f>IF(XS_Designer_Bed_Mix!$J57&lt;=XS_Designer!$BN$96,XS_Designer!BJ$96,"")</f>
        <v/>
      </c>
      <c r="BI57" s="4" t="str">
        <f>IF(XS_Designer_Bed_Mix!$J57&lt;=XS_Designer!$BN$97,XS_Designer!BA$97,"")</f>
        <v/>
      </c>
      <c r="BJ57" s="4" t="str">
        <f>IF(XS_Designer_Bed_Mix!$J57&lt;=XS_Designer!$BN$97,XS_Designer!BB$97,"")</f>
        <v/>
      </c>
      <c r="BK57" s="4" t="str">
        <f>IF(XS_Designer_Bed_Mix!$J57&lt;=XS_Designer!$BN$97,XS_Designer!BC$97,"")</f>
        <v/>
      </c>
      <c r="BL57" s="4" t="str">
        <f>IF(XS_Designer_Bed_Mix!$J57&lt;=XS_Designer!$BN$97,XS_Designer!BD$97,"")</f>
        <v/>
      </c>
      <c r="BM57" s="4" t="str">
        <f>IF(XS_Designer_Bed_Mix!$J57&lt;=XS_Designer!$BN$97,XS_Designer!BE$97,"")</f>
        <v/>
      </c>
      <c r="BN57" s="4" t="str">
        <f>IF(XS_Designer_Bed_Mix!$J57&lt;=XS_Designer!$BN$97,XS_Designer!BF$97,"")</f>
        <v/>
      </c>
      <c r="BO57" s="4" t="str">
        <f>IF(XS_Designer_Bed_Mix!$J57&lt;=XS_Designer!$BN$97,XS_Designer!BG$97,"")</f>
        <v/>
      </c>
      <c r="BP57" s="4" t="str">
        <f>IF(XS_Designer_Bed_Mix!$J57&lt;=XS_Designer!$BN$97,XS_Designer!BH$97,"")</f>
        <v/>
      </c>
      <c r="BQ57" s="4" t="str">
        <f>IF(XS_Designer_Bed_Mix!$J57&lt;=XS_Designer!$BN$97,XS_Designer!BI$97,"")</f>
        <v/>
      </c>
      <c r="BR57" s="4" t="str">
        <f>IF(XS_Designer_Bed_Mix!$J57&lt;=XS_Designer!$BN$97,XS_Designer!BJ$97,"")</f>
        <v/>
      </c>
      <c r="BS57" s="4" t="str">
        <f>IF(XS_Designer_Bed_Mix!$J57&lt;=XS_Designer!$BN$98,XS_Designer!BA$98,"")</f>
        <v/>
      </c>
      <c r="BT57" s="4" t="str">
        <f>IF(XS_Designer_Bed_Mix!$J57&lt;=XS_Designer!$BN$98,XS_Designer!BB$98,"")</f>
        <v/>
      </c>
      <c r="BU57" s="4" t="str">
        <f>IF(XS_Designer_Bed_Mix!$J57&lt;=XS_Designer!$BN$98,XS_Designer!BC$98,"")</f>
        <v/>
      </c>
      <c r="BV57" s="4" t="str">
        <f>IF(XS_Designer_Bed_Mix!$J57&lt;=XS_Designer!$BN$98,XS_Designer!BD$98,"")</f>
        <v/>
      </c>
      <c r="BW57" s="4" t="str">
        <f>IF(XS_Designer_Bed_Mix!$J57&lt;=XS_Designer!$BN$98,XS_Designer!BE$98,"")</f>
        <v/>
      </c>
      <c r="BX57" s="4" t="str">
        <f>IF(XS_Designer_Bed_Mix!$J57&lt;=XS_Designer!$BN$98,XS_Designer!BF$98,"")</f>
        <v/>
      </c>
      <c r="BY57" s="4" t="str">
        <f>IF(XS_Designer_Bed_Mix!$J57&lt;=XS_Designer!$BN$98,XS_Designer!BG$98,"")</f>
        <v/>
      </c>
      <c r="BZ57" s="4" t="str">
        <f>IF(XS_Designer_Bed_Mix!$J57&lt;=XS_Designer!$BN$98,XS_Designer!BH$98,"")</f>
        <v/>
      </c>
      <c r="CA57" s="4" t="str">
        <f>IF(XS_Designer_Bed_Mix!$J57&lt;=XS_Designer!$BN$98,XS_Designer!BI$98,"")</f>
        <v/>
      </c>
      <c r="CB57" s="4" t="str">
        <f>IF(XS_Designer_Bed_Mix!$J57&lt;=XS_Designer!$BN$98,XS_Designer!BJ$98,"")</f>
        <v/>
      </c>
      <c r="CC57" s="4" t="str">
        <f>IF(XS_Designer_Bed_Mix!$J57&lt;=XS_Designer!$BN$99,XS_Designer!BA$99,"")</f>
        <v/>
      </c>
      <c r="CD57" s="4" t="str">
        <f>IF(XS_Designer_Bed_Mix!$J57&lt;=XS_Designer!$BN$99,XS_Designer!BB$99,"")</f>
        <v/>
      </c>
      <c r="CE57" s="4" t="str">
        <f>IF(XS_Designer_Bed_Mix!$J57&lt;=XS_Designer!$BN$99,XS_Designer!BC$99,"")</f>
        <v/>
      </c>
      <c r="CF57" s="4" t="str">
        <f>IF(XS_Designer_Bed_Mix!$J57&lt;=XS_Designer!$BN$99,XS_Designer!BD$99,"")</f>
        <v/>
      </c>
      <c r="CG57" s="4" t="str">
        <f>IF(XS_Designer_Bed_Mix!$J57&lt;=XS_Designer!$BN$99,XS_Designer!BE$99,"")</f>
        <v/>
      </c>
      <c r="CH57" s="4" t="str">
        <f>IF(XS_Designer_Bed_Mix!$J57&lt;=XS_Designer!$BN$99,XS_Designer!BF$99,"")</f>
        <v/>
      </c>
      <c r="CI57" s="4" t="str">
        <f>IF(XS_Designer_Bed_Mix!$J57&lt;=XS_Designer!$BN$99,XS_Designer!BG$99,"")</f>
        <v/>
      </c>
      <c r="CJ57" s="4" t="str">
        <f>IF(XS_Designer_Bed_Mix!$J57&lt;=XS_Designer!$BN$99,XS_Designer!BH$99,"")</f>
        <v/>
      </c>
      <c r="CK57" s="4" t="str">
        <f>IF(XS_Designer_Bed_Mix!$J57&lt;=XS_Designer!$BN$99,XS_Designer!BI$99,"")</f>
        <v/>
      </c>
      <c r="CL57" s="4" t="str">
        <f>IF(XS_Designer_Bed_Mix!$J57&lt;=XS_Designer!$BN$99,XS_Designer!BJ$99,"")</f>
        <v/>
      </c>
      <c r="CM57" s="4" t="str">
        <f>IF(XS_Designer_Bed_Mix!$J57&lt;=XS_Designer!$BN$100,XS_Designer!BA$100,"")</f>
        <v/>
      </c>
      <c r="CN57" s="4" t="str">
        <f>IF(XS_Designer_Bed_Mix!$J57&lt;=XS_Designer!$BN$100,XS_Designer!BB$100,"")</f>
        <v/>
      </c>
      <c r="CO57" s="4" t="str">
        <f>IF(XS_Designer_Bed_Mix!$J57&lt;=XS_Designer!$BN$100,XS_Designer!BC$100,"")</f>
        <v/>
      </c>
      <c r="CP57" s="4" t="str">
        <f>IF(XS_Designer_Bed_Mix!$J57&lt;=XS_Designer!$BN$100,XS_Designer!BD$100,"")</f>
        <v/>
      </c>
      <c r="CQ57" s="4" t="str">
        <f>IF(XS_Designer_Bed_Mix!$J57&lt;=XS_Designer!$BN$100,XS_Designer!BE$100,"")</f>
        <v/>
      </c>
      <c r="CR57" s="4" t="str">
        <f>IF(XS_Designer_Bed_Mix!$J57&lt;=XS_Designer!$BN$100,XS_Designer!BF$100,"")</f>
        <v/>
      </c>
      <c r="CS57" s="4" t="str">
        <f>IF(XS_Designer_Bed_Mix!$J57&lt;=XS_Designer!$BN$100,XS_Designer!BG$100,"")</f>
        <v/>
      </c>
      <c r="CT57" s="4" t="str">
        <f>IF(XS_Designer_Bed_Mix!$J57&lt;=XS_Designer!$BN$100,XS_Designer!BH$100,"")</f>
        <v/>
      </c>
      <c r="CU57" s="4" t="str">
        <f>IF(XS_Designer_Bed_Mix!$J57&lt;=XS_Designer!$BN$100,XS_Designer!BI$100,"")</f>
        <v/>
      </c>
      <c r="CV57" s="4" t="str">
        <f>IF(XS_Designer_Bed_Mix!$J57&lt;=XS_Designer!$BN$100,XS_Designer!BJ$100,"")</f>
        <v/>
      </c>
      <c r="CW57" s="4" t="str">
        <f>IF(XS_Designer_Bed_Mix!$J57&lt;=XS_Designer!$BN$101,XS_Designer!BA$101,"")</f>
        <v/>
      </c>
      <c r="CX57" s="4" t="str">
        <f>IF(XS_Designer_Bed_Mix!$J57&lt;=XS_Designer!$BN$101,XS_Designer!BB$101,"")</f>
        <v/>
      </c>
      <c r="CY57" s="4" t="str">
        <f>IF(XS_Designer_Bed_Mix!$J57&lt;=XS_Designer!$BN$101,XS_Designer!BC$101,"")</f>
        <v/>
      </c>
      <c r="CZ57" s="4" t="str">
        <f>IF(XS_Designer_Bed_Mix!$J57&lt;=XS_Designer!$BN$101,XS_Designer!BD$101,"")</f>
        <v/>
      </c>
      <c r="DA57" s="4" t="str">
        <f>IF(XS_Designer_Bed_Mix!$J57&lt;=XS_Designer!$BN$101,XS_Designer!BE$101,"")</f>
        <v/>
      </c>
      <c r="DB57" s="4" t="str">
        <f>IF(XS_Designer_Bed_Mix!$J57&lt;=XS_Designer!$BN$101,XS_Designer!BF$101,"")</f>
        <v/>
      </c>
      <c r="DC57" s="4" t="str">
        <f>IF(XS_Designer_Bed_Mix!$J57&lt;=XS_Designer!$BN$101,XS_Designer!BG$101,"")</f>
        <v/>
      </c>
      <c r="DD57" s="4" t="str">
        <f>IF(XS_Designer_Bed_Mix!$J57&lt;=XS_Designer!$BN$101,XS_Designer!BH$101,"")</f>
        <v/>
      </c>
      <c r="DE57" s="4" t="str">
        <f>IF(XS_Designer_Bed_Mix!$J57&lt;=XS_Designer!$BN$101,XS_Designer!BI$101,"")</f>
        <v/>
      </c>
      <c r="DF57" s="4" t="str">
        <f>IF(XS_Designer_Bed_Mix!$J57&lt;=XS_Designer!$BN$101,XS_Designer!BJ$101,"")</f>
        <v/>
      </c>
      <c r="DG57" s="4" t="str">
        <f>IF(XS_Designer_Bed_Mix!$J57&lt;=XS_Designer!$BN$102,XS_Designer!BA$102,"")</f>
        <v/>
      </c>
      <c r="DH57" s="4" t="str">
        <f>IF(XS_Designer_Bed_Mix!$J57&lt;=XS_Designer!$BN$102,XS_Designer!BB$102,"")</f>
        <v/>
      </c>
      <c r="DI57" s="4" t="str">
        <f>IF(XS_Designer_Bed_Mix!$J57&lt;=XS_Designer!$BN$102,XS_Designer!BC$102,"")</f>
        <v/>
      </c>
      <c r="DJ57" s="4" t="str">
        <f>IF(XS_Designer_Bed_Mix!$J57&lt;=XS_Designer!$BN$102,XS_Designer!BD$102,"")</f>
        <v/>
      </c>
      <c r="DK57" s="4" t="str">
        <f>IF(XS_Designer_Bed_Mix!$J57&lt;=XS_Designer!$BN$102,XS_Designer!BE$102,"")</f>
        <v/>
      </c>
      <c r="DL57" s="4" t="str">
        <f>IF(XS_Designer_Bed_Mix!$J57&lt;=XS_Designer!$BN$102,XS_Designer!BF$102,"")</f>
        <v/>
      </c>
      <c r="DM57" s="4" t="str">
        <f>IF(XS_Designer_Bed_Mix!$J57&lt;=XS_Designer!$BN$102,XS_Designer!BG$102,"")</f>
        <v/>
      </c>
      <c r="DN57" s="4" t="str">
        <f>IF(XS_Designer_Bed_Mix!$J57&lt;=XS_Designer!$BN$102,XS_Designer!BH$102,"")</f>
        <v/>
      </c>
      <c r="DO57" s="4" t="str">
        <f>IF(XS_Designer_Bed_Mix!$J57&lt;=XS_Designer!$BN$102,XS_Designer!BI$102,"")</f>
        <v/>
      </c>
      <c r="DP57" s="4" t="str">
        <f>IF(XS_Designer_Bed_Mix!$J57&lt;=XS_Designer!$BN$102,XS_Designer!BJ$102,"")</f>
        <v/>
      </c>
    </row>
    <row r="58" spans="10:120">
      <c r="J58" s="3">
        <v>0.56999999999999995</v>
      </c>
      <c r="K58" s="4" t="str">
        <f>IF(XS_Designer_Bed_Mix!$J58&lt;=XS_Designer!$BN$92,XS_Designer!BA$92,"")</f>
        <v/>
      </c>
      <c r="L58" s="4" t="str">
        <f>IF(XS_Designer_Bed_Mix!$J58&lt;=XS_Designer!$BN$92,XS_Designer!BB$92,"")</f>
        <v/>
      </c>
      <c r="M58" s="4" t="str">
        <f>IF(XS_Designer_Bed_Mix!$J58&lt;=XS_Designer!$BN$92,XS_Designer!BC$92,"")</f>
        <v/>
      </c>
      <c r="N58" s="4" t="str">
        <f>IF(XS_Designer_Bed_Mix!$J58&lt;=XS_Designer!$BN$92,XS_Designer!BD$92,"")</f>
        <v/>
      </c>
      <c r="O58" s="4" t="str">
        <f>IF(XS_Designer_Bed_Mix!$J58&lt;=XS_Designer!$BN$92,XS_Designer!BE$92,"")</f>
        <v/>
      </c>
      <c r="P58" s="4" t="str">
        <f>IF(XS_Designer_Bed_Mix!$J58&lt;=XS_Designer!$BN$92,XS_Designer!BF$92,"")</f>
        <v/>
      </c>
      <c r="Q58" s="4" t="str">
        <f>IF(XS_Designer_Bed_Mix!$J58&lt;=XS_Designer!$BN$92,XS_Designer!BG$92,"")</f>
        <v/>
      </c>
      <c r="R58" s="4" t="str">
        <f>IF(XS_Designer_Bed_Mix!$J58&lt;=XS_Designer!$BN$92,XS_Designer!BH$92,"")</f>
        <v/>
      </c>
      <c r="S58" s="4" t="str">
        <f>IF(XS_Designer_Bed_Mix!$J58&lt;=XS_Designer!$BN$92,XS_Designer!BI$92,"")</f>
        <v/>
      </c>
      <c r="T58" s="4" t="str">
        <f>IF(XS_Designer_Bed_Mix!$J58&lt;=XS_Designer!$BN$92,XS_Designer!BJ$92,"")</f>
        <v/>
      </c>
      <c r="U58" s="4" t="str">
        <f>IF(XS_Designer_Bed_Mix!$J58&lt;=XS_Designer!$BN$93,XS_Designer!BA$93,"")</f>
        <v/>
      </c>
      <c r="V58" s="4" t="str">
        <f>IF(XS_Designer_Bed_Mix!$J58&lt;=XS_Designer!$BN$93,XS_Designer!BB$93,"")</f>
        <v/>
      </c>
      <c r="W58" s="4" t="str">
        <f>IF(XS_Designer_Bed_Mix!$J58&lt;=XS_Designer!$BN$93,XS_Designer!BC$93,"")</f>
        <v/>
      </c>
      <c r="X58" s="4" t="str">
        <f>IF(XS_Designer_Bed_Mix!$J58&lt;=XS_Designer!$BN$93,XS_Designer!BD$93,"")</f>
        <v/>
      </c>
      <c r="Y58" s="4" t="str">
        <f>IF(XS_Designer_Bed_Mix!$J58&lt;=XS_Designer!$BN$93,XS_Designer!BE$93,"")</f>
        <v/>
      </c>
      <c r="Z58" s="4" t="str">
        <f>IF(XS_Designer_Bed_Mix!$J58&lt;=XS_Designer!$BN$93,XS_Designer!BF$93,"")</f>
        <v/>
      </c>
      <c r="AA58" s="4" t="str">
        <f>IF(XS_Designer_Bed_Mix!$J58&lt;=XS_Designer!$BN$93,XS_Designer!BG$93,"")</f>
        <v/>
      </c>
      <c r="AB58" s="4" t="str">
        <f>IF(XS_Designer_Bed_Mix!$J58&lt;=XS_Designer!$BN$93,XS_Designer!BH$93,"")</f>
        <v/>
      </c>
      <c r="AC58" s="4" t="str">
        <f>IF(XS_Designer_Bed_Mix!$J58&lt;=XS_Designer!$BN$93,XS_Designer!BI$93,"")</f>
        <v/>
      </c>
      <c r="AD58" s="4" t="str">
        <f>IF(XS_Designer_Bed_Mix!$J58&lt;=XS_Designer!$BN$93,XS_Designer!BJ$93,"")</f>
        <v/>
      </c>
      <c r="AE58" s="4" t="str">
        <f>IF(XS_Designer_Bed_Mix!$J58&lt;=XS_Designer!$BN$94,XS_Designer!BA$94,"")</f>
        <v/>
      </c>
      <c r="AF58" s="4" t="str">
        <f>IF(XS_Designer_Bed_Mix!$J58&lt;=XS_Designer!$BN$94,XS_Designer!BB$94,"")</f>
        <v/>
      </c>
      <c r="AG58" s="4" t="str">
        <f>IF(XS_Designer_Bed_Mix!$J58&lt;=XS_Designer!$BN$94,XS_Designer!BC$94,"")</f>
        <v/>
      </c>
      <c r="AH58" s="4" t="str">
        <f>IF(XS_Designer_Bed_Mix!$J58&lt;=XS_Designer!$BN$94,XS_Designer!BD$94,"")</f>
        <v/>
      </c>
      <c r="AI58" s="4" t="str">
        <f>IF(XS_Designer_Bed_Mix!$J58&lt;=XS_Designer!$BN$94,XS_Designer!BE$94,"")</f>
        <v/>
      </c>
      <c r="AJ58" s="4" t="str">
        <f>IF(XS_Designer_Bed_Mix!$J58&lt;=XS_Designer!$BN$94,XS_Designer!BF$94,"")</f>
        <v/>
      </c>
      <c r="AK58" s="4" t="str">
        <f>IF(XS_Designer_Bed_Mix!$J58&lt;=XS_Designer!$BN$94,XS_Designer!BG$94,"")</f>
        <v/>
      </c>
      <c r="AL58" s="4" t="str">
        <f>IF(XS_Designer_Bed_Mix!$J58&lt;=XS_Designer!$BN$94,XS_Designer!BH$94,"")</f>
        <v/>
      </c>
      <c r="AM58" s="4" t="str">
        <f>IF(XS_Designer_Bed_Mix!$J58&lt;=XS_Designer!$BN$94,XS_Designer!BI$94,"")</f>
        <v/>
      </c>
      <c r="AN58" s="4" t="str">
        <f>IF(XS_Designer_Bed_Mix!$J58&lt;=XS_Designer!$BN$94,XS_Designer!BJ$94,"")</f>
        <v/>
      </c>
      <c r="AO58" s="4" t="str">
        <f>IF(XS_Designer_Bed_Mix!$J58&lt;=XS_Designer!$BN$95,XS_Designer!BA$95,"")</f>
        <v/>
      </c>
      <c r="AP58" s="4" t="str">
        <f>IF(XS_Designer_Bed_Mix!$J58&lt;=XS_Designer!$BN$95,XS_Designer!BB$95,"")</f>
        <v/>
      </c>
      <c r="AQ58" s="4" t="str">
        <f>IF(XS_Designer_Bed_Mix!$J58&lt;=XS_Designer!$BN$95,XS_Designer!BC$95,"")</f>
        <v/>
      </c>
      <c r="AR58" s="4" t="str">
        <f>IF(XS_Designer_Bed_Mix!$J58&lt;=XS_Designer!$BN$95,XS_Designer!BD$95,"")</f>
        <v/>
      </c>
      <c r="AS58" s="4" t="str">
        <f>IF(XS_Designer_Bed_Mix!$J58&lt;=XS_Designer!$BN$95,XS_Designer!BE$95,"")</f>
        <v/>
      </c>
      <c r="AT58" s="4" t="str">
        <f>IF(XS_Designer_Bed_Mix!$J58&lt;=XS_Designer!$BN$95,XS_Designer!BF$95,"")</f>
        <v/>
      </c>
      <c r="AU58" s="4" t="str">
        <f>IF(XS_Designer_Bed_Mix!$J58&lt;=XS_Designer!$BN$95,XS_Designer!BG$95,"")</f>
        <v/>
      </c>
      <c r="AV58" s="4" t="str">
        <f>IF(XS_Designer_Bed_Mix!$J58&lt;=XS_Designer!$BN$95,XS_Designer!BH$95,"")</f>
        <v/>
      </c>
      <c r="AW58" s="4" t="str">
        <f>IF(XS_Designer_Bed_Mix!$J58&lt;=XS_Designer!$BN$95,XS_Designer!BI$95,"")</f>
        <v/>
      </c>
      <c r="AX58" s="4" t="str">
        <f>IF(XS_Designer_Bed_Mix!$J58&lt;=XS_Designer!$BN$95,XS_Designer!BJ$95,"")</f>
        <v/>
      </c>
      <c r="AY58" s="4" t="str">
        <f>IF(XS_Designer_Bed_Mix!$J58&lt;=XS_Designer!$BN$96,XS_Designer!BA$96,"")</f>
        <v/>
      </c>
      <c r="AZ58" s="4" t="str">
        <f>IF(XS_Designer_Bed_Mix!$J58&lt;=XS_Designer!$BN$96,XS_Designer!BB$96,"")</f>
        <v/>
      </c>
      <c r="BA58" s="4" t="str">
        <f>IF(XS_Designer_Bed_Mix!$J58&lt;=XS_Designer!$BN$96,XS_Designer!BC$96,"")</f>
        <v/>
      </c>
      <c r="BB58" s="4" t="str">
        <f>IF(XS_Designer_Bed_Mix!$J58&lt;=XS_Designer!$BN$96,XS_Designer!BD$96,"")</f>
        <v/>
      </c>
      <c r="BC58" s="4" t="str">
        <f>IF(XS_Designer_Bed_Mix!$J58&lt;=XS_Designer!$BN$96,XS_Designer!BE$96,"")</f>
        <v/>
      </c>
      <c r="BD58" s="4" t="str">
        <f>IF(XS_Designer_Bed_Mix!$J58&lt;=XS_Designer!$BN$96,XS_Designer!BF$96,"")</f>
        <v/>
      </c>
      <c r="BE58" s="4" t="str">
        <f>IF(XS_Designer_Bed_Mix!$J58&lt;=XS_Designer!$BN$96,XS_Designer!BG$96,"")</f>
        <v/>
      </c>
      <c r="BF58" s="4" t="str">
        <f>IF(XS_Designer_Bed_Mix!$J58&lt;=XS_Designer!$BN$96,XS_Designer!BH$96,"")</f>
        <v/>
      </c>
      <c r="BG58" s="4" t="str">
        <f>IF(XS_Designer_Bed_Mix!$J58&lt;=XS_Designer!$BN$96,XS_Designer!BI$96,"")</f>
        <v/>
      </c>
      <c r="BH58" s="4" t="str">
        <f>IF(XS_Designer_Bed_Mix!$J58&lt;=XS_Designer!$BN$96,XS_Designer!BJ$96,"")</f>
        <v/>
      </c>
      <c r="BI58" s="4" t="str">
        <f>IF(XS_Designer_Bed_Mix!$J58&lt;=XS_Designer!$BN$97,XS_Designer!BA$97,"")</f>
        <v/>
      </c>
      <c r="BJ58" s="4" t="str">
        <f>IF(XS_Designer_Bed_Mix!$J58&lt;=XS_Designer!$BN$97,XS_Designer!BB$97,"")</f>
        <v/>
      </c>
      <c r="BK58" s="4" t="str">
        <f>IF(XS_Designer_Bed_Mix!$J58&lt;=XS_Designer!$BN$97,XS_Designer!BC$97,"")</f>
        <v/>
      </c>
      <c r="BL58" s="4" t="str">
        <f>IF(XS_Designer_Bed_Mix!$J58&lt;=XS_Designer!$BN$97,XS_Designer!BD$97,"")</f>
        <v/>
      </c>
      <c r="BM58" s="4" t="str">
        <f>IF(XS_Designer_Bed_Mix!$J58&lt;=XS_Designer!$BN$97,XS_Designer!BE$97,"")</f>
        <v/>
      </c>
      <c r="BN58" s="4" t="str">
        <f>IF(XS_Designer_Bed_Mix!$J58&lt;=XS_Designer!$BN$97,XS_Designer!BF$97,"")</f>
        <v/>
      </c>
      <c r="BO58" s="4" t="str">
        <f>IF(XS_Designer_Bed_Mix!$J58&lt;=XS_Designer!$BN$97,XS_Designer!BG$97,"")</f>
        <v/>
      </c>
      <c r="BP58" s="4" t="str">
        <f>IF(XS_Designer_Bed_Mix!$J58&lt;=XS_Designer!$BN$97,XS_Designer!BH$97,"")</f>
        <v/>
      </c>
      <c r="BQ58" s="4" t="str">
        <f>IF(XS_Designer_Bed_Mix!$J58&lt;=XS_Designer!$BN$97,XS_Designer!BI$97,"")</f>
        <v/>
      </c>
      <c r="BR58" s="4" t="str">
        <f>IF(XS_Designer_Bed_Mix!$J58&lt;=XS_Designer!$BN$97,XS_Designer!BJ$97,"")</f>
        <v/>
      </c>
      <c r="BS58" s="4" t="str">
        <f>IF(XS_Designer_Bed_Mix!$J58&lt;=XS_Designer!$BN$98,XS_Designer!BA$98,"")</f>
        <v/>
      </c>
      <c r="BT58" s="4" t="str">
        <f>IF(XS_Designer_Bed_Mix!$J58&lt;=XS_Designer!$BN$98,XS_Designer!BB$98,"")</f>
        <v/>
      </c>
      <c r="BU58" s="4" t="str">
        <f>IF(XS_Designer_Bed_Mix!$J58&lt;=XS_Designer!$BN$98,XS_Designer!BC$98,"")</f>
        <v/>
      </c>
      <c r="BV58" s="4" t="str">
        <f>IF(XS_Designer_Bed_Mix!$J58&lt;=XS_Designer!$BN$98,XS_Designer!BD$98,"")</f>
        <v/>
      </c>
      <c r="BW58" s="4" t="str">
        <f>IF(XS_Designer_Bed_Mix!$J58&lt;=XS_Designer!$BN$98,XS_Designer!BE$98,"")</f>
        <v/>
      </c>
      <c r="BX58" s="4" t="str">
        <f>IF(XS_Designer_Bed_Mix!$J58&lt;=XS_Designer!$BN$98,XS_Designer!BF$98,"")</f>
        <v/>
      </c>
      <c r="BY58" s="4" t="str">
        <f>IF(XS_Designer_Bed_Mix!$J58&lt;=XS_Designer!$BN$98,XS_Designer!BG$98,"")</f>
        <v/>
      </c>
      <c r="BZ58" s="4" t="str">
        <f>IF(XS_Designer_Bed_Mix!$J58&lt;=XS_Designer!$BN$98,XS_Designer!BH$98,"")</f>
        <v/>
      </c>
      <c r="CA58" s="4" t="str">
        <f>IF(XS_Designer_Bed_Mix!$J58&lt;=XS_Designer!$BN$98,XS_Designer!BI$98,"")</f>
        <v/>
      </c>
      <c r="CB58" s="4" t="str">
        <f>IF(XS_Designer_Bed_Mix!$J58&lt;=XS_Designer!$BN$98,XS_Designer!BJ$98,"")</f>
        <v/>
      </c>
      <c r="CC58" s="4" t="str">
        <f>IF(XS_Designer_Bed_Mix!$J58&lt;=XS_Designer!$BN$99,XS_Designer!BA$99,"")</f>
        <v/>
      </c>
      <c r="CD58" s="4" t="str">
        <f>IF(XS_Designer_Bed_Mix!$J58&lt;=XS_Designer!$BN$99,XS_Designer!BB$99,"")</f>
        <v/>
      </c>
      <c r="CE58" s="4" t="str">
        <f>IF(XS_Designer_Bed_Mix!$J58&lt;=XS_Designer!$BN$99,XS_Designer!BC$99,"")</f>
        <v/>
      </c>
      <c r="CF58" s="4" t="str">
        <f>IF(XS_Designer_Bed_Mix!$J58&lt;=XS_Designer!$BN$99,XS_Designer!BD$99,"")</f>
        <v/>
      </c>
      <c r="CG58" s="4" t="str">
        <f>IF(XS_Designer_Bed_Mix!$J58&lt;=XS_Designer!$BN$99,XS_Designer!BE$99,"")</f>
        <v/>
      </c>
      <c r="CH58" s="4" t="str">
        <f>IF(XS_Designer_Bed_Mix!$J58&lt;=XS_Designer!$BN$99,XS_Designer!BF$99,"")</f>
        <v/>
      </c>
      <c r="CI58" s="4" t="str">
        <f>IF(XS_Designer_Bed_Mix!$J58&lt;=XS_Designer!$BN$99,XS_Designer!BG$99,"")</f>
        <v/>
      </c>
      <c r="CJ58" s="4" t="str">
        <f>IF(XS_Designer_Bed_Mix!$J58&lt;=XS_Designer!$BN$99,XS_Designer!BH$99,"")</f>
        <v/>
      </c>
      <c r="CK58" s="4" t="str">
        <f>IF(XS_Designer_Bed_Mix!$J58&lt;=XS_Designer!$BN$99,XS_Designer!BI$99,"")</f>
        <v/>
      </c>
      <c r="CL58" s="4" t="str">
        <f>IF(XS_Designer_Bed_Mix!$J58&lt;=XS_Designer!$BN$99,XS_Designer!BJ$99,"")</f>
        <v/>
      </c>
      <c r="CM58" s="4" t="str">
        <f>IF(XS_Designer_Bed_Mix!$J58&lt;=XS_Designer!$BN$100,XS_Designer!BA$100,"")</f>
        <v/>
      </c>
      <c r="CN58" s="4" t="str">
        <f>IF(XS_Designer_Bed_Mix!$J58&lt;=XS_Designer!$BN$100,XS_Designer!BB$100,"")</f>
        <v/>
      </c>
      <c r="CO58" s="4" t="str">
        <f>IF(XS_Designer_Bed_Mix!$J58&lt;=XS_Designer!$BN$100,XS_Designer!BC$100,"")</f>
        <v/>
      </c>
      <c r="CP58" s="4" t="str">
        <f>IF(XS_Designer_Bed_Mix!$J58&lt;=XS_Designer!$BN$100,XS_Designer!BD$100,"")</f>
        <v/>
      </c>
      <c r="CQ58" s="4" t="str">
        <f>IF(XS_Designer_Bed_Mix!$J58&lt;=XS_Designer!$BN$100,XS_Designer!BE$100,"")</f>
        <v/>
      </c>
      <c r="CR58" s="4" t="str">
        <f>IF(XS_Designer_Bed_Mix!$J58&lt;=XS_Designer!$BN$100,XS_Designer!BF$100,"")</f>
        <v/>
      </c>
      <c r="CS58" s="4" t="str">
        <f>IF(XS_Designer_Bed_Mix!$J58&lt;=XS_Designer!$BN$100,XS_Designer!BG$100,"")</f>
        <v/>
      </c>
      <c r="CT58" s="4" t="str">
        <f>IF(XS_Designer_Bed_Mix!$J58&lt;=XS_Designer!$BN$100,XS_Designer!BH$100,"")</f>
        <v/>
      </c>
      <c r="CU58" s="4" t="str">
        <f>IF(XS_Designer_Bed_Mix!$J58&lt;=XS_Designer!$BN$100,XS_Designer!BI$100,"")</f>
        <v/>
      </c>
      <c r="CV58" s="4" t="str">
        <f>IF(XS_Designer_Bed_Mix!$J58&lt;=XS_Designer!$BN$100,XS_Designer!BJ$100,"")</f>
        <v/>
      </c>
      <c r="CW58" s="4" t="str">
        <f>IF(XS_Designer_Bed_Mix!$J58&lt;=XS_Designer!$BN$101,XS_Designer!BA$101,"")</f>
        <v/>
      </c>
      <c r="CX58" s="4" t="str">
        <f>IF(XS_Designer_Bed_Mix!$J58&lt;=XS_Designer!$BN$101,XS_Designer!BB$101,"")</f>
        <v/>
      </c>
      <c r="CY58" s="4" t="str">
        <f>IF(XS_Designer_Bed_Mix!$J58&lt;=XS_Designer!$BN$101,XS_Designer!BC$101,"")</f>
        <v/>
      </c>
      <c r="CZ58" s="4" t="str">
        <f>IF(XS_Designer_Bed_Mix!$J58&lt;=XS_Designer!$BN$101,XS_Designer!BD$101,"")</f>
        <v/>
      </c>
      <c r="DA58" s="4" t="str">
        <f>IF(XS_Designer_Bed_Mix!$J58&lt;=XS_Designer!$BN$101,XS_Designer!BE$101,"")</f>
        <v/>
      </c>
      <c r="DB58" s="4" t="str">
        <f>IF(XS_Designer_Bed_Mix!$J58&lt;=XS_Designer!$BN$101,XS_Designer!BF$101,"")</f>
        <v/>
      </c>
      <c r="DC58" s="4" t="str">
        <f>IF(XS_Designer_Bed_Mix!$J58&lt;=XS_Designer!$BN$101,XS_Designer!BG$101,"")</f>
        <v/>
      </c>
      <c r="DD58" s="4" t="str">
        <f>IF(XS_Designer_Bed_Mix!$J58&lt;=XS_Designer!$BN$101,XS_Designer!BH$101,"")</f>
        <v/>
      </c>
      <c r="DE58" s="4" t="str">
        <f>IF(XS_Designer_Bed_Mix!$J58&lt;=XS_Designer!$BN$101,XS_Designer!BI$101,"")</f>
        <v/>
      </c>
      <c r="DF58" s="4" t="str">
        <f>IF(XS_Designer_Bed_Mix!$J58&lt;=XS_Designer!$BN$101,XS_Designer!BJ$101,"")</f>
        <v/>
      </c>
      <c r="DG58" s="4" t="str">
        <f>IF(XS_Designer_Bed_Mix!$J58&lt;=XS_Designer!$BN$102,XS_Designer!BA$102,"")</f>
        <v/>
      </c>
      <c r="DH58" s="4" t="str">
        <f>IF(XS_Designer_Bed_Mix!$J58&lt;=XS_Designer!$BN$102,XS_Designer!BB$102,"")</f>
        <v/>
      </c>
      <c r="DI58" s="4" t="str">
        <f>IF(XS_Designer_Bed_Mix!$J58&lt;=XS_Designer!$BN$102,XS_Designer!BC$102,"")</f>
        <v/>
      </c>
      <c r="DJ58" s="4" t="str">
        <f>IF(XS_Designer_Bed_Mix!$J58&lt;=XS_Designer!$BN$102,XS_Designer!BD$102,"")</f>
        <v/>
      </c>
      <c r="DK58" s="4" t="str">
        <f>IF(XS_Designer_Bed_Mix!$J58&lt;=XS_Designer!$BN$102,XS_Designer!BE$102,"")</f>
        <v/>
      </c>
      <c r="DL58" s="4" t="str">
        <f>IF(XS_Designer_Bed_Mix!$J58&lt;=XS_Designer!$BN$102,XS_Designer!BF$102,"")</f>
        <v/>
      </c>
      <c r="DM58" s="4" t="str">
        <f>IF(XS_Designer_Bed_Mix!$J58&lt;=XS_Designer!$BN$102,XS_Designer!BG$102,"")</f>
        <v/>
      </c>
      <c r="DN58" s="4" t="str">
        <f>IF(XS_Designer_Bed_Mix!$J58&lt;=XS_Designer!$BN$102,XS_Designer!BH$102,"")</f>
        <v/>
      </c>
      <c r="DO58" s="4" t="str">
        <f>IF(XS_Designer_Bed_Mix!$J58&lt;=XS_Designer!$BN$102,XS_Designer!BI$102,"")</f>
        <v/>
      </c>
      <c r="DP58" s="4" t="str">
        <f>IF(XS_Designer_Bed_Mix!$J58&lt;=XS_Designer!$BN$102,XS_Designer!BJ$102,"")</f>
        <v/>
      </c>
    </row>
    <row r="59" spans="10:120">
      <c r="J59" s="3">
        <v>0.57999999999999996</v>
      </c>
      <c r="K59" s="4" t="str">
        <f>IF(XS_Designer_Bed_Mix!$J59&lt;=XS_Designer!$BN$92,XS_Designer!BA$92,"")</f>
        <v/>
      </c>
      <c r="L59" s="4" t="str">
        <f>IF(XS_Designer_Bed_Mix!$J59&lt;=XS_Designer!$BN$92,XS_Designer!BB$92,"")</f>
        <v/>
      </c>
      <c r="M59" s="4" t="str">
        <f>IF(XS_Designer_Bed_Mix!$J59&lt;=XS_Designer!$BN$92,XS_Designer!BC$92,"")</f>
        <v/>
      </c>
      <c r="N59" s="4" t="str">
        <f>IF(XS_Designer_Bed_Mix!$J59&lt;=XS_Designer!$BN$92,XS_Designer!BD$92,"")</f>
        <v/>
      </c>
      <c r="O59" s="4" t="str">
        <f>IF(XS_Designer_Bed_Mix!$J59&lt;=XS_Designer!$BN$92,XS_Designer!BE$92,"")</f>
        <v/>
      </c>
      <c r="P59" s="4" t="str">
        <f>IF(XS_Designer_Bed_Mix!$J59&lt;=XS_Designer!$BN$92,XS_Designer!BF$92,"")</f>
        <v/>
      </c>
      <c r="Q59" s="4" t="str">
        <f>IF(XS_Designer_Bed_Mix!$J59&lt;=XS_Designer!$BN$92,XS_Designer!BG$92,"")</f>
        <v/>
      </c>
      <c r="R59" s="4" t="str">
        <f>IF(XS_Designer_Bed_Mix!$J59&lt;=XS_Designer!$BN$92,XS_Designer!BH$92,"")</f>
        <v/>
      </c>
      <c r="S59" s="4" t="str">
        <f>IF(XS_Designer_Bed_Mix!$J59&lt;=XS_Designer!$BN$92,XS_Designer!BI$92,"")</f>
        <v/>
      </c>
      <c r="T59" s="4" t="str">
        <f>IF(XS_Designer_Bed_Mix!$J59&lt;=XS_Designer!$BN$92,XS_Designer!BJ$92,"")</f>
        <v/>
      </c>
      <c r="U59" s="4" t="str">
        <f>IF(XS_Designer_Bed_Mix!$J59&lt;=XS_Designer!$BN$93,XS_Designer!BA$93,"")</f>
        <v/>
      </c>
      <c r="V59" s="4" t="str">
        <f>IF(XS_Designer_Bed_Mix!$J59&lt;=XS_Designer!$BN$93,XS_Designer!BB$93,"")</f>
        <v/>
      </c>
      <c r="W59" s="4" t="str">
        <f>IF(XS_Designer_Bed_Mix!$J59&lt;=XS_Designer!$BN$93,XS_Designer!BC$93,"")</f>
        <v/>
      </c>
      <c r="X59" s="4" t="str">
        <f>IF(XS_Designer_Bed_Mix!$J59&lt;=XS_Designer!$BN$93,XS_Designer!BD$93,"")</f>
        <v/>
      </c>
      <c r="Y59" s="4" t="str">
        <f>IF(XS_Designer_Bed_Mix!$J59&lt;=XS_Designer!$BN$93,XS_Designer!BE$93,"")</f>
        <v/>
      </c>
      <c r="Z59" s="4" t="str">
        <f>IF(XS_Designer_Bed_Mix!$J59&lt;=XS_Designer!$BN$93,XS_Designer!BF$93,"")</f>
        <v/>
      </c>
      <c r="AA59" s="4" t="str">
        <f>IF(XS_Designer_Bed_Mix!$J59&lt;=XS_Designer!$BN$93,XS_Designer!BG$93,"")</f>
        <v/>
      </c>
      <c r="AB59" s="4" t="str">
        <f>IF(XS_Designer_Bed_Mix!$J59&lt;=XS_Designer!$BN$93,XS_Designer!BH$93,"")</f>
        <v/>
      </c>
      <c r="AC59" s="4" t="str">
        <f>IF(XS_Designer_Bed_Mix!$J59&lt;=XS_Designer!$BN$93,XS_Designer!BI$93,"")</f>
        <v/>
      </c>
      <c r="AD59" s="4" t="str">
        <f>IF(XS_Designer_Bed_Mix!$J59&lt;=XS_Designer!$BN$93,XS_Designer!BJ$93,"")</f>
        <v/>
      </c>
      <c r="AE59" s="4" t="str">
        <f>IF(XS_Designer_Bed_Mix!$J59&lt;=XS_Designer!$BN$94,XS_Designer!BA$94,"")</f>
        <v/>
      </c>
      <c r="AF59" s="4" t="str">
        <f>IF(XS_Designer_Bed_Mix!$J59&lt;=XS_Designer!$BN$94,XS_Designer!BB$94,"")</f>
        <v/>
      </c>
      <c r="AG59" s="4" t="str">
        <f>IF(XS_Designer_Bed_Mix!$J59&lt;=XS_Designer!$BN$94,XS_Designer!BC$94,"")</f>
        <v/>
      </c>
      <c r="AH59" s="4" t="str">
        <f>IF(XS_Designer_Bed_Mix!$J59&lt;=XS_Designer!$BN$94,XS_Designer!BD$94,"")</f>
        <v/>
      </c>
      <c r="AI59" s="4" t="str">
        <f>IF(XS_Designer_Bed_Mix!$J59&lt;=XS_Designer!$BN$94,XS_Designer!BE$94,"")</f>
        <v/>
      </c>
      <c r="AJ59" s="4" t="str">
        <f>IF(XS_Designer_Bed_Mix!$J59&lt;=XS_Designer!$BN$94,XS_Designer!BF$94,"")</f>
        <v/>
      </c>
      <c r="AK59" s="4" t="str">
        <f>IF(XS_Designer_Bed_Mix!$J59&lt;=XS_Designer!$BN$94,XS_Designer!BG$94,"")</f>
        <v/>
      </c>
      <c r="AL59" s="4" t="str">
        <f>IF(XS_Designer_Bed_Mix!$J59&lt;=XS_Designer!$BN$94,XS_Designer!BH$94,"")</f>
        <v/>
      </c>
      <c r="AM59" s="4" t="str">
        <f>IF(XS_Designer_Bed_Mix!$J59&lt;=XS_Designer!$BN$94,XS_Designer!BI$94,"")</f>
        <v/>
      </c>
      <c r="AN59" s="4" t="str">
        <f>IF(XS_Designer_Bed_Mix!$J59&lt;=XS_Designer!$BN$94,XS_Designer!BJ$94,"")</f>
        <v/>
      </c>
      <c r="AO59" s="4" t="str">
        <f>IF(XS_Designer_Bed_Mix!$J59&lt;=XS_Designer!$BN$95,XS_Designer!BA$95,"")</f>
        <v/>
      </c>
      <c r="AP59" s="4" t="str">
        <f>IF(XS_Designer_Bed_Mix!$J59&lt;=XS_Designer!$BN$95,XS_Designer!BB$95,"")</f>
        <v/>
      </c>
      <c r="AQ59" s="4" t="str">
        <f>IF(XS_Designer_Bed_Mix!$J59&lt;=XS_Designer!$BN$95,XS_Designer!BC$95,"")</f>
        <v/>
      </c>
      <c r="AR59" s="4" t="str">
        <f>IF(XS_Designer_Bed_Mix!$J59&lt;=XS_Designer!$BN$95,XS_Designer!BD$95,"")</f>
        <v/>
      </c>
      <c r="AS59" s="4" t="str">
        <f>IF(XS_Designer_Bed_Mix!$J59&lt;=XS_Designer!$BN$95,XS_Designer!BE$95,"")</f>
        <v/>
      </c>
      <c r="AT59" s="4" t="str">
        <f>IF(XS_Designer_Bed_Mix!$J59&lt;=XS_Designer!$BN$95,XS_Designer!BF$95,"")</f>
        <v/>
      </c>
      <c r="AU59" s="4" t="str">
        <f>IF(XS_Designer_Bed_Mix!$J59&lt;=XS_Designer!$BN$95,XS_Designer!BG$95,"")</f>
        <v/>
      </c>
      <c r="AV59" s="4" t="str">
        <f>IF(XS_Designer_Bed_Mix!$J59&lt;=XS_Designer!$BN$95,XS_Designer!BH$95,"")</f>
        <v/>
      </c>
      <c r="AW59" s="4" t="str">
        <f>IF(XS_Designer_Bed_Mix!$J59&lt;=XS_Designer!$BN$95,XS_Designer!BI$95,"")</f>
        <v/>
      </c>
      <c r="AX59" s="4" t="str">
        <f>IF(XS_Designer_Bed_Mix!$J59&lt;=XS_Designer!$BN$95,XS_Designer!BJ$95,"")</f>
        <v/>
      </c>
      <c r="AY59" s="4" t="str">
        <f>IF(XS_Designer_Bed_Mix!$J59&lt;=XS_Designer!$BN$96,XS_Designer!BA$96,"")</f>
        <v/>
      </c>
      <c r="AZ59" s="4" t="str">
        <f>IF(XS_Designer_Bed_Mix!$J59&lt;=XS_Designer!$BN$96,XS_Designer!BB$96,"")</f>
        <v/>
      </c>
      <c r="BA59" s="4" t="str">
        <f>IF(XS_Designer_Bed_Mix!$J59&lt;=XS_Designer!$BN$96,XS_Designer!BC$96,"")</f>
        <v/>
      </c>
      <c r="BB59" s="4" t="str">
        <f>IF(XS_Designer_Bed_Mix!$J59&lt;=XS_Designer!$BN$96,XS_Designer!BD$96,"")</f>
        <v/>
      </c>
      <c r="BC59" s="4" t="str">
        <f>IF(XS_Designer_Bed_Mix!$J59&lt;=XS_Designer!$BN$96,XS_Designer!BE$96,"")</f>
        <v/>
      </c>
      <c r="BD59" s="4" t="str">
        <f>IF(XS_Designer_Bed_Mix!$J59&lt;=XS_Designer!$BN$96,XS_Designer!BF$96,"")</f>
        <v/>
      </c>
      <c r="BE59" s="4" t="str">
        <f>IF(XS_Designer_Bed_Mix!$J59&lt;=XS_Designer!$BN$96,XS_Designer!BG$96,"")</f>
        <v/>
      </c>
      <c r="BF59" s="4" t="str">
        <f>IF(XS_Designer_Bed_Mix!$J59&lt;=XS_Designer!$BN$96,XS_Designer!BH$96,"")</f>
        <v/>
      </c>
      <c r="BG59" s="4" t="str">
        <f>IF(XS_Designer_Bed_Mix!$J59&lt;=XS_Designer!$BN$96,XS_Designer!BI$96,"")</f>
        <v/>
      </c>
      <c r="BH59" s="4" t="str">
        <f>IF(XS_Designer_Bed_Mix!$J59&lt;=XS_Designer!$BN$96,XS_Designer!BJ$96,"")</f>
        <v/>
      </c>
      <c r="BI59" s="4" t="str">
        <f>IF(XS_Designer_Bed_Mix!$J59&lt;=XS_Designer!$BN$97,XS_Designer!BA$97,"")</f>
        <v/>
      </c>
      <c r="BJ59" s="4" t="str">
        <f>IF(XS_Designer_Bed_Mix!$J59&lt;=XS_Designer!$BN$97,XS_Designer!BB$97,"")</f>
        <v/>
      </c>
      <c r="BK59" s="4" t="str">
        <f>IF(XS_Designer_Bed_Mix!$J59&lt;=XS_Designer!$BN$97,XS_Designer!BC$97,"")</f>
        <v/>
      </c>
      <c r="BL59" s="4" t="str">
        <f>IF(XS_Designer_Bed_Mix!$J59&lt;=XS_Designer!$BN$97,XS_Designer!BD$97,"")</f>
        <v/>
      </c>
      <c r="BM59" s="4" t="str">
        <f>IF(XS_Designer_Bed_Mix!$J59&lt;=XS_Designer!$BN$97,XS_Designer!BE$97,"")</f>
        <v/>
      </c>
      <c r="BN59" s="4" t="str">
        <f>IF(XS_Designer_Bed_Mix!$J59&lt;=XS_Designer!$BN$97,XS_Designer!BF$97,"")</f>
        <v/>
      </c>
      <c r="BO59" s="4" t="str">
        <f>IF(XS_Designer_Bed_Mix!$J59&lt;=XS_Designer!$BN$97,XS_Designer!BG$97,"")</f>
        <v/>
      </c>
      <c r="BP59" s="4" t="str">
        <f>IF(XS_Designer_Bed_Mix!$J59&lt;=XS_Designer!$BN$97,XS_Designer!BH$97,"")</f>
        <v/>
      </c>
      <c r="BQ59" s="4" t="str">
        <f>IF(XS_Designer_Bed_Mix!$J59&lt;=XS_Designer!$BN$97,XS_Designer!BI$97,"")</f>
        <v/>
      </c>
      <c r="BR59" s="4" t="str">
        <f>IF(XS_Designer_Bed_Mix!$J59&lt;=XS_Designer!$BN$97,XS_Designer!BJ$97,"")</f>
        <v/>
      </c>
      <c r="BS59" s="4" t="str">
        <f>IF(XS_Designer_Bed_Mix!$J59&lt;=XS_Designer!$BN$98,XS_Designer!BA$98,"")</f>
        <v/>
      </c>
      <c r="BT59" s="4" t="str">
        <f>IF(XS_Designer_Bed_Mix!$J59&lt;=XS_Designer!$BN$98,XS_Designer!BB$98,"")</f>
        <v/>
      </c>
      <c r="BU59" s="4" t="str">
        <f>IF(XS_Designer_Bed_Mix!$J59&lt;=XS_Designer!$BN$98,XS_Designer!BC$98,"")</f>
        <v/>
      </c>
      <c r="BV59" s="4" t="str">
        <f>IF(XS_Designer_Bed_Mix!$J59&lt;=XS_Designer!$BN$98,XS_Designer!BD$98,"")</f>
        <v/>
      </c>
      <c r="BW59" s="4" t="str">
        <f>IF(XS_Designer_Bed_Mix!$J59&lt;=XS_Designer!$BN$98,XS_Designer!BE$98,"")</f>
        <v/>
      </c>
      <c r="BX59" s="4" t="str">
        <f>IF(XS_Designer_Bed_Mix!$J59&lt;=XS_Designer!$BN$98,XS_Designer!BF$98,"")</f>
        <v/>
      </c>
      <c r="BY59" s="4" t="str">
        <f>IF(XS_Designer_Bed_Mix!$J59&lt;=XS_Designer!$BN$98,XS_Designer!BG$98,"")</f>
        <v/>
      </c>
      <c r="BZ59" s="4" t="str">
        <f>IF(XS_Designer_Bed_Mix!$J59&lt;=XS_Designer!$BN$98,XS_Designer!BH$98,"")</f>
        <v/>
      </c>
      <c r="CA59" s="4" t="str">
        <f>IF(XS_Designer_Bed_Mix!$J59&lt;=XS_Designer!$BN$98,XS_Designer!BI$98,"")</f>
        <v/>
      </c>
      <c r="CB59" s="4" t="str">
        <f>IF(XS_Designer_Bed_Mix!$J59&lt;=XS_Designer!$BN$98,XS_Designer!BJ$98,"")</f>
        <v/>
      </c>
      <c r="CC59" s="4" t="str">
        <f>IF(XS_Designer_Bed_Mix!$J59&lt;=XS_Designer!$BN$99,XS_Designer!BA$99,"")</f>
        <v/>
      </c>
      <c r="CD59" s="4" t="str">
        <f>IF(XS_Designer_Bed_Mix!$J59&lt;=XS_Designer!$BN$99,XS_Designer!BB$99,"")</f>
        <v/>
      </c>
      <c r="CE59" s="4" t="str">
        <f>IF(XS_Designer_Bed_Mix!$J59&lt;=XS_Designer!$BN$99,XS_Designer!BC$99,"")</f>
        <v/>
      </c>
      <c r="CF59" s="4" t="str">
        <f>IF(XS_Designer_Bed_Mix!$J59&lt;=XS_Designer!$BN$99,XS_Designer!BD$99,"")</f>
        <v/>
      </c>
      <c r="CG59" s="4" t="str">
        <f>IF(XS_Designer_Bed_Mix!$J59&lt;=XS_Designer!$BN$99,XS_Designer!BE$99,"")</f>
        <v/>
      </c>
      <c r="CH59" s="4" t="str">
        <f>IF(XS_Designer_Bed_Mix!$J59&lt;=XS_Designer!$BN$99,XS_Designer!BF$99,"")</f>
        <v/>
      </c>
      <c r="CI59" s="4" t="str">
        <f>IF(XS_Designer_Bed_Mix!$J59&lt;=XS_Designer!$BN$99,XS_Designer!BG$99,"")</f>
        <v/>
      </c>
      <c r="CJ59" s="4" t="str">
        <f>IF(XS_Designer_Bed_Mix!$J59&lt;=XS_Designer!$BN$99,XS_Designer!BH$99,"")</f>
        <v/>
      </c>
      <c r="CK59" s="4" t="str">
        <f>IF(XS_Designer_Bed_Mix!$J59&lt;=XS_Designer!$BN$99,XS_Designer!BI$99,"")</f>
        <v/>
      </c>
      <c r="CL59" s="4" t="str">
        <f>IF(XS_Designer_Bed_Mix!$J59&lt;=XS_Designer!$BN$99,XS_Designer!BJ$99,"")</f>
        <v/>
      </c>
      <c r="CM59" s="4" t="str">
        <f>IF(XS_Designer_Bed_Mix!$J59&lt;=XS_Designer!$BN$100,XS_Designer!BA$100,"")</f>
        <v/>
      </c>
      <c r="CN59" s="4" t="str">
        <f>IF(XS_Designer_Bed_Mix!$J59&lt;=XS_Designer!$BN$100,XS_Designer!BB$100,"")</f>
        <v/>
      </c>
      <c r="CO59" s="4" t="str">
        <f>IF(XS_Designer_Bed_Mix!$J59&lt;=XS_Designer!$BN$100,XS_Designer!BC$100,"")</f>
        <v/>
      </c>
      <c r="CP59" s="4" t="str">
        <f>IF(XS_Designer_Bed_Mix!$J59&lt;=XS_Designer!$BN$100,XS_Designer!BD$100,"")</f>
        <v/>
      </c>
      <c r="CQ59" s="4" t="str">
        <f>IF(XS_Designer_Bed_Mix!$J59&lt;=XS_Designer!$BN$100,XS_Designer!BE$100,"")</f>
        <v/>
      </c>
      <c r="CR59" s="4" t="str">
        <f>IF(XS_Designer_Bed_Mix!$J59&lt;=XS_Designer!$BN$100,XS_Designer!BF$100,"")</f>
        <v/>
      </c>
      <c r="CS59" s="4" t="str">
        <f>IF(XS_Designer_Bed_Mix!$J59&lt;=XS_Designer!$BN$100,XS_Designer!BG$100,"")</f>
        <v/>
      </c>
      <c r="CT59" s="4" t="str">
        <f>IF(XS_Designer_Bed_Mix!$J59&lt;=XS_Designer!$BN$100,XS_Designer!BH$100,"")</f>
        <v/>
      </c>
      <c r="CU59" s="4" t="str">
        <f>IF(XS_Designer_Bed_Mix!$J59&lt;=XS_Designer!$BN$100,XS_Designer!BI$100,"")</f>
        <v/>
      </c>
      <c r="CV59" s="4" t="str">
        <f>IF(XS_Designer_Bed_Mix!$J59&lt;=XS_Designer!$BN$100,XS_Designer!BJ$100,"")</f>
        <v/>
      </c>
      <c r="CW59" s="4" t="str">
        <f>IF(XS_Designer_Bed_Mix!$J59&lt;=XS_Designer!$BN$101,XS_Designer!BA$101,"")</f>
        <v/>
      </c>
      <c r="CX59" s="4" t="str">
        <f>IF(XS_Designer_Bed_Mix!$J59&lt;=XS_Designer!$BN$101,XS_Designer!BB$101,"")</f>
        <v/>
      </c>
      <c r="CY59" s="4" t="str">
        <f>IF(XS_Designer_Bed_Mix!$J59&lt;=XS_Designer!$BN$101,XS_Designer!BC$101,"")</f>
        <v/>
      </c>
      <c r="CZ59" s="4" t="str">
        <f>IF(XS_Designer_Bed_Mix!$J59&lt;=XS_Designer!$BN$101,XS_Designer!BD$101,"")</f>
        <v/>
      </c>
      <c r="DA59" s="4" t="str">
        <f>IF(XS_Designer_Bed_Mix!$J59&lt;=XS_Designer!$BN$101,XS_Designer!BE$101,"")</f>
        <v/>
      </c>
      <c r="DB59" s="4" t="str">
        <f>IF(XS_Designer_Bed_Mix!$J59&lt;=XS_Designer!$BN$101,XS_Designer!BF$101,"")</f>
        <v/>
      </c>
      <c r="DC59" s="4" t="str">
        <f>IF(XS_Designer_Bed_Mix!$J59&lt;=XS_Designer!$BN$101,XS_Designer!BG$101,"")</f>
        <v/>
      </c>
      <c r="DD59" s="4" t="str">
        <f>IF(XS_Designer_Bed_Mix!$J59&lt;=XS_Designer!$BN$101,XS_Designer!BH$101,"")</f>
        <v/>
      </c>
      <c r="DE59" s="4" t="str">
        <f>IF(XS_Designer_Bed_Mix!$J59&lt;=XS_Designer!$BN$101,XS_Designer!BI$101,"")</f>
        <v/>
      </c>
      <c r="DF59" s="4" t="str">
        <f>IF(XS_Designer_Bed_Mix!$J59&lt;=XS_Designer!$BN$101,XS_Designer!BJ$101,"")</f>
        <v/>
      </c>
      <c r="DG59" s="4" t="str">
        <f>IF(XS_Designer_Bed_Mix!$J59&lt;=XS_Designer!$BN$102,XS_Designer!BA$102,"")</f>
        <v/>
      </c>
      <c r="DH59" s="4" t="str">
        <f>IF(XS_Designer_Bed_Mix!$J59&lt;=XS_Designer!$BN$102,XS_Designer!BB$102,"")</f>
        <v/>
      </c>
      <c r="DI59" s="4" t="str">
        <f>IF(XS_Designer_Bed_Mix!$J59&lt;=XS_Designer!$BN$102,XS_Designer!BC$102,"")</f>
        <v/>
      </c>
      <c r="DJ59" s="4" t="str">
        <f>IF(XS_Designer_Bed_Mix!$J59&lt;=XS_Designer!$BN$102,XS_Designer!BD$102,"")</f>
        <v/>
      </c>
      <c r="DK59" s="4" t="str">
        <f>IF(XS_Designer_Bed_Mix!$J59&lt;=XS_Designer!$BN$102,XS_Designer!BE$102,"")</f>
        <v/>
      </c>
      <c r="DL59" s="4" t="str">
        <f>IF(XS_Designer_Bed_Mix!$J59&lt;=XS_Designer!$BN$102,XS_Designer!BF$102,"")</f>
        <v/>
      </c>
      <c r="DM59" s="4" t="str">
        <f>IF(XS_Designer_Bed_Mix!$J59&lt;=XS_Designer!$BN$102,XS_Designer!BG$102,"")</f>
        <v/>
      </c>
      <c r="DN59" s="4" t="str">
        <f>IF(XS_Designer_Bed_Mix!$J59&lt;=XS_Designer!$BN$102,XS_Designer!BH$102,"")</f>
        <v/>
      </c>
      <c r="DO59" s="4" t="str">
        <f>IF(XS_Designer_Bed_Mix!$J59&lt;=XS_Designer!$BN$102,XS_Designer!BI$102,"")</f>
        <v/>
      </c>
      <c r="DP59" s="4" t="str">
        <f>IF(XS_Designer_Bed_Mix!$J59&lt;=XS_Designer!$BN$102,XS_Designer!BJ$102,"")</f>
        <v/>
      </c>
    </row>
    <row r="60" spans="10:120">
      <c r="J60" s="3">
        <v>0.59</v>
      </c>
      <c r="K60" s="4" t="str">
        <f>IF(XS_Designer_Bed_Mix!$J60&lt;=XS_Designer!$BN$92,XS_Designer!BA$92,"")</f>
        <v/>
      </c>
      <c r="L60" s="4" t="str">
        <f>IF(XS_Designer_Bed_Mix!$J60&lt;=XS_Designer!$BN$92,XS_Designer!BB$92,"")</f>
        <v/>
      </c>
      <c r="M60" s="4" t="str">
        <f>IF(XS_Designer_Bed_Mix!$J60&lt;=XS_Designer!$BN$92,XS_Designer!BC$92,"")</f>
        <v/>
      </c>
      <c r="N60" s="4" t="str">
        <f>IF(XS_Designer_Bed_Mix!$J60&lt;=XS_Designer!$BN$92,XS_Designer!BD$92,"")</f>
        <v/>
      </c>
      <c r="O60" s="4" t="str">
        <f>IF(XS_Designer_Bed_Mix!$J60&lt;=XS_Designer!$BN$92,XS_Designer!BE$92,"")</f>
        <v/>
      </c>
      <c r="P60" s="4" t="str">
        <f>IF(XS_Designer_Bed_Mix!$J60&lt;=XS_Designer!$BN$92,XS_Designer!BF$92,"")</f>
        <v/>
      </c>
      <c r="Q60" s="4" t="str">
        <f>IF(XS_Designer_Bed_Mix!$J60&lt;=XS_Designer!$BN$92,XS_Designer!BG$92,"")</f>
        <v/>
      </c>
      <c r="R60" s="4" t="str">
        <f>IF(XS_Designer_Bed_Mix!$J60&lt;=XS_Designer!$BN$92,XS_Designer!BH$92,"")</f>
        <v/>
      </c>
      <c r="S60" s="4" t="str">
        <f>IF(XS_Designer_Bed_Mix!$J60&lt;=XS_Designer!$BN$92,XS_Designer!BI$92,"")</f>
        <v/>
      </c>
      <c r="T60" s="4" t="str">
        <f>IF(XS_Designer_Bed_Mix!$J60&lt;=XS_Designer!$BN$92,XS_Designer!BJ$92,"")</f>
        <v/>
      </c>
      <c r="U60" s="4" t="str">
        <f>IF(XS_Designer_Bed_Mix!$J60&lt;=XS_Designer!$BN$93,XS_Designer!BA$93,"")</f>
        <v/>
      </c>
      <c r="V60" s="4" t="str">
        <f>IF(XS_Designer_Bed_Mix!$J60&lt;=XS_Designer!$BN$93,XS_Designer!BB$93,"")</f>
        <v/>
      </c>
      <c r="W60" s="4" t="str">
        <f>IF(XS_Designer_Bed_Mix!$J60&lt;=XS_Designer!$BN$93,XS_Designer!BC$93,"")</f>
        <v/>
      </c>
      <c r="X60" s="4" t="str">
        <f>IF(XS_Designer_Bed_Mix!$J60&lt;=XS_Designer!$BN$93,XS_Designer!BD$93,"")</f>
        <v/>
      </c>
      <c r="Y60" s="4" t="str">
        <f>IF(XS_Designer_Bed_Mix!$J60&lt;=XS_Designer!$BN$93,XS_Designer!BE$93,"")</f>
        <v/>
      </c>
      <c r="Z60" s="4" t="str">
        <f>IF(XS_Designer_Bed_Mix!$J60&lt;=XS_Designer!$BN$93,XS_Designer!BF$93,"")</f>
        <v/>
      </c>
      <c r="AA60" s="4" t="str">
        <f>IF(XS_Designer_Bed_Mix!$J60&lt;=XS_Designer!$BN$93,XS_Designer!BG$93,"")</f>
        <v/>
      </c>
      <c r="AB60" s="4" t="str">
        <f>IF(XS_Designer_Bed_Mix!$J60&lt;=XS_Designer!$BN$93,XS_Designer!BH$93,"")</f>
        <v/>
      </c>
      <c r="AC60" s="4" t="str">
        <f>IF(XS_Designer_Bed_Mix!$J60&lt;=XS_Designer!$BN$93,XS_Designer!BI$93,"")</f>
        <v/>
      </c>
      <c r="AD60" s="4" t="str">
        <f>IF(XS_Designer_Bed_Mix!$J60&lt;=XS_Designer!$BN$93,XS_Designer!BJ$93,"")</f>
        <v/>
      </c>
      <c r="AE60" s="4" t="str">
        <f>IF(XS_Designer_Bed_Mix!$J60&lt;=XS_Designer!$BN$94,XS_Designer!BA$94,"")</f>
        <v/>
      </c>
      <c r="AF60" s="4" t="str">
        <f>IF(XS_Designer_Bed_Mix!$J60&lt;=XS_Designer!$BN$94,XS_Designer!BB$94,"")</f>
        <v/>
      </c>
      <c r="AG60" s="4" t="str">
        <f>IF(XS_Designer_Bed_Mix!$J60&lt;=XS_Designer!$BN$94,XS_Designer!BC$94,"")</f>
        <v/>
      </c>
      <c r="AH60" s="4" t="str">
        <f>IF(XS_Designer_Bed_Mix!$J60&lt;=XS_Designer!$BN$94,XS_Designer!BD$94,"")</f>
        <v/>
      </c>
      <c r="AI60" s="4" t="str">
        <f>IF(XS_Designer_Bed_Mix!$J60&lt;=XS_Designer!$BN$94,XS_Designer!BE$94,"")</f>
        <v/>
      </c>
      <c r="AJ60" s="4" t="str">
        <f>IF(XS_Designer_Bed_Mix!$J60&lt;=XS_Designer!$BN$94,XS_Designer!BF$94,"")</f>
        <v/>
      </c>
      <c r="AK60" s="4" t="str">
        <f>IF(XS_Designer_Bed_Mix!$J60&lt;=XS_Designer!$BN$94,XS_Designer!BG$94,"")</f>
        <v/>
      </c>
      <c r="AL60" s="4" t="str">
        <f>IF(XS_Designer_Bed_Mix!$J60&lt;=XS_Designer!$BN$94,XS_Designer!BH$94,"")</f>
        <v/>
      </c>
      <c r="AM60" s="4" t="str">
        <f>IF(XS_Designer_Bed_Mix!$J60&lt;=XS_Designer!$BN$94,XS_Designer!BI$94,"")</f>
        <v/>
      </c>
      <c r="AN60" s="4" t="str">
        <f>IF(XS_Designer_Bed_Mix!$J60&lt;=XS_Designer!$BN$94,XS_Designer!BJ$94,"")</f>
        <v/>
      </c>
      <c r="AO60" s="4" t="str">
        <f>IF(XS_Designer_Bed_Mix!$J60&lt;=XS_Designer!$BN$95,XS_Designer!BA$95,"")</f>
        <v/>
      </c>
      <c r="AP60" s="4" t="str">
        <f>IF(XS_Designer_Bed_Mix!$J60&lt;=XS_Designer!$BN$95,XS_Designer!BB$95,"")</f>
        <v/>
      </c>
      <c r="AQ60" s="4" t="str">
        <f>IF(XS_Designer_Bed_Mix!$J60&lt;=XS_Designer!$BN$95,XS_Designer!BC$95,"")</f>
        <v/>
      </c>
      <c r="AR60" s="4" t="str">
        <f>IF(XS_Designer_Bed_Mix!$J60&lt;=XS_Designer!$BN$95,XS_Designer!BD$95,"")</f>
        <v/>
      </c>
      <c r="AS60" s="4" t="str">
        <f>IF(XS_Designer_Bed_Mix!$J60&lt;=XS_Designer!$BN$95,XS_Designer!BE$95,"")</f>
        <v/>
      </c>
      <c r="AT60" s="4" t="str">
        <f>IF(XS_Designer_Bed_Mix!$J60&lt;=XS_Designer!$BN$95,XS_Designer!BF$95,"")</f>
        <v/>
      </c>
      <c r="AU60" s="4" t="str">
        <f>IF(XS_Designer_Bed_Mix!$J60&lt;=XS_Designer!$BN$95,XS_Designer!BG$95,"")</f>
        <v/>
      </c>
      <c r="AV60" s="4" t="str">
        <f>IF(XS_Designer_Bed_Mix!$J60&lt;=XS_Designer!$BN$95,XS_Designer!BH$95,"")</f>
        <v/>
      </c>
      <c r="AW60" s="4" t="str">
        <f>IF(XS_Designer_Bed_Mix!$J60&lt;=XS_Designer!$BN$95,XS_Designer!BI$95,"")</f>
        <v/>
      </c>
      <c r="AX60" s="4" t="str">
        <f>IF(XS_Designer_Bed_Mix!$J60&lt;=XS_Designer!$BN$95,XS_Designer!BJ$95,"")</f>
        <v/>
      </c>
      <c r="AY60" s="4" t="str">
        <f>IF(XS_Designer_Bed_Mix!$J60&lt;=XS_Designer!$BN$96,XS_Designer!BA$96,"")</f>
        <v/>
      </c>
      <c r="AZ60" s="4" t="str">
        <f>IF(XS_Designer_Bed_Mix!$J60&lt;=XS_Designer!$BN$96,XS_Designer!BB$96,"")</f>
        <v/>
      </c>
      <c r="BA60" s="4" t="str">
        <f>IF(XS_Designer_Bed_Mix!$J60&lt;=XS_Designer!$BN$96,XS_Designer!BC$96,"")</f>
        <v/>
      </c>
      <c r="BB60" s="4" t="str">
        <f>IF(XS_Designer_Bed_Mix!$J60&lt;=XS_Designer!$BN$96,XS_Designer!BD$96,"")</f>
        <v/>
      </c>
      <c r="BC60" s="4" t="str">
        <f>IF(XS_Designer_Bed_Mix!$J60&lt;=XS_Designer!$BN$96,XS_Designer!BE$96,"")</f>
        <v/>
      </c>
      <c r="BD60" s="4" t="str">
        <f>IF(XS_Designer_Bed_Mix!$J60&lt;=XS_Designer!$BN$96,XS_Designer!BF$96,"")</f>
        <v/>
      </c>
      <c r="BE60" s="4" t="str">
        <f>IF(XS_Designer_Bed_Mix!$J60&lt;=XS_Designer!$BN$96,XS_Designer!BG$96,"")</f>
        <v/>
      </c>
      <c r="BF60" s="4" t="str">
        <f>IF(XS_Designer_Bed_Mix!$J60&lt;=XS_Designer!$BN$96,XS_Designer!BH$96,"")</f>
        <v/>
      </c>
      <c r="BG60" s="4" t="str">
        <f>IF(XS_Designer_Bed_Mix!$J60&lt;=XS_Designer!$BN$96,XS_Designer!BI$96,"")</f>
        <v/>
      </c>
      <c r="BH60" s="4" t="str">
        <f>IF(XS_Designer_Bed_Mix!$J60&lt;=XS_Designer!$BN$96,XS_Designer!BJ$96,"")</f>
        <v/>
      </c>
      <c r="BI60" s="4" t="str">
        <f>IF(XS_Designer_Bed_Mix!$J60&lt;=XS_Designer!$BN$97,XS_Designer!BA$97,"")</f>
        <v/>
      </c>
      <c r="BJ60" s="4" t="str">
        <f>IF(XS_Designer_Bed_Mix!$J60&lt;=XS_Designer!$BN$97,XS_Designer!BB$97,"")</f>
        <v/>
      </c>
      <c r="BK60" s="4" t="str">
        <f>IF(XS_Designer_Bed_Mix!$J60&lt;=XS_Designer!$BN$97,XS_Designer!BC$97,"")</f>
        <v/>
      </c>
      <c r="BL60" s="4" t="str">
        <f>IF(XS_Designer_Bed_Mix!$J60&lt;=XS_Designer!$BN$97,XS_Designer!BD$97,"")</f>
        <v/>
      </c>
      <c r="BM60" s="4" t="str">
        <f>IF(XS_Designer_Bed_Mix!$J60&lt;=XS_Designer!$BN$97,XS_Designer!BE$97,"")</f>
        <v/>
      </c>
      <c r="BN60" s="4" t="str">
        <f>IF(XS_Designer_Bed_Mix!$J60&lt;=XS_Designer!$BN$97,XS_Designer!BF$97,"")</f>
        <v/>
      </c>
      <c r="BO60" s="4" t="str">
        <f>IF(XS_Designer_Bed_Mix!$J60&lt;=XS_Designer!$BN$97,XS_Designer!BG$97,"")</f>
        <v/>
      </c>
      <c r="BP60" s="4" t="str">
        <f>IF(XS_Designer_Bed_Mix!$J60&lt;=XS_Designer!$BN$97,XS_Designer!BH$97,"")</f>
        <v/>
      </c>
      <c r="BQ60" s="4" t="str">
        <f>IF(XS_Designer_Bed_Mix!$J60&lt;=XS_Designer!$BN$97,XS_Designer!BI$97,"")</f>
        <v/>
      </c>
      <c r="BR60" s="4" t="str">
        <f>IF(XS_Designer_Bed_Mix!$J60&lt;=XS_Designer!$BN$97,XS_Designer!BJ$97,"")</f>
        <v/>
      </c>
      <c r="BS60" s="4" t="str">
        <f>IF(XS_Designer_Bed_Mix!$J60&lt;=XS_Designer!$BN$98,XS_Designer!BA$98,"")</f>
        <v/>
      </c>
      <c r="BT60" s="4" t="str">
        <f>IF(XS_Designer_Bed_Mix!$J60&lt;=XS_Designer!$BN$98,XS_Designer!BB$98,"")</f>
        <v/>
      </c>
      <c r="BU60" s="4" t="str">
        <f>IF(XS_Designer_Bed_Mix!$J60&lt;=XS_Designer!$BN$98,XS_Designer!BC$98,"")</f>
        <v/>
      </c>
      <c r="BV60" s="4" t="str">
        <f>IF(XS_Designer_Bed_Mix!$J60&lt;=XS_Designer!$BN$98,XS_Designer!BD$98,"")</f>
        <v/>
      </c>
      <c r="BW60" s="4" t="str">
        <f>IF(XS_Designer_Bed_Mix!$J60&lt;=XS_Designer!$BN$98,XS_Designer!BE$98,"")</f>
        <v/>
      </c>
      <c r="BX60" s="4" t="str">
        <f>IF(XS_Designer_Bed_Mix!$J60&lt;=XS_Designer!$BN$98,XS_Designer!BF$98,"")</f>
        <v/>
      </c>
      <c r="BY60" s="4" t="str">
        <f>IF(XS_Designer_Bed_Mix!$J60&lt;=XS_Designer!$BN$98,XS_Designer!BG$98,"")</f>
        <v/>
      </c>
      <c r="BZ60" s="4" t="str">
        <f>IF(XS_Designer_Bed_Mix!$J60&lt;=XS_Designer!$BN$98,XS_Designer!BH$98,"")</f>
        <v/>
      </c>
      <c r="CA60" s="4" t="str">
        <f>IF(XS_Designer_Bed_Mix!$J60&lt;=XS_Designer!$BN$98,XS_Designer!BI$98,"")</f>
        <v/>
      </c>
      <c r="CB60" s="4" t="str">
        <f>IF(XS_Designer_Bed_Mix!$J60&lt;=XS_Designer!$BN$98,XS_Designer!BJ$98,"")</f>
        <v/>
      </c>
      <c r="CC60" s="4" t="str">
        <f>IF(XS_Designer_Bed_Mix!$J60&lt;=XS_Designer!$BN$99,XS_Designer!BA$99,"")</f>
        <v/>
      </c>
      <c r="CD60" s="4" t="str">
        <f>IF(XS_Designer_Bed_Mix!$J60&lt;=XS_Designer!$BN$99,XS_Designer!BB$99,"")</f>
        <v/>
      </c>
      <c r="CE60" s="4" t="str">
        <f>IF(XS_Designer_Bed_Mix!$J60&lt;=XS_Designer!$BN$99,XS_Designer!BC$99,"")</f>
        <v/>
      </c>
      <c r="CF60" s="4" t="str">
        <f>IF(XS_Designer_Bed_Mix!$J60&lt;=XS_Designer!$BN$99,XS_Designer!BD$99,"")</f>
        <v/>
      </c>
      <c r="CG60" s="4" t="str">
        <f>IF(XS_Designer_Bed_Mix!$J60&lt;=XS_Designer!$BN$99,XS_Designer!BE$99,"")</f>
        <v/>
      </c>
      <c r="CH60" s="4" t="str">
        <f>IF(XS_Designer_Bed_Mix!$J60&lt;=XS_Designer!$BN$99,XS_Designer!BF$99,"")</f>
        <v/>
      </c>
      <c r="CI60" s="4" t="str">
        <f>IF(XS_Designer_Bed_Mix!$J60&lt;=XS_Designer!$BN$99,XS_Designer!BG$99,"")</f>
        <v/>
      </c>
      <c r="CJ60" s="4" t="str">
        <f>IF(XS_Designer_Bed_Mix!$J60&lt;=XS_Designer!$BN$99,XS_Designer!BH$99,"")</f>
        <v/>
      </c>
      <c r="CK60" s="4" t="str">
        <f>IF(XS_Designer_Bed_Mix!$J60&lt;=XS_Designer!$BN$99,XS_Designer!BI$99,"")</f>
        <v/>
      </c>
      <c r="CL60" s="4" t="str">
        <f>IF(XS_Designer_Bed_Mix!$J60&lt;=XS_Designer!$BN$99,XS_Designer!BJ$99,"")</f>
        <v/>
      </c>
      <c r="CM60" s="4" t="str">
        <f>IF(XS_Designer_Bed_Mix!$J60&lt;=XS_Designer!$BN$100,XS_Designer!BA$100,"")</f>
        <v/>
      </c>
      <c r="CN60" s="4" t="str">
        <f>IF(XS_Designer_Bed_Mix!$J60&lt;=XS_Designer!$BN$100,XS_Designer!BB$100,"")</f>
        <v/>
      </c>
      <c r="CO60" s="4" t="str">
        <f>IF(XS_Designer_Bed_Mix!$J60&lt;=XS_Designer!$BN$100,XS_Designer!BC$100,"")</f>
        <v/>
      </c>
      <c r="CP60" s="4" t="str">
        <f>IF(XS_Designer_Bed_Mix!$J60&lt;=XS_Designer!$BN$100,XS_Designer!BD$100,"")</f>
        <v/>
      </c>
      <c r="CQ60" s="4" t="str">
        <f>IF(XS_Designer_Bed_Mix!$J60&lt;=XS_Designer!$BN$100,XS_Designer!BE$100,"")</f>
        <v/>
      </c>
      <c r="CR60" s="4" t="str">
        <f>IF(XS_Designer_Bed_Mix!$J60&lt;=XS_Designer!$BN$100,XS_Designer!BF$100,"")</f>
        <v/>
      </c>
      <c r="CS60" s="4" t="str">
        <f>IF(XS_Designer_Bed_Mix!$J60&lt;=XS_Designer!$BN$100,XS_Designer!BG$100,"")</f>
        <v/>
      </c>
      <c r="CT60" s="4" t="str">
        <f>IF(XS_Designer_Bed_Mix!$J60&lt;=XS_Designer!$BN$100,XS_Designer!BH$100,"")</f>
        <v/>
      </c>
      <c r="CU60" s="4" t="str">
        <f>IF(XS_Designer_Bed_Mix!$J60&lt;=XS_Designer!$BN$100,XS_Designer!BI$100,"")</f>
        <v/>
      </c>
      <c r="CV60" s="4" t="str">
        <f>IF(XS_Designer_Bed_Mix!$J60&lt;=XS_Designer!$BN$100,XS_Designer!BJ$100,"")</f>
        <v/>
      </c>
      <c r="CW60" s="4" t="str">
        <f>IF(XS_Designer_Bed_Mix!$J60&lt;=XS_Designer!$BN$101,XS_Designer!BA$101,"")</f>
        <v/>
      </c>
      <c r="CX60" s="4" t="str">
        <f>IF(XS_Designer_Bed_Mix!$J60&lt;=XS_Designer!$BN$101,XS_Designer!BB$101,"")</f>
        <v/>
      </c>
      <c r="CY60" s="4" t="str">
        <f>IF(XS_Designer_Bed_Mix!$J60&lt;=XS_Designer!$BN$101,XS_Designer!BC$101,"")</f>
        <v/>
      </c>
      <c r="CZ60" s="4" t="str">
        <f>IF(XS_Designer_Bed_Mix!$J60&lt;=XS_Designer!$BN$101,XS_Designer!BD$101,"")</f>
        <v/>
      </c>
      <c r="DA60" s="4" t="str">
        <f>IF(XS_Designer_Bed_Mix!$J60&lt;=XS_Designer!$BN$101,XS_Designer!BE$101,"")</f>
        <v/>
      </c>
      <c r="DB60" s="4" t="str">
        <f>IF(XS_Designer_Bed_Mix!$J60&lt;=XS_Designer!$BN$101,XS_Designer!BF$101,"")</f>
        <v/>
      </c>
      <c r="DC60" s="4" t="str">
        <f>IF(XS_Designer_Bed_Mix!$J60&lt;=XS_Designer!$BN$101,XS_Designer!BG$101,"")</f>
        <v/>
      </c>
      <c r="DD60" s="4" t="str">
        <f>IF(XS_Designer_Bed_Mix!$J60&lt;=XS_Designer!$BN$101,XS_Designer!BH$101,"")</f>
        <v/>
      </c>
      <c r="DE60" s="4" t="str">
        <f>IF(XS_Designer_Bed_Mix!$J60&lt;=XS_Designer!$BN$101,XS_Designer!BI$101,"")</f>
        <v/>
      </c>
      <c r="DF60" s="4" t="str">
        <f>IF(XS_Designer_Bed_Mix!$J60&lt;=XS_Designer!$BN$101,XS_Designer!BJ$101,"")</f>
        <v/>
      </c>
      <c r="DG60" s="4" t="str">
        <f>IF(XS_Designer_Bed_Mix!$J60&lt;=XS_Designer!$BN$102,XS_Designer!BA$102,"")</f>
        <v/>
      </c>
      <c r="DH60" s="4" t="str">
        <f>IF(XS_Designer_Bed_Mix!$J60&lt;=XS_Designer!$BN$102,XS_Designer!BB$102,"")</f>
        <v/>
      </c>
      <c r="DI60" s="4" t="str">
        <f>IF(XS_Designer_Bed_Mix!$J60&lt;=XS_Designer!$BN$102,XS_Designer!BC$102,"")</f>
        <v/>
      </c>
      <c r="DJ60" s="4" t="str">
        <f>IF(XS_Designer_Bed_Mix!$J60&lt;=XS_Designer!$BN$102,XS_Designer!BD$102,"")</f>
        <v/>
      </c>
      <c r="DK60" s="4" t="str">
        <f>IF(XS_Designer_Bed_Mix!$J60&lt;=XS_Designer!$BN$102,XS_Designer!BE$102,"")</f>
        <v/>
      </c>
      <c r="DL60" s="4" t="str">
        <f>IF(XS_Designer_Bed_Mix!$J60&lt;=XS_Designer!$BN$102,XS_Designer!BF$102,"")</f>
        <v/>
      </c>
      <c r="DM60" s="4" t="str">
        <f>IF(XS_Designer_Bed_Mix!$J60&lt;=XS_Designer!$BN$102,XS_Designer!BG$102,"")</f>
        <v/>
      </c>
      <c r="DN60" s="4" t="str">
        <f>IF(XS_Designer_Bed_Mix!$J60&lt;=XS_Designer!$BN$102,XS_Designer!BH$102,"")</f>
        <v/>
      </c>
      <c r="DO60" s="4" t="str">
        <f>IF(XS_Designer_Bed_Mix!$J60&lt;=XS_Designer!$BN$102,XS_Designer!BI$102,"")</f>
        <v/>
      </c>
      <c r="DP60" s="4" t="str">
        <f>IF(XS_Designer_Bed_Mix!$J60&lt;=XS_Designer!$BN$102,XS_Designer!BJ$102,"")</f>
        <v/>
      </c>
    </row>
    <row r="61" spans="10:120">
      <c r="J61" s="3">
        <v>0.6</v>
      </c>
      <c r="K61" s="4" t="str">
        <f>IF(XS_Designer_Bed_Mix!$J61&lt;=XS_Designer!$BN$92,XS_Designer!BA$92,"")</f>
        <v/>
      </c>
      <c r="L61" s="4" t="str">
        <f>IF(XS_Designer_Bed_Mix!$J61&lt;=XS_Designer!$BN$92,XS_Designer!BB$92,"")</f>
        <v/>
      </c>
      <c r="M61" s="4" t="str">
        <f>IF(XS_Designer_Bed_Mix!$J61&lt;=XS_Designer!$BN$92,XS_Designer!BC$92,"")</f>
        <v/>
      </c>
      <c r="N61" s="4" t="str">
        <f>IF(XS_Designer_Bed_Mix!$J61&lt;=XS_Designer!$BN$92,XS_Designer!BD$92,"")</f>
        <v/>
      </c>
      <c r="O61" s="4" t="str">
        <f>IF(XS_Designer_Bed_Mix!$J61&lt;=XS_Designer!$BN$92,XS_Designer!BE$92,"")</f>
        <v/>
      </c>
      <c r="P61" s="4" t="str">
        <f>IF(XS_Designer_Bed_Mix!$J61&lt;=XS_Designer!$BN$92,XS_Designer!BF$92,"")</f>
        <v/>
      </c>
      <c r="Q61" s="4" t="str">
        <f>IF(XS_Designer_Bed_Mix!$J61&lt;=XS_Designer!$BN$92,XS_Designer!BG$92,"")</f>
        <v/>
      </c>
      <c r="R61" s="4" t="str">
        <f>IF(XS_Designer_Bed_Mix!$J61&lt;=XS_Designer!$BN$92,XS_Designer!BH$92,"")</f>
        <v/>
      </c>
      <c r="S61" s="4" t="str">
        <f>IF(XS_Designer_Bed_Mix!$J61&lt;=XS_Designer!$BN$92,XS_Designer!BI$92,"")</f>
        <v/>
      </c>
      <c r="T61" s="4" t="str">
        <f>IF(XS_Designer_Bed_Mix!$J61&lt;=XS_Designer!$BN$92,XS_Designer!BJ$92,"")</f>
        <v/>
      </c>
      <c r="U61" s="4" t="str">
        <f>IF(XS_Designer_Bed_Mix!$J61&lt;=XS_Designer!$BN$93,XS_Designer!BA$93,"")</f>
        <v/>
      </c>
      <c r="V61" s="4" t="str">
        <f>IF(XS_Designer_Bed_Mix!$J61&lt;=XS_Designer!$BN$93,XS_Designer!BB$93,"")</f>
        <v/>
      </c>
      <c r="W61" s="4" t="str">
        <f>IF(XS_Designer_Bed_Mix!$J61&lt;=XS_Designer!$BN$93,XS_Designer!BC$93,"")</f>
        <v/>
      </c>
      <c r="X61" s="4" t="str">
        <f>IF(XS_Designer_Bed_Mix!$J61&lt;=XS_Designer!$BN$93,XS_Designer!BD$93,"")</f>
        <v/>
      </c>
      <c r="Y61" s="4" t="str">
        <f>IF(XS_Designer_Bed_Mix!$J61&lt;=XS_Designer!$BN$93,XS_Designer!BE$93,"")</f>
        <v/>
      </c>
      <c r="Z61" s="4" t="str">
        <f>IF(XS_Designer_Bed_Mix!$J61&lt;=XS_Designer!$BN$93,XS_Designer!BF$93,"")</f>
        <v/>
      </c>
      <c r="AA61" s="4" t="str">
        <f>IF(XS_Designer_Bed_Mix!$J61&lt;=XS_Designer!$BN$93,XS_Designer!BG$93,"")</f>
        <v/>
      </c>
      <c r="AB61" s="4" t="str">
        <f>IF(XS_Designer_Bed_Mix!$J61&lt;=XS_Designer!$BN$93,XS_Designer!BH$93,"")</f>
        <v/>
      </c>
      <c r="AC61" s="4" t="str">
        <f>IF(XS_Designer_Bed_Mix!$J61&lt;=XS_Designer!$BN$93,XS_Designer!BI$93,"")</f>
        <v/>
      </c>
      <c r="AD61" s="4" t="str">
        <f>IF(XS_Designer_Bed_Mix!$J61&lt;=XS_Designer!$BN$93,XS_Designer!BJ$93,"")</f>
        <v/>
      </c>
      <c r="AE61" s="4" t="str">
        <f>IF(XS_Designer_Bed_Mix!$J61&lt;=XS_Designer!$BN$94,XS_Designer!BA$94,"")</f>
        <v/>
      </c>
      <c r="AF61" s="4" t="str">
        <f>IF(XS_Designer_Bed_Mix!$J61&lt;=XS_Designer!$BN$94,XS_Designer!BB$94,"")</f>
        <v/>
      </c>
      <c r="AG61" s="4" t="str">
        <f>IF(XS_Designer_Bed_Mix!$J61&lt;=XS_Designer!$BN$94,XS_Designer!BC$94,"")</f>
        <v/>
      </c>
      <c r="AH61" s="4" t="str">
        <f>IF(XS_Designer_Bed_Mix!$J61&lt;=XS_Designer!$BN$94,XS_Designer!BD$94,"")</f>
        <v/>
      </c>
      <c r="AI61" s="4" t="str">
        <f>IF(XS_Designer_Bed_Mix!$J61&lt;=XS_Designer!$BN$94,XS_Designer!BE$94,"")</f>
        <v/>
      </c>
      <c r="AJ61" s="4" t="str">
        <f>IF(XS_Designer_Bed_Mix!$J61&lt;=XS_Designer!$BN$94,XS_Designer!BF$94,"")</f>
        <v/>
      </c>
      <c r="AK61" s="4" t="str">
        <f>IF(XS_Designer_Bed_Mix!$J61&lt;=XS_Designer!$BN$94,XS_Designer!BG$94,"")</f>
        <v/>
      </c>
      <c r="AL61" s="4" t="str">
        <f>IF(XS_Designer_Bed_Mix!$J61&lt;=XS_Designer!$BN$94,XS_Designer!BH$94,"")</f>
        <v/>
      </c>
      <c r="AM61" s="4" t="str">
        <f>IF(XS_Designer_Bed_Mix!$J61&lt;=XS_Designer!$BN$94,XS_Designer!BI$94,"")</f>
        <v/>
      </c>
      <c r="AN61" s="4" t="str">
        <f>IF(XS_Designer_Bed_Mix!$J61&lt;=XS_Designer!$BN$94,XS_Designer!BJ$94,"")</f>
        <v/>
      </c>
      <c r="AO61" s="4" t="str">
        <f>IF(XS_Designer_Bed_Mix!$J61&lt;=XS_Designer!$BN$95,XS_Designer!BA$95,"")</f>
        <v/>
      </c>
      <c r="AP61" s="4" t="str">
        <f>IF(XS_Designer_Bed_Mix!$J61&lt;=XS_Designer!$BN$95,XS_Designer!BB$95,"")</f>
        <v/>
      </c>
      <c r="AQ61" s="4" t="str">
        <f>IF(XS_Designer_Bed_Mix!$J61&lt;=XS_Designer!$BN$95,XS_Designer!BC$95,"")</f>
        <v/>
      </c>
      <c r="AR61" s="4" t="str">
        <f>IF(XS_Designer_Bed_Mix!$J61&lt;=XS_Designer!$BN$95,XS_Designer!BD$95,"")</f>
        <v/>
      </c>
      <c r="AS61" s="4" t="str">
        <f>IF(XS_Designer_Bed_Mix!$J61&lt;=XS_Designer!$BN$95,XS_Designer!BE$95,"")</f>
        <v/>
      </c>
      <c r="AT61" s="4" t="str">
        <f>IF(XS_Designer_Bed_Mix!$J61&lt;=XS_Designer!$BN$95,XS_Designer!BF$95,"")</f>
        <v/>
      </c>
      <c r="AU61" s="4" t="str">
        <f>IF(XS_Designer_Bed_Mix!$J61&lt;=XS_Designer!$BN$95,XS_Designer!BG$95,"")</f>
        <v/>
      </c>
      <c r="AV61" s="4" t="str">
        <f>IF(XS_Designer_Bed_Mix!$J61&lt;=XS_Designer!$BN$95,XS_Designer!BH$95,"")</f>
        <v/>
      </c>
      <c r="AW61" s="4" t="str">
        <f>IF(XS_Designer_Bed_Mix!$J61&lt;=XS_Designer!$BN$95,XS_Designer!BI$95,"")</f>
        <v/>
      </c>
      <c r="AX61" s="4" t="str">
        <f>IF(XS_Designer_Bed_Mix!$J61&lt;=XS_Designer!$BN$95,XS_Designer!BJ$95,"")</f>
        <v/>
      </c>
      <c r="AY61" s="4" t="str">
        <f>IF(XS_Designer_Bed_Mix!$J61&lt;=XS_Designer!$BN$96,XS_Designer!BA$96,"")</f>
        <v/>
      </c>
      <c r="AZ61" s="4" t="str">
        <f>IF(XS_Designer_Bed_Mix!$J61&lt;=XS_Designer!$BN$96,XS_Designer!BB$96,"")</f>
        <v/>
      </c>
      <c r="BA61" s="4" t="str">
        <f>IF(XS_Designer_Bed_Mix!$J61&lt;=XS_Designer!$BN$96,XS_Designer!BC$96,"")</f>
        <v/>
      </c>
      <c r="BB61" s="4" t="str">
        <f>IF(XS_Designer_Bed_Mix!$J61&lt;=XS_Designer!$BN$96,XS_Designer!BD$96,"")</f>
        <v/>
      </c>
      <c r="BC61" s="4" t="str">
        <f>IF(XS_Designer_Bed_Mix!$J61&lt;=XS_Designer!$BN$96,XS_Designer!BE$96,"")</f>
        <v/>
      </c>
      <c r="BD61" s="4" t="str">
        <f>IF(XS_Designer_Bed_Mix!$J61&lt;=XS_Designer!$BN$96,XS_Designer!BF$96,"")</f>
        <v/>
      </c>
      <c r="BE61" s="4" t="str">
        <f>IF(XS_Designer_Bed_Mix!$J61&lt;=XS_Designer!$BN$96,XS_Designer!BG$96,"")</f>
        <v/>
      </c>
      <c r="BF61" s="4" t="str">
        <f>IF(XS_Designer_Bed_Mix!$J61&lt;=XS_Designer!$BN$96,XS_Designer!BH$96,"")</f>
        <v/>
      </c>
      <c r="BG61" s="4" t="str">
        <f>IF(XS_Designer_Bed_Mix!$J61&lt;=XS_Designer!$BN$96,XS_Designer!BI$96,"")</f>
        <v/>
      </c>
      <c r="BH61" s="4" t="str">
        <f>IF(XS_Designer_Bed_Mix!$J61&lt;=XS_Designer!$BN$96,XS_Designer!BJ$96,"")</f>
        <v/>
      </c>
      <c r="BI61" s="4" t="str">
        <f>IF(XS_Designer_Bed_Mix!$J61&lt;=XS_Designer!$BN$97,XS_Designer!BA$97,"")</f>
        <v/>
      </c>
      <c r="BJ61" s="4" t="str">
        <f>IF(XS_Designer_Bed_Mix!$J61&lt;=XS_Designer!$BN$97,XS_Designer!BB$97,"")</f>
        <v/>
      </c>
      <c r="BK61" s="4" t="str">
        <f>IF(XS_Designer_Bed_Mix!$J61&lt;=XS_Designer!$BN$97,XS_Designer!BC$97,"")</f>
        <v/>
      </c>
      <c r="BL61" s="4" t="str">
        <f>IF(XS_Designer_Bed_Mix!$J61&lt;=XS_Designer!$BN$97,XS_Designer!BD$97,"")</f>
        <v/>
      </c>
      <c r="BM61" s="4" t="str">
        <f>IF(XS_Designer_Bed_Mix!$J61&lt;=XS_Designer!$BN$97,XS_Designer!BE$97,"")</f>
        <v/>
      </c>
      <c r="BN61" s="4" t="str">
        <f>IF(XS_Designer_Bed_Mix!$J61&lt;=XS_Designer!$BN$97,XS_Designer!BF$97,"")</f>
        <v/>
      </c>
      <c r="BO61" s="4" t="str">
        <f>IF(XS_Designer_Bed_Mix!$J61&lt;=XS_Designer!$BN$97,XS_Designer!BG$97,"")</f>
        <v/>
      </c>
      <c r="BP61" s="4" t="str">
        <f>IF(XS_Designer_Bed_Mix!$J61&lt;=XS_Designer!$BN$97,XS_Designer!BH$97,"")</f>
        <v/>
      </c>
      <c r="BQ61" s="4" t="str">
        <f>IF(XS_Designer_Bed_Mix!$J61&lt;=XS_Designer!$BN$97,XS_Designer!BI$97,"")</f>
        <v/>
      </c>
      <c r="BR61" s="4" t="str">
        <f>IF(XS_Designer_Bed_Mix!$J61&lt;=XS_Designer!$BN$97,XS_Designer!BJ$97,"")</f>
        <v/>
      </c>
      <c r="BS61" s="4" t="str">
        <f>IF(XS_Designer_Bed_Mix!$J61&lt;=XS_Designer!$BN$98,XS_Designer!BA$98,"")</f>
        <v/>
      </c>
      <c r="BT61" s="4" t="str">
        <f>IF(XS_Designer_Bed_Mix!$J61&lt;=XS_Designer!$BN$98,XS_Designer!BB$98,"")</f>
        <v/>
      </c>
      <c r="BU61" s="4" t="str">
        <f>IF(XS_Designer_Bed_Mix!$J61&lt;=XS_Designer!$BN$98,XS_Designer!BC$98,"")</f>
        <v/>
      </c>
      <c r="BV61" s="4" t="str">
        <f>IF(XS_Designer_Bed_Mix!$J61&lt;=XS_Designer!$BN$98,XS_Designer!BD$98,"")</f>
        <v/>
      </c>
      <c r="BW61" s="4" t="str">
        <f>IF(XS_Designer_Bed_Mix!$J61&lt;=XS_Designer!$BN$98,XS_Designer!BE$98,"")</f>
        <v/>
      </c>
      <c r="BX61" s="4" t="str">
        <f>IF(XS_Designer_Bed_Mix!$J61&lt;=XS_Designer!$BN$98,XS_Designer!BF$98,"")</f>
        <v/>
      </c>
      <c r="BY61" s="4" t="str">
        <f>IF(XS_Designer_Bed_Mix!$J61&lt;=XS_Designer!$BN$98,XS_Designer!BG$98,"")</f>
        <v/>
      </c>
      <c r="BZ61" s="4" t="str">
        <f>IF(XS_Designer_Bed_Mix!$J61&lt;=XS_Designer!$BN$98,XS_Designer!BH$98,"")</f>
        <v/>
      </c>
      <c r="CA61" s="4" t="str">
        <f>IF(XS_Designer_Bed_Mix!$J61&lt;=XS_Designer!$BN$98,XS_Designer!BI$98,"")</f>
        <v/>
      </c>
      <c r="CB61" s="4" t="str">
        <f>IF(XS_Designer_Bed_Mix!$J61&lt;=XS_Designer!$BN$98,XS_Designer!BJ$98,"")</f>
        <v/>
      </c>
      <c r="CC61" s="4" t="str">
        <f>IF(XS_Designer_Bed_Mix!$J61&lt;=XS_Designer!$BN$99,XS_Designer!BA$99,"")</f>
        <v/>
      </c>
      <c r="CD61" s="4" t="str">
        <f>IF(XS_Designer_Bed_Mix!$J61&lt;=XS_Designer!$BN$99,XS_Designer!BB$99,"")</f>
        <v/>
      </c>
      <c r="CE61" s="4" t="str">
        <f>IF(XS_Designer_Bed_Mix!$J61&lt;=XS_Designer!$BN$99,XS_Designer!BC$99,"")</f>
        <v/>
      </c>
      <c r="CF61" s="4" t="str">
        <f>IF(XS_Designer_Bed_Mix!$J61&lt;=XS_Designer!$BN$99,XS_Designer!BD$99,"")</f>
        <v/>
      </c>
      <c r="CG61" s="4" t="str">
        <f>IF(XS_Designer_Bed_Mix!$J61&lt;=XS_Designer!$BN$99,XS_Designer!BE$99,"")</f>
        <v/>
      </c>
      <c r="CH61" s="4" t="str">
        <f>IF(XS_Designer_Bed_Mix!$J61&lt;=XS_Designer!$BN$99,XS_Designer!BF$99,"")</f>
        <v/>
      </c>
      <c r="CI61" s="4" t="str">
        <f>IF(XS_Designer_Bed_Mix!$J61&lt;=XS_Designer!$BN$99,XS_Designer!BG$99,"")</f>
        <v/>
      </c>
      <c r="CJ61" s="4" t="str">
        <f>IF(XS_Designer_Bed_Mix!$J61&lt;=XS_Designer!$BN$99,XS_Designer!BH$99,"")</f>
        <v/>
      </c>
      <c r="CK61" s="4" t="str">
        <f>IF(XS_Designer_Bed_Mix!$J61&lt;=XS_Designer!$BN$99,XS_Designer!BI$99,"")</f>
        <v/>
      </c>
      <c r="CL61" s="4" t="str">
        <f>IF(XS_Designer_Bed_Mix!$J61&lt;=XS_Designer!$BN$99,XS_Designer!BJ$99,"")</f>
        <v/>
      </c>
      <c r="CM61" s="4" t="str">
        <f>IF(XS_Designer_Bed_Mix!$J61&lt;=XS_Designer!$BN$100,XS_Designer!BA$100,"")</f>
        <v/>
      </c>
      <c r="CN61" s="4" t="str">
        <f>IF(XS_Designer_Bed_Mix!$J61&lt;=XS_Designer!$BN$100,XS_Designer!BB$100,"")</f>
        <v/>
      </c>
      <c r="CO61" s="4" t="str">
        <f>IF(XS_Designer_Bed_Mix!$J61&lt;=XS_Designer!$BN$100,XS_Designer!BC$100,"")</f>
        <v/>
      </c>
      <c r="CP61" s="4" t="str">
        <f>IF(XS_Designer_Bed_Mix!$J61&lt;=XS_Designer!$BN$100,XS_Designer!BD$100,"")</f>
        <v/>
      </c>
      <c r="CQ61" s="4" t="str">
        <f>IF(XS_Designer_Bed_Mix!$J61&lt;=XS_Designer!$BN$100,XS_Designer!BE$100,"")</f>
        <v/>
      </c>
      <c r="CR61" s="4" t="str">
        <f>IF(XS_Designer_Bed_Mix!$J61&lt;=XS_Designer!$BN$100,XS_Designer!BF$100,"")</f>
        <v/>
      </c>
      <c r="CS61" s="4" t="str">
        <f>IF(XS_Designer_Bed_Mix!$J61&lt;=XS_Designer!$BN$100,XS_Designer!BG$100,"")</f>
        <v/>
      </c>
      <c r="CT61" s="4" t="str">
        <f>IF(XS_Designer_Bed_Mix!$J61&lt;=XS_Designer!$BN$100,XS_Designer!BH$100,"")</f>
        <v/>
      </c>
      <c r="CU61" s="4" t="str">
        <f>IF(XS_Designer_Bed_Mix!$J61&lt;=XS_Designer!$BN$100,XS_Designer!BI$100,"")</f>
        <v/>
      </c>
      <c r="CV61" s="4" t="str">
        <f>IF(XS_Designer_Bed_Mix!$J61&lt;=XS_Designer!$BN$100,XS_Designer!BJ$100,"")</f>
        <v/>
      </c>
      <c r="CW61" s="4" t="str">
        <f>IF(XS_Designer_Bed_Mix!$J61&lt;=XS_Designer!$BN$101,XS_Designer!BA$101,"")</f>
        <v/>
      </c>
      <c r="CX61" s="4" t="str">
        <f>IF(XS_Designer_Bed_Mix!$J61&lt;=XS_Designer!$BN$101,XS_Designer!BB$101,"")</f>
        <v/>
      </c>
      <c r="CY61" s="4" t="str">
        <f>IF(XS_Designer_Bed_Mix!$J61&lt;=XS_Designer!$BN$101,XS_Designer!BC$101,"")</f>
        <v/>
      </c>
      <c r="CZ61" s="4" t="str">
        <f>IF(XS_Designer_Bed_Mix!$J61&lt;=XS_Designer!$BN$101,XS_Designer!BD$101,"")</f>
        <v/>
      </c>
      <c r="DA61" s="4" t="str">
        <f>IF(XS_Designer_Bed_Mix!$J61&lt;=XS_Designer!$BN$101,XS_Designer!BE$101,"")</f>
        <v/>
      </c>
      <c r="DB61" s="4" t="str">
        <f>IF(XS_Designer_Bed_Mix!$J61&lt;=XS_Designer!$BN$101,XS_Designer!BF$101,"")</f>
        <v/>
      </c>
      <c r="DC61" s="4" t="str">
        <f>IF(XS_Designer_Bed_Mix!$J61&lt;=XS_Designer!$BN$101,XS_Designer!BG$101,"")</f>
        <v/>
      </c>
      <c r="DD61" s="4" t="str">
        <f>IF(XS_Designer_Bed_Mix!$J61&lt;=XS_Designer!$BN$101,XS_Designer!BH$101,"")</f>
        <v/>
      </c>
      <c r="DE61" s="4" t="str">
        <f>IF(XS_Designer_Bed_Mix!$J61&lt;=XS_Designer!$BN$101,XS_Designer!BI$101,"")</f>
        <v/>
      </c>
      <c r="DF61" s="4" t="str">
        <f>IF(XS_Designer_Bed_Mix!$J61&lt;=XS_Designer!$BN$101,XS_Designer!BJ$101,"")</f>
        <v/>
      </c>
      <c r="DG61" s="4" t="str">
        <f>IF(XS_Designer_Bed_Mix!$J61&lt;=XS_Designer!$BN$102,XS_Designer!BA$102,"")</f>
        <v/>
      </c>
      <c r="DH61" s="4" t="str">
        <f>IF(XS_Designer_Bed_Mix!$J61&lt;=XS_Designer!$BN$102,XS_Designer!BB$102,"")</f>
        <v/>
      </c>
      <c r="DI61" s="4" t="str">
        <f>IF(XS_Designer_Bed_Mix!$J61&lt;=XS_Designer!$BN$102,XS_Designer!BC$102,"")</f>
        <v/>
      </c>
      <c r="DJ61" s="4" t="str">
        <f>IF(XS_Designer_Bed_Mix!$J61&lt;=XS_Designer!$BN$102,XS_Designer!BD$102,"")</f>
        <v/>
      </c>
      <c r="DK61" s="4" t="str">
        <f>IF(XS_Designer_Bed_Mix!$J61&lt;=XS_Designer!$BN$102,XS_Designer!BE$102,"")</f>
        <v/>
      </c>
      <c r="DL61" s="4" t="str">
        <f>IF(XS_Designer_Bed_Mix!$J61&lt;=XS_Designer!$BN$102,XS_Designer!BF$102,"")</f>
        <v/>
      </c>
      <c r="DM61" s="4" t="str">
        <f>IF(XS_Designer_Bed_Mix!$J61&lt;=XS_Designer!$BN$102,XS_Designer!BG$102,"")</f>
        <v/>
      </c>
      <c r="DN61" s="4" t="str">
        <f>IF(XS_Designer_Bed_Mix!$J61&lt;=XS_Designer!$BN$102,XS_Designer!BH$102,"")</f>
        <v/>
      </c>
      <c r="DO61" s="4" t="str">
        <f>IF(XS_Designer_Bed_Mix!$J61&lt;=XS_Designer!$BN$102,XS_Designer!BI$102,"")</f>
        <v/>
      </c>
      <c r="DP61" s="4" t="str">
        <f>IF(XS_Designer_Bed_Mix!$J61&lt;=XS_Designer!$BN$102,XS_Designer!BJ$102,"")</f>
        <v/>
      </c>
    </row>
    <row r="62" spans="10:120">
      <c r="J62" s="3">
        <v>0.61</v>
      </c>
      <c r="K62" s="4" t="str">
        <f>IF(XS_Designer_Bed_Mix!$J62&lt;=XS_Designer!$BN$92,XS_Designer!BA$92,"")</f>
        <v/>
      </c>
      <c r="L62" s="4" t="str">
        <f>IF(XS_Designer_Bed_Mix!$J62&lt;=XS_Designer!$BN$92,XS_Designer!BB$92,"")</f>
        <v/>
      </c>
      <c r="M62" s="4" t="str">
        <f>IF(XS_Designer_Bed_Mix!$J62&lt;=XS_Designer!$BN$92,XS_Designer!BC$92,"")</f>
        <v/>
      </c>
      <c r="N62" s="4" t="str">
        <f>IF(XS_Designer_Bed_Mix!$J62&lt;=XS_Designer!$BN$92,XS_Designer!BD$92,"")</f>
        <v/>
      </c>
      <c r="O62" s="4" t="str">
        <f>IF(XS_Designer_Bed_Mix!$J62&lt;=XS_Designer!$BN$92,XS_Designer!BE$92,"")</f>
        <v/>
      </c>
      <c r="P62" s="4" t="str">
        <f>IF(XS_Designer_Bed_Mix!$J62&lt;=XS_Designer!$BN$92,XS_Designer!BF$92,"")</f>
        <v/>
      </c>
      <c r="Q62" s="4" t="str">
        <f>IF(XS_Designer_Bed_Mix!$J62&lt;=XS_Designer!$BN$92,XS_Designer!BG$92,"")</f>
        <v/>
      </c>
      <c r="R62" s="4" t="str">
        <f>IF(XS_Designer_Bed_Mix!$J62&lt;=XS_Designer!$BN$92,XS_Designer!BH$92,"")</f>
        <v/>
      </c>
      <c r="S62" s="4" t="str">
        <f>IF(XS_Designer_Bed_Mix!$J62&lt;=XS_Designer!$BN$92,XS_Designer!BI$92,"")</f>
        <v/>
      </c>
      <c r="T62" s="4" t="str">
        <f>IF(XS_Designer_Bed_Mix!$J62&lt;=XS_Designer!$BN$92,XS_Designer!BJ$92,"")</f>
        <v/>
      </c>
      <c r="U62" s="4" t="str">
        <f>IF(XS_Designer_Bed_Mix!$J62&lt;=XS_Designer!$BN$93,XS_Designer!BA$93,"")</f>
        <v/>
      </c>
      <c r="V62" s="4" t="str">
        <f>IF(XS_Designer_Bed_Mix!$J62&lt;=XS_Designer!$BN$93,XS_Designer!BB$93,"")</f>
        <v/>
      </c>
      <c r="W62" s="4" t="str">
        <f>IF(XS_Designer_Bed_Mix!$J62&lt;=XS_Designer!$BN$93,XS_Designer!BC$93,"")</f>
        <v/>
      </c>
      <c r="X62" s="4" t="str">
        <f>IF(XS_Designer_Bed_Mix!$J62&lt;=XS_Designer!$BN$93,XS_Designer!BD$93,"")</f>
        <v/>
      </c>
      <c r="Y62" s="4" t="str">
        <f>IF(XS_Designer_Bed_Mix!$J62&lt;=XS_Designer!$BN$93,XS_Designer!BE$93,"")</f>
        <v/>
      </c>
      <c r="Z62" s="4" t="str">
        <f>IF(XS_Designer_Bed_Mix!$J62&lt;=XS_Designer!$BN$93,XS_Designer!BF$93,"")</f>
        <v/>
      </c>
      <c r="AA62" s="4" t="str">
        <f>IF(XS_Designer_Bed_Mix!$J62&lt;=XS_Designer!$BN$93,XS_Designer!BG$93,"")</f>
        <v/>
      </c>
      <c r="AB62" s="4" t="str">
        <f>IF(XS_Designer_Bed_Mix!$J62&lt;=XS_Designer!$BN$93,XS_Designer!BH$93,"")</f>
        <v/>
      </c>
      <c r="AC62" s="4" t="str">
        <f>IF(XS_Designer_Bed_Mix!$J62&lt;=XS_Designer!$BN$93,XS_Designer!BI$93,"")</f>
        <v/>
      </c>
      <c r="AD62" s="4" t="str">
        <f>IF(XS_Designer_Bed_Mix!$J62&lt;=XS_Designer!$BN$93,XS_Designer!BJ$93,"")</f>
        <v/>
      </c>
      <c r="AE62" s="4" t="str">
        <f>IF(XS_Designer_Bed_Mix!$J62&lt;=XS_Designer!$BN$94,XS_Designer!BA$94,"")</f>
        <v/>
      </c>
      <c r="AF62" s="4" t="str">
        <f>IF(XS_Designer_Bed_Mix!$J62&lt;=XS_Designer!$BN$94,XS_Designer!BB$94,"")</f>
        <v/>
      </c>
      <c r="AG62" s="4" t="str">
        <f>IF(XS_Designer_Bed_Mix!$J62&lt;=XS_Designer!$BN$94,XS_Designer!BC$94,"")</f>
        <v/>
      </c>
      <c r="AH62" s="4" t="str">
        <f>IF(XS_Designer_Bed_Mix!$J62&lt;=XS_Designer!$BN$94,XS_Designer!BD$94,"")</f>
        <v/>
      </c>
      <c r="AI62" s="4" t="str">
        <f>IF(XS_Designer_Bed_Mix!$J62&lt;=XS_Designer!$BN$94,XS_Designer!BE$94,"")</f>
        <v/>
      </c>
      <c r="AJ62" s="4" t="str">
        <f>IF(XS_Designer_Bed_Mix!$J62&lt;=XS_Designer!$BN$94,XS_Designer!BF$94,"")</f>
        <v/>
      </c>
      <c r="AK62" s="4" t="str">
        <f>IF(XS_Designer_Bed_Mix!$J62&lt;=XS_Designer!$BN$94,XS_Designer!BG$94,"")</f>
        <v/>
      </c>
      <c r="AL62" s="4" t="str">
        <f>IF(XS_Designer_Bed_Mix!$J62&lt;=XS_Designer!$BN$94,XS_Designer!BH$94,"")</f>
        <v/>
      </c>
      <c r="AM62" s="4" t="str">
        <f>IF(XS_Designer_Bed_Mix!$J62&lt;=XS_Designer!$BN$94,XS_Designer!BI$94,"")</f>
        <v/>
      </c>
      <c r="AN62" s="4" t="str">
        <f>IF(XS_Designer_Bed_Mix!$J62&lt;=XS_Designer!$BN$94,XS_Designer!BJ$94,"")</f>
        <v/>
      </c>
      <c r="AO62" s="4" t="str">
        <f>IF(XS_Designer_Bed_Mix!$J62&lt;=XS_Designer!$BN$95,XS_Designer!BA$95,"")</f>
        <v/>
      </c>
      <c r="AP62" s="4" t="str">
        <f>IF(XS_Designer_Bed_Mix!$J62&lt;=XS_Designer!$BN$95,XS_Designer!BB$95,"")</f>
        <v/>
      </c>
      <c r="AQ62" s="4" t="str">
        <f>IF(XS_Designer_Bed_Mix!$J62&lt;=XS_Designer!$BN$95,XS_Designer!BC$95,"")</f>
        <v/>
      </c>
      <c r="AR62" s="4" t="str">
        <f>IF(XS_Designer_Bed_Mix!$J62&lt;=XS_Designer!$BN$95,XS_Designer!BD$95,"")</f>
        <v/>
      </c>
      <c r="AS62" s="4" t="str">
        <f>IF(XS_Designer_Bed_Mix!$J62&lt;=XS_Designer!$BN$95,XS_Designer!BE$95,"")</f>
        <v/>
      </c>
      <c r="AT62" s="4" t="str">
        <f>IF(XS_Designer_Bed_Mix!$J62&lt;=XS_Designer!$BN$95,XS_Designer!BF$95,"")</f>
        <v/>
      </c>
      <c r="AU62" s="4" t="str">
        <f>IF(XS_Designer_Bed_Mix!$J62&lt;=XS_Designer!$BN$95,XS_Designer!BG$95,"")</f>
        <v/>
      </c>
      <c r="AV62" s="4" t="str">
        <f>IF(XS_Designer_Bed_Mix!$J62&lt;=XS_Designer!$BN$95,XS_Designer!BH$95,"")</f>
        <v/>
      </c>
      <c r="AW62" s="4" t="str">
        <f>IF(XS_Designer_Bed_Mix!$J62&lt;=XS_Designer!$BN$95,XS_Designer!BI$95,"")</f>
        <v/>
      </c>
      <c r="AX62" s="4" t="str">
        <f>IF(XS_Designer_Bed_Mix!$J62&lt;=XS_Designer!$BN$95,XS_Designer!BJ$95,"")</f>
        <v/>
      </c>
      <c r="AY62" s="4" t="str">
        <f>IF(XS_Designer_Bed_Mix!$J62&lt;=XS_Designer!$BN$96,XS_Designer!BA$96,"")</f>
        <v/>
      </c>
      <c r="AZ62" s="4" t="str">
        <f>IF(XS_Designer_Bed_Mix!$J62&lt;=XS_Designer!$BN$96,XS_Designer!BB$96,"")</f>
        <v/>
      </c>
      <c r="BA62" s="4" t="str">
        <f>IF(XS_Designer_Bed_Mix!$J62&lt;=XS_Designer!$BN$96,XS_Designer!BC$96,"")</f>
        <v/>
      </c>
      <c r="BB62" s="4" t="str">
        <f>IF(XS_Designer_Bed_Mix!$J62&lt;=XS_Designer!$BN$96,XS_Designer!BD$96,"")</f>
        <v/>
      </c>
      <c r="BC62" s="4" t="str">
        <f>IF(XS_Designer_Bed_Mix!$J62&lt;=XS_Designer!$BN$96,XS_Designer!BE$96,"")</f>
        <v/>
      </c>
      <c r="BD62" s="4" t="str">
        <f>IF(XS_Designer_Bed_Mix!$J62&lt;=XS_Designer!$BN$96,XS_Designer!BF$96,"")</f>
        <v/>
      </c>
      <c r="BE62" s="4" t="str">
        <f>IF(XS_Designer_Bed_Mix!$J62&lt;=XS_Designer!$BN$96,XS_Designer!BG$96,"")</f>
        <v/>
      </c>
      <c r="BF62" s="4" t="str">
        <f>IF(XS_Designer_Bed_Mix!$J62&lt;=XS_Designer!$BN$96,XS_Designer!BH$96,"")</f>
        <v/>
      </c>
      <c r="BG62" s="4" t="str">
        <f>IF(XS_Designer_Bed_Mix!$J62&lt;=XS_Designer!$BN$96,XS_Designer!BI$96,"")</f>
        <v/>
      </c>
      <c r="BH62" s="4" t="str">
        <f>IF(XS_Designer_Bed_Mix!$J62&lt;=XS_Designer!$BN$96,XS_Designer!BJ$96,"")</f>
        <v/>
      </c>
      <c r="BI62" s="4" t="str">
        <f>IF(XS_Designer_Bed_Mix!$J62&lt;=XS_Designer!$BN$97,XS_Designer!BA$97,"")</f>
        <v/>
      </c>
      <c r="BJ62" s="4" t="str">
        <f>IF(XS_Designer_Bed_Mix!$J62&lt;=XS_Designer!$BN$97,XS_Designer!BB$97,"")</f>
        <v/>
      </c>
      <c r="BK62" s="4" t="str">
        <f>IF(XS_Designer_Bed_Mix!$J62&lt;=XS_Designer!$BN$97,XS_Designer!BC$97,"")</f>
        <v/>
      </c>
      <c r="BL62" s="4" t="str">
        <f>IF(XS_Designer_Bed_Mix!$J62&lt;=XS_Designer!$BN$97,XS_Designer!BD$97,"")</f>
        <v/>
      </c>
      <c r="BM62" s="4" t="str">
        <f>IF(XS_Designer_Bed_Mix!$J62&lt;=XS_Designer!$BN$97,XS_Designer!BE$97,"")</f>
        <v/>
      </c>
      <c r="BN62" s="4" t="str">
        <f>IF(XS_Designer_Bed_Mix!$J62&lt;=XS_Designer!$BN$97,XS_Designer!BF$97,"")</f>
        <v/>
      </c>
      <c r="BO62" s="4" t="str">
        <f>IF(XS_Designer_Bed_Mix!$J62&lt;=XS_Designer!$BN$97,XS_Designer!BG$97,"")</f>
        <v/>
      </c>
      <c r="BP62" s="4" t="str">
        <f>IF(XS_Designer_Bed_Mix!$J62&lt;=XS_Designer!$BN$97,XS_Designer!BH$97,"")</f>
        <v/>
      </c>
      <c r="BQ62" s="4" t="str">
        <f>IF(XS_Designer_Bed_Mix!$J62&lt;=XS_Designer!$BN$97,XS_Designer!BI$97,"")</f>
        <v/>
      </c>
      <c r="BR62" s="4" t="str">
        <f>IF(XS_Designer_Bed_Mix!$J62&lt;=XS_Designer!$BN$97,XS_Designer!BJ$97,"")</f>
        <v/>
      </c>
      <c r="BS62" s="4" t="str">
        <f>IF(XS_Designer_Bed_Mix!$J62&lt;=XS_Designer!$BN$98,XS_Designer!BA$98,"")</f>
        <v/>
      </c>
      <c r="BT62" s="4" t="str">
        <f>IF(XS_Designer_Bed_Mix!$J62&lt;=XS_Designer!$BN$98,XS_Designer!BB$98,"")</f>
        <v/>
      </c>
      <c r="BU62" s="4" t="str">
        <f>IF(XS_Designer_Bed_Mix!$J62&lt;=XS_Designer!$BN$98,XS_Designer!BC$98,"")</f>
        <v/>
      </c>
      <c r="BV62" s="4" t="str">
        <f>IF(XS_Designer_Bed_Mix!$J62&lt;=XS_Designer!$BN$98,XS_Designer!BD$98,"")</f>
        <v/>
      </c>
      <c r="BW62" s="4" t="str">
        <f>IF(XS_Designer_Bed_Mix!$J62&lt;=XS_Designer!$BN$98,XS_Designer!BE$98,"")</f>
        <v/>
      </c>
      <c r="BX62" s="4" t="str">
        <f>IF(XS_Designer_Bed_Mix!$J62&lt;=XS_Designer!$BN$98,XS_Designer!BF$98,"")</f>
        <v/>
      </c>
      <c r="BY62" s="4" t="str">
        <f>IF(XS_Designer_Bed_Mix!$J62&lt;=XS_Designer!$BN$98,XS_Designer!BG$98,"")</f>
        <v/>
      </c>
      <c r="BZ62" s="4" t="str">
        <f>IF(XS_Designer_Bed_Mix!$J62&lt;=XS_Designer!$BN$98,XS_Designer!BH$98,"")</f>
        <v/>
      </c>
      <c r="CA62" s="4" t="str">
        <f>IF(XS_Designer_Bed_Mix!$J62&lt;=XS_Designer!$BN$98,XS_Designer!BI$98,"")</f>
        <v/>
      </c>
      <c r="CB62" s="4" t="str">
        <f>IF(XS_Designer_Bed_Mix!$J62&lt;=XS_Designer!$BN$98,XS_Designer!BJ$98,"")</f>
        <v/>
      </c>
      <c r="CC62" s="4" t="str">
        <f>IF(XS_Designer_Bed_Mix!$J62&lt;=XS_Designer!$BN$99,XS_Designer!BA$99,"")</f>
        <v/>
      </c>
      <c r="CD62" s="4" t="str">
        <f>IF(XS_Designer_Bed_Mix!$J62&lt;=XS_Designer!$BN$99,XS_Designer!BB$99,"")</f>
        <v/>
      </c>
      <c r="CE62" s="4" t="str">
        <f>IF(XS_Designer_Bed_Mix!$J62&lt;=XS_Designer!$BN$99,XS_Designer!BC$99,"")</f>
        <v/>
      </c>
      <c r="CF62" s="4" t="str">
        <f>IF(XS_Designer_Bed_Mix!$J62&lt;=XS_Designer!$BN$99,XS_Designer!BD$99,"")</f>
        <v/>
      </c>
      <c r="CG62" s="4" t="str">
        <f>IF(XS_Designer_Bed_Mix!$J62&lt;=XS_Designer!$BN$99,XS_Designer!BE$99,"")</f>
        <v/>
      </c>
      <c r="CH62" s="4" t="str">
        <f>IF(XS_Designer_Bed_Mix!$J62&lt;=XS_Designer!$BN$99,XS_Designer!BF$99,"")</f>
        <v/>
      </c>
      <c r="CI62" s="4" t="str">
        <f>IF(XS_Designer_Bed_Mix!$J62&lt;=XS_Designer!$BN$99,XS_Designer!BG$99,"")</f>
        <v/>
      </c>
      <c r="CJ62" s="4" t="str">
        <f>IF(XS_Designer_Bed_Mix!$J62&lt;=XS_Designer!$BN$99,XS_Designer!BH$99,"")</f>
        <v/>
      </c>
      <c r="CK62" s="4" t="str">
        <f>IF(XS_Designer_Bed_Mix!$J62&lt;=XS_Designer!$BN$99,XS_Designer!BI$99,"")</f>
        <v/>
      </c>
      <c r="CL62" s="4" t="str">
        <f>IF(XS_Designer_Bed_Mix!$J62&lt;=XS_Designer!$BN$99,XS_Designer!BJ$99,"")</f>
        <v/>
      </c>
      <c r="CM62" s="4" t="str">
        <f>IF(XS_Designer_Bed_Mix!$J62&lt;=XS_Designer!$BN$100,XS_Designer!BA$100,"")</f>
        <v/>
      </c>
      <c r="CN62" s="4" t="str">
        <f>IF(XS_Designer_Bed_Mix!$J62&lt;=XS_Designer!$BN$100,XS_Designer!BB$100,"")</f>
        <v/>
      </c>
      <c r="CO62" s="4" t="str">
        <f>IF(XS_Designer_Bed_Mix!$J62&lt;=XS_Designer!$BN$100,XS_Designer!BC$100,"")</f>
        <v/>
      </c>
      <c r="CP62" s="4" t="str">
        <f>IF(XS_Designer_Bed_Mix!$J62&lt;=XS_Designer!$BN$100,XS_Designer!BD$100,"")</f>
        <v/>
      </c>
      <c r="CQ62" s="4" t="str">
        <f>IF(XS_Designer_Bed_Mix!$J62&lt;=XS_Designer!$BN$100,XS_Designer!BE$100,"")</f>
        <v/>
      </c>
      <c r="CR62" s="4" t="str">
        <f>IF(XS_Designer_Bed_Mix!$J62&lt;=XS_Designer!$BN$100,XS_Designer!BF$100,"")</f>
        <v/>
      </c>
      <c r="CS62" s="4" t="str">
        <f>IF(XS_Designer_Bed_Mix!$J62&lt;=XS_Designer!$BN$100,XS_Designer!BG$100,"")</f>
        <v/>
      </c>
      <c r="CT62" s="4" t="str">
        <f>IF(XS_Designer_Bed_Mix!$J62&lt;=XS_Designer!$BN$100,XS_Designer!BH$100,"")</f>
        <v/>
      </c>
      <c r="CU62" s="4" t="str">
        <f>IF(XS_Designer_Bed_Mix!$J62&lt;=XS_Designer!$BN$100,XS_Designer!BI$100,"")</f>
        <v/>
      </c>
      <c r="CV62" s="4" t="str">
        <f>IF(XS_Designer_Bed_Mix!$J62&lt;=XS_Designer!$BN$100,XS_Designer!BJ$100,"")</f>
        <v/>
      </c>
      <c r="CW62" s="4" t="str">
        <f>IF(XS_Designer_Bed_Mix!$J62&lt;=XS_Designer!$BN$101,XS_Designer!BA$101,"")</f>
        <v/>
      </c>
      <c r="CX62" s="4" t="str">
        <f>IF(XS_Designer_Bed_Mix!$J62&lt;=XS_Designer!$BN$101,XS_Designer!BB$101,"")</f>
        <v/>
      </c>
      <c r="CY62" s="4" t="str">
        <f>IF(XS_Designer_Bed_Mix!$J62&lt;=XS_Designer!$BN$101,XS_Designer!BC$101,"")</f>
        <v/>
      </c>
      <c r="CZ62" s="4" t="str">
        <f>IF(XS_Designer_Bed_Mix!$J62&lt;=XS_Designer!$BN$101,XS_Designer!BD$101,"")</f>
        <v/>
      </c>
      <c r="DA62" s="4" t="str">
        <f>IF(XS_Designer_Bed_Mix!$J62&lt;=XS_Designer!$BN$101,XS_Designer!BE$101,"")</f>
        <v/>
      </c>
      <c r="DB62" s="4" t="str">
        <f>IF(XS_Designer_Bed_Mix!$J62&lt;=XS_Designer!$BN$101,XS_Designer!BF$101,"")</f>
        <v/>
      </c>
      <c r="DC62" s="4" t="str">
        <f>IF(XS_Designer_Bed_Mix!$J62&lt;=XS_Designer!$BN$101,XS_Designer!BG$101,"")</f>
        <v/>
      </c>
      <c r="DD62" s="4" t="str">
        <f>IF(XS_Designer_Bed_Mix!$J62&lt;=XS_Designer!$BN$101,XS_Designer!BH$101,"")</f>
        <v/>
      </c>
      <c r="DE62" s="4" t="str">
        <f>IF(XS_Designer_Bed_Mix!$J62&lt;=XS_Designer!$BN$101,XS_Designer!BI$101,"")</f>
        <v/>
      </c>
      <c r="DF62" s="4" t="str">
        <f>IF(XS_Designer_Bed_Mix!$J62&lt;=XS_Designer!$BN$101,XS_Designer!BJ$101,"")</f>
        <v/>
      </c>
      <c r="DG62" s="4" t="str">
        <f>IF(XS_Designer_Bed_Mix!$J62&lt;=XS_Designer!$BN$102,XS_Designer!BA$102,"")</f>
        <v/>
      </c>
      <c r="DH62" s="4" t="str">
        <f>IF(XS_Designer_Bed_Mix!$J62&lt;=XS_Designer!$BN$102,XS_Designer!BB$102,"")</f>
        <v/>
      </c>
      <c r="DI62" s="4" t="str">
        <f>IF(XS_Designer_Bed_Mix!$J62&lt;=XS_Designer!$BN$102,XS_Designer!BC$102,"")</f>
        <v/>
      </c>
      <c r="DJ62" s="4" t="str">
        <f>IF(XS_Designer_Bed_Mix!$J62&lt;=XS_Designer!$BN$102,XS_Designer!BD$102,"")</f>
        <v/>
      </c>
      <c r="DK62" s="4" t="str">
        <f>IF(XS_Designer_Bed_Mix!$J62&lt;=XS_Designer!$BN$102,XS_Designer!BE$102,"")</f>
        <v/>
      </c>
      <c r="DL62" s="4" t="str">
        <f>IF(XS_Designer_Bed_Mix!$J62&lt;=XS_Designer!$BN$102,XS_Designer!BF$102,"")</f>
        <v/>
      </c>
      <c r="DM62" s="4" t="str">
        <f>IF(XS_Designer_Bed_Mix!$J62&lt;=XS_Designer!$BN$102,XS_Designer!BG$102,"")</f>
        <v/>
      </c>
      <c r="DN62" s="4" t="str">
        <f>IF(XS_Designer_Bed_Mix!$J62&lt;=XS_Designer!$BN$102,XS_Designer!BH$102,"")</f>
        <v/>
      </c>
      <c r="DO62" s="4" t="str">
        <f>IF(XS_Designer_Bed_Mix!$J62&lt;=XS_Designer!$BN$102,XS_Designer!BI$102,"")</f>
        <v/>
      </c>
      <c r="DP62" s="4" t="str">
        <f>IF(XS_Designer_Bed_Mix!$J62&lt;=XS_Designer!$BN$102,XS_Designer!BJ$102,"")</f>
        <v/>
      </c>
    </row>
    <row r="63" spans="10:120">
      <c r="J63" s="3">
        <v>0.62</v>
      </c>
      <c r="K63" s="4" t="str">
        <f>IF(XS_Designer_Bed_Mix!$J63&lt;=XS_Designer!$BN$92,XS_Designer!BA$92,"")</f>
        <v/>
      </c>
      <c r="L63" s="4" t="str">
        <f>IF(XS_Designer_Bed_Mix!$J63&lt;=XS_Designer!$BN$92,XS_Designer!BB$92,"")</f>
        <v/>
      </c>
      <c r="M63" s="4" t="str">
        <f>IF(XS_Designer_Bed_Mix!$J63&lt;=XS_Designer!$BN$92,XS_Designer!BC$92,"")</f>
        <v/>
      </c>
      <c r="N63" s="4" t="str">
        <f>IF(XS_Designer_Bed_Mix!$J63&lt;=XS_Designer!$BN$92,XS_Designer!BD$92,"")</f>
        <v/>
      </c>
      <c r="O63" s="4" t="str">
        <f>IF(XS_Designer_Bed_Mix!$J63&lt;=XS_Designer!$BN$92,XS_Designer!BE$92,"")</f>
        <v/>
      </c>
      <c r="P63" s="4" t="str">
        <f>IF(XS_Designer_Bed_Mix!$J63&lt;=XS_Designer!$BN$92,XS_Designer!BF$92,"")</f>
        <v/>
      </c>
      <c r="Q63" s="4" t="str">
        <f>IF(XS_Designer_Bed_Mix!$J63&lt;=XS_Designer!$BN$92,XS_Designer!BG$92,"")</f>
        <v/>
      </c>
      <c r="R63" s="4" t="str">
        <f>IF(XS_Designer_Bed_Mix!$J63&lt;=XS_Designer!$BN$92,XS_Designer!BH$92,"")</f>
        <v/>
      </c>
      <c r="S63" s="4" t="str">
        <f>IF(XS_Designer_Bed_Mix!$J63&lt;=XS_Designer!$BN$92,XS_Designer!BI$92,"")</f>
        <v/>
      </c>
      <c r="T63" s="4" t="str">
        <f>IF(XS_Designer_Bed_Mix!$J63&lt;=XS_Designer!$BN$92,XS_Designer!BJ$92,"")</f>
        <v/>
      </c>
      <c r="U63" s="4" t="str">
        <f>IF(XS_Designer_Bed_Mix!$J63&lt;=XS_Designer!$BN$93,XS_Designer!BA$93,"")</f>
        <v/>
      </c>
      <c r="V63" s="4" t="str">
        <f>IF(XS_Designer_Bed_Mix!$J63&lt;=XS_Designer!$BN$93,XS_Designer!BB$93,"")</f>
        <v/>
      </c>
      <c r="W63" s="4" t="str">
        <f>IF(XS_Designer_Bed_Mix!$J63&lt;=XS_Designer!$BN$93,XS_Designer!BC$93,"")</f>
        <v/>
      </c>
      <c r="X63" s="4" t="str">
        <f>IF(XS_Designer_Bed_Mix!$J63&lt;=XS_Designer!$BN$93,XS_Designer!BD$93,"")</f>
        <v/>
      </c>
      <c r="Y63" s="4" t="str">
        <f>IF(XS_Designer_Bed_Mix!$J63&lt;=XS_Designer!$BN$93,XS_Designer!BE$93,"")</f>
        <v/>
      </c>
      <c r="Z63" s="4" t="str">
        <f>IF(XS_Designer_Bed_Mix!$J63&lt;=XS_Designer!$BN$93,XS_Designer!BF$93,"")</f>
        <v/>
      </c>
      <c r="AA63" s="4" t="str">
        <f>IF(XS_Designer_Bed_Mix!$J63&lt;=XS_Designer!$BN$93,XS_Designer!BG$93,"")</f>
        <v/>
      </c>
      <c r="AB63" s="4" t="str">
        <f>IF(XS_Designer_Bed_Mix!$J63&lt;=XS_Designer!$BN$93,XS_Designer!BH$93,"")</f>
        <v/>
      </c>
      <c r="AC63" s="4" t="str">
        <f>IF(XS_Designer_Bed_Mix!$J63&lt;=XS_Designer!$BN$93,XS_Designer!BI$93,"")</f>
        <v/>
      </c>
      <c r="AD63" s="4" t="str">
        <f>IF(XS_Designer_Bed_Mix!$J63&lt;=XS_Designer!$BN$93,XS_Designer!BJ$93,"")</f>
        <v/>
      </c>
      <c r="AE63" s="4" t="str">
        <f>IF(XS_Designer_Bed_Mix!$J63&lt;=XS_Designer!$BN$94,XS_Designer!BA$94,"")</f>
        <v/>
      </c>
      <c r="AF63" s="4" t="str">
        <f>IF(XS_Designer_Bed_Mix!$J63&lt;=XS_Designer!$BN$94,XS_Designer!BB$94,"")</f>
        <v/>
      </c>
      <c r="AG63" s="4" t="str">
        <f>IF(XS_Designer_Bed_Mix!$J63&lt;=XS_Designer!$BN$94,XS_Designer!BC$94,"")</f>
        <v/>
      </c>
      <c r="AH63" s="4" t="str">
        <f>IF(XS_Designer_Bed_Mix!$J63&lt;=XS_Designer!$BN$94,XS_Designer!BD$94,"")</f>
        <v/>
      </c>
      <c r="AI63" s="4" t="str">
        <f>IF(XS_Designer_Bed_Mix!$J63&lt;=XS_Designer!$BN$94,XS_Designer!BE$94,"")</f>
        <v/>
      </c>
      <c r="AJ63" s="4" t="str">
        <f>IF(XS_Designer_Bed_Mix!$J63&lt;=XS_Designer!$BN$94,XS_Designer!BF$94,"")</f>
        <v/>
      </c>
      <c r="AK63" s="4" t="str">
        <f>IF(XS_Designer_Bed_Mix!$J63&lt;=XS_Designer!$BN$94,XS_Designer!BG$94,"")</f>
        <v/>
      </c>
      <c r="AL63" s="4" t="str">
        <f>IF(XS_Designer_Bed_Mix!$J63&lt;=XS_Designer!$BN$94,XS_Designer!BH$94,"")</f>
        <v/>
      </c>
      <c r="AM63" s="4" t="str">
        <f>IF(XS_Designer_Bed_Mix!$J63&lt;=XS_Designer!$BN$94,XS_Designer!BI$94,"")</f>
        <v/>
      </c>
      <c r="AN63" s="4" t="str">
        <f>IF(XS_Designer_Bed_Mix!$J63&lt;=XS_Designer!$BN$94,XS_Designer!BJ$94,"")</f>
        <v/>
      </c>
      <c r="AO63" s="4" t="str">
        <f>IF(XS_Designer_Bed_Mix!$J63&lt;=XS_Designer!$BN$95,XS_Designer!BA$95,"")</f>
        <v/>
      </c>
      <c r="AP63" s="4" t="str">
        <f>IF(XS_Designer_Bed_Mix!$J63&lt;=XS_Designer!$BN$95,XS_Designer!BB$95,"")</f>
        <v/>
      </c>
      <c r="AQ63" s="4" t="str">
        <f>IF(XS_Designer_Bed_Mix!$J63&lt;=XS_Designer!$BN$95,XS_Designer!BC$95,"")</f>
        <v/>
      </c>
      <c r="AR63" s="4" t="str">
        <f>IF(XS_Designer_Bed_Mix!$J63&lt;=XS_Designer!$BN$95,XS_Designer!BD$95,"")</f>
        <v/>
      </c>
      <c r="AS63" s="4" t="str">
        <f>IF(XS_Designer_Bed_Mix!$J63&lt;=XS_Designer!$BN$95,XS_Designer!BE$95,"")</f>
        <v/>
      </c>
      <c r="AT63" s="4" t="str">
        <f>IF(XS_Designer_Bed_Mix!$J63&lt;=XS_Designer!$BN$95,XS_Designer!BF$95,"")</f>
        <v/>
      </c>
      <c r="AU63" s="4" t="str">
        <f>IF(XS_Designer_Bed_Mix!$J63&lt;=XS_Designer!$BN$95,XS_Designer!BG$95,"")</f>
        <v/>
      </c>
      <c r="AV63" s="4" t="str">
        <f>IF(XS_Designer_Bed_Mix!$J63&lt;=XS_Designer!$BN$95,XS_Designer!BH$95,"")</f>
        <v/>
      </c>
      <c r="AW63" s="4" t="str">
        <f>IF(XS_Designer_Bed_Mix!$J63&lt;=XS_Designer!$BN$95,XS_Designer!BI$95,"")</f>
        <v/>
      </c>
      <c r="AX63" s="4" t="str">
        <f>IF(XS_Designer_Bed_Mix!$J63&lt;=XS_Designer!$BN$95,XS_Designer!BJ$95,"")</f>
        <v/>
      </c>
      <c r="AY63" s="4" t="str">
        <f>IF(XS_Designer_Bed_Mix!$J63&lt;=XS_Designer!$BN$96,XS_Designer!BA$96,"")</f>
        <v/>
      </c>
      <c r="AZ63" s="4" t="str">
        <f>IF(XS_Designer_Bed_Mix!$J63&lt;=XS_Designer!$BN$96,XS_Designer!BB$96,"")</f>
        <v/>
      </c>
      <c r="BA63" s="4" t="str">
        <f>IF(XS_Designer_Bed_Mix!$J63&lt;=XS_Designer!$BN$96,XS_Designer!BC$96,"")</f>
        <v/>
      </c>
      <c r="BB63" s="4" t="str">
        <f>IF(XS_Designer_Bed_Mix!$J63&lt;=XS_Designer!$BN$96,XS_Designer!BD$96,"")</f>
        <v/>
      </c>
      <c r="BC63" s="4" t="str">
        <f>IF(XS_Designer_Bed_Mix!$J63&lt;=XS_Designer!$BN$96,XS_Designer!BE$96,"")</f>
        <v/>
      </c>
      <c r="BD63" s="4" t="str">
        <f>IF(XS_Designer_Bed_Mix!$J63&lt;=XS_Designer!$BN$96,XS_Designer!BF$96,"")</f>
        <v/>
      </c>
      <c r="BE63" s="4" t="str">
        <f>IF(XS_Designer_Bed_Mix!$J63&lt;=XS_Designer!$BN$96,XS_Designer!BG$96,"")</f>
        <v/>
      </c>
      <c r="BF63" s="4" t="str">
        <f>IF(XS_Designer_Bed_Mix!$J63&lt;=XS_Designer!$BN$96,XS_Designer!BH$96,"")</f>
        <v/>
      </c>
      <c r="BG63" s="4" t="str">
        <f>IF(XS_Designer_Bed_Mix!$J63&lt;=XS_Designer!$BN$96,XS_Designer!BI$96,"")</f>
        <v/>
      </c>
      <c r="BH63" s="4" t="str">
        <f>IF(XS_Designer_Bed_Mix!$J63&lt;=XS_Designer!$BN$96,XS_Designer!BJ$96,"")</f>
        <v/>
      </c>
      <c r="BI63" s="4" t="str">
        <f>IF(XS_Designer_Bed_Mix!$J63&lt;=XS_Designer!$BN$97,XS_Designer!BA$97,"")</f>
        <v/>
      </c>
      <c r="BJ63" s="4" t="str">
        <f>IF(XS_Designer_Bed_Mix!$J63&lt;=XS_Designer!$BN$97,XS_Designer!BB$97,"")</f>
        <v/>
      </c>
      <c r="BK63" s="4" t="str">
        <f>IF(XS_Designer_Bed_Mix!$J63&lt;=XS_Designer!$BN$97,XS_Designer!BC$97,"")</f>
        <v/>
      </c>
      <c r="BL63" s="4" t="str">
        <f>IF(XS_Designer_Bed_Mix!$J63&lt;=XS_Designer!$BN$97,XS_Designer!BD$97,"")</f>
        <v/>
      </c>
      <c r="BM63" s="4" t="str">
        <f>IF(XS_Designer_Bed_Mix!$J63&lt;=XS_Designer!$BN$97,XS_Designer!BE$97,"")</f>
        <v/>
      </c>
      <c r="BN63" s="4" t="str">
        <f>IF(XS_Designer_Bed_Mix!$J63&lt;=XS_Designer!$BN$97,XS_Designer!BF$97,"")</f>
        <v/>
      </c>
      <c r="BO63" s="4" t="str">
        <f>IF(XS_Designer_Bed_Mix!$J63&lt;=XS_Designer!$BN$97,XS_Designer!BG$97,"")</f>
        <v/>
      </c>
      <c r="BP63" s="4" t="str">
        <f>IF(XS_Designer_Bed_Mix!$J63&lt;=XS_Designer!$BN$97,XS_Designer!BH$97,"")</f>
        <v/>
      </c>
      <c r="BQ63" s="4" t="str">
        <f>IF(XS_Designer_Bed_Mix!$J63&lt;=XS_Designer!$BN$97,XS_Designer!BI$97,"")</f>
        <v/>
      </c>
      <c r="BR63" s="4" t="str">
        <f>IF(XS_Designer_Bed_Mix!$J63&lt;=XS_Designer!$BN$97,XS_Designer!BJ$97,"")</f>
        <v/>
      </c>
      <c r="BS63" s="4" t="str">
        <f>IF(XS_Designer_Bed_Mix!$J63&lt;=XS_Designer!$BN$98,XS_Designer!BA$98,"")</f>
        <v/>
      </c>
      <c r="BT63" s="4" t="str">
        <f>IF(XS_Designer_Bed_Mix!$J63&lt;=XS_Designer!$BN$98,XS_Designer!BB$98,"")</f>
        <v/>
      </c>
      <c r="BU63" s="4" t="str">
        <f>IF(XS_Designer_Bed_Mix!$J63&lt;=XS_Designer!$BN$98,XS_Designer!BC$98,"")</f>
        <v/>
      </c>
      <c r="BV63" s="4" t="str">
        <f>IF(XS_Designer_Bed_Mix!$J63&lt;=XS_Designer!$BN$98,XS_Designer!BD$98,"")</f>
        <v/>
      </c>
      <c r="BW63" s="4" t="str">
        <f>IF(XS_Designer_Bed_Mix!$J63&lt;=XS_Designer!$BN$98,XS_Designer!BE$98,"")</f>
        <v/>
      </c>
      <c r="BX63" s="4" t="str">
        <f>IF(XS_Designer_Bed_Mix!$J63&lt;=XS_Designer!$BN$98,XS_Designer!BF$98,"")</f>
        <v/>
      </c>
      <c r="BY63" s="4" t="str">
        <f>IF(XS_Designer_Bed_Mix!$J63&lt;=XS_Designer!$BN$98,XS_Designer!BG$98,"")</f>
        <v/>
      </c>
      <c r="BZ63" s="4" t="str">
        <f>IF(XS_Designer_Bed_Mix!$J63&lt;=XS_Designer!$BN$98,XS_Designer!BH$98,"")</f>
        <v/>
      </c>
      <c r="CA63" s="4" t="str">
        <f>IF(XS_Designer_Bed_Mix!$J63&lt;=XS_Designer!$BN$98,XS_Designer!BI$98,"")</f>
        <v/>
      </c>
      <c r="CB63" s="4" t="str">
        <f>IF(XS_Designer_Bed_Mix!$J63&lt;=XS_Designer!$BN$98,XS_Designer!BJ$98,"")</f>
        <v/>
      </c>
      <c r="CC63" s="4" t="str">
        <f>IF(XS_Designer_Bed_Mix!$J63&lt;=XS_Designer!$BN$99,XS_Designer!BA$99,"")</f>
        <v/>
      </c>
      <c r="CD63" s="4" t="str">
        <f>IF(XS_Designer_Bed_Mix!$J63&lt;=XS_Designer!$BN$99,XS_Designer!BB$99,"")</f>
        <v/>
      </c>
      <c r="CE63" s="4" t="str">
        <f>IF(XS_Designer_Bed_Mix!$J63&lt;=XS_Designer!$BN$99,XS_Designer!BC$99,"")</f>
        <v/>
      </c>
      <c r="CF63" s="4" t="str">
        <f>IF(XS_Designer_Bed_Mix!$J63&lt;=XS_Designer!$BN$99,XS_Designer!BD$99,"")</f>
        <v/>
      </c>
      <c r="CG63" s="4" t="str">
        <f>IF(XS_Designer_Bed_Mix!$J63&lt;=XS_Designer!$BN$99,XS_Designer!BE$99,"")</f>
        <v/>
      </c>
      <c r="CH63" s="4" t="str">
        <f>IF(XS_Designer_Bed_Mix!$J63&lt;=XS_Designer!$BN$99,XS_Designer!BF$99,"")</f>
        <v/>
      </c>
      <c r="CI63" s="4" t="str">
        <f>IF(XS_Designer_Bed_Mix!$J63&lt;=XS_Designer!$BN$99,XS_Designer!BG$99,"")</f>
        <v/>
      </c>
      <c r="CJ63" s="4" t="str">
        <f>IF(XS_Designer_Bed_Mix!$J63&lt;=XS_Designer!$BN$99,XS_Designer!BH$99,"")</f>
        <v/>
      </c>
      <c r="CK63" s="4" t="str">
        <f>IF(XS_Designer_Bed_Mix!$J63&lt;=XS_Designer!$BN$99,XS_Designer!BI$99,"")</f>
        <v/>
      </c>
      <c r="CL63" s="4" t="str">
        <f>IF(XS_Designer_Bed_Mix!$J63&lt;=XS_Designer!$BN$99,XS_Designer!BJ$99,"")</f>
        <v/>
      </c>
      <c r="CM63" s="4" t="str">
        <f>IF(XS_Designer_Bed_Mix!$J63&lt;=XS_Designer!$BN$100,XS_Designer!BA$100,"")</f>
        <v/>
      </c>
      <c r="CN63" s="4" t="str">
        <f>IF(XS_Designer_Bed_Mix!$J63&lt;=XS_Designer!$BN$100,XS_Designer!BB$100,"")</f>
        <v/>
      </c>
      <c r="CO63" s="4" t="str">
        <f>IF(XS_Designer_Bed_Mix!$J63&lt;=XS_Designer!$BN$100,XS_Designer!BC$100,"")</f>
        <v/>
      </c>
      <c r="CP63" s="4" t="str">
        <f>IF(XS_Designer_Bed_Mix!$J63&lt;=XS_Designer!$BN$100,XS_Designer!BD$100,"")</f>
        <v/>
      </c>
      <c r="CQ63" s="4" t="str">
        <f>IF(XS_Designer_Bed_Mix!$J63&lt;=XS_Designer!$BN$100,XS_Designer!BE$100,"")</f>
        <v/>
      </c>
      <c r="CR63" s="4" t="str">
        <f>IF(XS_Designer_Bed_Mix!$J63&lt;=XS_Designer!$BN$100,XS_Designer!BF$100,"")</f>
        <v/>
      </c>
      <c r="CS63" s="4" t="str">
        <f>IF(XS_Designer_Bed_Mix!$J63&lt;=XS_Designer!$BN$100,XS_Designer!BG$100,"")</f>
        <v/>
      </c>
      <c r="CT63" s="4" t="str">
        <f>IF(XS_Designer_Bed_Mix!$J63&lt;=XS_Designer!$BN$100,XS_Designer!BH$100,"")</f>
        <v/>
      </c>
      <c r="CU63" s="4" t="str">
        <f>IF(XS_Designer_Bed_Mix!$J63&lt;=XS_Designer!$BN$100,XS_Designer!BI$100,"")</f>
        <v/>
      </c>
      <c r="CV63" s="4" t="str">
        <f>IF(XS_Designer_Bed_Mix!$J63&lt;=XS_Designer!$BN$100,XS_Designer!BJ$100,"")</f>
        <v/>
      </c>
      <c r="CW63" s="4" t="str">
        <f>IF(XS_Designer_Bed_Mix!$J63&lt;=XS_Designer!$BN$101,XS_Designer!BA$101,"")</f>
        <v/>
      </c>
      <c r="CX63" s="4" t="str">
        <f>IF(XS_Designer_Bed_Mix!$J63&lt;=XS_Designer!$BN$101,XS_Designer!BB$101,"")</f>
        <v/>
      </c>
      <c r="CY63" s="4" t="str">
        <f>IF(XS_Designer_Bed_Mix!$J63&lt;=XS_Designer!$BN$101,XS_Designer!BC$101,"")</f>
        <v/>
      </c>
      <c r="CZ63" s="4" t="str">
        <f>IF(XS_Designer_Bed_Mix!$J63&lt;=XS_Designer!$BN$101,XS_Designer!BD$101,"")</f>
        <v/>
      </c>
      <c r="DA63" s="4" t="str">
        <f>IF(XS_Designer_Bed_Mix!$J63&lt;=XS_Designer!$BN$101,XS_Designer!BE$101,"")</f>
        <v/>
      </c>
      <c r="DB63" s="4" t="str">
        <f>IF(XS_Designer_Bed_Mix!$J63&lt;=XS_Designer!$BN$101,XS_Designer!BF$101,"")</f>
        <v/>
      </c>
      <c r="DC63" s="4" t="str">
        <f>IF(XS_Designer_Bed_Mix!$J63&lt;=XS_Designer!$BN$101,XS_Designer!BG$101,"")</f>
        <v/>
      </c>
      <c r="DD63" s="4" t="str">
        <f>IF(XS_Designer_Bed_Mix!$J63&lt;=XS_Designer!$BN$101,XS_Designer!BH$101,"")</f>
        <v/>
      </c>
      <c r="DE63" s="4" t="str">
        <f>IF(XS_Designer_Bed_Mix!$J63&lt;=XS_Designer!$BN$101,XS_Designer!BI$101,"")</f>
        <v/>
      </c>
      <c r="DF63" s="4" t="str">
        <f>IF(XS_Designer_Bed_Mix!$J63&lt;=XS_Designer!$BN$101,XS_Designer!BJ$101,"")</f>
        <v/>
      </c>
      <c r="DG63" s="4" t="str">
        <f>IF(XS_Designer_Bed_Mix!$J63&lt;=XS_Designer!$BN$102,XS_Designer!BA$102,"")</f>
        <v/>
      </c>
      <c r="DH63" s="4" t="str">
        <f>IF(XS_Designer_Bed_Mix!$J63&lt;=XS_Designer!$BN$102,XS_Designer!BB$102,"")</f>
        <v/>
      </c>
      <c r="DI63" s="4" t="str">
        <f>IF(XS_Designer_Bed_Mix!$J63&lt;=XS_Designer!$BN$102,XS_Designer!BC$102,"")</f>
        <v/>
      </c>
      <c r="DJ63" s="4" t="str">
        <f>IF(XS_Designer_Bed_Mix!$J63&lt;=XS_Designer!$BN$102,XS_Designer!BD$102,"")</f>
        <v/>
      </c>
      <c r="DK63" s="4" t="str">
        <f>IF(XS_Designer_Bed_Mix!$J63&lt;=XS_Designer!$BN$102,XS_Designer!BE$102,"")</f>
        <v/>
      </c>
      <c r="DL63" s="4" t="str">
        <f>IF(XS_Designer_Bed_Mix!$J63&lt;=XS_Designer!$BN$102,XS_Designer!BF$102,"")</f>
        <v/>
      </c>
      <c r="DM63" s="4" t="str">
        <f>IF(XS_Designer_Bed_Mix!$J63&lt;=XS_Designer!$BN$102,XS_Designer!BG$102,"")</f>
        <v/>
      </c>
      <c r="DN63" s="4" t="str">
        <f>IF(XS_Designer_Bed_Mix!$J63&lt;=XS_Designer!$BN$102,XS_Designer!BH$102,"")</f>
        <v/>
      </c>
      <c r="DO63" s="4" t="str">
        <f>IF(XS_Designer_Bed_Mix!$J63&lt;=XS_Designer!$BN$102,XS_Designer!BI$102,"")</f>
        <v/>
      </c>
      <c r="DP63" s="4" t="str">
        <f>IF(XS_Designer_Bed_Mix!$J63&lt;=XS_Designer!$BN$102,XS_Designer!BJ$102,"")</f>
        <v/>
      </c>
    </row>
    <row r="64" spans="10:120">
      <c r="J64" s="3">
        <v>0.63</v>
      </c>
      <c r="K64" s="4" t="str">
        <f>IF(XS_Designer_Bed_Mix!$J64&lt;=XS_Designer!$BN$92,XS_Designer!BA$92,"")</f>
        <v/>
      </c>
      <c r="L64" s="4" t="str">
        <f>IF(XS_Designer_Bed_Mix!$J64&lt;=XS_Designer!$BN$92,XS_Designer!BB$92,"")</f>
        <v/>
      </c>
      <c r="M64" s="4" t="str">
        <f>IF(XS_Designer_Bed_Mix!$J64&lt;=XS_Designer!$BN$92,XS_Designer!BC$92,"")</f>
        <v/>
      </c>
      <c r="N64" s="4" t="str">
        <f>IF(XS_Designer_Bed_Mix!$J64&lt;=XS_Designer!$BN$92,XS_Designer!BD$92,"")</f>
        <v/>
      </c>
      <c r="O64" s="4" t="str">
        <f>IF(XS_Designer_Bed_Mix!$J64&lt;=XS_Designer!$BN$92,XS_Designer!BE$92,"")</f>
        <v/>
      </c>
      <c r="P64" s="4" t="str">
        <f>IF(XS_Designer_Bed_Mix!$J64&lt;=XS_Designer!$BN$92,XS_Designer!BF$92,"")</f>
        <v/>
      </c>
      <c r="Q64" s="4" t="str">
        <f>IF(XS_Designer_Bed_Mix!$J64&lt;=XS_Designer!$BN$92,XS_Designer!BG$92,"")</f>
        <v/>
      </c>
      <c r="R64" s="4" t="str">
        <f>IF(XS_Designer_Bed_Mix!$J64&lt;=XS_Designer!$BN$92,XS_Designer!BH$92,"")</f>
        <v/>
      </c>
      <c r="S64" s="4" t="str">
        <f>IF(XS_Designer_Bed_Mix!$J64&lt;=XS_Designer!$BN$92,XS_Designer!BI$92,"")</f>
        <v/>
      </c>
      <c r="T64" s="4" t="str">
        <f>IF(XS_Designer_Bed_Mix!$J64&lt;=XS_Designer!$BN$92,XS_Designer!BJ$92,"")</f>
        <v/>
      </c>
      <c r="U64" s="4" t="str">
        <f>IF(XS_Designer_Bed_Mix!$J64&lt;=XS_Designer!$BN$93,XS_Designer!BA$93,"")</f>
        <v/>
      </c>
      <c r="V64" s="4" t="str">
        <f>IF(XS_Designer_Bed_Mix!$J64&lt;=XS_Designer!$BN$93,XS_Designer!BB$93,"")</f>
        <v/>
      </c>
      <c r="W64" s="4" t="str">
        <f>IF(XS_Designer_Bed_Mix!$J64&lt;=XS_Designer!$BN$93,XS_Designer!BC$93,"")</f>
        <v/>
      </c>
      <c r="X64" s="4" t="str">
        <f>IF(XS_Designer_Bed_Mix!$J64&lt;=XS_Designer!$BN$93,XS_Designer!BD$93,"")</f>
        <v/>
      </c>
      <c r="Y64" s="4" t="str">
        <f>IF(XS_Designer_Bed_Mix!$J64&lt;=XS_Designer!$BN$93,XS_Designer!BE$93,"")</f>
        <v/>
      </c>
      <c r="Z64" s="4" t="str">
        <f>IF(XS_Designer_Bed_Mix!$J64&lt;=XS_Designer!$BN$93,XS_Designer!BF$93,"")</f>
        <v/>
      </c>
      <c r="AA64" s="4" t="str">
        <f>IF(XS_Designer_Bed_Mix!$J64&lt;=XS_Designer!$BN$93,XS_Designer!BG$93,"")</f>
        <v/>
      </c>
      <c r="AB64" s="4" t="str">
        <f>IF(XS_Designer_Bed_Mix!$J64&lt;=XS_Designer!$BN$93,XS_Designer!BH$93,"")</f>
        <v/>
      </c>
      <c r="AC64" s="4" t="str">
        <f>IF(XS_Designer_Bed_Mix!$J64&lt;=XS_Designer!$BN$93,XS_Designer!BI$93,"")</f>
        <v/>
      </c>
      <c r="AD64" s="4" t="str">
        <f>IF(XS_Designer_Bed_Mix!$J64&lt;=XS_Designer!$BN$93,XS_Designer!BJ$93,"")</f>
        <v/>
      </c>
      <c r="AE64" s="4" t="str">
        <f>IF(XS_Designer_Bed_Mix!$J64&lt;=XS_Designer!$BN$94,XS_Designer!BA$94,"")</f>
        <v/>
      </c>
      <c r="AF64" s="4" t="str">
        <f>IF(XS_Designer_Bed_Mix!$J64&lt;=XS_Designer!$BN$94,XS_Designer!BB$94,"")</f>
        <v/>
      </c>
      <c r="AG64" s="4" t="str">
        <f>IF(XS_Designer_Bed_Mix!$J64&lt;=XS_Designer!$BN$94,XS_Designer!BC$94,"")</f>
        <v/>
      </c>
      <c r="AH64" s="4" t="str">
        <f>IF(XS_Designer_Bed_Mix!$J64&lt;=XS_Designer!$BN$94,XS_Designer!BD$94,"")</f>
        <v/>
      </c>
      <c r="AI64" s="4" t="str">
        <f>IF(XS_Designer_Bed_Mix!$J64&lt;=XS_Designer!$BN$94,XS_Designer!BE$94,"")</f>
        <v/>
      </c>
      <c r="AJ64" s="4" t="str">
        <f>IF(XS_Designer_Bed_Mix!$J64&lt;=XS_Designer!$BN$94,XS_Designer!BF$94,"")</f>
        <v/>
      </c>
      <c r="AK64" s="4" t="str">
        <f>IF(XS_Designer_Bed_Mix!$J64&lt;=XS_Designer!$BN$94,XS_Designer!BG$94,"")</f>
        <v/>
      </c>
      <c r="AL64" s="4" t="str">
        <f>IF(XS_Designer_Bed_Mix!$J64&lt;=XS_Designer!$BN$94,XS_Designer!BH$94,"")</f>
        <v/>
      </c>
      <c r="AM64" s="4" t="str">
        <f>IF(XS_Designer_Bed_Mix!$J64&lt;=XS_Designer!$BN$94,XS_Designer!BI$94,"")</f>
        <v/>
      </c>
      <c r="AN64" s="4" t="str">
        <f>IF(XS_Designer_Bed_Mix!$J64&lt;=XS_Designer!$BN$94,XS_Designer!BJ$94,"")</f>
        <v/>
      </c>
      <c r="AO64" s="4" t="str">
        <f>IF(XS_Designer_Bed_Mix!$J64&lt;=XS_Designer!$BN$95,XS_Designer!BA$95,"")</f>
        <v/>
      </c>
      <c r="AP64" s="4" t="str">
        <f>IF(XS_Designer_Bed_Mix!$J64&lt;=XS_Designer!$BN$95,XS_Designer!BB$95,"")</f>
        <v/>
      </c>
      <c r="AQ64" s="4" t="str">
        <f>IF(XS_Designer_Bed_Mix!$J64&lt;=XS_Designer!$BN$95,XS_Designer!BC$95,"")</f>
        <v/>
      </c>
      <c r="AR64" s="4" t="str">
        <f>IF(XS_Designer_Bed_Mix!$J64&lt;=XS_Designer!$BN$95,XS_Designer!BD$95,"")</f>
        <v/>
      </c>
      <c r="AS64" s="4" t="str">
        <f>IF(XS_Designer_Bed_Mix!$J64&lt;=XS_Designer!$BN$95,XS_Designer!BE$95,"")</f>
        <v/>
      </c>
      <c r="AT64" s="4" t="str">
        <f>IF(XS_Designer_Bed_Mix!$J64&lt;=XS_Designer!$BN$95,XS_Designer!BF$95,"")</f>
        <v/>
      </c>
      <c r="AU64" s="4" t="str">
        <f>IF(XS_Designer_Bed_Mix!$J64&lt;=XS_Designer!$BN$95,XS_Designer!BG$95,"")</f>
        <v/>
      </c>
      <c r="AV64" s="4" t="str">
        <f>IF(XS_Designer_Bed_Mix!$J64&lt;=XS_Designer!$BN$95,XS_Designer!BH$95,"")</f>
        <v/>
      </c>
      <c r="AW64" s="4" t="str">
        <f>IF(XS_Designer_Bed_Mix!$J64&lt;=XS_Designer!$BN$95,XS_Designer!BI$95,"")</f>
        <v/>
      </c>
      <c r="AX64" s="4" t="str">
        <f>IF(XS_Designer_Bed_Mix!$J64&lt;=XS_Designer!$BN$95,XS_Designer!BJ$95,"")</f>
        <v/>
      </c>
      <c r="AY64" s="4" t="str">
        <f>IF(XS_Designer_Bed_Mix!$J64&lt;=XS_Designer!$BN$96,XS_Designer!BA$96,"")</f>
        <v/>
      </c>
      <c r="AZ64" s="4" t="str">
        <f>IF(XS_Designer_Bed_Mix!$J64&lt;=XS_Designer!$BN$96,XS_Designer!BB$96,"")</f>
        <v/>
      </c>
      <c r="BA64" s="4" t="str">
        <f>IF(XS_Designer_Bed_Mix!$J64&lt;=XS_Designer!$BN$96,XS_Designer!BC$96,"")</f>
        <v/>
      </c>
      <c r="BB64" s="4" t="str">
        <f>IF(XS_Designer_Bed_Mix!$J64&lt;=XS_Designer!$BN$96,XS_Designer!BD$96,"")</f>
        <v/>
      </c>
      <c r="BC64" s="4" t="str">
        <f>IF(XS_Designer_Bed_Mix!$J64&lt;=XS_Designer!$BN$96,XS_Designer!BE$96,"")</f>
        <v/>
      </c>
      <c r="BD64" s="4" t="str">
        <f>IF(XS_Designer_Bed_Mix!$J64&lt;=XS_Designer!$BN$96,XS_Designer!BF$96,"")</f>
        <v/>
      </c>
      <c r="BE64" s="4" t="str">
        <f>IF(XS_Designer_Bed_Mix!$J64&lt;=XS_Designer!$BN$96,XS_Designer!BG$96,"")</f>
        <v/>
      </c>
      <c r="BF64" s="4" t="str">
        <f>IF(XS_Designer_Bed_Mix!$J64&lt;=XS_Designer!$BN$96,XS_Designer!BH$96,"")</f>
        <v/>
      </c>
      <c r="BG64" s="4" t="str">
        <f>IF(XS_Designer_Bed_Mix!$J64&lt;=XS_Designer!$BN$96,XS_Designer!BI$96,"")</f>
        <v/>
      </c>
      <c r="BH64" s="4" t="str">
        <f>IF(XS_Designer_Bed_Mix!$J64&lt;=XS_Designer!$BN$96,XS_Designer!BJ$96,"")</f>
        <v/>
      </c>
      <c r="BI64" s="4" t="str">
        <f>IF(XS_Designer_Bed_Mix!$J64&lt;=XS_Designer!$BN$97,XS_Designer!BA$97,"")</f>
        <v/>
      </c>
      <c r="BJ64" s="4" t="str">
        <f>IF(XS_Designer_Bed_Mix!$J64&lt;=XS_Designer!$BN$97,XS_Designer!BB$97,"")</f>
        <v/>
      </c>
      <c r="BK64" s="4" t="str">
        <f>IF(XS_Designer_Bed_Mix!$J64&lt;=XS_Designer!$BN$97,XS_Designer!BC$97,"")</f>
        <v/>
      </c>
      <c r="BL64" s="4" t="str">
        <f>IF(XS_Designer_Bed_Mix!$J64&lt;=XS_Designer!$BN$97,XS_Designer!BD$97,"")</f>
        <v/>
      </c>
      <c r="BM64" s="4" t="str">
        <f>IF(XS_Designer_Bed_Mix!$J64&lt;=XS_Designer!$BN$97,XS_Designer!BE$97,"")</f>
        <v/>
      </c>
      <c r="BN64" s="4" t="str">
        <f>IF(XS_Designer_Bed_Mix!$J64&lt;=XS_Designer!$BN$97,XS_Designer!BF$97,"")</f>
        <v/>
      </c>
      <c r="BO64" s="4" t="str">
        <f>IF(XS_Designer_Bed_Mix!$J64&lt;=XS_Designer!$BN$97,XS_Designer!BG$97,"")</f>
        <v/>
      </c>
      <c r="BP64" s="4" t="str">
        <f>IF(XS_Designer_Bed_Mix!$J64&lt;=XS_Designer!$BN$97,XS_Designer!BH$97,"")</f>
        <v/>
      </c>
      <c r="BQ64" s="4" t="str">
        <f>IF(XS_Designer_Bed_Mix!$J64&lt;=XS_Designer!$BN$97,XS_Designer!BI$97,"")</f>
        <v/>
      </c>
      <c r="BR64" s="4" t="str">
        <f>IF(XS_Designer_Bed_Mix!$J64&lt;=XS_Designer!$BN$97,XS_Designer!BJ$97,"")</f>
        <v/>
      </c>
      <c r="BS64" s="4" t="str">
        <f>IF(XS_Designer_Bed_Mix!$J64&lt;=XS_Designer!$BN$98,XS_Designer!BA$98,"")</f>
        <v/>
      </c>
      <c r="BT64" s="4" t="str">
        <f>IF(XS_Designer_Bed_Mix!$J64&lt;=XS_Designer!$BN$98,XS_Designer!BB$98,"")</f>
        <v/>
      </c>
      <c r="BU64" s="4" t="str">
        <f>IF(XS_Designer_Bed_Mix!$J64&lt;=XS_Designer!$BN$98,XS_Designer!BC$98,"")</f>
        <v/>
      </c>
      <c r="BV64" s="4" t="str">
        <f>IF(XS_Designer_Bed_Mix!$J64&lt;=XS_Designer!$BN$98,XS_Designer!BD$98,"")</f>
        <v/>
      </c>
      <c r="BW64" s="4" t="str">
        <f>IF(XS_Designer_Bed_Mix!$J64&lt;=XS_Designer!$BN$98,XS_Designer!BE$98,"")</f>
        <v/>
      </c>
      <c r="BX64" s="4" t="str">
        <f>IF(XS_Designer_Bed_Mix!$J64&lt;=XS_Designer!$BN$98,XS_Designer!BF$98,"")</f>
        <v/>
      </c>
      <c r="BY64" s="4" t="str">
        <f>IF(XS_Designer_Bed_Mix!$J64&lt;=XS_Designer!$BN$98,XS_Designer!BG$98,"")</f>
        <v/>
      </c>
      <c r="BZ64" s="4" t="str">
        <f>IF(XS_Designer_Bed_Mix!$J64&lt;=XS_Designer!$BN$98,XS_Designer!BH$98,"")</f>
        <v/>
      </c>
      <c r="CA64" s="4" t="str">
        <f>IF(XS_Designer_Bed_Mix!$J64&lt;=XS_Designer!$BN$98,XS_Designer!BI$98,"")</f>
        <v/>
      </c>
      <c r="CB64" s="4" t="str">
        <f>IF(XS_Designer_Bed_Mix!$J64&lt;=XS_Designer!$BN$98,XS_Designer!BJ$98,"")</f>
        <v/>
      </c>
      <c r="CC64" s="4" t="str">
        <f>IF(XS_Designer_Bed_Mix!$J64&lt;=XS_Designer!$BN$99,XS_Designer!BA$99,"")</f>
        <v/>
      </c>
      <c r="CD64" s="4" t="str">
        <f>IF(XS_Designer_Bed_Mix!$J64&lt;=XS_Designer!$BN$99,XS_Designer!BB$99,"")</f>
        <v/>
      </c>
      <c r="CE64" s="4" t="str">
        <f>IF(XS_Designer_Bed_Mix!$J64&lt;=XS_Designer!$BN$99,XS_Designer!BC$99,"")</f>
        <v/>
      </c>
      <c r="CF64" s="4" t="str">
        <f>IF(XS_Designer_Bed_Mix!$J64&lt;=XS_Designer!$BN$99,XS_Designer!BD$99,"")</f>
        <v/>
      </c>
      <c r="CG64" s="4" t="str">
        <f>IF(XS_Designer_Bed_Mix!$J64&lt;=XS_Designer!$BN$99,XS_Designer!BE$99,"")</f>
        <v/>
      </c>
      <c r="CH64" s="4" t="str">
        <f>IF(XS_Designer_Bed_Mix!$J64&lt;=XS_Designer!$BN$99,XS_Designer!BF$99,"")</f>
        <v/>
      </c>
      <c r="CI64" s="4" t="str">
        <f>IF(XS_Designer_Bed_Mix!$J64&lt;=XS_Designer!$BN$99,XS_Designer!BG$99,"")</f>
        <v/>
      </c>
      <c r="CJ64" s="4" t="str">
        <f>IF(XS_Designer_Bed_Mix!$J64&lt;=XS_Designer!$BN$99,XS_Designer!BH$99,"")</f>
        <v/>
      </c>
      <c r="CK64" s="4" t="str">
        <f>IF(XS_Designer_Bed_Mix!$J64&lt;=XS_Designer!$BN$99,XS_Designer!BI$99,"")</f>
        <v/>
      </c>
      <c r="CL64" s="4" t="str">
        <f>IF(XS_Designer_Bed_Mix!$J64&lt;=XS_Designer!$BN$99,XS_Designer!BJ$99,"")</f>
        <v/>
      </c>
      <c r="CM64" s="4" t="str">
        <f>IF(XS_Designer_Bed_Mix!$J64&lt;=XS_Designer!$BN$100,XS_Designer!BA$100,"")</f>
        <v/>
      </c>
      <c r="CN64" s="4" t="str">
        <f>IF(XS_Designer_Bed_Mix!$J64&lt;=XS_Designer!$BN$100,XS_Designer!BB$100,"")</f>
        <v/>
      </c>
      <c r="CO64" s="4" t="str">
        <f>IF(XS_Designer_Bed_Mix!$J64&lt;=XS_Designer!$BN$100,XS_Designer!BC$100,"")</f>
        <v/>
      </c>
      <c r="CP64" s="4" t="str">
        <f>IF(XS_Designer_Bed_Mix!$J64&lt;=XS_Designer!$BN$100,XS_Designer!BD$100,"")</f>
        <v/>
      </c>
      <c r="CQ64" s="4" t="str">
        <f>IF(XS_Designer_Bed_Mix!$J64&lt;=XS_Designer!$BN$100,XS_Designer!BE$100,"")</f>
        <v/>
      </c>
      <c r="CR64" s="4" t="str">
        <f>IF(XS_Designer_Bed_Mix!$J64&lt;=XS_Designer!$BN$100,XS_Designer!BF$100,"")</f>
        <v/>
      </c>
      <c r="CS64" s="4" t="str">
        <f>IF(XS_Designer_Bed_Mix!$J64&lt;=XS_Designer!$BN$100,XS_Designer!BG$100,"")</f>
        <v/>
      </c>
      <c r="CT64" s="4" t="str">
        <f>IF(XS_Designer_Bed_Mix!$J64&lt;=XS_Designer!$BN$100,XS_Designer!BH$100,"")</f>
        <v/>
      </c>
      <c r="CU64" s="4" t="str">
        <f>IF(XS_Designer_Bed_Mix!$J64&lt;=XS_Designer!$BN$100,XS_Designer!BI$100,"")</f>
        <v/>
      </c>
      <c r="CV64" s="4" t="str">
        <f>IF(XS_Designer_Bed_Mix!$J64&lt;=XS_Designer!$BN$100,XS_Designer!BJ$100,"")</f>
        <v/>
      </c>
      <c r="CW64" s="4" t="str">
        <f>IF(XS_Designer_Bed_Mix!$J64&lt;=XS_Designer!$BN$101,XS_Designer!BA$101,"")</f>
        <v/>
      </c>
      <c r="CX64" s="4" t="str">
        <f>IF(XS_Designer_Bed_Mix!$J64&lt;=XS_Designer!$BN$101,XS_Designer!BB$101,"")</f>
        <v/>
      </c>
      <c r="CY64" s="4" t="str">
        <f>IF(XS_Designer_Bed_Mix!$J64&lt;=XS_Designer!$BN$101,XS_Designer!BC$101,"")</f>
        <v/>
      </c>
      <c r="CZ64" s="4" t="str">
        <f>IF(XS_Designer_Bed_Mix!$J64&lt;=XS_Designer!$BN$101,XS_Designer!BD$101,"")</f>
        <v/>
      </c>
      <c r="DA64" s="4" t="str">
        <f>IF(XS_Designer_Bed_Mix!$J64&lt;=XS_Designer!$BN$101,XS_Designer!BE$101,"")</f>
        <v/>
      </c>
      <c r="DB64" s="4" t="str">
        <f>IF(XS_Designer_Bed_Mix!$J64&lt;=XS_Designer!$BN$101,XS_Designer!BF$101,"")</f>
        <v/>
      </c>
      <c r="DC64" s="4" t="str">
        <f>IF(XS_Designer_Bed_Mix!$J64&lt;=XS_Designer!$BN$101,XS_Designer!BG$101,"")</f>
        <v/>
      </c>
      <c r="DD64" s="4" t="str">
        <f>IF(XS_Designer_Bed_Mix!$J64&lt;=XS_Designer!$BN$101,XS_Designer!BH$101,"")</f>
        <v/>
      </c>
      <c r="DE64" s="4" t="str">
        <f>IF(XS_Designer_Bed_Mix!$J64&lt;=XS_Designer!$BN$101,XS_Designer!BI$101,"")</f>
        <v/>
      </c>
      <c r="DF64" s="4" t="str">
        <f>IF(XS_Designer_Bed_Mix!$J64&lt;=XS_Designer!$BN$101,XS_Designer!BJ$101,"")</f>
        <v/>
      </c>
      <c r="DG64" s="4" t="str">
        <f>IF(XS_Designer_Bed_Mix!$J64&lt;=XS_Designer!$BN$102,XS_Designer!BA$102,"")</f>
        <v/>
      </c>
      <c r="DH64" s="4" t="str">
        <f>IF(XS_Designer_Bed_Mix!$J64&lt;=XS_Designer!$BN$102,XS_Designer!BB$102,"")</f>
        <v/>
      </c>
      <c r="DI64" s="4" t="str">
        <f>IF(XS_Designer_Bed_Mix!$J64&lt;=XS_Designer!$BN$102,XS_Designer!BC$102,"")</f>
        <v/>
      </c>
      <c r="DJ64" s="4" t="str">
        <f>IF(XS_Designer_Bed_Mix!$J64&lt;=XS_Designer!$BN$102,XS_Designer!BD$102,"")</f>
        <v/>
      </c>
      <c r="DK64" s="4" t="str">
        <f>IF(XS_Designer_Bed_Mix!$J64&lt;=XS_Designer!$BN$102,XS_Designer!BE$102,"")</f>
        <v/>
      </c>
      <c r="DL64" s="4" t="str">
        <f>IF(XS_Designer_Bed_Mix!$J64&lt;=XS_Designer!$BN$102,XS_Designer!BF$102,"")</f>
        <v/>
      </c>
      <c r="DM64" s="4" t="str">
        <f>IF(XS_Designer_Bed_Mix!$J64&lt;=XS_Designer!$BN$102,XS_Designer!BG$102,"")</f>
        <v/>
      </c>
      <c r="DN64" s="4" t="str">
        <f>IF(XS_Designer_Bed_Mix!$J64&lt;=XS_Designer!$BN$102,XS_Designer!BH$102,"")</f>
        <v/>
      </c>
      <c r="DO64" s="4" t="str">
        <f>IF(XS_Designer_Bed_Mix!$J64&lt;=XS_Designer!$BN$102,XS_Designer!BI$102,"")</f>
        <v/>
      </c>
      <c r="DP64" s="4" t="str">
        <f>IF(XS_Designer_Bed_Mix!$J64&lt;=XS_Designer!$BN$102,XS_Designer!BJ$102,"")</f>
        <v/>
      </c>
    </row>
    <row r="65" spans="10:120">
      <c r="J65" s="3">
        <v>0.64</v>
      </c>
      <c r="K65" s="4" t="str">
        <f>IF(XS_Designer_Bed_Mix!$J65&lt;=XS_Designer!$BN$92,XS_Designer!BA$92,"")</f>
        <v/>
      </c>
      <c r="L65" s="4" t="str">
        <f>IF(XS_Designer_Bed_Mix!$J65&lt;=XS_Designer!$BN$92,XS_Designer!BB$92,"")</f>
        <v/>
      </c>
      <c r="M65" s="4" t="str">
        <f>IF(XS_Designer_Bed_Mix!$J65&lt;=XS_Designer!$BN$92,XS_Designer!BC$92,"")</f>
        <v/>
      </c>
      <c r="N65" s="4" t="str">
        <f>IF(XS_Designer_Bed_Mix!$J65&lt;=XS_Designer!$BN$92,XS_Designer!BD$92,"")</f>
        <v/>
      </c>
      <c r="O65" s="4" t="str">
        <f>IF(XS_Designer_Bed_Mix!$J65&lt;=XS_Designer!$BN$92,XS_Designer!BE$92,"")</f>
        <v/>
      </c>
      <c r="P65" s="4" t="str">
        <f>IF(XS_Designer_Bed_Mix!$J65&lt;=XS_Designer!$BN$92,XS_Designer!BF$92,"")</f>
        <v/>
      </c>
      <c r="Q65" s="4" t="str">
        <f>IF(XS_Designer_Bed_Mix!$J65&lt;=XS_Designer!$BN$92,XS_Designer!BG$92,"")</f>
        <v/>
      </c>
      <c r="R65" s="4" t="str">
        <f>IF(XS_Designer_Bed_Mix!$J65&lt;=XS_Designer!$BN$92,XS_Designer!BH$92,"")</f>
        <v/>
      </c>
      <c r="S65" s="4" t="str">
        <f>IF(XS_Designer_Bed_Mix!$J65&lt;=XS_Designer!$BN$92,XS_Designer!BI$92,"")</f>
        <v/>
      </c>
      <c r="T65" s="4" t="str">
        <f>IF(XS_Designer_Bed_Mix!$J65&lt;=XS_Designer!$BN$92,XS_Designer!BJ$92,"")</f>
        <v/>
      </c>
      <c r="U65" s="4" t="str">
        <f>IF(XS_Designer_Bed_Mix!$J65&lt;=XS_Designer!$BN$93,XS_Designer!BA$93,"")</f>
        <v/>
      </c>
      <c r="V65" s="4" t="str">
        <f>IF(XS_Designer_Bed_Mix!$J65&lt;=XS_Designer!$BN$93,XS_Designer!BB$93,"")</f>
        <v/>
      </c>
      <c r="W65" s="4" t="str">
        <f>IF(XS_Designer_Bed_Mix!$J65&lt;=XS_Designer!$BN$93,XS_Designer!BC$93,"")</f>
        <v/>
      </c>
      <c r="X65" s="4" t="str">
        <f>IF(XS_Designer_Bed_Mix!$J65&lt;=XS_Designer!$BN$93,XS_Designer!BD$93,"")</f>
        <v/>
      </c>
      <c r="Y65" s="4" t="str">
        <f>IF(XS_Designer_Bed_Mix!$J65&lt;=XS_Designer!$BN$93,XS_Designer!BE$93,"")</f>
        <v/>
      </c>
      <c r="Z65" s="4" t="str">
        <f>IF(XS_Designer_Bed_Mix!$J65&lt;=XS_Designer!$BN$93,XS_Designer!BF$93,"")</f>
        <v/>
      </c>
      <c r="AA65" s="4" t="str">
        <f>IF(XS_Designer_Bed_Mix!$J65&lt;=XS_Designer!$BN$93,XS_Designer!BG$93,"")</f>
        <v/>
      </c>
      <c r="AB65" s="4" t="str">
        <f>IF(XS_Designer_Bed_Mix!$J65&lt;=XS_Designer!$BN$93,XS_Designer!BH$93,"")</f>
        <v/>
      </c>
      <c r="AC65" s="4" t="str">
        <f>IF(XS_Designer_Bed_Mix!$J65&lt;=XS_Designer!$BN$93,XS_Designer!BI$93,"")</f>
        <v/>
      </c>
      <c r="AD65" s="4" t="str">
        <f>IF(XS_Designer_Bed_Mix!$J65&lt;=XS_Designer!$BN$93,XS_Designer!BJ$93,"")</f>
        <v/>
      </c>
      <c r="AE65" s="4" t="str">
        <f>IF(XS_Designer_Bed_Mix!$J65&lt;=XS_Designer!$BN$94,XS_Designer!BA$94,"")</f>
        <v/>
      </c>
      <c r="AF65" s="4" t="str">
        <f>IF(XS_Designer_Bed_Mix!$J65&lt;=XS_Designer!$BN$94,XS_Designer!BB$94,"")</f>
        <v/>
      </c>
      <c r="AG65" s="4" t="str">
        <f>IF(XS_Designer_Bed_Mix!$J65&lt;=XS_Designer!$BN$94,XS_Designer!BC$94,"")</f>
        <v/>
      </c>
      <c r="AH65" s="4" t="str">
        <f>IF(XS_Designer_Bed_Mix!$J65&lt;=XS_Designer!$BN$94,XS_Designer!BD$94,"")</f>
        <v/>
      </c>
      <c r="AI65" s="4" t="str">
        <f>IF(XS_Designer_Bed_Mix!$J65&lt;=XS_Designer!$BN$94,XS_Designer!BE$94,"")</f>
        <v/>
      </c>
      <c r="AJ65" s="4" t="str">
        <f>IF(XS_Designer_Bed_Mix!$J65&lt;=XS_Designer!$BN$94,XS_Designer!BF$94,"")</f>
        <v/>
      </c>
      <c r="AK65" s="4" t="str">
        <f>IF(XS_Designer_Bed_Mix!$J65&lt;=XS_Designer!$BN$94,XS_Designer!BG$94,"")</f>
        <v/>
      </c>
      <c r="AL65" s="4" t="str">
        <f>IF(XS_Designer_Bed_Mix!$J65&lt;=XS_Designer!$BN$94,XS_Designer!BH$94,"")</f>
        <v/>
      </c>
      <c r="AM65" s="4" t="str">
        <f>IF(XS_Designer_Bed_Mix!$J65&lt;=XS_Designer!$BN$94,XS_Designer!BI$94,"")</f>
        <v/>
      </c>
      <c r="AN65" s="4" t="str">
        <f>IF(XS_Designer_Bed_Mix!$J65&lt;=XS_Designer!$BN$94,XS_Designer!BJ$94,"")</f>
        <v/>
      </c>
      <c r="AO65" s="4" t="str">
        <f>IF(XS_Designer_Bed_Mix!$J65&lt;=XS_Designer!$BN$95,XS_Designer!BA$95,"")</f>
        <v/>
      </c>
      <c r="AP65" s="4" t="str">
        <f>IF(XS_Designer_Bed_Mix!$J65&lt;=XS_Designer!$BN$95,XS_Designer!BB$95,"")</f>
        <v/>
      </c>
      <c r="AQ65" s="4" t="str">
        <f>IF(XS_Designer_Bed_Mix!$J65&lt;=XS_Designer!$BN$95,XS_Designer!BC$95,"")</f>
        <v/>
      </c>
      <c r="AR65" s="4" t="str">
        <f>IF(XS_Designer_Bed_Mix!$J65&lt;=XS_Designer!$BN$95,XS_Designer!BD$95,"")</f>
        <v/>
      </c>
      <c r="AS65" s="4" t="str">
        <f>IF(XS_Designer_Bed_Mix!$J65&lt;=XS_Designer!$BN$95,XS_Designer!BE$95,"")</f>
        <v/>
      </c>
      <c r="AT65" s="4" t="str">
        <f>IF(XS_Designer_Bed_Mix!$J65&lt;=XS_Designer!$BN$95,XS_Designer!BF$95,"")</f>
        <v/>
      </c>
      <c r="AU65" s="4" t="str">
        <f>IF(XS_Designer_Bed_Mix!$J65&lt;=XS_Designer!$BN$95,XS_Designer!BG$95,"")</f>
        <v/>
      </c>
      <c r="AV65" s="4" t="str">
        <f>IF(XS_Designer_Bed_Mix!$J65&lt;=XS_Designer!$BN$95,XS_Designer!BH$95,"")</f>
        <v/>
      </c>
      <c r="AW65" s="4" t="str">
        <f>IF(XS_Designer_Bed_Mix!$J65&lt;=XS_Designer!$BN$95,XS_Designer!BI$95,"")</f>
        <v/>
      </c>
      <c r="AX65" s="4" t="str">
        <f>IF(XS_Designer_Bed_Mix!$J65&lt;=XS_Designer!$BN$95,XS_Designer!BJ$95,"")</f>
        <v/>
      </c>
      <c r="AY65" s="4" t="str">
        <f>IF(XS_Designer_Bed_Mix!$J65&lt;=XS_Designer!$BN$96,XS_Designer!BA$96,"")</f>
        <v/>
      </c>
      <c r="AZ65" s="4" t="str">
        <f>IF(XS_Designer_Bed_Mix!$J65&lt;=XS_Designer!$BN$96,XS_Designer!BB$96,"")</f>
        <v/>
      </c>
      <c r="BA65" s="4" t="str">
        <f>IF(XS_Designer_Bed_Mix!$J65&lt;=XS_Designer!$BN$96,XS_Designer!BC$96,"")</f>
        <v/>
      </c>
      <c r="BB65" s="4" t="str">
        <f>IF(XS_Designer_Bed_Mix!$J65&lt;=XS_Designer!$BN$96,XS_Designer!BD$96,"")</f>
        <v/>
      </c>
      <c r="BC65" s="4" t="str">
        <f>IF(XS_Designer_Bed_Mix!$J65&lt;=XS_Designer!$BN$96,XS_Designer!BE$96,"")</f>
        <v/>
      </c>
      <c r="BD65" s="4" t="str">
        <f>IF(XS_Designer_Bed_Mix!$J65&lt;=XS_Designer!$BN$96,XS_Designer!BF$96,"")</f>
        <v/>
      </c>
      <c r="BE65" s="4" t="str">
        <f>IF(XS_Designer_Bed_Mix!$J65&lt;=XS_Designer!$BN$96,XS_Designer!BG$96,"")</f>
        <v/>
      </c>
      <c r="BF65" s="4" t="str">
        <f>IF(XS_Designer_Bed_Mix!$J65&lt;=XS_Designer!$BN$96,XS_Designer!BH$96,"")</f>
        <v/>
      </c>
      <c r="BG65" s="4" t="str">
        <f>IF(XS_Designer_Bed_Mix!$J65&lt;=XS_Designer!$BN$96,XS_Designer!BI$96,"")</f>
        <v/>
      </c>
      <c r="BH65" s="4" t="str">
        <f>IF(XS_Designer_Bed_Mix!$J65&lt;=XS_Designer!$BN$96,XS_Designer!BJ$96,"")</f>
        <v/>
      </c>
      <c r="BI65" s="4" t="str">
        <f>IF(XS_Designer_Bed_Mix!$J65&lt;=XS_Designer!$BN$97,XS_Designer!BA$97,"")</f>
        <v/>
      </c>
      <c r="BJ65" s="4" t="str">
        <f>IF(XS_Designer_Bed_Mix!$J65&lt;=XS_Designer!$BN$97,XS_Designer!BB$97,"")</f>
        <v/>
      </c>
      <c r="BK65" s="4" t="str">
        <f>IF(XS_Designer_Bed_Mix!$J65&lt;=XS_Designer!$BN$97,XS_Designer!BC$97,"")</f>
        <v/>
      </c>
      <c r="BL65" s="4" t="str">
        <f>IF(XS_Designer_Bed_Mix!$J65&lt;=XS_Designer!$BN$97,XS_Designer!BD$97,"")</f>
        <v/>
      </c>
      <c r="BM65" s="4" t="str">
        <f>IF(XS_Designer_Bed_Mix!$J65&lt;=XS_Designer!$BN$97,XS_Designer!BE$97,"")</f>
        <v/>
      </c>
      <c r="BN65" s="4" t="str">
        <f>IF(XS_Designer_Bed_Mix!$J65&lt;=XS_Designer!$BN$97,XS_Designer!BF$97,"")</f>
        <v/>
      </c>
      <c r="BO65" s="4" t="str">
        <f>IF(XS_Designer_Bed_Mix!$J65&lt;=XS_Designer!$BN$97,XS_Designer!BG$97,"")</f>
        <v/>
      </c>
      <c r="BP65" s="4" t="str">
        <f>IF(XS_Designer_Bed_Mix!$J65&lt;=XS_Designer!$BN$97,XS_Designer!BH$97,"")</f>
        <v/>
      </c>
      <c r="BQ65" s="4" t="str">
        <f>IF(XS_Designer_Bed_Mix!$J65&lt;=XS_Designer!$BN$97,XS_Designer!BI$97,"")</f>
        <v/>
      </c>
      <c r="BR65" s="4" t="str">
        <f>IF(XS_Designer_Bed_Mix!$J65&lt;=XS_Designer!$BN$97,XS_Designer!BJ$97,"")</f>
        <v/>
      </c>
      <c r="BS65" s="4" t="str">
        <f>IF(XS_Designer_Bed_Mix!$J65&lt;=XS_Designer!$BN$98,XS_Designer!BA$98,"")</f>
        <v/>
      </c>
      <c r="BT65" s="4" t="str">
        <f>IF(XS_Designer_Bed_Mix!$J65&lt;=XS_Designer!$BN$98,XS_Designer!BB$98,"")</f>
        <v/>
      </c>
      <c r="BU65" s="4" t="str">
        <f>IF(XS_Designer_Bed_Mix!$J65&lt;=XS_Designer!$BN$98,XS_Designer!BC$98,"")</f>
        <v/>
      </c>
      <c r="BV65" s="4" t="str">
        <f>IF(XS_Designer_Bed_Mix!$J65&lt;=XS_Designer!$BN$98,XS_Designer!BD$98,"")</f>
        <v/>
      </c>
      <c r="BW65" s="4" t="str">
        <f>IF(XS_Designer_Bed_Mix!$J65&lt;=XS_Designer!$BN$98,XS_Designer!BE$98,"")</f>
        <v/>
      </c>
      <c r="BX65" s="4" t="str">
        <f>IF(XS_Designer_Bed_Mix!$J65&lt;=XS_Designer!$BN$98,XS_Designer!BF$98,"")</f>
        <v/>
      </c>
      <c r="BY65" s="4" t="str">
        <f>IF(XS_Designer_Bed_Mix!$J65&lt;=XS_Designer!$BN$98,XS_Designer!BG$98,"")</f>
        <v/>
      </c>
      <c r="BZ65" s="4" t="str">
        <f>IF(XS_Designer_Bed_Mix!$J65&lt;=XS_Designer!$BN$98,XS_Designer!BH$98,"")</f>
        <v/>
      </c>
      <c r="CA65" s="4" t="str">
        <f>IF(XS_Designer_Bed_Mix!$J65&lt;=XS_Designer!$BN$98,XS_Designer!BI$98,"")</f>
        <v/>
      </c>
      <c r="CB65" s="4" t="str">
        <f>IF(XS_Designer_Bed_Mix!$J65&lt;=XS_Designer!$BN$98,XS_Designer!BJ$98,"")</f>
        <v/>
      </c>
      <c r="CC65" s="4" t="str">
        <f>IF(XS_Designer_Bed_Mix!$J65&lt;=XS_Designer!$BN$99,XS_Designer!BA$99,"")</f>
        <v/>
      </c>
      <c r="CD65" s="4" t="str">
        <f>IF(XS_Designer_Bed_Mix!$J65&lt;=XS_Designer!$BN$99,XS_Designer!BB$99,"")</f>
        <v/>
      </c>
      <c r="CE65" s="4" t="str">
        <f>IF(XS_Designer_Bed_Mix!$J65&lt;=XS_Designer!$BN$99,XS_Designer!BC$99,"")</f>
        <v/>
      </c>
      <c r="CF65" s="4" t="str">
        <f>IF(XS_Designer_Bed_Mix!$J65&lt;=XS_Designer!$BN$99,XS_Designer!BD$99,"")</f>
        <v/>
      </c>
      <c r="CG65" s="4" t="str">
        <f>IF(XS_Designer_Bed_Mix!$J65&lt;=XS_Designer!$BN$99,XS_Designer!BE$99,"")</f>
        <v/>
      </c>
      <c r="CH65" s="4" t="str">
        <f>IF(XS_Designer_Bed_Mix!$J65&lt;=XS_Designer!$BN$99,XS_Designer!BF$99,"")</f>
        <v/>
      </c>
      <c r="CI65" s="4" t="str">
        <f>IF(XS_Designer_Bed_Mix!$J65&lt;=XS_Designer!$BN$99,XS_Designer!BG$99,"")</f>
        <v/>
      </c>
      <c r="CJ65" s="4" t="str">
        <f>IF(XS_Designer_Bed_Mix!$J65&lt;=XS_Designer!$BN$99,XS_Designer!BH$99,"")</f>
        <v/>
      </c>
      <c r="CK65" s="4" t="str">
        <f>IF(XS_Designer_Bed_Mix!$J65&lt;=XS_Designer!$BN$99,XS_Designer!BI$99,"")</f>
        <v/>
      </c>
      <c r="CL65" s="4" t="str">
        <f>IF(XS_Designer_Bed_Mix!$J65&lt;=XS_Designer!$BN$99,XS_Designer!BJ$99,"")</f>
        <v/>
      </c>
      <c r="CM65" s="4" t="str">
        <f>IF(XS_Designer_Bed_Mix!$J65&lt;=XS_Designer!$BN$100,XS_Designer!BA$100,"")</f>
        <v/>
      </c>
      <c r="CN65" s="4" t="str">
        <f>IF(XS_Designer_Bed_Mix!$J65&lt;=XS_Designer!$BN$100,XS_Designer!BB$100,"")</f>
        <v/>
      </c>
      <c r="CO65" s="4" t="str">
        <f>IF(XS_Designer_Bed_Mix!$J65&lt;=XS_Designer!$BN$100,XS_Designer!BC$100,"")</f>
        <v/>
      </c>
      <c r="CP65" s="4" t="str">
        <f>IF(XS_Designer_Bed_Mix!$J65&lt;=XS_Designer!$BN$100,XS_Designer!BD$100,"")</f>
        <v/>
      </c>
      <c r="CQ65" s="4" t="str">
        <f>IF(XS_Designer_Bed_Mix!$J65&lt;=XS_Designer!$BN$100,XS_Designer!BE$100,"")</f>
        <v/>
      </c>
      <c r="CR65" s="4" t="str">
        <f>IF(XS_Designer_Bed_Mix!$J65&lt;=XS_Designer!$BN$100,XS_Designer!BF$100,"")</f>
        <v/>
      </c>
      <c r="CS65" s="4" t="str">
        <f>IF(XS_Designer_Bed_Mix!$J65&lt;=XS_Designer!$BN$100,XS_Designer!BG$100,"")</f>
        <v/>
      </c>
      <c r="CT65" s="4" t="str">
        <f>IF(XS_Designer_Bed_Mix!$J65&lt;=XS_Designer!$BN$100,XS_Designer!BH$100,"")</f>
        <v/>
      </c>
      <c r="CU65" s="4" t="str">
        <f>IF(XS_Designer_Bed_Mix!$J65&lt;=XS_Designer!$BN$100,XS_Designer!BI$100,"")</f>
        <v/>
      </c>
      <c r="CV65" s="4" t="str">
        <f>IF(XS_Designer_Bed_Mix!$J65&lt;=XS_Designer!$BN$100,XS_Designer!BJ$100,"")</f>
        <v/>
      </c>
      <c r="CW65" s="4" t="str">
        <f>IF(XS_Designer_Bed_Mix!$J65&lt;=XS_Designer!$BN$101,XS_Designer!BA$101,"")</f>
        <v/>
      </c>
      <c r="CX65" s="4" t="str">
        <f>IF(XS_Designer_Bed_Mix!$J65&lt;=XS_Designer!$BN$101,XS_Designer!BB$101,"")</f>
        <v/>
      </c>
      <c r="CY65" s="4" t="str">
        <f>IF(XS_Designer_Bed_Mix!$J65&lt;=XS_Designer!$BN$101,XS_Designer!BC$101,"")</f>
        <v/>
      </c>
      <c r="CZ65" s="4" t="str">
        <f>IF(XS_Designer_Bed_Mix!$J65&lt;=XS_Designer!$BN$101,XS_Designer!BD$101,"")</f>
        <v/>
      </c>
      <c r="DA65" s="4" t="str">
        <f>IF(XS_Designer_Bed_Mix!$J65&lt;=XS_Designer!$BN$101,XS_Designer!BE$101,"")</f>
        <v/>
      </c>
      <c r="DB65" s="4" t="str">
        <f>IF(XS_Designer_Bed_Mix!$J65&lt;=XS_Designer!$BN$101,XS_Designer!BF$101,"")</f>
        <v/>
      </c>
      <c r="DC65" s="4" t="str">
        <f>IF(XS_Designer_Bed_Mix!$J65&lt;=XS_Designer!$BN$101,XS_Designer!BG$101,"")</f>
        <v/>
      </c>
      <c r="DD65" s="4" t="str">
        <f>IF(XS_Designer_Bed_Mix!$J65&lt;=XS_Designer!$BN$101,XS_Designer!BH$101,"")</f>
        <v/>
      </c>
      <c r="DE65" s="4" t="str">
        <f>IF(XS_Designer_Bed_Mix!$J65&lt;=XS_Designer!$BN$101,XS_Designer!BI$101,"")</f>
        <v/>
      </c>
      <c r="DF65" s="4" t="str">
        <f>IF(XS_Designer_Bed_Mix!$J65&lt;=XS_Designer!$BN$101,XS_Designer!BJ$101,"")</f>
        <v/>
      </c>
      <c r="DG65" s="4" t="str">
        <f>IF(XS_Designer_Bed_Mix!$J65&lt;=XS_Designer!$BN$102,XS_Designer!BA$102,"")</f>
        <v/>
      </c>
      <c r="DH65" s="4" t="str">
        <f>IF(XS_Designer_Bed_Mix!$J65&lt;=XS_Designer!$BN$102,XS_Designer!BB$102,"")</f>
        <v/>
      </c>
      <c r="DI65" s="4" t="str">
        <f>IF(XS_Designer_Bed_Mix!$J65&lt;=XS_Designer!$BN$102,XS_Designer!BC$102,"")</f>
        <v/>
      </c>
      <c r="DJ65" s="4" t="str">
        <f>IF(XS_Designer_Bed_Mix!$J65&lt;=XS_Designer!$BN$102,XS_Designer!BD$102,"")</f>
        <v/>
      </c>
      <c r="DK65" s="4" t="str">
        <f>IF(XS_Designer_Bed_Mix!$J65&lt;=XS_Designer!$BN$102,XS_Designer!BE$102,"")</f>
        <v/>
      </c>
      <c r="DL65" s="4" t="str">
        <f>IF(XS_Designer_Bed_Mix!$J65&lt;=XS_Designer!$BN$102,XS_Designer!BF$102,"")</f>
        <v/>
      </c>
      <c r="DM65" s="4" t="str">
        <f>IF(XS_Designer_Bed_Mix!$J65&lt;=XS_Designer!$BN$102,XS_Designer!BG$102,"")</f>
        <v/>
      </c>
      <c r="DN65" s="4" t="str">
        <f>IF(XS_Designer_Bed_Mix!$J65&lt;=XS_Designer!$BN$102,XS_Designer!BH$102,"")</f>
        <v/>
      </c>
      <c r="DO65" s="4" t="str">
        <f>IF(XS_Designer_Bed_Mix!$J65&lt;=XS_Designer!$BN$102,XS_Designer!BI$102,"")</f>
        <v/>
      </c>
      <c r="DP65" s="4" t="str">
        <f>IF(XS_Designer_Bed_Mix!$J65&lt;=XS_Designer!$BN$102,XS_Designer!BJ$102,"")</f>
        <v/>
      </c>
    </row>
    <row r="66" spans="10:120">
      <c r="J66" s="3">
        <v>0.65</v>
      </c>
      <c r="K66" s="4" t="str">
        <f>IF(XS_Designer_Bed_Mix!$J66&lt;=XS_Designer!$BN$92,XS_Designer!BA$92,"")</f>
        <v/>
      </c>
      <c r="L66" s="4" t="str">
        <f>IF(XS_Designer_Bed_Mix!$J66&lt;=XS_Designer!$BN$92,XS_Designer!BB$92,"")</f>
        <v/>
      </c>
      <c r="M66" s="4" t="str">
        <f>IF(XS_Designer_Bed_Mix!$J66&lt;=XS_Designer!$BN$92,XS_Designer!BC$92,"")</f>
        <v/>
      </c>
      <c r="N66" s="4" t="str">
        <f>IF(XS_Designer_Bed_Mix!$J66&lt;=XS_Designer!$BN$92,XS_Designer!BD$92,"")</f>
        <v/>
      </c>
      <c r="O66" s="4" t="str">
        <f>IF(XS_Designer_Bed_Mix!$J66&lt;=XS_Designer!$BN$92,XS_Designer!BE$92,"")</f>
        <v/>
      </c>
      <c r="P66" s="4" t="str">
        <f>IF(XS_Designer_Bed_Mix!$J66&lt;=XS_Designer!$BN$92,XS_Designer!BF$92,"")</f>
        <v/>
      </c>
      <c r="Q66" s="4" t="str">
        <f>IF(XS_Designer_Bed_Mix!$J66&lt;=XS_Designer!$BN$92,XS_Designer!BG$92,"")</f>
        <v/>
      </c>
      <c r="R66" s="4" t="str">
        <f>IF(XS_Designer_Bed_Mix!$J66&lt;=XS_Designer!$BN$92,XS_Designer!BH$92,"")</f>
        <v/>
      </c>
      <c r="S66" s="4" t="str">
        <f>IF(XS_Designer_Bed_Mix!$J66&lt;=XS_Designer!$BN$92,XS_Designer!BI$92,"")</f>
        <v/>
      </c>
      <c r="T66" s="4" t="str">
        <f>IF(XS_Designer_Bed_Mix!$J66&lt;=XS_Designer!$BN$92,XS_Designer!BJ$92,"")</f>
        <v/>
      </c>
      <c r="U66" s="4" t="str">
        <f>IF(XS_Designer_Bed_Mix!$J66&lt;=XS_Designer!$BN$93,XS_Designer!BA$93,"")</f>
        <v/>
      </c>
      <c r="V66" s="4" t="str">
        <f>IF(XS_Designer_Bed_Mix!$J66&lt;=XS_Designer!$BN$93,XS_Designer!BB$93,"")</f>
        <v/>
      </c>
      <c r="W66" s="4" t="str">
        <f>IF(XS_Designer_Bed_Mix!$J66&lt;=XS_Designer!$BN$93,XS_Designer!BC$93,"")</f>
        <v/>
      </c>
      <c r="X66" s="4" t="str">
        <f>IF(XS_Designer_Bed_Mix!$J66&lt;=XS_Designer!$BN$93,XS_Designer!BD$93,"")</f>
        <v/>
      </c>
      <c r="Y66" s="4" t="str">
        <f>IF(XS_Designer_Bed_Mix!$J66&lt;=XS_Designer!$BN$93,XS_Designer!BE$93,"")</f>
        <v/>
      </c>
      <c r="Z66" s="4" t="str">
        <f>IF(XS_Designer_Bed_Mix!$J66&lt;=XS_Designer!$BN$93,XS_Designer!BF$93,"")</f>
        <v/>
      </c>
      <c r="AA66" s="4" t="str">
        <f>IF(XS_Designer_Bed_Mix!$J66&lt;=XS_Designer!$BN$93,XS_Designer!BG$93,"")</f>
        <v/>
      </c>
      <c r="AB66" s="4" t="str">
        <f>IF(XS_Designer_Bed_Mix!$J66&lt;=XS_Designer!$BN$93,XS_Designer!BH$93,"")</f>
        <v/>
      </c>
      <c r="AC66" s="4" t="str">
        <f>IF(XS_Designer_Bed_Mix!$J66&lt;=XS_Designer!$BN$93,XS_Designer!BI$93,"")</f>
        <v/>
      </c>
      <c r="AD66" s="4" t="str">
        <f>IF(XS_Designer_Bed_Mix!$J66&lt;=XS_Designer!$BN$93,XS_Designer!BJ$93,"")</f>
        <v/>
      </c>
      <c r="AE66" s="4" t="str">
        <f>IF(XS_Designer_Bed_Mix!$J66&lt;=XS_Designer!$BN$94,XS_Designer!BA$94,"")</f>
        <v/>
      </c>
      <c r="AF66" s="4" t="str">
        <f>IF(XS_Designer_Bed_Mix!$J66&lt;=XS_Designer!$BN$94,XS_Designer!BB$94,"")</f>
        <v/>
      </c>
      <c r="AG66" s="4" t="str">
        <f>IF(XS_Designer_Bed_Mix!$J66&lt;=XS_Designer!$BN$94,XS_Designer!BC$94,"")</f>
        <v/>
      </c>
      <c r="AH66" s="4" t="str">
        <f>IF(XS_Designer_Bed_Mix!$J66&lt;=XS_Designer!$BN$94,XS_Designer!BD$94,"")</f>
        <v/>
      </c>
      <c r="AI66" s="4" t="str">
        <f>IF(XS_Designer_Bed_Mix!$J66&lt;=XS_Designer!$BN$94,XS_Designer!BE$94,"")</f>
        <v/>
      </c>
      <c r="AJ66" s="4" t="str">
        <f>IF(XS_Designer_Bed_Mix!$J66&lt;=XS_Designer!$BN$94,XS_Designer!BF$94,"")</f>
        <v/>
      </c>
      <c r="AK66" s="4" t="str">
        <f>IF(XS_Designer_Bed_Mix!$J66&lt;=XS_Designer!$BN$94,XS_Designer!BG$94,"")</f>
        <v/>
      </c>
      <c r="AL66" s="4" t="str">
        <f>IF(XS_Designer_Bed_Mix!$J66&lt;=XS_Designer!$BN$94,XS_Designer!BH$94,"")</f>
        <v/>
      </c>
      <c r="AM66" s="4" t="str">
        <f>IF(XS_Designer_Bed_Mix!$J66&lt;=XS_Designer!$BN$94,XS_Designer!BI$94,"")</f>
        <v/>
      </c>
      <c r="AN66" s="4" t="str">
        <f>IF(XS_Designer_Bed_Mix!$J66&lt;=XS_Designer!$BN$94,XS_Designer!BJ$94,"")</f>
        <v/>
      </c>
      <c r="AO66" s="4" t="str">
        <f>IF(XS_Designer_Bed_Mix!$J66&lt;=XS_Designer!$BN$95,XS_Designer!BA$95,"")</f>
        <v/>
      </c>
      <c r="AP66" s="4" t="str">
        <f>IF(XS_Designer_Bed_Mix!$J66&lt;=XS_Designer!$BN$95,XS_Designer!BB$95,"")</f>
        <v/>
      </c>
      <c r="AQ66" s="4" t="str">
        <f>IF(XS_Designer_Bed_Mix!$J66&lt;=XS_Designer!$BN$95,XS_Designer!BC$95,"")</f>
        <v/>
      </c>
      <c r="AR66" s="4" t="str">
        <f>IF(XS_Designer_Bed_Mix!$J66&lt;=XS_Designer!$BN$95,XS_Designer!BD$95,"")</f>
        <v/>
      </c>
      <c r="AS66" s="4" t="str">
        <f>IF(XS_Designer_Bed_Mix!$J66&lt;=XS_Designer!$BN$95,XS_Designer!BE$95,"")</f>
        <v/>
      </c>
      <c r="AT66" s="4" t="str">
        <f>IF(XS_Designer_Bed_Mix!$J66&lt;=XS_Designer!$BN$95,XS_Designer!BF$95,"")</f>
        <v/>
      </c>
      <c r="AU66" s="4" t="str">
        <f>IF(XS_Designer_Bed_Mix!$J66&lt;=XS_Designer!$BN$95,XS_Designer!BG$95,"")</f>
        <v/>
      </c>
      <c r="AV66" s="4" t="str">
        <f>IF(XS_Designer_Bed_Mix!$J66&lt;=XS_Designer!$BN$95,XS_Designer!BH$95,"")</f>
        <v/>
      </c>
      <c r="AW66" s="4" t="str">
        <f>IF(XS_Designer_Bed_Mix!$J66&lt;=XS_Designer!$BN$95,XS_Designer!BI$95,"")</f>
        <v/>
      </c>
      <c r="AX66" s="4" t="str">
        <f>IF(XS_Designer_Bed_Mix!$J66&lt;=XS_Designer!$BN$95,XS_Designer!BJ$95,"")</f>
        <v/>
      </c>
      <c r="AY66" s="4" t="str">
        <f>IF(XS_Designer_Bed_Mix!$J66&lt;=XS_Designer!$BN$96,XS_Designer!BA$96,"")</f>
        <v/>
      </c>
      <c r="AZ66" s="4" t="str">
        <f>IF(XS_Designer_Bed_Mix!$J66&lt;=XS_Designer!$BN$96,XS_Designer!BB$96,"")</f>
        <v/>
      </c>
      <c r="BA66" s="4" t="str">
        <f>IF(XS_Designer_Bed_Mix!$J66&lt;=XS_Designer!$BN$96,XS_Designer!BC$96,"")</f>
        <v/>
      </c>
      <c r="BB66" s="4" t="str">
        <f>IF(XS_Designer_Bed_Mix!$J66&lt;=XS_Designer!$BN$96,XS_Designer!BD$96,"")</f>
        <v/>
      </c>
      <c r="BC66" s="4" t="str">
        <f>IF(XS_Designer_Bed_Mix!$J66&lt;=XS_Designer!$BN$96,XS_Designer!BE$96,"")</f>
        <v/>
      </c>
      <c r="BD66" s="4" t="str">
        <f>IF(XS_Designer_Bed_Mix!$J66&lt;=XS_Designer!$BN$96,XS_Designer!BF$96,"")</f>
        <v/>
      </c>
      <c r="BE66" s="4" t="str">
        <f>IF(XS_Designer_Bed_Mix!$J66&lt;=XS_Designer!$BN$96,XS_Designer!BG$96,"")</f>
        <v/>
      </c>
      <c r="BF66" s="4" t="str">
        <f>IF(XS_Designer_Bed_Mix!$J66&lt;=XS_Designer!$BN$96,XS_Designer!BH$96,"")</f>
        <v/>
      </c>
      <c r="BG66" s="4" t="str">
        <f>IF(XS_Designer_Bed_Mix!$J66&lt;=XS_Designer!$BN$96,XS_Designer!BI$96,"")</f>
        <v/>
      </c>
      <c r="BH66" s="4" t="str">
        <f>IF(XS_Designer_Bed_Mix!$J66&lt;=XS_Designer!$BN$96,XS_Designer!BJ$96,"")</f>
        <v/>
      </c>
      <c r="BI66" s="4" t="str">
        <f>IF(XS_Designer_Bed_Mix!$J66&lt;=XS_Designer!$BN$97,XS_Designer!BA$97,"")</f>
        <v/>
      </c>
      <c r="BJ66" s="4" t="str">
        <f>IF(XS_Designer_Bed_Mix!$J66&lt;=XS_Designer!$BN$97,XS_Designer!BB$97,"")</f>
        <v/>
      </c>
      <c r="BK66" s="4" t="str">
        <f>IF(XS_Designer_Bed_Mix!$J66&lt;=XS_Designer!$BN$97,XS_Designer!BC$97,"")</f>
        <v/>
      </c>
      <c r="BL66" s="4" t="str">
        <f>IF(XS_Designer_Bed_Mix!$J66&lt;=XS_Designer!$BN$97,XS_Designer!BD$97,"")</f>
        <v/>
      </c>
      <c r="BM66" s="4" t="str">
        <f>IF(XS_Designer_Bed_Mix!$J66&lt;=XS_Designer!$BN$97,XS_Designer!BE$97,"")</f>
        <v/>
      </c>
      <c r="BN66" s="4" t="str">
        <f>IF(XS_Designer_Bed_Mix!$J66&lt;=XS_Designer!$BN$97,XS_Designer!BF$97,"")</f>
        <v/>
      </c>
      <c r="BO66" s="4" t="str">
        <f>IF(XS_Designer_Bed_Mix!$J66&lt;=XS_Designer!$BN$97,XS_Designer!BG$97,"")</f>
        <v/>
      </c>
      <c r="BP66" s="4" t="str">
        <f>IF(XS_Designer_Bed_Mix!$J66&lt;=XS_Designer!$BN$97,XS_Designer!BH$97,"")</f>
        <v/>
      </c>
      <c r="BQ66" s="4" t="str">
        <f>IF(XS_Designer_Bed_Mix!$J66&lt;=XS_Designer!$BN$97,XS_Designer!BI$97,"")</f>
        <v/>
      </c>
      <c r="BR66" s="4" t="str">
        <f>IF(XS_Designer_Bed_Mix!$J66&lt;=XS_Designer!$BN$97,XS_Designer!BJ$97,"")</f>
        <v/>
      </c>
      <c r="BS66" s="4" t="str">
        <f>IF(XS_Designer_Bed_Mix!$J66&lt;=XS_Designer!$BN$98,XS_Designer!BA$98,"")</f>
        <v/>
      </c>
      <c r="BT66" s="4" t="str">
        <f>IF(XS_Designer_Bed_Mix!$J66&lt;=XS_Designer!$BN$98,XS_Designer!BB$98,"")</f>
        <v/>
      </c>
      <c r="BU66" s="4" t="str">
        <f>IF(XS_Designer_Bed_Mix!$J66&lt;=XS_Designer!$BN$98,XS_Designer!BC$98,"")</f>
        <v/>
      </c>
      <c r="BV66" s="4" t="str">
        <f>IF(XS_Designer_Bed_Mix!$J66&lt;=XS_Designer!$BN$98,XS_Designer!BD$98,"")</f>
        <v/>
      </c>
      <c r="BW66" s="4" t="str">
        <f>IF(XS_Designer_Bed_Mix!$J66&lt;=XS_Designer!$BN$98,XS_Designer!BE$98,"")</f>
        <v/>
      </c>
      <c r="BX66" s="4" t="str">
        <f>IF(XS_Designer_Bed_Mix!$J66&lt;=XS_Designer!$BN$98,XS_Designer!BF$98,"")</f>
        <v/>
      </c>
      <c r="BY66" s="4" t="str">
        <f>IF(XS_Designer_Bed_Mix!$J66&lt;=XS_Designer!$BN$98,XS_Designer!BG$98,"")</f>
        <v/>
      </c>
      <c r="BZ66" s="4" t="str">
        <f>IF(XS_Designer_Bed_Mix!$J66&lt;=XS_Designer!$BN$98,XS_Designer!BH$98,"")</f>
        <v/>
      </c>
      <c r="CA66" s="4" t="str">
        <f>IF(XS_Designer_Bed_Mix!$J66&lt;=XS_Designer!$BN$98,XS_Designer!BI$98,"")</f>
        <v/>
      </c>
      <c r="CB66" s="4" t="str">
        <f>IF(XS_Designer_Bed_Mix!$J66&lt;=XS_Designer!$BN$98,XS_Designer!BJ$98,"")</f>
        <v/>
      </c>
      <c r="CC66" s="4" t="str">
        <f>IF(XS_Designer_Bed_Mix!$J66&lt;=XS_Designer!$BN$99,XS_Designer!BA$99,"")</f>
        <v/>
      </c>
      <c r="CD66" s="4" t="str">
        <f>IF(XS_Designer_Bed_Mix!$J66&lt;=XS_Designer!$BN$99,XS_Designer!BB$99,"")</f>
        <v/>
      </c>
      <c r="CE66" s="4" t="str">
        <f>IF(XS_Designer_Bed_Mix!$J66&lt;=XS_Designer!$BN$99,XS_Designer!BC$99,"")</f>
        <v/>
      </c>
      <c r="CF66" s="4" t="str">
        <f>IF(XS_Designer_Bed_Mix!$J66&lt;=XS_Designer!$BN$99,XS_Designer!BD$99,"")</f>
        <v/>
      </c>
      <c r="CG66" s="4" t="str">
        <f>IF(XS_Designer_Bed_Mix!$J66&lt;=XS_Designer!$BN$99,XS_Designer!BE$99,"")</f>
        <v/>
      </c>
      <c r="CH66" s="4" t="str">
        <f>IF(XS_Designer_Bed_Mix!$J66&lt;=XS_Designer!$BN$99,XS_Designer!BF$99,"")</f>
        <v/>
      </c>
      <c r="CI66" s="4" t="str">
        <f>IF(XS_Designer_Bed_Mix!$J66&lt;=XS_Designer!$BN$99,XS_Designer!BG$99,"")</f>
        <v/>
      </c>
      <c r="CJ66" s="4" t="str">
        <f>IF(XS_Designer_Bed_Mix!$J66&lt;=XS_Designer!$BN$99,XS_Designer!BH$99,"")</f>
        <v/>
      </c>
      <c r="CK66" s="4" t="str">
        <f>IF(XS_Designer_Bed_Mix!$J66&lt;=XS_Designer!$BN$99,XS_Designer!BI$99,"")</f>
        <v/>
      </c>
      <c r="CL66" s="4" t="str">
        <f>IF(XS_Designer_Bed_Mix!$J66&lt;=XS_Designer!$BN$99,XS_Designer!BJ$99,"")</f>
        <v/>
      </c>
      <c r="CM66" s="4" t="str">
        <f>IF(XS_Designer_Bed_Mix!$J66&lt;=XS_Designer!$BN$100,XS_Designer!BA$100,"")</f>
        <v/>
      </c>
      <c r="CN66" s="4" t="str">
        <f>IF(XS_Designer_Bed_Mix!$J66&lt;=XS_Designer!$BN$100,XS_Designer!BB$100,"")</f>
        <v/>
      </c>
      <c r="CO66" s="4" t="str">
        <f>IF(XS_Designer_Bed_Mix!$J66&lt;=XS_Designer!$BN$100,XS_Designer!BC$100,"")</f>
        <v/>
      </c>
      <c r="CP66" s="4" t="str">
        <f>IF(XS_Designer_Bed_Mix!$J66&lt;=XS_Designer!$BN$100,XS_Designer!BD$100,"")</f>
        <v/>
      </c>
      <c r="CQ66" s="4" t="str">
        <f>IF(XS_Designer_Bed_Mix!$J66&lt;=XS_Designer!$BN$100,XS_Designer!BE$100,"")</f>
        <v/>
      </c>
      <c r="CR66" s="4" t="str">
        <f>IF(XS_Designer_Bed_Mix!$J66&lt;=XS_Designer!$BN$100,XS_Designer!BF$100,"")</f>
        <v/>
      </c>
      <c r="CS66" s="4" t="str">
        <f>IF(XS_Designer_Bed_Mix!$J66&lt;=XS_Designer!$BN$100,XS_Designer!BG$100,"")</f>
        <v/>
      </c>
      <c r="CT66" s="4" t="str">
        <f>IF(XS_Designer_Bed_Mix!$J66&lt;=XS_Designer!$BN$100,XS_Designer!BH$100,"")</f>
        <v/>
      </c>
      <c r="CU66" s="4" t="str">
        <f>IF(XS_Designer_Bed_Mix!$J66&lt;=XS_Designer!$BN$100,XS_Designer!BI$100,"")</f>
        <v/>
      </c>
      <c r="CV66" s="4" t="str">
        <f>IF(XS_Designer_Bed_Mix!$J66&lt;=XS_Designer!$BN$100,XS_Designer!BJ$100,"")</f>
        <v/>
      </c>
      <c r="CW66" s="4" t="str">
        <f>IF(XS_Designer_Bed_Mix!$J66&lt;=XS_Designer!$BN$101,XS_Designer!BA$101,"")</f>
        <v/>
      </c>
      <c r="CX66" s="4" t="str">
        <f>IF(XS_Designer_Bed_Mix!$J66&lt;=XS_Designer!$BN$101,XS_Designer!BB$101,"")</f>
        <v/>
      </c>
      <c r="CY66" s="4" t="str">
        <f>IF(XS_Designer_Bed_Mix!$J66&lt;=XS_Designer!$BN$101,XS_Designer!BC$101,"")</f>
        <v/>
      </c>
      <c r="CZ66" s="4" t="str">
        <f>IF(XS_Designer_Bed_Mix!$J66&lt;=XS_Designer!$BN$101,XS_Designer!BD$101,"")</f>
        <v/>
      </c>
      <c r="DA66" s="4" t="str">
        <f>IF(XS_Designer_Bed_Mix!$J66&lt;=XS_Designer!$BN$101,XS_Designer!BE$101,"")</f>
        <v/>
      </c>
      <c r="DB66" s="4" t="str">
        <f>IF(XS_Designer_Bed_Mix!$J66&lt;=XS_Designer!$BN$101,XS_Designer!BF$101,"")</f>
        <v/>
      </c>
      <c r="DC66" s="4" t="str">
        <f>IF(XS_Designer_Bed_Mix!$J66&lt;=XS_Designer!$BN$101,XS_Designer!BG$101,"")</f>
        <v/>
      </c>
      <c r="DD66" s="4" t="str">
        <f>IF(XS_Designer_Bed_Mix!$J66&lt;=XS_Designer!$BN$101,XS_Designer!BH$101,"")</f>
        <v/>
      </c>
      <c r="DE66" s="4" t="str">
        <f>IF(XS_Designer_Bed_Mix!$J66&lt;=XS_Designer!$BN$101,XS_Designer!BI$101,"")</f>
        <v/>
      </c>
      <c r="DF66" s="4" t="str">
        <f>IF(XS_Designer_Bed_Mix!$J66&lt;=XS_Designer!$BN$101,XS_Designer!BJ$101,"")</f>
        <v/>
      </c>
      <c r="DG66" s="4" t="str">
        <f>IF(XS_Designer_Bed_Mix!$J66&lt;=XS_Designer!$BN$102,XS_Designer!BA$102,"")</f>
        <v/>
      </c>
      <c r="DH66" s="4" t="str">
        <f>IF(XS_Designer_Bed_Mix!$J66&lt;=XS_Designer!$BN$102,XS_Designer!BB$102,"")</f>
        <v/>
      </c>
      <c r="DI66" s="4" t="str">
        <f>IF(XS_Designer_Bed_Mix!$J66&lt;=XS_Designer!$BN$102,XS_Designer!BC$102,"")</f>
        <v/>
      </c>
      <c r="DJ66" s="4" t="str">
        <f>IF(XS_Designer_Bed_Mix!$J66&lt;=XS_Designer!$BN$102,XS_Designer!BD$102,"")</f>
        <v/>
      </c>
      <c r="DK66" s="4" t="str">
        <f>IF(XS_Designer_Bed_Mix!$J66&lt;=XS_Designer!$BN$102,XS_Designer!BE$102,"")</f>
        <v/>
      </c>
      <c r="DL66" s="4" t="str">
        <f>IF(XS_Designer_Bed_Mix!$J66&lt;=XS_Designer!$BN$102,XS_Designer!BF$102,"")</f>
        <v/>
      </c>
      <c r="DM66" s="4" t="str">
        <f>IF(XS_Designer_Bed_Mix!$J66&lt;=XS_Designer!$BN$102,XS_Designer!BG$102,"")</f>
        <v/>
      </c>
      <c r="DN66" s="4" t="str">
        <f>IF(XS_Designer_Bed_Mix!$J66&lt;=XS_Designer!$BN$102,XS_Designer!BH$102,"")</f>
        <v/>
      </c>
      <c r="DO66" s="4" t="str">
        <f>IF(XS_Designer_Bed_Mix!$J66&lt;=XS_Designer!$BN$102,XS_Designer!BI$102,"")</f>
        <v/>
      </c>
      <c r="DP66" s="4" t="str">
        <f>IF(XS_Designer_Bed_Mix!$J66&lt;=XS_Designer!$BN$102,XS_Designer!BJ$102,"")</f>
        <v/>
      </c>
    </row>
    <row r="67" spans="10:120">
      <c r="J67" s="3">
        <v>0.66</v>
      </c>
      <c r="K67" s="4" t="str">
        <f>IF(XS_Designer_Bed_Mix!$J67&lt;=XS_Designer!$BN$92,XS_Designer!BA$92,"")</f>
        <v/>
      </c>
      <c r="L67" s="4" t="str">
        <f>IF(XS_Designer_Bed_Mix!$J67&lt;=XS_Designer!$BN$92,XS_Designer!BB$92,"")</f>
        <v/>
      </c>
      <c r="M67" s="4" t="str">
        <f>IF(XS_Designer_Bed_Mix!$J67&lt;=XS_Designer!$BN$92,XS_Designer!BC$92,"")</f>
        <v/>
      </c>
      <c r="N67" s="4" t="str">
        <f>IF(XS_Designer_Bed_Mix!$J67&lt;=XS_Designer!$BN$92,XS_Designer!BD$92,"")</f>
        <v/>
      </c>
      <c r="O67" s="4" t="str">
        <f>IF(XS_Designer_Bed_Mix!$J67&lt;=XS_Designer!$BN$92,XS_Designer!BE$92,"")</f>
        <v/>
      </c>
      <c r="P67" s="4" t="str">
        <f>IF(XS_Designer_Bed_Mix!$J67&lt;=XS_Designer!$BN$92,XS_Designer!BF$92,"")</f>
        <v/>
      </c>
      <c r="Q67" s="4" t="str">
        <f>IF(XS_Designer_Bed_Mix!$J67&lt;=XS_Designer!$BN$92,XS_Designer!BG$92,"")</f>
        <v/>
      </c>
      <c r="R67" s="4" t="str">
        <f>IF(XS_Designer_Bed_Mix!$J67&lt;=XS_Designer!$BN$92,XS_Designer!BH$92,"")</f>
        <v/>
      </c>
      <c r="S67" s="4" t="str">
        <f>IF(XS_Designer_Bed_Mix!$J67&lt;=XS_Designer!$BN$92,XS_Designer!BI$92,"")</f>
        <v/>
      </c>
      <c r="T67" s="4" t="str">
        <f>IF(XS_Designer_Bed_Mix!$J67&lt;=XS_Designer!$BN$92,XS_Designer!BJ$92,"")</f>
        <v/>
      </c>
      <c r="U67" s="4" t="str">
        <f>IF(XS_Designer_Bed_Mix!$J67&lt;=XS_Designer!$BN$93,XS_Designer!BA$93,"")</f>
        <v/>
      </c>
      <c r="V67" s="4" t="str">
        <f>IF(XS_Designer_Bed_Mix!$J67&lt;=XS_Designer!$BN$93,XS_Designer!BB$93,"")</f>
        <v/>
      </c>
      <c r="W67" s="4" t="str">
        <f>IF(XS_Designer_Bed_Mix!$J67&lt;=XS_Designer!$BN$93,XS_Designer!BC$93,"")</f>
        <v/>
      </c>
      <c r="X67" s="4" t="str">
        <f>IF(XS_Designer_Bed_Mix!$J67&lt;=XS_Designer!$BN$93,XS_Designer!BD$93,"")</f>
        <v/>
      </c>
      <c r="Y67" s="4" t="str">
        <f>IF(XS_Designer_Bed_Mix!$J67&lt;=XS_Designer!$BN$93,XS_Designer!BE$93,"")</f>
        <v/>
      </c>
      <c r="Z67" s="4" t="str">
        <f>IF(XS_Designer_Bed_Mix!$J67&lt;=XS_Designer!$BN$93,XS_Designer!BF$93,"")</f>
        <v/>
      </c>
      <c r="AA67" s="4" t="str">
        <f>IF(XS_Designer_Bed_Mix!$J67&lt;=XS_Designer!$BN$93,XS_Designer!BG$93,"")</f>
        <v/>
      </c>
      <c r="AB67" s="4" t="str">
        <f>IF(XS_Designer_Bed_Mix!$J67&lt;=XS_Designer!$BN$93,XS_Designer!BH$93,"")</f>
        <v/>
      </c>
      <c r="AC67" s="4" t="str">
        <f>IF(XS_Designer_Bed_Mix!$J67&lt;=XS_Designer!$BN$93,XS_Designer!BI$93,"")</f>
        <v/>
      </c>
      <c r="AD67" s="4" t="str">
        <f>IF(XS_Designer_Bed_Mix!$J67&lt;=XS_Designer!$BN$93,XS_Designer!BJ$93,"")</f>
        <v/>
      </c>
      <c r="AE67" s="4" t="str">
        <f>IF(XS_Designer_Bed_Mix!$J67&lt;=XS_Designer!$BN$94,XS_Designer!BA$94,"")</f>
        <v/>
      </c>
      <c r="AF67" s="4" t="str">
        <f>IF(XS_Designer_Bed_Mix!$J67&lt;=XS_Designer!$BN$94,XS_Designer!BB$94,"")</f>
        <v/>
      </c>
      <c r="AG67" s="4" t="str">
        <f>IF(XS_Designer_Bed_Mix!$J67&lt;=XS_Designer!$BN$94,XS_Designer!BC$94,"")</f>
        <v/>
      </c>
      <c r="AH67" s="4" t="str">
        <f>IF(XS_Designer_Bed_Mix!$J67&lt;=XS_Designer!$BN$94,XS_Designer!BD$94,"")</f>
        <v/>
      </c>
      <c r="AI67" s="4" t="str">
        <f>IF(XS_Designer_Bed_Mix!$J67&lt;=XS_Designer!$BN$94,XS_Designer!BE$94,"")</f>
        <v/>
      </c>
      <c r="AJ67" s="4" t="str">
        <f>IF(XS_Designer_Bed_Mix!$J67&lt;=XS_Designer!$BN$94,XS_Designer!BF$94,"")</f>
        <v/>
      </c>
      <c r="AK67" s="4" t="str">
        <f>IF(XS_Designer_Bed_Mix!$J67&lt;=XS_Designer!$BN$94,XS_Designer!BG$94,"")</f>
        <v/>
      </c>
      <c r="AL67" s="4" t="str">
        <f>IF(XS_Designer_Bed_Mix!$J67&lt;=XS_Designer!$BN$94,XS_Designer!BH$94,"")</f>
        <v/>
      </c>
      <c r="AM67" s="4" t="str">
        <f>IF(XS_Designer_Bed_Mix!$J67&lt;=XS_Designer!$BN$94,XS_Designer!BI$94,"")</f>
        <v/>
      </c>
      <c r="AN67" s="4" t="str">
        <f>IF(XS_Designer_Bed_Mix!$J67&lt;=XS_Designer!$BN$94,XS_Designer!BJ$94,"")</f>
        <v/>
      </c>
      <c r="AO67" s="4" t="str">
        <f>IF(XS_Designer_Bed_Mix!$J67&lt;=XS_Designer!$BN$95,XS_Designer!BA$95,"")</f>
        <v/>
      </c>
      <c r="AP67" s="4" t="str">
        <f>IF(XS_Designer_Bed_Mix!$J67&lt;=XS_Designer!$BN$95,XS_Designer!BB$95,"")</f>
        <v/>
      </c>
      <c r="AQ67" s="4" t="str">
        <f>IF(XS_Designer_Bed_Mix!$J67&lt;=XS_Designer!$BN$95,XS_Designer!BC$95,"")</f>
        <v/>
      </c>
      <c r="AR67" s="4" t="str">
        <f>IF(XS_Designer_Bed_Mix!$J67&lt;=XS_Designer!$BN$95,XS_Designer!BD$95,"")</f>
        <v/>
      </c>
      <c r="AS67" s="4" t="str">
        <f>IF(XS_Designer_Bed_Mix!$J67&lt;=XS_Designer!$BN$95,XS_Designer!BE$95,"")</f>
        <v/>
      </c>
      <c r="AT67" s="4" t="str">
        <f>IF(XS_Designer_Bed_Mix!$J67&lt;=XS_Designer!$BN$95,XS_Designer!BF$95,"")</f>
        <v/>
      </c>
      <c r="AU67" s="4" t="str">
        <f>IF(XS_Designer_Bed_Mix!$J67&lt;=XS_Designer!$BN$95,XS_Designer!BG$95,"")</f>
        <v/>
      </c>
      <c r="AV67" s="4" t="str">
        <f>IF(XS_Designer_Bed_Mix!$J67&lt;=XS_Designer!$BN$95,XS_Designer!BH$95,"")</f>
        <v/>
      </c>
      <c r="AW67" s="4" t="str">
        <f>IF(XS_Designer_Bed_Mix!$J67&lt;=XS_Designer!$BN$95,XS_Designer!BI$95,"")</f>
        <v/>
      </c>
      <c r="AX67" s="4" t="str">
        <f>IF(XS_Designer_Bed_Mix!$J67&lt;=XS_Designer!$BN$95,XS_Designer!BJ$95,"")</f>
        <v/>
      </c>
      <c r="AY67" s="4" t="str">
        <f>IF(XS_Designer_Bed_Mix!$J67&lt;=XS_Designer!$BN$96,XS_Designer!BA$96,"")</f>
        <v/>
      </c>
      <c r="AZ67" s="4" t="str">
        <f>IF(XS_Designer_Bed_Mix!$J67&lt;=XS_Designer!$BN$96,XS_Designer!BB$96,"")</f>
        <v/>
      </c>
      <c r="BA67" s="4" t="str">
        <f>IF(XS_Designer_Bed_Mix!$J67&lt;=XS_Designer!$BN$96,XS_Designer!BC$96,"")</f>
        <v/>
      </c>
      <c r="BB67" s="4" t="str">
        <f>IF(XS_Designer_Bed_Mix!$J67&lt;=XS_Designer!$BN$96,XS_Designer!BD$96,"")</f>
        <v/>
      </c>
      <c r="BC67" s="4" t="str">
        <f>IF(XS_Designer_Bed_Mix!$J67&lt;=XS_Designer!$BN$96,XS_Designer!BE$96,"")</f>
        <v/>
      </c>
      <c r="BD67" s="4" t="str">
        <f>IF(XS_Designer_Bed_Mix!$J67&lt;=XS_Designer!$BN$96,XS_Designer!BF$96,"")</f>
        <v/>
      </c>
      <c r="BE67" s="4" t="str">
        <f>IF(XS_Designer_Bed_Mix!$J67&lt;=XS_Designer!$BN$96,XS_Designer!BG$96,"")</f>
        <v/>
      </c>
      <c r="BF67" s="4" t="str">
        <f>IF(XS_Designer_Bed_Mix!$J67&lt;=XS_Designer!$BN$96,XS_Designer!BH$96,"")</f>
        <v/>
      </c>
      <c r="BG67" s="4" t="str">
        <f>IF(XS_Designer_Bed_Mix!$J67&lt;=XS_Designer!$BN$96,XS_Designer!BI$96,"")</f>
        <v/>
      </c>
      <c r="BH67" s="4" t="str">
        <f>IF(XS_Designer_Bed_Mix!$J67&lt;=XS_Designer!$BN$96,XS_Designer!BJ$96,"")</f>
        <v/>
      </c>
      <c r="BI67" s="4" t="str">
        <f>IF(XS_Designer_Bed_Mix!$J67&lt;=XS_Designer!$BN$97,XS_Designer!BA$97,"")</f>
        <v/>
      </c>
      <c r="BJ67" s="4" t="str">
        <f>IF(XS_Designer_Bed_Mix!$J67&lt;=XS_Designer!$BN$97,XS_Designer!BB$97,"")</f>
        <v/>
      </c>
      <c r="BK67" s="4" t="str">
        <f>IF(XS_Designer_Bed_Mix!$J67&lt;=XS_Designer!$BN$97,XS_Designer!BC$97,"")</f>
        <v/>
      </c>
      <c r="BL67" s="4" t="str">
        <f>IF(XS_Designer_Bed_Mix!$J67&lt;=XS_Designer!$BN$97,XS_Designer!BD$97,"")</f>
        <v/>
      </c>
      <c r="BM67" s="4" t="str">
        <f>IF(XS_Designer_Bed_Mix!$J67&lt;=XS_Designer!$BN$97,XS_Designer!BE$97,"")</f>
        <v/>
      </c>
      <c r="BN67" s="4" t="str">
        <f>IF(XS_Designer_Bed_Mix!$J67&lt;=XS_Designer!$BN$97,XS_Designer!BF$97,"")</f>
        <v/>
      </c>
      <c r="BO67" s="4" t="str">
        <f>IF(XS_Designer_Bed_Mix!$J67&lt;=XS_Designer!$BN$97,XS_Designer!BG$97,"")</f>
        <v/>
      </c>
      <c r="BP67" s="4" t="str">
        <f>IF(XS_Designer_Bed_Mix!$J67&lt;=XS_Designer!$BN$97,XS_Designer!BH$97,"")</f>
        <v/>
      </c>
      <c r="BQ67" s="4" t="str">
        <f>IF(XS_Designer_Bed_Mix!$J67&lt;=XS_Designer!$BN$97,XS_Designer!BI$97,"")</f>
        <v/>
      </c>
      <c r="BR67" s="4" t="str">
        <f>IF(XS_Designer_Bed_Mix!$J67&lt;=XS_Designer!$BN$97,XS_Designer!BJ$97,"")</f>
        <v/>
      </c>
      <c r="BS67" s="4" t="str">
        <f>IF(XS_Designer_Bed_Mix!$J67&lt;=XS_Designer!$BN$98,XS_Designer!BA$98,"")</f>
        <v/>
      </c>
      <c r="BT67" s="4" t="str">
        <f>IF(XS_Designer_Bed_Mix!$J67&lt;=XS_Designer!$BN$98,XS_Designer!BB$98,"")</f>
        <v/>
      </c>
      <c r="BU67" s="4" t="str">
        <f>IF(XS_Designer_Bed_Mix!$J67&lt;=XS_Designer!$BN$98,XS_Designer!BC$98,"")</f>
        <v/>
      </c>
      <c r="BV67" s="4" t="str">
        <f>IF(XS_Designer_Bed_Mix!$J67&lt;=XS_Designer!$BN$98,XS_Designer!BD$98,"")</f>
        <v/>
      </c>
      <c r="BW67" s="4" t="str">
        <f>IF(XS_Designer_Bed_Mix!$J67&lt;=XS_Designer!$BN$98,XS_Designer!BE$98,"")</f>
        <v/>
      </c>
      <c r="BX67" s="4" t="str">
        <f>IF(XS_Designer_Bed_Mix!$J67&lt;=XS_Designer!$BN$98,XS_Designer!BF$98,"")</f>
        <v/>
      </c>
      <c r="BY67" s="4" t="str">
        <f>IF(XS_Designer_Bed_Mix!$J67&lt;=XS_Designer!$BN$98,XS_Designer!BG$98,"")</f>
        <v/>
      </c>
      <c r="BZ67" s="4" t="str">
        <f>IF(XS_Designer_Bed_Mix!$J67&lt;=XS_Designer!$BN$98,XS_Designer!BH$98,"")</f>
        <v/>
      </c>
      <c r="CA67" s="4" t="str">
        <f>IF(XS_Designer_Bed_Mix!$J67&lt;=XS_Designer!$BN$98,XS_Designer!BI$98,"")</f>
        <v/>
      </c>
      <c r="CB67" s="4" t="str">
        <f>IF(XS_Designer_Bed_Mix!$J67&lt;=XS_Designer!$BN$98,XS_Designer!BJ$98,"")</f>
        <v/>
      </c>
      <c r="CC67" s="4" t="str">
        <f>IF(XS_Designer_Bed_Mix!$J67&lt;=XS_Designer!$BN$99,XS_Designer!BA$99,"")</f>
        <v/>
      </c>
      <c r="CD67" s="4" t="str">
        <f>IF(XS_Designer_Bed_Mix!$J67&lt;=XS_Designer!$BN$99,XS_Designer!BB$99,"")</f>
        <v/>
      </c>
      <c r="CE67" s="4" t="str">
        <f>IF(XS_Designer_Bed_Mix!$J67&lt;=XS_Designer!$BN$99,XS_Designer!BC$99,"")</f>
        <v/>
      </c>
      <c r="CF67" s="4" t="str">
        <f>IF(XS_Designer_Bed_Mix!$J67&lt;=XS_Designer!$BN$99,XS_Designer!BD$99,"")</f>
        <v/>
      </c>
      <c r="CG67" s="4" t="str">
        <f>IF(XS_Designer_Bed_Mix!$J67&lt;=XS_Designer!$BN$99,XS_Designer!BE$99,"")</f>
        <v/>
      </c>
      <c r="CH67" s="4" t="str">
        <f>IF(XS_Designer_Bed_Mix!$J67&lt;=XS_Designer!$BN$99,XS_Designer!BF$99,"")</f>
        <v/>
      </c>
      <c r="CI67" s="4" t="str">
        <f>IF(XS_Designer_Bed_Mix!$J67&lt;=XS_Designer!$BN$99,XS_Designer!BG$99,"")</f>
        <v/>
      </c>
      <c r="CJ67" s="4" t="str">
        <f>IF(XS_Designer_Bed_Mix!$J67&lt;=XS_Designer!$BN$99,XS_Designer!BH$99,"")</f>
        <v/>
      </c>
      <c r="CK67" s="4" t="str">
        <f>IF(XS_Designer_Bed_Mix!$J67&lt;=XS_Designer!$BN$99,XS_Designer!BI$99,"")</f>
        <v/>
      </c>
      <c r="CL67" s="4" t="str">
        <f>IF(XS_Designer_Bed_Mix!$J67&lt;=XS_Designer!$BN$99,XS_Designer!BJ$99,"")</f>
        <v/>
      </c>
      <c r="CM67" s="4" t="str">
        <f>IF(XS_Designer_Bed_Mix!$J67&lt;=XS_Designer!$BN$100,XS_Designer!BA$100,"")</f>
        <v/>
      </c>
      <c r="CN67" s="4" t="str">
        <f>IF(XS_Designer_Bed_Mix!$J67&lt;=XS_Designer!$BN$100,XS_Designer!BB$100,"")</f>
        <v/>
      </c>
      <c r="CO67" s="4" t="str">
        <f>IF(XS_Designer_Bed_Mix!$J67&lt;=XS_Designer!$BN$100,XS_Designer!BC$100,"")</f>
        <v/>
      </c>
      <c r="CP67" s="4" t="str">
        <f>IF(XS_Designer_Bed_Mix!$J67&lt;=XS_Designer!$BN$100,XS_Designer!BD$100,"")</f>
        <v/>
      </c>
      <c r="CQ67" s="4" t="str">
        <f>IF(XS_Designer_Bed_Mix!$J67&lt;=XS_Designer!$BN$100,XS_Designer!BE$100,"")</f>
        <v/>
      </c>
      <c r="CR67" s="4" t="str">
        <f>IF(XS_Designer_Bed_Mix!$J67&lt;=XS_Designer!$BN$100,XS_Designer!BF$100,"")</f>
        <v/>
      </c>
      <c r="CS67" s="4" t="str">
        <f>IF(XS_Designer_Bed_Mix!$J67&lt;=XS_Designer!$BN$100,XS_Designer!BG$100,"")</f>
        <v/>
      </c>
      <c r="CT67" s="4" t="str">
        <f>IF(XS_Designer_Bed_Mix!$J67&lt;=XS_Designer!$BN$100,XS_Designer!BH$100,"")</f>
        <v/>
      </c>
      <c r="CU67" s="4" t="str">
        <f>IF(XS_Designer_Bed_Mix!$J67&lt;=XS_Designer!$BN$100,XS_Designer!BI$100,"")</f>
        <v/>
      </c>
      <c r="CV67" s="4" t="str">
        <f>IF(XS_Designer_Bed_Mix!$J67&lt;=XS_Designer!$BN$100,XS_Designer!BJ$100,"")</f>
        <v/>
      </c>
      <c r="CW67" s="4" t="str">
        <f>IF(XS_Designer_Bed_Mix!$J67&lt;=XS_Designer!$BN$101,XS_Designer!BA$101,"")</f>
        <v/>
      </c>
      <c r="CX67" s="4" t="str">
        <f>IF(XS_Designer_Bed_Mix!$J67&lt;=XS_Designer!$BN$101,XS_Designer!BB$101,"")</f>
        <v/>
      </c>
      <c r="CY67" s="4" t="str">
        <f>IF(XS_Designer_Bed_Mix!$J67&lt;=XS_Designer!$BN$101,XS_Designer!BC$101,"")</f>
        <v/>
      </c>
      <c r="CZ67" s="4" t="str">
        <f>IF(XS_Designer_Bed_Mix!$J67&lt;=XS_Designer!$BN$101,XS_Designer!BD$101,"")</f>
        <v/>
      </c>
      <c r="DA67" s="4" t="str">
        <f>IF(XS_Designer_Bed_Mix!$J67&lt;=XS_Designer!$BN$101,XS_Designer!BE$101,"")</f>
        <v/>
      </c>
      <c r="DB67" s="4" t="str">
        <f>IF(XS_Designer_Bed_Mix!$J67&lt;=XS_Designer!$BN$101,XS_Designer!BF$101,"")</f>
        <v/>
      </c>
      <c r="DC67" s="4" t="str">
        <f>IF(XS_Designer_Bed_Mix!$J67&lt;=XS_Designer!$BN$101,XS_Designer!BG$101,"")</f>
        <v/>
      </c>
      <c r="DD67" s="4" t="str">
        <f>IF(XS_Designer_Bed_Mix!$J67&lt;=XS_Designer!$BN$101,XS_Designer!BH$101,"")</f>
        <v/>
      </c>
      <c r="DE67" s="4" t="str">
        <f>IF(XS_Designer_Bed_Mix!$J67&lt;=XS_Designer!$BN$101,XS_Designer!BI$101,"")</f>
        <v/>
      </c>
      <c r="DF67" s="4" t="str">
        <f>IF(XS_Designer_Bed_Mix!$J67&lt;=XS_Designer!$BN$101,XS_Designer!BJ$101,"")</f>
        <v/>
      </c>
      <c r="DG67" s="4" t="str">
        <f>IF(XS_Designer_Bed_Mix!$J67&lt;=XS_Designer!$BN$102,XS_Designer!BA$102,"")</f>
        <v/>
      </c>
      <c r="DH67" s="4" t="str">
        <f>IF(XS_Designer_Bed_Mix!$J67&lt;=XS_Designer!$BN$102,XS_Designer!BB$102,"")</f>
        <v/>
      </c>
      <c r="DI67" s="4" t="str">
        <f>IF(XS_Designer_Bed_Mix!$J67&lt;=XS_Designer!$BN$102,XS_Designer!BC$102,"")</f>
        <v/>
      </c>
      <c r="DJ67" s="4" t="str">
        <f>IF(XS_Designer_Bed_Mix!$J67&lt;=XS_Designer!$BN$102,XS_Designer!BD$102,"")</f>
        <v/>
      </c>
      <c r="DK67" s="4" t="str">
        <f>IF(XS_Designer_Bed_Mix!$J67&lt;=XS_Designer!$BN$102,XS_Designer!BE$102,"")</f>
        <v/>
      </c>
      <c r="DL67" s="4" t="str">
        <f>IF(XS_Designer_Bed_Mix!$J67&lt;=XS_Designer!$BN$102,XS_Designer!BF$102,"")</f>
        <v/>
      </c>
      <c r="DM67" s="4" t="str">
        <f>IF(XS_Designer_Bed_Mix!$J67&lt;=XS_Designer!$BN$102,XS_Designer!BG$102,"")</f>
        <v/>
      </c>
      <c r="DN67" s="4" t="str">
        <f>IF(XS_Designer_Bed_Mix!$J67&lt;=XS_Designer!$BN$102,XS_Designer!BH$102,"")</f>
        <v/>
      </c>
      <c r="DO67" s="4" t="str">
        <f>IF(XS_Designer_Bed_Mix!$J67&lt;=XS_Designer!$BN$102,XS_Designer!BI$102,"")</f>
        <v/>
      </c>
      <c r="DP67" s="4" t="str">
        <f>IF(XS_Designer_Bed_Mix!$J67&lt;=XS_Designer!$BN$102,XS_Designer!BJ$102,"")</f>
        <v/>
      </c>
    </row>
    <row r="68" spans="10:120">
      <c r="J68" s="3">
        <v>0.67</v>
      </c>
      <c r="K68" s="4" t="str">
        <f>IF(XS_Designer_Bed_Mix!$J68&lt;=XS_Designer!$BN$92,XS_Designer!BA$92,"")</f>
        <v/>
      </c>
      <c r="L68" s="4" t="str">
        <f>IF(XS_Designer_Bed_Mix!$J68&lt;=XS_Designer!$BN$92,XS_Designer!BB$92,"")</f>
        <v/>
      </c>
      <c r="M68" s="4" t="str">
        <f>IF(XS_Designer_Bed_Mix!$J68&lt;=XS_Designer!$BN$92,XS_Designer!BC$92,"")</f>
        <v/>
      </c>
      <c r="N68" s="4" t="str">
        <f>IF(XS_Designer_Bed_Mix!$J68&lt;=XS_Designer!$BN$92,XS_Designer!BD$92,"")</f>
        <v/>
      </c>
      <c r="O68" s="4" t="str">
        <f>IF(XS_Designer_Bed_Mix!$J68&lt;=XS_Designer!$BN$92,XS_Designer!BE$92,"")</f>
        <v/>
      </c>
      <c r="P68" s="4" t="str">
        <f>IF(XS_Designer_Bed_Mix!$J68&lt;=XS_Designer!$BN$92,XS_Designer!BF$92,"")</f>
        <v/>
      </c>
      <c r="Q68" s="4" t="str">
        <f>IF(XS_Designer_Bed_Mix!$J68&lt;=XS_Designer!$BN$92,XS_Designer!BG$92,"")</f>
        <v/>
      </c>
      <c r="R68" s="4" t="str">
        <f>IF(XS_Designer_Bed_Mix!$J68&lt;=XS_Designer!$BN$92,XS_Designer!BH$92,"")</f>
        <v/>
      </c>
      <c r="S68" s="4" t="str">
        <f>IF(XS_Designer_Bed_Mix!$J68&lt;=XS_Designer!$BN$92,XS_Designer!BI$92,"")</f>
        <v/>
      </c>
      <c r="T68" s="4" t="str">
        <f>IF(XS_Designer_Bed_Mix!$J68&lt;=XS_Designer!$BN$92,XS_Designer!BJ$92,"")</f>
        <v/>
      </c>
      <c r="U68" s="4" t="str">
        <f>IF(XS_Designer_Bed_Mix!$J68&lt;=XS_Designer!$BN$93,XS_Designer!BA$93,"")</f>
        <v/>
      </c>
      <c r="V68" s="4" t="str">
        <f>IF(XS_Designer_Bed_Mix!$J68&lt;=XS_Designer!$BN$93,XS_Designer!BB$93,"")</f>
        <v/>
      </c>
      <c r="W68" s="4" t="str">
        <f>IF(XS_Designer_Bed_Mix!$J68&lt;=XS_Designer!$BN$93,XS_Designer!BC$93,"")</f>
        <v/>
      </c>
      <c r="X68" s="4" t="str">
        <f>IF(XS_Designer_Bed_Mix!$J68&lt;=XS_Designer!$BN$93,XS_Designer!BD$93,"")</f>
        <v/>
      </c>
      <c r="Y68" s="4" t="str">
        <f>IF(XS_Designer_Bed_Mix!$J68&lt;=XS_Designer!$BN$93,XS_Designer!BE$93,"")</f>
        <v/>
      </c>
      <c r="Z68" s="4" t="str">
        <f>IF(XS_Designer_Bed_Mix!$J68&lt;=XS_Designer!$BN$93,XS_Designer!BF$93,"")</f>
        <v/>
      </c>
      <c r="AA68" s="4" t="str">
        <f>IF(XS_Designer_Bed_Mix!$J68&lt;=XS_Designer!$BN$93,XS_Designer!BG$93,"")</f>
        <v/>
      </c>
      <c r="AB68" s="4" t="str">
        <f>IF(XS_Designer_Bed_Mix!$J68&lt;=XS_Designer!$BN$93,XS_Designer!BH$93,"")</f>
        <v/>
      </c>
      <c r="AC68" s="4" t="str">
        <f>IF(XS_Designer_Bed_Mix!$J68&lt;=XS_Designer!$BN$93,XS_Designer!BI$93,"")</f>
        <v/>
      </c>
      <c r="AD68" s="4" t="str">
        <f>IF(XS_Designer_Bed_Mix!$J68&lt;=XS_Designer!$BN$93,XS_Designer!BJ$93,"")</f>
        <v/>
      </c>
      <c r="AE68" s="4" t="str">
        <f>IF(XS_Designer_Bed_Mix!$J68&lt;=XS_Designer!$BN$94,XS_Designer!BA$94,"")</f>
        <v/>
      </c>
      <c r="AF68" s="4" t="str">
        <f>IF(XS_Designer_Bed_Mix!$J68&lt;=XS_Designer!$BN$94,XS_Designer!BB$94,"")</f>
        <v/>
      </c>
      <c r="AG68" s="4" t="str">
        <f>IF(XS_Designer_Bed_Mix!$J68&lt;=XS_Designer!$BN$94,XS_Designer!BC$94,"")</f>
        <v/>
      </c>
      <c r="AH68" s="4" t="str">
        <f>IF(XS_Designer_Bed_Mix!$J68&lt;=XS_Designer!$BN$94,XS_Designer!BD$94,"")</f>
        <v/>
      </c>
      <c r="AI68" s="4" t="str">
        <f>IF(XS_Designer_Bed_Mix!$J68&lt;=XS_Designer!$BN$94,XS_Designer!BE$94,"")</f>
        <v/>
      </c>
      <c r="AJ68" s="4" t="str">
        <f>IF(XS_Designer_Bed_Mix!$J68&lt;=XS_Designer!$BN$94,XS_Designer!BF$94,"")</f>
        <v/>
      </c>
      <c r="AK68" s="4" t="str">
        <f>IF(XS_Designer_Bed_Mix!$J68&lt;=XS_Designer!$BN$94,XS_Designer!BG$94,"")</f>
        <v/>
      </c>
      <c r="AL68" s="4" t="str">
        <f>IF(XS_Designer_Bed_Mix!$J68&lt;=XS_Designer!$BN$94,XS_Designer!BH$94,"")</f>
        <v/>
      </c>
      <c r="AM68" s="4" t="str">
        <f>IF(XS_Designer_Bed_Mix!$J68&lt;=XS_Designer!$BN$94,XS_Designer!BI$94,"")</f>
        <v/>
      </c>
      <c r="AN68" s="4" t="str">
        <f>IF(XS_Designer_Bed_Mix!$J68&lt;=XS_Designer!$BN$94,XS_Designer!BJ$94,"")</f>
        <v/>
      </c>
      <c r="AO68" s="4" t="str">
        <f>IF(XS_Designer_Bed_Mix!$J68&lt;=XS_Designer!$BN$95,XS_Designer!BA$95,"")</f>
        <v/>
      </c>
      <c r="AP68" s="4" t="str">
        <f>IF(XS_Designer_Bed_Mix!$J68&lt;=XS_Designer!$BN$95,XS_Designer!BB$95,"")</f>
        <v/>
      </c>
      <c r="AQ68" s="4" t="str">
        <f>IF(XS_Designer_Bed_Mix!$J68&lt;=XS_Designer!$BN$95,XS_Designer!BC$95,"")</f>
        <v/>
      </c>
      <c r="AR68" s="4" t="str">
        <f>IF(XS_Designer_Bed_Mix!$J68&lt;=XS_Designer!$BN$95,XS_Designer!BD$95,"")</f>
        <v/>
      </c>
      <c r="AS68" s="4" t="str">
        <f>IF(XS_Designer_Bed_Mix!$J68&lt;=XS_Designer!$BN$95,XS_Designer!BE$95,"")</f>
        <v/>
      </c>
      <c r="AT68" s="4" t="str">
        <f>IF(XS_Designer_Bed_Mix!$J68&lt;=XS_Designer!$BN$95,XS_Designer!BF$95,"")</f>
        <v/>
      </c>
      <c r="AU68" s="4" t="str">
        <f>IF(XS_Designer_Bed_Mix!$J68&lt;=XS_Designer!$BN$95,XS_Designer!BG$95,"")</f>
        <v/>
      </c>
      <c r="AV68" s="4" t="str">
        <f>IF(XS_Designer_Bed_Mix!$J68&lt;=XS_Designer!$BN$95,XS_Designer!BH$95,"")</f>
        <v/>
      </c>
      <c r="AW68" s="4" t="str">
        <f>IF(XS_Designer_Bed_Mix!$J68&lt;=XS_Designer!$BN$95,XS_Designer!BI$95,"")</f>
        <v/>
      </c>
      <c r="AX68" s="4" t="str">
        <f>IF(XS_Designer_Bed_Mix!$J68&lt;=XS_Designer!$BN$95,XS_Designer!BJ$95,"")</f>
        <v/>
      </c>
      <c r="AY68" s="4" t="str">
        <f>IF(XS_Designer_Bed_Mix!$J68&lt;=XS_Designer!$BN$96,XS_Designer!BA$96,"")</f>
        <v/>
      </c>
      <c r="AZ68" s="4" t="str">
        <f>IF(XS_Designer_Bed_Mix!$J68&lt;=XS_Designer!$BN$96,XS_Designer!BB$96,"")</f>
        <v/>
      </c>
      <c r="BA68" s="4" t="str">
        <f>IF(XS_Designer_Bed_Mix!$J68&lt;=XS_Designer!$BN$96,XS_Designer!BC$96,"")</f>
        <v/>
      </c>
      <c r="BB68" s="4" t="str">
        <f>IF(XS_Designer_Bed_Mix!$J68&lt;=XS_Designer!$BN$96,XS_Designer!BD$96,"")</f>
        <v/>
      </c>
      <c r="BC68" s="4" t="str">
        <f>IF(XS_Designer_Bed_Mix!$J68&lt;=XS_Designer!$BN$96,XS_Designer!BE$96,"")</f>
        <v/>
      </c>
      <c r="BD68" s="4" t="str">
        <f>IF(XS_Designer_Bed_Mix!$J68&lt;=XS_Designer!$BN$96,XS_Designer!BF$96,"")</f>
        <v/>
      </c>
      <c r="BE68" s="4" t="str">
        <f>IF(XS_Designer_Bed_Mix!$J68&lt;=XS_Designer!$BN$96,XS_Designer!BG$96,"")</f>
        <v/>
      </c>
      <c r="BF68" s="4" t="str">
        <f>IF(XS_Designer_Bed_Mix!$J68&lt;=XS_Designer!$BN$96,XS_Designer!BH$96,"")</f>
        <v/>
      </c>
      <c r="BG68" s="4" t="str">
        <f>IF(XS_Designer_Bed_Mix!$J68&lt;=XS_Designer!$BN$96,XS_Designer!BI$96,"")</f>
        <v/>
      </c>
      <c r="BH68" s="4" t="str">
        <f>IF(XS_Designer_Bed_Mix!$J68&lt;=XS_Designer!$BN$96,XS_Designer!BJ$96,"")</f>
        <v/>
      </c>
      <c r="BI68" s="4" t="str">
        <f>IF(XS_Designer_Bed_Mix!$J68&lt;=XS_Designer!$BN$97,XS_Designer!BA$97,"")</f>
        <v/>
      </c>
      <c r="BJ68" s="4" t="str">
        <f>IF(XS_Designer_Bed_Mix!$J68&lt;=XS_Designer!$BN$97,XS_Designer!BB$97,"")</f>
        <v/>
      </c>
      <c r="BK68" s="4" t="str">
        <f>IF(XS_Designer_Bed_Mix!$J68&lt;=XS_Designer!$BN$97,XS_Designer!BC$97,"")</f>
        <v/>
      </c>
      <c r="BL68" s="4" t="str">
        <f>IF(XS_Designer_Bed_Mix!$J68&lt;=XS_Designer!$BN$97,XS_Designer!BD$97,"")</f>
        <v/>
      </c>
      <c r="BM68" s="4" t="str">
        <f>IF(XS_Designer_Bed_Mix!$J68&lt;=XS_Designer!$BN$97,XS_Designer!BE$97,"")</f>
        <v/>
      </c>
      <c r="BN68" s="4" t="str">
        <f>IF(XS_Designer_Bed_Mix!$J68&lt;=XS_Designer!$BN$97,XS_Designer!BF$97,"")</f>
        <v/>
      </c>
      <c r="BO68" s="4" t="str">
        <f>IF(XS_Designer_Bed_Mix!$J68&lt;=XS_Designer!$BN$97,XS_Designer!BG$97,"")</f>
        <v/>
      </c>
      <c r="BP68" s="4" t="str">
        <f>IF(XS_Designer_Bed_Mix!$J68&lt;=XS_Designer!$BN$97,XS_Designer!BH$97,"")</f>
        <v/>
      </c>
      <c r="BQ68" s="4" t="str">
        <f>IF(XS_Designer_Bed_Mix!$J68&lt;=XS_Designer!$BN$97,XS_Designer!BI$97,"")</f>
        <v/>
      </c>
      <c r="BR68" s="4" t="str">
        <f>IF(XS_Designer_Bed_Mix!$J68&lt;=XS_Designer!$BN$97,XS_Designer!BJ$97,"")</f>
        <v/>
      </c>
      <c r="BS68" s="4" t="str">
        <f>IF(XS_Designer_Bed_Mix!$J68&lt;=XS_Designer!$BN$98,XS_Designer!BA$98,"")</f>
        <v/>
      </c>
      <c r="BT68" s="4" t="str">
        <f>IF(XS_Designer_Bed_Mix!$J68&lt;=XS_Designer!$BN$98,XS_Designer!BB$98,"")</f>
        <v/>
      </c>
      <c r="BU68" s="4" t="str">
        <f>IF(XS_Designer_Bed_Mix!$J68&lt;=XS_Designer!$BN$98,XS_Designer!BC$98,"")</f>
        <v/>
      </c>
      <c r="BV68" s="4" t="str">
        <f>IF(XS_Designer_Bed_Mix!$J68&lt;=XS_Designer!$BN$98,XS_Designer!BD$98,"")</f>
        <v/>
      </c>
      <c r="BW68" s="4" t="str">
        <f>IF(XS_Designer_Bed_Mix!$J68&lt;=XS_Designer!$BN$98,XS_Designer!BE$98,"")</f>
        <v/>
      </c>
      <c r="BX68" s="4" t="str">
        <f>IF(XS_Designer_Bed_Mix!$J68&lt;=XS_Designer!$BN$98,XS_Designer!BF$98,"")</f>
        <v/>
      </c>
      <c r="BY68" s="4" t="str">
        <f>IF(XS_Designer_Bed_Mix!$J68&lt;=XS_Designer!$BN$98,XS_Designer!BG$98,"")</f>
        <v/>
      </c>
      <c r="BZ68" s="4" t="str">
        <f>IF(XS_Designer_Bed_Mix!$J68&lt;=XS_Designer!$BN$98,XS_Designer!BH$98,"")</f>
        <v/>
      </c>
      <c r="CA68" s="4" t="str">
        <f>IF(XS_Designer_Bed_Mix!$J68&lt;=XS_Designer!$BN$98,XS_Designer!BI$98,"")</f>
        <v/>
      </c>
      <c r="CB68" s="4" t="str">
        <f>IF(XS_Designer_Bed_Mix!$J68&lt;=XS_Designer!$BN$98,XS_Designer!BJ$98,"")</f>
        <v/>
      </c>
      <c r="CC68" s="4" t="str">
        <f>IF(XS_Designer_Bed_Mix!$J68&lt;=XS_Designer!$BN$99,XS_Designer!BA$99,"")</f>
        <v/>
      </c>
      <c r="CD68" s="4" t="str">
        <f>IF(XS_Designer_Bed_Mix!$J68&lt;=XS_Designer!$BN$99,XS_Designer!BB$99,"")</f>
        <v/>
      </c>
      <c r="CE68" s="4" t="str">
        <f>IF(XS_Designer_Bed_Mix!$J68&lt;=XS_Designer!$BN$99,XS_Designer!BC$99,"")</f>
        <v/>
      </c>
      <c r="CF68" s="4" t="str">
        <f>IF(XS_Designer_Bed_Mix!$J68&lt;=XS_Designer!$BN$99,XS_Designer!BD$99,"")</f>
        <v/>
      </c>
      <c r="CG68" s="4" t="str">
        <f>IF(XS_Designer_Bed_Mix!$J68&lt;=XS_Designer!$BN$99,XS_Designer!BE$99,"")</f>
        <v/>
      </c>
      <c r="CH68" s="4" t="str">
        <f>IF(XS_Designer_Bed_Mix!$J68&lt;=XS_Designer!$BN$99,XS_Designer!BF$99,"")</f>
        <v/>
      </c>
      <c r="CI68" s="4" t="str">
        <f>IF(XS_Designer_Bed_Mix!$J68&lt;=XS_Designer!$BN$99,XS_Designer!BG$99,"")</f>
        <v/>
      </c>
      <c r="CJ68" s="4" t="str">
        <f>IF(XS_Designer_Bed_Mix!$J68&lt;=XS_Designer!$BN$99,XS_Designer!BH$99,"")</f>
        <v/>
      </c>
      <c r="CK68" s="4" t="str">
        <f>IF(XS_Designer_Bed_Mix!$J68&lt;=XS_Designer!$BN$99,XS_Designer!BI$99,"")</f>
        <v/>
      </c>
      <c r="CL68" s="4" t="str">
        <f>IF(XS_Designer_Bed_Mix!$J68&lt;=XS_Designer!$BN$99,XS_Designer!BJ$99,"")</f>
        <v/>
      </c>
      <c r="CM68" s="4" t="str">
        <f>IF(XS_Designer_Bed_Mix!$J68&lt;=XS_Designer!$BN$100,XS_Designer!BA$100,"")</f>
        <v/>
      </c>
      <c r="CN68" s="4" t="str">
        <f>IF(XS_Designer_Bed_Mix!$J68&lt;=XS_Designer!$BN$100,XS_Designer!BB$100,"")</f>
        <v/>
      </c>
      <c r="CO68" s="4" t="str">
        <f>IF(XS_Designer_Bed_Mix!$J68&lt;=XS_Designer!$BN$100,XS_Designer!BC$100,"")</f>
        <v/>
      </c>
      <c r="CP68" s="4" t="str">
        <f>IF(XS_Designer_Bed_Mix!$J68&lt;=XS_Designer!$BN$100,XS_Designer!BD$100,"")</f>
        <v/>
      </c>
      <c r="CQ68" s="4" t="str">
        <f>IF(XS_Designer_Bed_Mix!$J68&lt;=XS_Designer!$BN$100,XS_Designer!BE$100,"")</f>
        <v/>
      </c>
      <c r="CR68" s="4" t="str">
        <f>IF(XS_Designer_Bed_Mix!$J68&lt;=XS_Designer!$BN$100,XS_Designer!BF$100,"")</f>
        <v/>
      </c>
      <c r="CS68" s="4" t="str">
        <f>IF(XS_Designer_Bed_Mix!$J68&lt;=XS_Designer!$BN$100,XS_Designer!BG$100,"")</f>
        <v/>
      </c>
      <c r="CT68" s="4" t="str">
        <f>IF(XS_Designer_Bed_Mix!$J68&lt;=XS_Designer!$BN$100,XS_Designer!BH$100,"")</f>
        <v/>
      </c>
      <c r="CU68" s="4" t="str">
        <f>IF(XS_Designer_Bed_Mix!$J68&lt;=XS_Designer!$BN$100,XS_Designer!BI$100,"")</f>
        <v/>
      </c>
      <c r="CV68" s="4" t="str">
        <f>IF(XS_Designer_Bed_Mix!$J68&lt;=XS_Designer!$BN$100,XS_Designer!BJ$100,"")</f>
        <v/>
      </c>
      <c r="CW68" s="4" t="str">
        <f>IF(XS_Designer_Bed_Mix!$J68&lt;=XS_Designer!$BN$101,XS_Designer!BA$101,"")</f>
        <v/>
      </c>
      <c r="CX68" s="4" t="str">
        <f>IF(XS_Designer_Bed_Mix!$J68&lt;=XS_Designer!$BN$101,XS_Designer!BB$101,"")</f>
        <v/>
      </c>
      <c r="CY68" s="4" t="str">
        <f>IF(XS_Designer_Bed_Mix!$J68&lt;=XS_Designer!$BN$101,XS_Designer!BC$101,"")</f>
        <v/>
      </c>
      <c r="CZ68" s="4" t="str">
        <f>IF(XS_Designer_Bed_Mix!$J68&lt;=XS_Designer!$BN$101,XS_Designer!BD$101,"")</f>
        <v/>
      </c>
      <c r="DA68" s="4" t="str">
        <f>IF(XS_Designer_Bed_Mix!$J68&lt;=XS_Designer!$BN$101,XS_Designer!BE$101,"")</f>
        <v/>
      </c>
      <c r="DB68" s="4" t="str">
        <f>IF(XS_Designer_Bed_Mix!$J68&lt;=XS_Designer!$BN$101,XS_Designer!BF$101,"")</f>
        <v/>
      </c>
      <c r="DC68" s="4" t="str">
        <f>IF(XS_Designer_Bed_Mix!$J68&lt;=XS_Designer!$BN$101,XS_Designer!BG$101,"")</f>
        <v/>
      </c>
      <c r="DD68" s="4" t="str">
        <f>IF(XS_Designer_Bed_Mix!$J68&lt;=XS_Designer!$BN$101,XS_Designer!BH$101,"")</f>
        <v/>
      </c>
      <c r="DE68" s="4" t="str">
        <f>IF(XS_Designer_Bed_Mix!$J68&lt;=XS_Designer!$BN$101,XS_Designer!BI$101,"")</f>
        <v/>
      </c>
      <c r="DF68" s="4" t="str">
        <f>IF(XS_Designer_Bed_Mix!$J68&lt;=XS_Designer!$BN$101,XS_Designer!BJ$101,"")</f>
        <v/>
      </c>
      <c r="DG68" s="4" t="str">
        <f>IF(XS_Designer_Bed_Mix!$J68&lt;=XS_Designer!$BN$102,XS_Designer!BA$102,"")</f>
        <v/>
      </c>
      <c r="DH68" s="4" t="str">
        <f>IF(XS_Designer_Bed_Mix!$J68&lt;=XS_Designer!$BN$102,XS_Designer!BB$102,"")</f>
        <v/>
      </c>
      <c r="DI68" s="4" t="str">
        <f>IF(XS_Designer_Bed_Mix!$J68&lt;=XS_Designer!$BN$102,XS_Designer!BC$102,"")</f>
        <v/>
      </c>
      <c r="DJ68" s="4" t="str">
        <f>IF(XS_Designer_Bed_Mix!$J68&lt;=XS_Designer!$BN$102,XS_Designer!BD$102,"")</f>
        <v/>
      </c>
      <c r="DK68" s="4" t="str">
        <f>IF(XS_Designer_Bed_Mix!$J68&lt;=XS_Designer!$BN$102,XS_Designer!BE$102,"")</f>
        <v/>
      </c>
      <c r="DL68" s="4" t="str">
        <f>IF(XS_Designer_Bed_Mix!$J68&lt;=XS_Designer!$BN$102,XS_Designer!BF$102,"")</f>
        <v/>
      </c>
      <c r="DM68" s="4" t="str">
        <f>IF(XS_Designer_Bed_Mix!$J68&lt;=XS_Designer!$BN$102,XS_Designer!BG$102,"")</f>
        <v/>
      </c>
      <c r="DN68" s="4" t="str">
        <f>IF(XS_Designer_Bed_Mix!$J68&lt;=XS_Designer!$BN$102,XS_Designer!BH$102,"")</f>
        <v/>
      </c>
      <c r="DO68" s="4" t="str">
        <f>IF(XS_Designer_Bed_Mix!$J68&lt;=XS_Designer!$BN$102,XS_Designer!BI$102,"")</f>
        <v/>
      </c>
      <c r="DP68" s="4" t="str">
        <f>IF(XS_Designer_Bed_Mix!$J68&lt;=XS_Designer!$BN$102,XS_Designer!BJ$102,"")</f>
        <v/>
      </c>
    </row>
    <row r="69" spans="10:120">
      <c r="J69" s="3">
        <v>0.68</v>
      </c>
      <c r="K69" s="4" t="str">
        <f>IF(XS_Designer_Bed_Mix!$J69&lt;=XS_Designer!$BN$92,XS_Designer!BA$92,"")</f>
        <v/>
      </c>
      <c r="L69" s="4" t="str">
        <f>IF(XS_Designer_Bed_Mix!$J69&lt;=XS_Designer!$BN$92,XS_Designer!BB$92,"")</f>
        <v/>
      </c>
      <c r="M69" s="4" t="str">
        <f>IF(XS_Designer_Bed_Mix!$J69&lt;=XS_Designer!$BN$92,XS_Designer!BC$92,"")</f>
        <v/>
      </c>
      <c r="N69" s="4" t="str">
        <f>IF(XS_Designer_Bed_Mix!$J69&lt;=XS_Designer!$BN$92,XS_Designer!BD$92,"")</f>
        <v/>
      </c>
      <c r="O69" s="4" t="str">
        <f>IF(XS_Designer_Bed_Mix!$J69&lt;=XS_Designer!$BN$92,XS_Designer!BE$92,"")</f>
        <v/>
      </c>
      <c r="P69" s="4" t="str">
        <f>IF(XS_Designer_Bed_Mix!$J69&lt;=XS_Designer!$BN$92,XS_Designer!BF$92,"")</f>
        <v/>
      </c>
      <c r="Q69" s="4" t="str">
        <f>IF(XS_Designer_Bed_Mix!$J69&lt;=XS_Designer!$BN$92,XS_Designer!BG$92,"")</f>
        <v/>
      </c>
      <c r="R69" s="4" t="str">
        <f>IF(XS_Designer_Bed_Mix!$J69&lt;=XS_Designer!$BN$92,XS_Designer!BH$92,"")</f>
        <v/>
      </c>
      <c r="S69" s="4" t="str">
        <f>IF(XS_Designer_Bed_Mix!$J69&lt;=XS_Designer!$BN$92,XS_Designer!BI$92,"")</f>
        <v/>
      </c>
      <c r="T69" s="4" t="str">
        <f>IF(XS_Designer_Bed_Mix!$J69&lt;=XS_Designer!$BN$92,XS_Designer!BJ$92,"")</f>
        <v/>
      </c>
      <c r="U69" s="4" t="str">
        <f>IF(XS_Designer_Bed_Mix!$J69&lt;=XS_Designer!$BN$93,XS_Designer!BA$93,"")</f>
        <v/>
      </c>
      <c r="V69" s="4" t="str">
        <f>IF(XS_Designer_Bed_Mix!$J69&lt;=XS_Designer!$BN$93,XS_Designer!BB$93,"")</f>
        <v/>
      </c>
      <c r="W69" s="4" t="str">
        <f>IF(XS_Designer_Bed_Mix!$J69&lt;=XS_Designer!$BN$93,XS_Designer!BC$93,"")</f>
        <v/>
      </c>
      <c r="X69" s="4" t="str">
        <f>IF(XS_Designer_Bed_Mix!$J69&lt;=XS_Designer!$BN$93,XS_Designer!BD$93,"")</f>
        <v/>
      </c>
      <c r="Y69" s="4" t="str">
        <f>IF(XS_Designer_Bed_Mix!$J69&lt;=XS_Designer!$BN$93,XS_Designer!BE$93,"")</f>
        <v/>
      </c>
      <c r="Z69" s="4" t="str">
        <f>IF(XS_Designer_Bed_Mix!$J69&lt;=XS_Designer!$BN$93,XS_Designer!BF$93,"")</f>
        <v/>
      </c>
      <c r="AA69" s="4" t="str">
        <f>IF(XS_Designer_Bed_Mix!$J69&lt;=XS_Designer!$BN$93,XS_Designer!BG$93,"")</f>
        <v/>
      </c>
      <c r="AB69" s="4" t="str">
        <f>IF(XS_Designer_Bed_Mix!$J69&lt;=XS_Designer!$BN$93,XS_Designer!BH$93,"")</f>
        <v/>
      </c>
      <c r="AC69" s="4" t="str">
        <f>IF(XS_Designer_Bed_Mix!$J69&lt;=XS_Designer!$BN$93,XS_Designer!BI$93,"")</f>
        <v/>
      </c>
      <c r="AD69" s="4" t="str">
        <f>IF(XS_Designer_Bed_Mix!$J69&lt;=XS_Designer!$BN$93,XS_Designer!BJ$93,"")</f>
        <v/>
      </c>
      <c r="AE69" s="4" t="str">
        <f>IF(XS_Designer_Bed_Mix!$J69&lt;=XS_Designer!$BN$94,XS_Designer!BA$94,"")</f>
        <v/>
      </c>
      <c r="AF69" s="4" t="str">
        <f>IF(XS_Designer_Bed_Mix!$J69&lt;=XS_Designer!$BN$94,XS_Designer!BB$94,"")</f>
        <v/>
      </c>
      <c r="AG69" s="4" t="str">
        <f>IF(XS_Designer_Bed_Mix!$J69&lt;=XS_Designer!$BN$94,XS_Designer!BC$94,"")</f>
        <v/>
      </c>
      <c r="AH69" s="4" t="str">
        <f>IF(XS_Designer_Bed_Mix!$J69&lt;=XS_Designer!$BN$94,XS_Designer!BD$94,"")</f>
        <v/>
      </c>
      <c r="AI69" s="4" t="str">
        <f>IF(XS_Designer_Bed_Mix!$J69&lt;=XS_Designer!$BN$94,XS_Designer!BE$94,"")</f>
        <v/>
      </c>
      <c r="AJ69" s="4" t="str">
        <f>IF(XS_Designer_Bed_Mix!$J69&lt;=XS_Designer!$BN$94,XS_Designer!BF$94,"")</f>
        <v/>
      </c>
      <c r="AK69" s="4" t="str">
        <f>IF(XS_Designer_Bed_Mix!$J69&lt;=XS_Designer!$BN$94,XS_Designer!BG$94,"")</f>
        <v/>
      </c>
      <c r="AL69" s="4" t="str">
        <f>IF(XS_Designer_Bed_Mix!$J69&lt;=XS_Designer!$BN$94,XS_Designer!BH$94,"")</f>
        <v/>
      </c>
      <c r="AM69" s="4" t="str">
        <f>IF(XS_Designer_Bed_Mix!$J69&lt;=XS_Designer!$BN$94,XS_Designer!BI$94,"")</f>
        <v/>
      </c>
      <c r="AN69" s="4" t="str">
        <f>IF(XS_Designer_Bed_Mix!$J69&lt;=XS_Designer!$BN$94,XS_Designer!BJ$94,"")</f>
        <v/>
      </c>
      <c r="AO69" s="4" t="str">
        <f>IF(XS_Designer_Bed_Mix!$J69&lt;=XS_Designer!$BN$95,XS_Designer!BA$95,"")</f>
        <v/>
      </c>
      <c r="AP69" s="4" t="str">
        <f>IF(XS_Designer_Bed_Mix!$J69&lt;=XS_Designer!$BN$95,XS_Designer!BB$95,"")</f>
        <v/>
      </c>
      <c r="AQ69" s="4" t="str">
        <f>IF(XS_Designer_Bed_Mix!$J69&lt;=XS_Designer!$BN$95,XS_Designer!BC$95,"")</f>
        <v/>
      </c>
      <c r="AR69" s="4" t="str">
        <f>IF(XS_Designer_Bed_Mix!$J69&lt;=XS_Designer!$BN$95,XS_Designer!BD$95,"")</f>
        <v/>
      </c>
      <c r="AS69" s="4" t="str">
        <f>IF(XS_Designer_Bed_Mix!$J69&lt;=XS_Designer!$BN$95,XS_Designer!BE$95,"")</f>
        <v/>
      </c>
      <c r="AT69" s="4" t="str">
        <f>IF(XS_Designer_Bed_Mix!$J69&lt;=XS_Designer!$BN$95,XS_Designer!BF$95,"")</f>
        <v/>
      </c>
      <c r="AU69" s="4" t="str">
        <f>IF(XS_Designer_Bed_Mix!$J69&lt;=XS_Designer!$BN$95,XS_Designer!BG$95,"")</f>
        <v/>
      </c>
      <c r="AV69" s="4" t="str">
        <f>IF(XS_Designer_Bed_Mix!$J69&lt;=XS_Designer!$BN$95,XS_Designer!BH$95,"")</f>
        <v/>
      </c>
      <c r="AW69" s="4" t="str">
        <f>IF(XS_Designer_Bed_Mix!$J69&lt;=XS_Designer!$BN$95,XS_Designer!BI$95,"")</f>
        <v/>
      </c>
      <c r="AX69" s="4" t="str">
        <f>IF(XS_Designer_Bed_Mix!$J69&lt;=XS_Designer!$BN$95,XS_Designer!BJ$95,"")</f>
        <v/>
      </c>
      <c r="AY69" s="4" t="str">
        <f>IF(XS_Designer_Bed_Mix!$J69&lt;=XS_Designer!$BN$96,XS_Designer!BA$96,"")</f>
        <v/>
      </c>
      <c r="AZ69" s="4" t="str">
        <f>IF(XS_Designer_Bed_Mix!$J69&lt;=XS_Designer!$BN$96,XS_Designer!BB$96,"")</f>
        <v/>
      </c>
      <c r="BA69" s="4" t="str">
        <f>IF(XS_Designer_Bed_Mix!$J69&lt;=XS_Designer!$BN$96,XS_Designer!BC$96,"")</f>
        <v/>
      </c>
      <c r="BB69" s="4" t="str">
        <f>IF(XS_Designer_Bed_Mix!$J69&lt;=XS_Designer!$BN$96,XS_Designer!BD$96,"")</f>
        <v/>
      </c>
      <c r="BC69" s="4" t="str">
        <f>IF(XS_Designer_Bed_Mix!$J69&lt;=XS_Designer!$BN$96,XS_Designer!BE$96,"")</f>
        <v/>
      </c>
      <c r="BD69" s="4" t="str">
        <f>IF(XS_Designer_Bed_Mix!$J69&lt;=XS_Designer!$BN$96,XS_Designer!BF$96,"")</f>
        <v/>
      </c>
      <c r="BE69" s="4" t="str">
        <f>IF(XS_Designer_Bed_Mix!$J69&lt;=XS_Designer!$BN$96,XS_Designer!BG$96,"")</f>
        <v/>
      </c>
      <c r="BF69" s="4" t="str">
        <f>IF(XS_Designer_Bed_Mix!$J69&lt;=XS_Designer!$BN$96,XS_Designer!BH$96,"")</f>
        <v/>
      </c>
      <c r="BG69" s="4" t="str">
        <f>IF(XS_Designer_Bed_Mix!$J69&lt;=XS_Designer!$BN$96,XS_Designer!BI$96,"")</f>
        <v/>
      </c>
      <c r="BH69" s="4" t="str">
        <f>IF(XS_Designer_Bed_Mix!$J69&lt;=XS_Designer!$BN$96,XS_Designer!BJ$96,"")</f>
        <v/>
      </c>
      <c r="BI69" s="4" t="str">
        <f>IF(XS_Designer_Bed_Mix!$J69&lt;=XS_Designer!$BN$97,XS_Designer!BA$97,"")</f>
        <v/>
      </c>
      <c r="BJ69" s="4" t="str">
        <f>IF(XS_Designer_Bed_Mix!$J69&lt;=XS_Designer!$BN$97,XS_Designer!BB$97,"")</f>
        <v/>
      </c>
      <c r="BK69" s="4" t="str">
        <f>IF(XS_Designer_Bed_Mix!$J69&lt;=XS_Designer!$BN$97,XS_Designer!BC$97,"")</f>
        <v/>
      </c>
      <c r="BL69" s="4" t="str">
        <f>IF(XS_Designer_Bed_Mix!$J69&lt;=XS_Designer!$BN$97,XS_Designer!BD$97,"")</f>
        <v/>
      </c>
      <c r="BM69" s="4" t="str">
        <f>IF(XS_Designer_Bed_Mix!$J69&lt;=XS_Designer!$BN$97,XS_Designer!BE$97,"")</f>
        <v/>
      </c>
      <c r="BN69" s="4" t="str">
        <f>IF(XS_Designer_Bed_Mix!$J69&lt;=XS_Designer!$BN$97,XS_Designer!BF$97,"")</f>
        <v/>
      </c>
      <c r="BO69" s="4" t="str">
        <f>IF(XS_Designer_Bed_Mix!$J69&lt;=XS_Designer!$BN$97,XS_Designer!BG$97,"")</f>
        <v/>
      </c>
      <c r="BP69" s="4" t="str">
        <f>IF(XS_Designer_Bed_Mix!$J69&lt;=XS_Designer!$BN$97,XS_Designer!BH$97,"")</f>
        <v/>
      </c>
      <c r="BQ69" s="4" t="str">
        <f>IF(XS_Designer_Bed_Mix!$J69&lt;=XS_Designer!$BN$97,XS_Designer!BI$97,"")</f>
        <v/>
      </c>
      <c r="BR69" s="4" t="str">
        <f>IF(XS_Designer_Bed_Mix!$J69&lt;=XS_Designer!$BN$97,XS_Designer!BJ$97,"")</f>
        <v/>
      </c>
      <c r="BS69" s="4" t="str">
        <f>IF(XS_Designer_Bed_Mix!$J69&lt;=XS_Designer!$BN$98,XS_Designer!BA$98,"")</f>
        <v/>
      </c>
      <c r="BT69" s="4" t="str">
        <f>IF(XS_Designer_Bed_Mix!$J69&lt;=XS_Designer!$BN$98,XS_Designer!BB$98,"")</f>
        <v/>
      </c>
      <c r="BU69" s="4" t="str">
        <f>IF(XS_Designer_Bed_Mix!$J69&lt;=XS_Designer!$BN$98,XS_Designer!BC$98,"")</f>
        <v/>
      </c>
      <c r="BV69" s="4" t="str">
        <f>IF(XS_Designer_Bed_Mix!$J69&lt;=XS_Designer!$BN$98,XS_Designer!BD$98,"")</f>
        <v/>
      </c>
      <c r="BW69" s="4" t="str">
        <f>IF(XS_Designer_Bed_Mix!$J69&lt;=XS_Designer!$BN$98,XS_Designer!BE$98,"")</f>
        <v/>
      </c>
      <c r="BX69" s="4" t="str">
        <f>IF(XS_Designer_Bed_Mix!$J69&lt;=XS_Designer!$BN$98,XS_Designer!BF$98,"")</f>
        <v/>
      </c>
      <c r="BY69" s="4" t="str">
        <f>IF(XS_Designer_Bed_Mix!$J69&lt;=XS_Designer!$BN$98,XS_Designer!BG$98,"")</f>
        <v/>
      </c>
      <c r="BZ69" s="4" t="str">
        <f>IF(XS_Designer_Bed_Mix!$J69&lt;=XS_Designer!$BN$98,XS_Designer!BH$98,"")</f>
        <v/>
      </c>
      <c r="CA69" s="4" t="str">
        <f>IF(XS_Designer_Bed_Mix!$J69&lt;=XS_Designer!$BN$98,XS_Designer!BI$98,"")</f>
        <v/>
      </c>
      <c r="CB69" s="4" t="str">
        <f>IF(XS_Designer_Bed_Mix!$J69&lt;=XS_Designer!$BN$98,XS_Designer!BJ$98,"")</f>
        <v/>
      </c>
      <c r="CC69" s="4" t="str">
        <f>IF(XS_Designer_Bed_Mix!$J69&lt;=XS_Designer!$BN$99,XS_Designer!BA$99,"")</f>
        <v/>
      </c>
      <c r="CD69" s="4" t="str">
        <f>IF(XS_Designer_Bed_Mix!$J69&lt;=XS_Designer!$BN$99,XS_Designer!BB$99,"")</f>
        <v/>
      </c>
      <c r="CE69" s="4" t="str">
        <f>IF(XS_Designer_Bed_Mix!$J69&lt;=XS_Designer!$BN$99,XS_Designer!BC$99,"")</f>
        <v/>
      </c>
      <c r="CF69" s="4" t="str">
        <f>IF(XS_Designer_Bed_Mix!$J69&lt;=XS_Designer!$BN$99,XS_Designer!BD$99,"")</f>
        <v/>
      </c>
      <c r="CG69" s="4" t="str">
        <f>IF(XS_Designer_Bed_Mix!$J69&lt;=XS_Designer!$BN$99,XS_Designer!BE$99,"")</f>
        <v/>
      </c>
      <c r="CH69" s="4" t="str">
        <f>IF(XS_Designer_Bed_Mix!$J69&lt;=XS_Designer!$BN$99,XS_Designer!BF$99,"")</f>
        <v/>
      </c>
      <c r="CI69" s="4" t="str">
        <f>IF(XS_Designer_Bed_Mix!$J69&lt;=XS_Designer!$BN$99,XS_Designer!BG$99,"")</f>
        <v/>
      </c>
      <c r="CJ69" s="4" t="str">
        <f>IF(XS_Designer_Bed_Mix!$J69&lt;=XS_Designer!$BN$99,XS_Designer!BH$99,"")</f>
        <v/>
      </c>
      <c r="CK69" s="4" t="str">
        <f>IF(XS_Designer_Bed_Mix!$J69&lt;=XS_Designer!$BN$99,XS_Designer!BI$99,"")</f>
        <v/>
      </c>
      <c r="CL69" s="4" t="str">
        <f>IF(XS_Designer_Bed_Mix!$J69&lt;=XS_Designer!$BN$99,XS_Designer!BJ$99,"")</f>
        <v/>
      </c>
      <c r="CM69" s="4" t="str">
        <f>IF(XS_Designer_Bed_Mix!$J69&lt;=XS_Designer!$BN$100,XS_Designer!BA$100,"")</f>
        <v/>
      </c>
      <c r="CN69" s="4" t="str">
        <f>IF(XS_Designer_Bed_Mix!$J69&lt;=XS_Designer!$BN$100,XS_Designer!BB$100,"")</f>
        <v/>
      </c>
      <c r="CO69" s="4" t="str">
        <f>IF(XS_Designer_Bed_Mix!$J69&lt;=XS_Designer!$BN$100,XS_Designer!BC$100,"")</f>
        <v/>
      </c>
      <c r="CP69" s="4" t="str">
        <f>IF(XS_Designer_Bed_Mix!$J69&lt;=XS_Designer!$BN$100,XS_Designer!BD$100,"")</f>
        <v/>
      </c>
      <c r="CQ69" s="4" t="str">
        <f>IF(XS_Designer_Bed_Mix!$J69&lt;=XS_Designer!$BN$100,XS_Designer!BE$100,"")</f>
        <v/>
      </c>
      <c r="CR69" s="4" t="str">
        <f>IF(XS_Designer_Bed_Mix!$J69&lt;=XS_Designer!$BN$100,XS_Designer!BF$100,"")</f>
        <v/>
      </c>
      <c r="CS69" s="4" t="str">
        <f>IF(XS_Designer_Bed_Mix!$J69&lt;=XS_Designer!$BN$100,XS_Designer!BG$100,"")</f>
        <v/>
      </c>
      <c r="CT69" s="4" t="str">
        <f>IF(XS_Designer_Bed_Mix!$J69&lt;=XS_Designer!$BN$100,XS_Designer!BH$100,"")</f>
        <v/>
      </c>
      <c r="CU69" s="4" t="str">
        <f>IF(XS_Designer_Bed_Mix!$J69&lt;=XS_Designer!$BN$100,XS_Designer!BI$100,"")</f>
        <v/>
      </c>
      <c r="CV69" s="4" t="str">
        <f>IF(XS_Designer_Bed_Mix!$J69&lt;=XS_Designer!$BN$100,XS_Designer!BJ$100,"")</f>
        <v/>
      </c>
      <c r="CW69" s="4" t="str">
        <f>IF(XS_Designer_Bed_Mix!$J69&lt;=XS_Designer!$BN$101,XS_Designer!BA$101,"")</f>
        <v/>
      </c>
      <c r="CX69" s="4" t="str">
        <f>IF(XS_Designer_Bed_Mix!$J69&lt;=XS_Designer!$BN$101,XS_Designer!BB$101,"")</f>
        <v/>
      </c>
      <c r="CY69" s="4" t="str">
        <f>IF(XS_Designer_Bed_Mix!$J69&lt;=XS_Designer!$BN$101,XS_Designer!BC$101,"")</f>
        <v/>
      </c>
      <c r="CZ69" s="4" t="str">
        <f>IF(XS_Designer_Bed_Mix!$J69&lt;=XS_Designer!$BN$101,XS_Designer!BD$101,"")</f>
        <v/>
      </c>
      <c r="DA69" s="4" t="str">
        <f>IF(XS_Designer_Bed_Mix!$J69&lt;=XS_Designer!$BN$101,XS_Designer!BE$101,"")</f>
        <v/>
      </c>
      <c r="DB69" s="4" t="str">
        <f>IF(XS_Designer_Bed_Mix!$J69&lt;=XS_Designer!$BN$101,XS_Designer!BF$101,"")</f>
        <v/>
      </c>
      <c r="DC69" s="4" t="str">
        <f>IF(XS_Designer_Bed_Mix!$J69&lt;=XS_Designer!$BN$101,XS_Designer!BG$101,"")</f>
        <v/>
      </c>
      <c r="DD69" s="4" t="str">
        <f>IF(XS_Designer_Bed_Mix!$J69&lt;=XS_Designer!$BN$101,XS_Designer!BH$101,"")</f>
        <v/>
      </c>
      <c r="DE69" s="4" t="str">
        <f>IF(XS_Designer_Bed_Mix!$J69&lt;=XS_Designer!$BN$101,XS_Designer!BI$101,"")</f>
        <v/>
      </c>
      <c r="DF69" s="4" t="str">
        <f>IF(XS_Designer_Bed_Mix!$J69&lt;=XS_Designer!$BN$101,XS_Designer!BJ$101,"")</f>
        <v/>
      </c>
      <c r="DG69" s="4" t="str">
        <f>IF(XS_Designer_Bed_Mix!$J69&lt;=XS_Designer!$BN$102,XS_Designer!BA$102,"")</f>
        <v/>
      </c>
      <c r="DH69" s="4" t="str">
        <f>IF(XS_Designer_Bed_Mix!$J69&lt;=XS_Designer!$BN$102,XS_Designer!BB$102,"")</f>
        <v/>
      </c>
      <c r="DI69" s="4" t="str">
        <f>IF(XS_Designer_Bed_Mix!$J69&lt;=XS_Designer!$BN$102,XS_Designer!BC$102,"")</f>
        <v/>
      </c>
      <c r="DJ69" s="4" t="str">
        <f>IF(XS_Designer_Bed_Mix!$J69&lt;=XS_Designer!$BN$102,XS_Designer!BD$102,"")</f>
        <v/>
      </c>
      <c r="DK69" s="4" t="str">
        <f>IF(XS_Designer_Bed_Mix!$J69&lt;=XS_Designer!$BN$102,XS_Designer!BE$102,"")</f>
        <v/>
      </c>
      <c r="DL69" s="4" t="str">
        <f>IF(XS_Designer_Bed_Mix!$J69&lt;=XS_Designer!$BN$102,XS_Designer!BF$102,"")</f>
        <v/>
      </c>
      <c r="DM69" s="4" t="str">
        <f>IF(XS_Designer_Bed_Mix!$J69&lt;=XS_Designer!$BN$102,XS_Designer!BG$102,"")</f>
        <v/>
      </c>
      <c r="DN69" s="4" t="str">
        <f>IF(XS_Designer_Bed_Mix!$J69&lt;=XS_Designer!$BN$102,XS_Designer!BH$102,"")</f>
        <v/>
      </c>
      <c r="DO69" s="4" t="str">
        <f>IF(XS_Designer_Bed_Mix!$J69&lt;=XS_Designer!$BN$102,XS_Designer!BI$102,"")</f>
        <v/>
      </c>
      <c r="DP69" s="4" t="str">
        <f>IF(XS_Designer_Bed_Mix!$J69&lt;=XS_Designer!$BN$102,XS_Designer!BJ$102,"")</f>
        <v/>
      </c>
    </row>
    <row r="70" spans="10:120">
      <c r="J70" s="3">
        <v>0.69</v>
      </c>
      <c r="K70" s="4" t="str">
        <f>IF(XS_Designer_Bed_Mix!$J70&lt;=XS_Designer!$BN$92,XS_Designer!BA$92,"")</f>
        <v/>
      </c>
      <c r="L70" s="4" t="str">
        <f>IF(XS_Designer_Bed_Mix!$J70&lt;=XS_Designer!$BN$92,XS_Designer!BB$92,"")</f>
        <v/>
      </c>
      <c r="M70" s="4" t="str">
        <f>IF(XS_Designer_Bed_Mix!$J70&lt;=XS_Designer!$BN$92,XS_Designer!BC$92,"")</f>
        <v/>
      </c>
      <c r="N70" s="4" t="str">
        <f>IF(XS_Designer_Bed_Mix!$J70&lt;=XS_Designer!$BN$92,XS_Designer!BD$92,"")</f>
        <v/>
      </c>
      <c r="O70" s="4" t="str">
        <f>IF(XS_Designer_Bed_Mix!$J70&lt;=XS_Designer!$BN$92,XS_Designer!BE$92,"")</f>
        <v/>
      </c>
      <c r="P70" s="4" t="str">
        <f>IF(XS_Designer_Bed_Mix!$J70&lt;=XS_Designer!$BN$92,XS_Designer!BF$92,"")</f>
        <v/>
      </c>
      <c r="Q70" s="4" t="str">
        <f>IF(XS_Designer_Bed_Mix!$J70&lt;=XS_Designer!$BN$92,XS_Designer!BG$92,"")</f>
        <v/>
      </c>
      <c r="R70" s="4" t="str">
        <f>IF(XS_Designer_Bed_Mix!$J70&lt;=XS_Designer!$BN$92,XS_Designer!BH$92,"")</f>
        <v/>
      </c>
      <c r="S70" s="4" t="str">
        <f>IF(XS_Designer_Bed_Mix!$J70&lt;=XS_Designer!$BN$92,XS_Designer!BI$92,"")</f>
        <v/>
      </c>
      <c r="T70" s="4" t="str">
        <f>IF(XS_Designer_Bed_Mix!$J70&lt;=XS_Designer!$BN$92,XS_Designer!BJ$92,"")</f>
        <v/>
      </c>
      <c r="U70" s="4" t="str">
        <f>IF(XS_Designer_Bed_Mix!$J70&lt;=XS_Designer!$BN$93,XS_Designer!BA$93,"")</f>
        <v/>
      </c>
      <c r="V70" s="4" t="str">
        <f>IF(XS_Designer_Bed_Mix!$J70&lt;=XS_Designer!$BN$93,XS_Designer!BB$93,"")</f>
        <v/>
      </c>
      <c r="W70" s="4" t="str">
        <f>IF(XS_Designer_Bed_Mix!$J70&lt;=XS_Designer!$BN$93,XS_Designer!BC$93,"")</f>
        <v/>
      </c>
      <c r="X70" s="4" t="str">
        <f>IF(XS_Designer_Bed_Mix!$J70&lt;=XS_Designer!$BN$93,XS_Designer!BD$93,"")</f>
        <v/>
      </c>
      <c r="Y70" s="4" t="str">
        <f>IF(XS_Designer_Bed_Mix!$J70&lt;=XS_Designer!$BN$93,XS_Designer!BE$93,"")</f>
        <v/>
      </c>
      <c r="Z70" s="4" t="str">
        <f>IF(XS_Designer_Bed_Mix!$J70&lt;=XS_Designer!$BN$93,XS_Designer!BF$93,"")</f>
        <v/>
      </c>
      <c r="AA70" s="4" t="str">
        <f>IF(XS_Designer_Bed_Mix!$J70&lt;=XS_Designer!$BN$93,XS_Designer!BG$93,"")</f>
        <v/>
      </c>
      <c r="AB70" s="4" t="str">
        <f>IF(XS_Designer_Bed_Mix!$J70&lt;=XS_Designer!$BN$93,XS_Designer!BH$93,"")</f>
        <v/>
      </c>
      <c r="AC70" s="4" t="str">
        <f>IF(XS_Designer_Bed_Mix!$J70&lt;=XS_Designer!$BN$93,XS_Designer!BI$93,"")</f>
        <v/>
      </c>
      <c r="AD70" s="4" t="str">
        <f>IF(XS_Designer_Bed_Mix!$J70&lt;=XS_Designer!$BN$93,XS_Designer!BJ$93,"")</f>
        <v/>
      </c>
      <c r="AE70" s="4" t="str">
        <f>IF(XS_Designer_Bed_Mix!$J70&lt;=XS_Designer!$BN$94,XS_Designer!BA$94,"")</f>
        <v/>
      </c>
      <c r="AF70" s="4" t="str">
        <f>IF(XS_Designer_Bed_Mix!$J70&lt;=XS_Designer!$BN$94,XS_Designer!BB$94,"")</f>
        <v/>
      </c>
      <c r="AG70" s="4" t="str">
        <f>IF(XS_Designer_Bed_Mix!$J70&lt;=XS_Designer!$BN$94,XS_Designer!BC$94,"")</f>
        <v/>
      </c>
      <c r="AH70" s="4" t="str">
        <f>IF(XS_Designer_Bed_Mix!$J70&lt;=XS_Designer!$BN$94,XS_Designer!BD$94,"")</f>
        <v/>
      </c>
      <c r="AI70" s="4" t="str">
        <f>IF(XS_Designer_Bed_Mix!$J70&lt;=XS_Designer!$BN$94,XS_Designer!BE$94,"")</f>
        <v/>
      </c>
      <c r="AJ70" s="4" t="str">
        <f>IF(XS_Designer_Bed_Mix!$J70&lt;=XS_Designer!$BN$94,XS_Designer!BF$94,"")</f>
        <v/>
      </c>
      <c r="AK70" s="4" t="str">
        <f>IF(XS_Designer_Bed_Mix!$J70&lt;=XS_Designer!$BN$94,XS_Designer!BG$94,"")</f>
        <v/>
      </c>
      <c r="AL70" s="4" t="str">
        <f>IF(XS_Designer_Bed_Mix!$J70&lt;=XS_Designer!$BN$94,XS_Designer!BH$94,"")</f>
        <v/>
      </c>
      <c r="AM70" s="4" t="str">
        <f>IF(XS_Designer_Bed_Mix!$J70&lt;=XS_Designer!$BN$94,XS_Designer!BI$94,"")</f>
        <v/>
      </c>
      <c r="AN70" s="4" t="str">
        <f>IF(XS_Designer_Bed_Mix!$J70&lt;=XS_Designer!$BN$94,XS_Designer!BJ$94,"")</f>
        <v/>
      </c>
      <c r="AO70" s="4" t="str">
        <f>IF(XS_Designer_Bed_Mix!$J70&lt;=XS_Designer!$BN$95,XS_Designer!BA$95,"")</f>
        <v/>
      </c>
      <c r="AP70" s="4" t="str">
        <f>IF(XS_Designer_Bed_Mix!$J70&lt;=XS_Designer!$BN$95,XS_Designer!BB$95,"")</f>
        <v/>
      </c>
      <c r="AQ70" s="4" t="str">
        <f>IF(XS_Designer_Bed_Mix!$J70&lt;=XS_Designer!$BN$95,XS_Designer!BC$95,"")</f>
        <v/>
      </c>
      <c r="AR70" s="4" t="str">
        <f>IF(XS_Designer_Bed_Mix!$J70&lt;=XS_Designer!$BN$95,XS_Designer!BD$95,"")</f>
        <v/>
      </c>
      <c r="AS70" s="4" t="str">
        <f>IF(XS_Designer_Bed_Mix!$J70&lt;=XS_Designer!$BN$95,XS_Designer!BE$95,"")</f>
        <v/>
      </c>
      <c r="AT70" s="4" t="str">
        <f>IF(XS_Designer_Bed_Mix!$J70&lt;=XS_Designer!$BN$95,XS_Designer!BF$95,"")</f>
        <v/>
      </c>
      <c r="AU70" s="4" t="str">
        <f>IF(XS_Designer_Bed_Mix!$J70&lt;=XS_Designer!$BN$95,XS_Designer!BG$95,"")</f>
        <v/>
      </c>
      <c r="AV70" s="4" t="str">
        <f>IF(XS_Designer_Bed_Mix!$J70&lt;=XS_Designer!$BN$95,XS_Designer!BH$95,"")</f>
        <v/>
      </c>
      <c r="AW70" s="4" t="str">
        <f>IF(XS_Designer_Bed_Mix!$J70&lt;=XS_Designer!$BN$95,XS_Designer!BI$95,"")</f>
        <v/>
      </c>
      <c r="AX70" s="4" t="str">
        <f>IF(XS_Designer_Bed_Mix!$J70&lt;=XS_Designer!$BN$95,XS_Designer!BJ$95,"")</f>
        <v/>
      </c>
      <c r="AY70" s="4" t="str">
        <f>IF(XS_Designer_Bed_Mix!$J70&lt;=XS_Designer!$BN$96,XS_Designer!BA$96,"")</f>
        <v/>
      </c>
      <c r="AZ70" s="4" t="str">
        <f>IF(XS_Designer_Bed_Mix!$J70&lt;=XS_Designer!$BN$96,XS_Designer!BB$96,"")</f>
        <v/>
      </c>
      <c r="BA70" s="4" t="str">
        <f>IF(XS_Designer_Bed_Mix!$J70&lt;=XS_Designer!$BN$96,XS_Designer!BC$96,"")</f>
        <v/>
      </c>
      <c r="BB70" s="4" t="str">
        <f>IF(XS_Designer_Bed_Mix!$J70&lt;=XS_Designer!$BN$96,XS_Designer!BD$96,"")</f>
        <v/>
      </c>
      <c r="BC70" s="4" t="str">
        <f>IF(XS_Designer_Bed_Mix!$J70&lt;=XS_Designer!$BN$96,XS_Designer!BE$96,"")</f>
        <v/>
      </c>
      <c r="BD70" s="4" t="str">
        <f>IF(XS_Designer_Bed_Mix!$J70&lt;=XS_Designer!$BN$96,XS_Designer!BF$96,"")</f>
        <v/>
      </c>
      <c r="BE70" s="4" t="str">
        <f>IF(XS_Designer_Bed_Mix!$J70&lt;=XS_Designer!$BN$96,XS_Designer!BG$96,"")</f>
        <v/>
      </c>
      <c r="BF70" s="4" t="str">
        <f>IF(XS_Designer_Bed_Mix!$J70&lt;=XS_Designer!$BN$96,XS_Designer!BH$96,"")</f>
        <v/>
      </c>
      <c r="BG70" s="4" t="str">
        <f>IF(XS_Designer_Bed_Mix!$J70&lt;=XS_Designer!$BN$96,XS_Designer!BI$96,"")</f>
        <v/>
      </c>
      <c r="BH70" s="4" t="str">
        <f>IF(XS_Designer_Bed_Mix!$J70&lt;=XS_Designer!$BN$96,XS_Designer!BJ$96,"")</f>
        <v/>
      </c>
      <c r="BI70" s="4" t="str">
        <f>IF(XS_Designer_Bed_Mix!$J70&lt;=XS_Designer!$BN$97,XS_Designer!BA$97,"")</f>
        <v/>
      </c>
      <c r="BJ70" s="4" t="str">
        <f>IF(XS_Designer_Bed_Mix!$J70&lt;=XS_Designer!$BN$97,XS_Designer!BB$97,"")</f>
        <v/>
      </c>
      <c r="BK70" s="4" t="str">
        <f>IF(XS_Designer_Bed_Mix!$J70&lt;=XS_Designer!$BN$97,XS_Designer!BC$97,"")</f>
        <v/>
      </c>
      <c r="BL70" s="4" t="str">
        <f>IF(XS_Designer_Bed_Mix!$J70&lt;=XS_Designer!$BN$97,XS_Designer!BD$97,"")</f>
        <v/>
      </c>
      <c r="BM70" s="4" t="str">
        <f>IF(XS_Designer_Bed_Mix!$J70&lt;=XS_Designer!$BN$97,XS_Designer!BE$97,"")</f>
        <v/>
      </c>
      <c r="BN70" s="4" t="str">
        <f>IF(XS_Designer_Bed_Mix!$J70&lt;=XS_Designer!$BN$97,XS_Designer!BF$97,"")</f>
        <v/>
      </c>
      <c r="BO70" s="4" t="str">
        <f>IF(XS_Designer_Bed_Mix!$J70&lt;=XS_Designer!$BN$97,XS_Designer!BG$97,"")</f>
        <v/>
      </c>
      <c r="BP70" s="4" t="str">
        <f>IF(XS_Designer_Bed_Mix!$J70&lt;=XS_Designer!$BN$97,XS_Designer!BH$97,"")</f>
        <v/>
      </c>
      <c r="BQ70" s="4" t="str">
        <f>IF(XS_Designer_Bed_Mix!$J70&lt;=XS_Designer!$BN$97,XS_Designer!BI$97,"")</f>
        <v/>
      </c>
      <c r="BR70" s="4" t="str">
        <f>IF(XS_Designer_Bed_Mix!$J70&lt;=XS_Designer!$BN$97,XS_Designer!BJ$97,"")</f>
        <v/>
      </c>
      <c r="BS70" s="4" t="str">
        <f>IF(XS_Designer_Bed_Mix!$J70&lt;=XS_Designer!$BN$98,XS_Designer!BA$98,"")</f>
        <v/>
      </c>
      <c r="BT70" s="4" t="str">
        <f>IF(XS_Designer_Bed_Mix!$J70&lt;=XS_Designer!$BN$98,XS_Designer!BB$98,"")</f>
        <v/>
      </c>
      <c r="BU70" s="4" t="str">
        <f>IF(XS_Designer_Bed_Mix!$J70&lt;=XS_Designer!$BN$98,XS_Designer!BC$98,"")</f>
        <v/>
      </c>
      <c r="BV70" s="4" t="str">
        <f>IF(XS_Designer_Bed_Mix!$J70&lt;=XS_Designer!$BN$98,XS_Designer!BD$98,"")</f>
        <v/>
      </c>
      <c r="BW70" s="4" t="str">
        <f>IF(XS_Designer_Bed_Mix!$J70&lt;=XS_Designer!$BN$98,XS_Designer!BE$98,"")</f>
        <v/>
      </c>
      <c r="BX70" s="4" t="str">
        <f>IF(XS_Designer_Bed_Mix!$J70&lt;=XS_Designer!$BN$98,XS_Designer!BF$98,"")</f>
        <v/>
      </c>
      <c r="BY70" s="4" t="str">
        <f>IF(XS_Designer_Bed_Mix!$J70&lt;=XS_Designer!$BN$98,XS_Designer!BG$98,"")</f>
        <v/>
      </c>
      <c r="BZ70" s="4" t="str">
        <f>IF(XS_Designer_Bed_Mix!$J70&lt;=XS_Designer!$BN$98,XS_Designer!BH$98,"")</f>
        <v/>
      </c>
      <c r="CA70" s="4" t="str">
        <f>IF(XS_Designer_Bed_Mix!$J70&lt;=XS_Designer!$BN$98,XS_Designer!BI$98,"")</f>
        <v/>
      </c>
      <c r="CB70" s="4" t="str">
        <f>IF(XS_Designer_Bed_Mix!$J70&lt;=XS_Designer!$BN$98,XS_Designer!BJ$98,"")</f>
        <v/>
      </c>
      <c r="CC70" s="4" t="str">
        <f>IF(XS_Designer_Bed_Mix!$J70&lt;=XS_Designer!$BN$99,XS_Designer!BA$99,"")</f>
        <v/>
      </c>
      <c r="CD70" s="4" t="str">
        <f>IF(XS_Designer_Bed_Mix!$J70&lt;=XS_Designer!$BN$99,XS_Designer!BB$99,"")</f>
        <v/>
      </c>
      <c r="CE70" s="4" t="str">
        <f>IF(XS_Designer_Bed_Mix!$J70&lt;=XS_Designer!$BN$99,XS_Designer!BC$99,"")</f>
        <v/>
      </c>
      <c r="CF70" s="4" t="str">
        <f>IF(XS_Designer_Bed_Mix!$J70&lt;=XS_Designer!$BN$99,XS_Designer!BD$99,"")</f>
        <v/>
      </c>
      <c r="CG70" s="4" t="str">
        <f>IF(XS_Designer_Bed_Mix!$J70&lt;=XS_Designer!$BN$99,XS_Designer!BE$99,"")</f>
        <v/>
      </c>
      <c r="CH70" s="4" t="str">
        <f>IF(XS_Designer_Bed_Mix!$J70&lt;=XS_Designer!$BN$99,XS_Designer!BF$99,"")</f>
        <v/>
      </c>
      <c r="CI70" s="4" t="str">
        <f>IF(XS_Designer_Bed_Mix!$J70&lt;=XS_Designer!$BN$99,XS_Designer!BG$99,"")</f>
        <v/>
      </c>
      <c r="CJ70" s="4" t="str">
        <f>IF(XS_Designer_Bed_Mix!$J70&lt;=XS_Designer!$BN$99,XS_Designer!BH$99,"")</f>
        <v/>
      </c>
      <c r="CK70" s="4" t="str">
        <f>IF(XS_Designer_Bed_Mix!$J70&lt;=XS_Designer!$BN$99,XS_Designer!BI$99,"")</f>
        <v/>
      </c>
      <c r="CL70" s="4" t="str">
        <f>IF(XS_Designer_Bed_Mix!$J70&lt;=XS_Designer!$BN$99,XS_Designer!BJ$99,"")</f>
        <v/>
      </c>
      <c r="CM70" s="4" t="str">
        <f>IF(XS_Designer_Bed_Mix!$J70&lt;=XS_Designer!$BN$100,XS_Designer!BA$100,"")</f>
        <v/>
      </c>
      <c r="CN70" s="4" t="str">
        <f>IF(XS_Designer_Bed_Mix!$J70&lt;=XS_Designer!$BN$100,XS_Designer!BB$100,"")</f>
        <v/>
      </c>
      <c r="CO70" s="4" t="str">
        <f>IF(XS_Designer_Bed_Mix!$J70&lt;=XS_Designer!$BN$100,XS_Designer!BC$100,"")</f>
        <v/>
      </c>
      <c r="CP70" s="4" t="str">
        <f>IF(XS_Designer_Bed_Mix!$J70&lt;=XS_Designer!$BN$100,XS_Designer!BD$100,"")</f>
        <v/>
      </c>
      <c r="CQ70" s="4" t="str">
        <f>IF(XS_Designer_Bed_Mix!$J70&lt;=XS_Designer!$BN$100,XS_Designer!BE$100,"")</f>
        <v/>
      </c>
      <c r="CR70" s="4" t="str">
        <f>IF(XS_Designer_Bed_Mix!$J70&lt;=XS_Designer!$BN$100,XS_Designer!BF$100,"")</f>
        <v/>
      </c>
      <c r="CS70" s="4" t="str">
        <f>IF(XS_Designer_Bed_Mix!$J70&lt;=XS_Designer!$BN$100,XS_Designer!BG$100,"")</f>
        <v/>
      </c>
      <c r="CT70" s="4" t="str">
        <f>IF(XS_Designer_Bed_Mix!$J70&lt;=XS_Designer!$BN$100,XS_Designer!BH$100,"")</f>
        <v/>
      </c>
      <c r="CU70" s="4" t="str">
        <f>IF(XS_Designer_Bed_Mix!$J70&lt;=XS_Designer!$BN$100,XS_Designer!BI$100,"")</f>
        <v/>
      </c>
      <c r="CV70" s="4" t="str">
        <f>IF(XS_Designer_Bed_Mix!$J70&lt;=XS_Designer!$BN$100,XS_Designer!BJ$100,"")</f>
        <v/>
      </c>
      <c r="CW70" s="4" t="str">
        <f>IF(XS_Designer_Bed_Mix!$J70&lt;=XS_Designer!$BN$101,XS_Designer!BA$101,"")</f>
        <v/>
      </c>
      <c r="CX70" s="4" t="str">
        <f>IF(XS_Designer_Bed_Mix!$J70&lt;=XS_Designer!$BN$101,XS_Designer!BB$101,"")</f>
        <v/>
      </c>
      <c r="CY70" s="4" t="str">
        <f>IF(XS_Designer_Bed_Mix!$J70&lt;=XS_Designer!$BN$101,XS_Designer!BC$101,"")</f>
        <v/>
      </c>
      <c r="CZ70" s="4" t="str">
        <f>IF(XS_Designer_Bed_Mix!$J70&lt;=XS_Designer!$BN$101,XS_Designer!BD$101,"")</f>
        <v/>
      </c>
      <c r="DA70" s="4" t="str">
        <f>IF(XS_Designer_Bed_Mix!$J70&lt;=XS_Designer!$BN$101,XS_Designer!BE$101,"")</f>
        <v/>
      </c>
      <c r="DB70" s="4" t="str">
        <f>IF(XS_Designer_Bed_Mix!$J70&lt;=XS_Designer!$BN$101,XS_Designer!BF$101,"")</f>
        <v/>
      </c>
      <c r="DC70" s="4" t="str">
        <f>IF(XS_Designer_Bed_Mix!$J70&lt;=XS_Designer!$BN$101,XS_Designer!BG$101,"")</f>
        <v/>
      </c>
      <c r="DD70" s="4" t="str">
        <f>IF(XS_Designer_Bed_Mix!$J70&lt;=XS_Designer!$BN$101,XS_Designer!BH$101,"")</f>
        <v/>
      </c>
      <c r="DE70" s="4" t="str">
        <f>IF(XS_Designer_Bed_Mix!$J70&lt;=XS_Designer!$BN$101,XS_Designer!BI$101,"")</f>
        <v/>
      </c>
      <c r="DF70" s="4" t="str">
        <f>IF(XS_Designer_Bed_Mix!$J70&lt;=XS_Designer!$BN$101,XS_Designer!BJ$101,"")</f>
        <v/>
      </c>
      <c r="DG70" s="4" t="str">
        <f>IF(XS_Designer_Bed_Mix!$J70&lt;=XS_Designer!$BN$102,XS_Designer!BA$102,"")</f>
        <v/>
      </c>
      <c r="DH70" s="4" t="str">
        <f>IF(XS_Designer_Bed_Mix!$J70&lt;=XS_Designer!$BN$102,XS_Designer!BB$102,"")</f>
        <v/>
      </c>
      <c r="DI70" s="4" t="str">
        <f>IF(XS_Designer_Bed_Mix!$J70&lt;=XS_Designer!$BN$102,XS_Designer!BC$102,"")</f>
        <v/>
      </c>
      <c r="DJ70" s="4" t="str">
        <f>IF(XS_Designer_Bed_Mix!$J70&lt;=XS_Designer!$BN$102,XS_Designer!BD$102,"")</f>
        <v/>
      </c>
      <c r="DK70" s="4" t="str">
        <f>IF(XS_Designer_Bed_Mix!$J70&lt;=XS_Designer!$BN$102,XS_Designer!BE$102,"")</f>
        <v/>
      </c>
      <c r="DL70" s="4" t="str">
        <f>IF(XS_Designer_Bed_Mix!$J70&lt;=XS_Designer!$BN$102,XS_Designer!BF$102,"")</f>
        <v/>
      </c>
      <c r="DM70" s="4" t="str">
        <f>IF(XS_Designer_Bed_Mix!$J70&lt;=XS_Designer!$BN$102,XS_Designer!BG$102,"")</f>
        <v/>
      </c>
      <c r="DN70" s="4" t="str">
        <f>IF(XS_Designer_Bed_Mix!$J70&lt;=XS_Designer!$BN$102,XS_Designer!BH$102,"")</f>
        <v/>
      </c>
      <c r="DO70" s="4" t="str">
        <f>IF(XS_Designer_Bed_Mix!$J70&lt;=XS_Designer!$BN$102,XS_Designer!BI$102,"")</f>
        <v/>
      </c>
      <c r="DP70" s="4" t="str">
        <f>IF(XS_Designer_Bed_Mix!$J70&lt;=XS_Designer!$BN$102,XS_Designer!BJ$102,"")</f>
        <v/>
      </c>
    </row>
    <row r="71" spans="10:120">
      <c r="J71" s="3">
        <v>0.7</v>
      </c>
      <c r="K71" s="4" t="str">
        <f>IF(XS_Designer_Bed_Mix!$J71&lt;=XS_Designer!$BN$92,XS_Designer!BA$92,"")</f>
        <v/>
      </c>
      <c r="L71" s="4" t="str">
        <f>IF(XS_Designer_Bed_Mix!$J71&lt;=XS_Designer!$BN$92,XS_Designer!BB$92,"")</f>
        <v/>
      </c>
      <c r="M71" s="4" t="str">
        <f>IF(XS_Designer_Bed_Mix!$J71&lt;=XS_Designer!$BN$92,XS_Designer!BC$92,"")</f>
        <v/>
      </c>
      <c r="N71" s="4" t="str">
        <f>IF(XS_Designer_Bed_Mix!$J71&lt;=XS_Designer!$BN$92,XS_Designer!BD$92,"")</f>
        <v/>
      </c>
      <c r="O71" s="4" t="str">
        <f>IF(XS_Designer_Bed_Mix!$J71&lt;=XS_Designer!$BN$92,XS_Designer!BE$92,"")</f>
        <v/>
      </c>
      <c r="P71" s="4" t="str">
        <f>IF(XS_Designer_Bed_Mix!$J71&lt;=XS_Designer!$BN$92,XS_Designer!BF$92,"")</f>
        <v/>
      </c>
      <c r="Q71" s="4" t="str">
        <f>IF(XS_Designer_Bed_Mix!$J71&lt;=XS_Designer!$BN$92,XS_Designer!BG$92,"")</f>
        <v/>
      </c>
      <c r="R71" s="4" t="str">
        <f>IF(XS_Designer_Bed_Mix!$J71&lt;=XS_Designer!$BN$92,XS_Designer!BH$92,"")</f>
        <v/>
      </c>
      <c r="S71" s="4" t="str">
        <f>IF(XS_Designer_Bed_Mix!$J71&lt;=XS_Designer!$BN$92,XS_Designer!BI$92,"")</f>
        <v/>
      </c>
      <c r="T71" s="4" t="str">
        <f>IF(XS_Designer_Bed_Mix!$J71&lt;=XS_Designer!$BN$92,XS_Designer!BJ$92,"")</f>
        <v/>
      </c>
      <c r="U71" s="4" t="str">
        <f>IF(XS_Designer_Bed_Mix!$J71&lt;=XS_Designer!$BN$93,XS_Designer!BA$93,"")</f>
        <v/>
      </c>
      <c r="V71" s="4" t="str">
        <f>IF(XS_Designer_Bed_Mix!$J71&lt;=XS_Designer!$BN$93,XS_Designer!BB$93,"")</f>
        <v/>
      </c>
      <c r="W71" s="4" t="str">
        <f>IF(XS_Designer_Bed_Mix!$J71&lt;=XS_Designer!$BN$93,XS_Designer!BC$93,"")</f>
        <v/>
      </c>
      <c r="X71" s="4" t="str">
        <f>IF(XS_Designer_Bed_Mix!$J71&lt;=XS_Designer!$BN$93,XS_Designer!BD$93,"")</f>
        <v/>
      </c>
      <c r="Y71" s="4" t="str">
        <f>IF(XS_Designer_Bed_Mix!$J71&lt;=XS_Designer!$BN$93,XS_Designer!BE$93,"")</f>
        <v/>
      </c>
      <c r="Z71" s="4" t="str">
        <f>IF(XS_Designer_Bed_Mix!$J71&lt;=XS_Designer!$BN$93,XS_Designer!BF$93,"")</f>
        <v/>
      </c>
      <c r="AA71" s="4" t="str">
        <f>IF(XS_Designer_Bed_Mix!$J71&lt;=XS_Designer!$BN$93,XS_Designer!BG$93,"")</f>
        <v/>
      </c>
      <c r="AB71" s="4" t="str">
        <f>IF(XS_Designer_Bed_Mix!$J71&lt;=XS_Designer!$BN$93,XS_Designer!BH$93,"")</f>
        <v/>
      </c>
      <c r="AC71" s="4" t="str">
        <f>IF(XS_Designer_Bed_Mix!$J71&lt;=XS_Designer!$BN$93,XS_Designer!BI$93,"")</f>
        <v/>
      </c>
      <c r="AD71" s="4" t="str">
        <f>IF(XS_Designer_Bed_Mix!$J71&lt;=XS_Designer!$BN$93,XS_Designer!BJ$93,"")</f>
        <v/>
      </c>
      <c r="AE71" s="4" t="str">
        <f>IF(XS_Designer_Bed_Mix!$J71&lt;=XS_Designer!$BN$94,XS_Designer!BA$94,"")</f>
        <v/>
      </c>
      <c r="AF71" s="4" t="str">
        <f>IF(XS_Designer_Bed_Mix!$J71&lt;=XS_Designer!$BN$94,XS_Designer!BB$94,"")</f>
        <v/>
      </c>
      <c r="AG71" s="4" t="str">
        <f>IF(XS_Designer_Bed_Mix!$J71&lt;=XS_Designer!$BN$94,XS_Designer!BC$94,"")</f>
        <v/>
      </c>
      <c r="AH71" s="4" t="str">
        <f>IF(XS_Designer_Bed_Mix!$J71&lt;=XS_Designer!$BN$94,XS_Designer!BD$94,"")</f>
        <v/>
      </c>
      <c r="AI71" s="4" t="str">
        <f>IF(XS_Designer_Bed_Mix!$J71&lt;=XS_Designer!$BN$94,XS_Designer!BE$94,"")</f>
        <v/>
      </c>
      <c r="AJ71" s="4" t="str">
        <f>IF(XS_Designer_Bed_Mix!$J71&lt;=XS_Designer!$BN$94,XS_Designer!BF$94,"")</f>
        <v/>
      </c>
      <c r="AK71" s="4" t="str">
        <f>IF(XS_Designer_Bed_Mix!$J71&lt;=XS_Designer!$BN$94,XS_Designer!BG$94,"")</f>
        <v/>
      </c>
      <c r="AL71" s="4" t="str">
        <f>IF(XS_Designer_Bed_Mix!$J71&lt;=XS_Designer!$BN$94,XS_Designer!BH$94,"")</f>
        <v/>
      </c>
      <c r="AM71" s="4" t="str">
        <f>IF(XS_Designer_Bed_Mix!$J71&lt;=XS_Designer!$BN$94,XS_Designer!BI$94,"")</f>
        <v/>
      </c>
      <c r="AN71" s="4" t="str">
        <f>IF(XS_Designer_Bed_Mix!$J71&lt;=XS_Designer!$BN$94,XS_Designer!BJ$94,"")</f>
        <v/>
      </c>
      <c r="AO71" s="4" t="str">
        <f>IF(XS_Designer_Bed_Mix!$J71&lt;=XS_Designer!$BN$95,XS_Designer!BA$95,"")</f>
        <v/>
      </c>
      <c r="AP71" s="4" t="str">
        <f>IF(XS_Designer_Bed_Mix!$J71&lt;=XS_Designer!$BN$95,XS_Designer!BB$95,"")</f>
        <v/>
      </c>
      <c r="AQ71" s="4" t="str">
        <f>IF(XS_Designer_Bed_Mix!$J71&lt;=XS_Designer!$BN$95,XS_Designer!BC$95,"")</f>
        <v/>
      </c>
      <c r="AR71" s="4" t="str">
        <f>IF(XS_Designer_Bed_Mix!$J71&lt;=XS_Designer!$BN$95,XS_Designer!BD$95,"")</f>
        <v/>
      </c>
      <c r="AS71" s="4" t="str">
        <f>IF(XS_Designer_Bed_Mix!$J71&lt;=XS_Designer!$BN$95,XS_Designer!BE$95,"")</f>
        <v/>
      </c>
      <c r="AT71" s="4" t="str">
        <f>IF(XS_Designer_Bed_Mix!$J71&lt;=XS_Designer!$BN$95,XS_Designer!BF$95,"")</f>
        <v/>
      </c>
      <c r="AU71" s="4" t="str">
        <f>IF(XS_Designer_Bed_Mix!$J71&lt;=XS_Designer!$BN$95,XS_Designer!BG$95,"")</f>
        <v/>
      </c>
      <c r="AV71" s="4" t="str">
        <f>IF(XS_Designer_Bed_Mix!$J71&lt;=XS_Designer!$BN$95,XS_Designer!BH$95,"")</f>
        <v/>
      </c>
      <c r="AW71" s="4" t="str">
        <f>IF(XS_Designer_Bed_Mix!$J71&lt;=XS_Designer!$BN$95,XS_Designer!BI$95,"")</f>
        <v/>
      </c>
      <c r="AX71" s="4" t="str">
        <f>IF(XS_Designer_Bed_Mix!$J71&lt;=XS_Designer!$BN$95,XS_Designer!BJ$95,"")</f>
        <v/>
      </c>
      <c r="AY71" s="4" t="str">
        <f>IF(XS_Designer_Bed_Mix!$J71&lt;=XS_Designer!$BN$96,XS_Designer!BA$96,"")</f>
        <v/>
      </c>
      <c r="AZ71" s="4" t="str">
        <f>IF(XS_Designer_Bed_Mix!$J71&lt;=XS_Designer!$BN$96,XS_Designer!BB$96,"")</f>
        <v/>
      </c>
      <c r="BA71" s="4" t="str">
        <f>IF(XS_Designer_Bed_Mix!$J71&lt;=XS_Designer!$BN$96,XS_Designer!BC$96,"")</f>
        <v/>
      </c>
      <c r="BB71" s="4" t="str">
        <f>IF(XS_Designer_Bed_Mix!$J71&lt;=XS_Designer!$BN$96,XS_Designer!BD$96,"")</f>
        <v/>
      </c>
      <c r="BC71" s="4" t="str">
        <f>IF(XS_Designer_Bed_Mix!$J71&lt;=XS_Designer!$BN$96,XS_Designer!BE$96,"")</f>
        <v/>
      </c>
      <c r="BD71" s="4" t="str">
        <f>IF(XS_Designer_Bed_Mix!$J71&lt;=XS_Designer!$BN$96,XS_Designer!BF$96,"")</f>
        <v/>
      </c>
      <c r="BE71" s="4" t="str">
        <f>IF(XS_Designer_Bed_Mix!$J71&lt;=XS_Designer!$BN$96,XS_Designer!BG$96,"")</f>
        <v/>
      </c>
      <c r="BF71" s="4" t="str">
        <f>IF(XS_Designer_Bed_Mix!$J71&lt;=XS_Designer!$BN$96,XS_Designer!BH$96,"")</f>
        <v/>
      </c>
      <c r="BG71" s="4" t="str">
        <f>IF(XS_Designer_Bed_Mix!$J71&lt;=XS_Designer!$BN$96,XS_Designer!BI$96,"")</f>
        <v/>
      </c>
      <c r="BH71" s="4" t="str">
        <f>IF(XS_Designer_Bed_Mix!$J71&lt;=XS_Designer!$BN$96,XS_Designer!BJ$96,"")</f>
        <v/>
      </c>
      <c r="BI71" s="4" t="str">
        <f>IF(XS_Designer_Bed_Mix!$J71&lt;=XS_Designer!$BN$97,XS_Designer!BA$97,"")</f>
        <v/>
      </c>
      <c r="BJ71" s="4" t="str">
        <f>IF(XS_Designer_Bed_Mix!$J71&lt;=XS_Designer!$BN$97,XS_Designer!BB$97,"")</f>
        <v/>
      </c>
      <c r="BK71" s="4" t="str">
        <f>IF(XS_Designer_Bed_Mix!$J71&lt;=XS_Designer!$BN$97,XS_Designer!BC$97,"")</f>
        <v/>
      </c>
      <c r="BL71" s="4" t="str">
        <f>IF(XS_Designer_Bed_Mix!$J71&lt;=XS_Designer!$BN$97,XS_Designer!BD$97,"")</f>
        <v/>
      </c>
      <c r="BM71" s="4" t="str">
        <f>IF(XS_Designer_Bed_Mix!$J71&lt;=XS_Designer!$BN$97,XS_Designer!BE$97,"")</f>
        <v/>
      </c>
      <c r="BN71" s="4" t="str">
        <f>IF(XS_Designer_Bed_Mix!$J71&lt;=XS_Designer!$BN$97,XS_Designer!BF$97,"")</f>
        <v/>
      </c>
      <c r="BO71" s="4" t="str">
        <f>IF(XS_Designer_Bed_Mix!$J71&lt;=XS_Designer!$BN$97,XS_Designer!BG$97,"")</f>
        <v/>
      </c>
      <c r="BP71" s="4" t="str">
        <f>IF(XS_Designer_Bed_Mix!$J71&lt;=XS_Designer!$BN$97,XS_Designer!BH$97,"")</f>
        <v/>
      </c>
      <c r="BQ71" s="4" t="str">
        <f>IF(XS_Designer_Bed_Mix!$J71&lt;=XS_Designer!$BN$97,XS_Designer!BI$97,"")</f>
        <v/>
      </c>
      <c r="BR71" s="4" t="str">
        <f>IF(XS_Designer_Bed_Mix!$J71&lt;=XS_Designer!$BN$97,XS_Designer!BJ$97,"")</f>
        <v/>
      </c>
      <c r="BS71" s="4" t="str">
        <f>IF(XS_Designer_Bed_Mix!$J71&lt;=XS_Designer!$BN$98,XS_Designer!BA$98,"")</f>
        <v/>
      </c>
      <c r="BT71" s="4" t="str">
        <f>IF(XS_Designer_Bed_Mix!$J71&lt;=XS_Designer!$BN$98,XS_Designer!BB$98,"")</f>
        <v/>
      </c>
      <c r="BU71" s="4" t="str">
        <f>IF(XS_Designer_Bed_Mix!$J71&lt;=XS_Designer!$BN$98,XS_Designer!BC$98,"")</f>
        <v/>
      </c>
      <c r="BV71" s="4" t="str">
        <f>IF(XS_Designer_Bed_Mix!$J71&lt;=XS_Designer!$BN$98,XS_Designer!BD$98,"")</f>
        <v/>
      </c>
      <c r="BW71" s="4" t="str">
        <f>IF(XS_Designer_Bed_Mix!$J71&lt;=XS_Designer!$BN$98,XS_Designer!BE$98,"")</f>
        <v/>
      </c>
      <c r="BX71" s="4" t="str">
        <f>IF(XS_Designer_Bed_Mix!$J71&lt;=XS_Designer!$BN$98,XS_Designer!BF$98,"")</f>
        <v/>
      </c>
      <c r="BY71" s="4" t="str">
        <f>IF(XS_Designer_Bed_Mix!$J71&lt;=XS_Designer!$BN$98,XS_Designer!BG$98,"")</f>
        <v/>
      </c>
      <c r="BZ71" s="4" t="str">
        <f>IF(XS_Designer_Bed_Mix!$J71&lt;=XS_Designer!$BN$98,XS_Designer!BH$98,"")</f>
        <v/>
      </c>
      <c r="CA71" s="4" t="str">
        <f>IF(XS_Designer_Bed_Mix!$J71&lt;=XS_Designer!$BN$98,XS_Designer!BI$98,"")</f>
        <v/>
      </c>
      <c r="CB71" s="4" t="str">
        <f>IF(XS_Designer_Bed_Mix!$J71&lt;=XS_Designer!$BN$98,XS_Designer!BJ$98,"")</f>
        <v/>
      </c>
      <c r="CC71" s="4" t="str">
        <f>IF(XS_Designer_Bed_Mix!$J71&lt;=XS_Designer!$BN$99,XS_Designer!BA$99,"")</f>
        <v/>
      </c>
      <c r="CD71" s="4" t="str">
        <f>IF(XS_Designer_Bed_Mix!$J71&lt;=XS_Designer!$BN$99,XS_Designer!BB$99,"")</f>
        <v/>
      </c>
      <c r="CE71" s="4" t="str">
        <f>IF(XS_Designer_Bed_Mix!$J71&lt;=XS_Designer!$BN$99,XS_Designer!BC$99,"")</f>
        <v/>
      </c>
      <c r="CF71" s="4" t="str">
        <f>IF(XS_Designer_Bed_Mix!$J71&lt;=XS_Designer!$BN$99,XS_Designer!BD$99,"")</f>
        <v/>
      </c>
      <c r="CG71" s="4" t="str">
        <f>IF(XS_Designer_Bed_Mix!$J71&lt;=XS_Designer!$BN$99,XS_Designer!BE$99,"")</f>
        <v/>
      </c>
      <c r="CH71" s="4" t="str">
        <f>IF(XS_Designer_Bed_Mix!$J71&lt;=XS_Designer!$BN$99,XS_Designer!BF$99,"")</f>
        <v/>
      </c>
      <c r="CI71" s="4" t="str">
        <f>IF(XS_Designer_Bed_Mix!$J71&lt;=XS_Designer!$BN$99,XS_Designer!BG$99,"")</f>
        <v/>
      </c>
      <c r="CJ71" s="4" t="str">
        <f>IF(XS_Designer_Bed_Mix!$J71&lt;=XS_Designer!$BN$99,XS_Designer!BH$99,"")</f>
        <v/>
      </c>
      <c r="CK71" s="4" t="str">
        <f>IF(XS_Designer_Bed_Mix!$J71&lt;=XS_Designer!$BN$99,XS_Designer!BI$99,"")</f>
        <v/>
      </c>
      <c r="CL71" s="4" t="str">
        <f>IF(XS_Designer_Bed_Mix!$J71&lt;=XS_Designer!$BN$99,XS_Designer!BJ$99,"")</f>
        <v/>
      </c>
      <c r="CM71" s="4" t="str">
        <f>IF(XS_Designer_Bed_Mix!$J71&lt;=XS_Designer!$BN$100,XS_Designer!BA$100,"")</f>
        <v/>
      </c>
      <c r="CN71" s="4" t="str">
        <f>IF(XS_Designer_Bed_Mix!$J71&lt;=XS_Designer!$BN$100,XS_Designer!BB$100,"")</f>
        <v/>
      </c>
      <c r="CO71" s="4" t="str">
        <f>IF(XS_Designer_Bed_Mix!$J71&lt;=XS_Designer!$BN$100,XS_Designer!BC$100,"")</f>
        <v/>
      </c>
      <c r="CP71" s="4" t="str">
        <f>IF(XS_Designer_Bed_Mix!$J71&lt;=XS_Designer!$BN$100,XS_Designer!BD$100,"")</f>
        <v/>
      </c>
      <c r="CQ71" s="4" t="str">
        <f>IF(XS_Designer_Bed_Mix!$J71&lt;=XS_Designer!$BN$100,XS_Designer!BE$100,"")</f>
        <v/>
      </c>
      <c r="CR71" s="4" t="str">
        <f>IF(XS_Designer_Bed_Mix!$J71&lt;=XS_Designer!$BN$100,XS_Designer!BF$100,"")</f>
        <v/>
      </c>
      <c r="CS71" s="4" t="str">
        <f>IF(XS_Designer_Bed_Mix!$J71&lt;=XS_Designer!$BN$100,XS_Designer!BG$100,"")</f>
        <v/>
      </c>
      <c r="CT71" s="4" t="str">
        <f>IF(XS_Designer_Bed_Mix!$J71&lt;=XS_Designer!$BN$100,XS_Designer!BH$100,"")</f>
        <v/>
      </c>
      <c r="CU71" s="4" t="str">
        <f>IF(XS_Designer_Bed_Mix!$J71&lt;=XS_Designer!$BN$100,XS_Designer!BI$100,"")</f>
        <v/>
      </c>
      <c r="CV71" s="4" t="str">
        <f>IF(XS_Designer_Bed_Mix!$J71&lt;=XS_Designer!$BN$100,XS_Designer!BJ$100,"")</f>
        <v/>
      </c>
      <c r="CW71" s="4" t="str">
        <f>IF(XS_Designer_Bed_Mix!$J71&lt;=XS_Designer!$BN$101,XS_Designer!BA$101,"")</f>
        <v/>
      </c>
      <c r="CX71" s="4" t="str">
        <f>IF(XS_Designer_Bed_Mix!$J71&lt;=XS_Designer!$BN$101,XS_Designer!BB$101,"")</f>
        <v/>
      </c>
      <c r="CY71" s="4" t="str">
        <f>IF(XS_Designer_Bed_Mix!$J71&lt;=XS_Designer!$BN$101,XS_Designer!BC$101,"")</f>
        <v/>
      </c>
      <c r="CZ71" s="4" t="str">
        <f>IF(XS_Designer_Bed_Mix!$J71&lt;=XS_Designer!$BN$101,XS_Designer!BD$101,"")</f>
        <v/>
      </c>
      <c r="DA71" s="4" t="str">
        <f>IF(XS_Designer_Bed_Mix!$J71&lt;=XS_Designer!$BN$101,XS_Designer!BE$101,"")</f>
        <v/>
      </c>
      <c r="DB71" s="4" t="str">
        <f>IF(XS_Designer_Bed_Mix!$J71&lt;=XS_Designer!$BN$101,XS_Designer!BF$101,"")</f>
        <v/>
      </c>
      <c r="DC71" s="4" t="str">
        <f>IF(XS_Designer_Bed_Mix!$J71&lt;=XS_Designer!$BN$101,XS_Designer!BG$101,"")</f>
        <v/>
      </c>
      <c r="DD71" s="4" t="str">
        <f>IF(XS_Designer_Bed_Mix!$J71&lt;=XS_Designer!$BN$101,XS_Designer!BH$101,"")</f>
        <v/>
      </c>
      <c r="DE71" s="4" t="str">
        <f>IF(XS_Designer_Bed_Mix!$J71&lt;=XS_Designer!$BN$101,XS_Designer!BI$101,"")</f>
        <v/>
      </c>
      <c r="DF71" s="4" t="str">
        <f>IF(XS_Designer_Bed_Mix!$J71&lt;=XS_Designer!$BN$101,XS_Designer!BJ$101,"")</f>
        <v/>
      </c>
      <c r="DG71" s="4" t="str">
        <f>IF(XS_Designer_Bed_Mix!$J71&lt;=XS_Designer!$BN$102,XS_Designer!BA$102,"")</f>
        <v/>
      </c>
      <c r="DH71" s="4" t="str">
        <f>IF(XS_Designer_Bed_Mix!$J71&lt;=XS_Designer!$BN$102,XS_Designer!BB$102,"")</f>
        <v/>
      </c>
      <c r="DI71" s="4" t="str">
        <f>IF(XS_Designer_Bed_Mix!$J71&lt;=XS_Designer!$BN$102,XS_Designer!BC$102,"")</f>
        <v/>
      </c>
      <c r="DJ71" s="4" t="str">
        <f>IF(XS_Designer_Bed_Mix!$J71&lt;=XS_Designer!$BN$102,XS_Designer!BD$102,"")</f>
        <v/>
      </c>
      <c r="DK71" s="4" t="str">
        <f>IF(XS_Designer_Bed_Mix!$J71&lt;=XS_Designer!$BN$102,XS_Designer!BE$102,"")</f>
        <v/>
      </c>
      <c r="DL71" s="4" t="str">
        <f>IF(XS_Designer_Bed_Mix!$J71&lt;=XS_Designer!$BN$102,XS_Designer!BF$102,"")</f>
        <v/>
      </c>
      <c r="DM71" s="4" t="str">
        <f>IF(XS_Designer_Bed_Mix!$J71&lt;=XS_Designer!$BN$102,XS_Designer!BG$102,"")</f>
        <v/>
      </c>
      <c r="DN71" s="4" t="str">
        <f>IF(XS_Designer_Bed_Mix!$J71&lt;=XS_Designer!$BN$102,XS_Designer!BH$102,"")</f>
        <v/>
      </c>
      <c r="DO71" s="4" t="str">
        <f>IF(XS_Designer_Bed_Mix!$J71&lt;=XS_Designer!$BN$102,XS_Designer!BI$102,"")</f>
        <v/>
      </c>
      <c r="DP71" s="4" t="str">
        <f>IF(XS_Designer_Bed_Mix!$J71&lt;=XS_Designer!$BN$102,XS_Designer!BJ$102,"")</f>
        <v/>
      </c>
    </row>
    <row r="72" spans="10:120">
      <c r="J72" s="3">
        <v>0.71</v>
      </c>
      <c r="K72" s="4" t="str">
        <f>IF(XS_Designer_Bed_Mix!$J72&lt;=XS_Designer!$BN$92,XS_Designer!BA$92,"")</f>
        <v/>
      </c>
      <c r="L72" s="4" t="str">
        <f>IF(XS_Designer_Bed_Mix!$J72&lt;=XS_Designer!$BN$92,XS_Designer!BB$92,"")</f>
        <v/>
      </c>
      <c r="M72" s="4" t="str">
        <f>IF(XS_Designer_Bed_Mix!$J72&lt;=XS_Designer!$BN$92,XS_Designer!BC$92,"")</f>
        <v/>
      </c>
      <c r="N72" s="4" t="str">
        <f>IF(XS_Designer_Bed_Mix!$J72&lt;=XS_Designer!$BN$92,XS_Designer!BD$92,"")</f>
        <v/>
      </c>
      <c r="O72" s="4" t="str">
        <f>IF(XS_Designer_Bed_Mix!$J72&lt;=XS_Designer!$BN$92,XS_Designer!BE$92,"")</f>
        <v/>
      </c>
      <c r="P72" s="4" t="str">
        <f>IF(XS_Designer_Bed_Mix!$J72&lt;=XS_Designer!$BN$92,XS_Designer!BF$92,"")</f>
        <v/>
      </c>
      <c r="Q72" s="4" t="str">
        <f>IF(XS_Designer_Bed_Mix!$J72&lt;=XS_Designer!$BN$92,XS_Designer!BG$92,"")</f>
        <v/>
      </c>
      <c r="R72" s="4" t="str">
        <f>IF(XS_Designer_Bed_Mix!$J72&lt;=XS_Designer!$BN$92,XS_Designer!BH$92,"")</f>
        <v/>
      </c>
      <c r="S72" s="4" t="str">
        <f>IF(XS_Designer_Bed_Mix!$J72&lt;=XS_Designer!$BN$92,XS_Designer!BI$92,"")</f>
        <v/>
      </c>
      <c r="T72" s="4" t="str">
        <f>IF(XS_Designer_Bed_Mix!$J72&lt;=XS_Designer!$BN$92,XS_Designer!BJ$92,"")</f>
        <v/>
      </c>
      <c r="U72" s="4" t="str">
        <f>IF(XS_Designer_Bed_Mix!$J72&lt;=XS_Designer!$BN$93,XS_Designer!BA$93,"")</f>
        <v/>
      </c>
      <c r="V72" s="4" t="str">
        <f>IF(XS_Designer_Bed_Mix!$J72&lt;=XS_Designer!$BN$93,XS_Designer!BB$93,"")</f>
        <v/>
      </c>
      <c r="W72" s="4" t="str">
        <f>IF(XS_Designer_Bed_Mix!$J72&lt;=XS_Designer!$BN$93,XS_Designer!BC$93,"")</f>
        <v/>
      </c>
      <c r="X72" s="4" t="str">
        <f>IF(XS_Designer_Bed_Mix!$J72&lt;=XS_Designer!$BN$93,XS_Designer!BD$93,"")</f>
        <v/>
      </c>
      <c r="Y72" s="4" t="str">
        <f>IF(XS_Designer_Bed_Mix!$J72&lt;=XS_Designer!$BN$93,XS_Designer!BE$93,"")</f>
        <v/>
      </c>
      <c r="Z72" s="4" t="str">
        <f>IF(XS_Designer_Bed_Mix!$J72&lt;=XS_Designer!$BN$93,XS_Designer!BF$93,"")</f>
        <v/>
      </c>
      <c r="AA72" s="4" t="str">
        <f>IF(XS_Designer_Bed_Mix!$J72&lt;=XS_Designer!$BN$93,XS_Designer!BG$93,"")</f>
        <v/>
      </c>
      <c r="AB72" s="4" t="str">
        <f>IF(XS_Designer_Bed_Mix!$J72&lt;=XS_Designer!$BN$93,XS_Designer!BH$93,"")</f>
        <v/>
      </c>
      <c r="AC72" s="4" t="str">
        <f>IF(XS_Designer_Bed_Mix!$J72&lt;=XS_Designer!$BN$93,XS_Designer!BI$93,"")</f>
        <v/>
      </c>
      <c r="AD72" s="4" t="str">
        <f>IF(XS_Designer_Bed_Mix!$J72&lt;=XS_Designer!$BN$93,XS_Designer!BJ$93,"")</f>
        <v/>
      </c>
      <c r="AE72" s="4" t="str">
        <f>IF(XS_Designer_Bed_Mix!$J72&lt;=XS_Designer!$BN$94,XS_Designer!BA$94,"")</f>
        <v/>
      </c>
      <c r="AF72" s="4" t="str">
        <f>IF(XS_Designer_Bed_Mix!$J72&lt;=XS_Designer!$BN$94,XS_Designer!BB$94,"")</f>
        <v/>
      </c>
      <c r="AG72" s="4" t="str">
        <f>IF(XS_Designer_Bed_Mix!$J72&lt;=XS_Designer!$BN$94,XS_Designer!BC$94,"")</f>
        <v/>
      </c>
      <c r="AH72" s="4" t="str">
        <f>IF(XS_Designer_Bed_Mix!$J72&lt;=XS_Designer!$BN$94,XS_Designer!BD$94,"")</f>
        <v/>
      </c>
      <c r="AI72" s="4" t="str">
        <f>IF(XS_Designer_Bed_Mix!$J72&lt;=XS_Designer!$BN$94,XS_Designer!BE$94,"")</f>
        <v/>
      </c>
      <c r="AJ72" s="4" t="str">
        <f>IF(XS_Designer_Bed_Mix!$J72&lt;=XS_Designer!$BN$94,XS_Designer!BF$94,"")</f>
        <v/>
      </c>
      <c r="AK72" s="4" t="str">
        <f>IF(XS_Designer_Bed_Mix!$J72&lt;=XS_Designer!$BN$94,XS_Designer!BG$94,"")</f>
        <v/>
      </c>
      <c r="AL72" s="4" t="str">
        <f>IF(XS_Designer_Bed_Mix!$J72&lt;=XS_Designer!$BN$94,XS_Designer!BH$94,"")</f>
        <v/>
      </c>
      <c r="AM72" s="4" t="str">
        <f>IF(XS_Designer_Bed_Mix!$J72&lt;=XS_Designer!$BN$94,XS_Designer!BI$94,"")</f>
        <v/>
      </c>
      <c r="AN72" s="4" t="str">
        <f>IF(XS_Designer_Bed_Mix!$J72&lt;=XS_Designer!$BN$94,XS_Designer!BJ$94,"")</f>
        <v/>
      </c>
      <c r="AO72" s="4" t="str">
        <f>IF(XS_Designer_Bed_Mix!$J72&lt;=XS_Designer!$BN$95,XS_Designer!BA$95,"")</f>
        <v/>
      </c>
      <c r="AP72" s="4" t="str">
        <f>IF(XS_Designer_Bed_Mix!$J72&lt;=XS_Designer!$BN$95,XS_Designer!BB$95,"")</f>
        <v/>
      </c>
      <c r="AQ72" s="4" t="str">
        <f>IF(XS_Designer_Bed_Mix!$J72&lt;=XS_Designer!$BN$95,XS_Designer!BC$95,"")</f>
        <v/>
      </c>
      <c r="AR72" s="4" t="str">
        <f>IF(XS_Designer_Bed_Mix!$J72&lt;=XS_Designer!$BN$95,XS_Designer!BD$95,"")</f>
        <v/>
      </c>
      <c r="AS72" s="4" t="str">
        <f>IF(XS_Designer_Bed_Mix!$J72&lt;=XS_Designer!$BN$95,XS_Designer!BE$95,"")</f>
        <v/>
      </c>
      <c r="AT72" s="4" t="str">
        <f>IF(XS_Designer_Bed_Mix!$J72&lt;=XS_Designer!$BN$95,XS_Designer!BF$95,"")</f>
        <v/>
      </c>
      <c r="AU72" s="4" t="str">
        <f>IF(XS_Designer_Bed_Mix!$J72&lt;=XS_Designer!$BN$95,XS_Designer!BG$95,"")</f>
        <v/>
      </c>
      <c r="AV72" s="4" t="str">
        <f>IF(XS_Designer_Bed_Mix!$J72&lt;=XS_Designer!$BN$95,XS_Designer!BH$95,"")</f>
        <v/>
      </c>
      <c r="AW72" s="4" t="str">
        <f>IF(XS_Designer_Bed_Mix!$J72&lt;=XS_Designer!$BN$95,XS_Designer!BI$95,"")</f>
        <v/>
      </c>
      <c r="AX72" s="4" t="str">
        <f>IF(XS_Designer_Bed_Mix!$J72&lt;=XS_Designer!$BN$95,XS_Designer!BJ$95,"")</f>
        <v/>
      </c>
      <c r="AY72" s="4" t="str">
        <f>IF(XS_Designer_Bed_Mix!$J72&lt;=XS_Designer!$BN$96,XS_Designer!BA$96,"")</f>
        <v/>
      </c>
      <c r="AZ72" s="4" t="str">
        <f>IF(XS_Designer_Bed_Mix!$J72&lt;=XS_Designer!$BN$96,XS_Designer!BB$96,"")</f>
        <v/>
      </c>
      <c r="BA72" s="4" t="str">
        <f>IF(XS_Designer_Bed_Mix!$J72&lt;=XS_Designer!$BN$96,XS_Designer!BC$96,"")</f>
        <v/>
      </c>
      <c r="BB72" s="4" t="str">
        <f>IF(XS_Designer_Bed_Mix!$J72&lt;=XS_Designer!$BN$96,XS_Designer!BD$96,"")</f>
        <v/>
      </c>
      <c r="BC72" s="4" t="str">
        <f>IF(XS_Designer_Bed_Mix!$J72&lt;=XS_Designer!$BN$96,XS_Designer!BE$96,"")</f>
        <v/>
      </c>
      <c r="BD72" s="4" t="str">
        <f>IF(XS_Designer_Bed_Mix!$J72&lt;=XS_Designer!$BN$96,XS_Designer!BF$96,"")</f>
        <v/>
      </c>
      <c r="BE72" s="4" t="str">
        <f>IF(XS_Designer_Bed_Mix!$J72&lt;=XS_Designer!$BN$96,XS_Designer!BG$96,"")</f>
        <v/>
      </c>
      <c r="BF72" s="4" t="str">
        <f>IF(XS_Designer_Bed_Mix!$J72&lt;=XS_Designer!$BN$96,XS_Designer!BH$96,"")</f>
        <v/>
      </c>
      <c r="BG72" s="4" t="str">
        <f>IF(XS_Designer_Bed_Mix!$J72&lt;=XS_Designer!$BN$96,XS_Designer!BI$96,"")</f>
        <v/>
      </c>
      <c r="BH72" s="4" t="str">
        <f>IF(XS_Designer_Bed_Mix!$J72&lt;=XS_Designer!$BN$96,XS_Designer!BJ$96,"")</f>
        <v/>
      </c>
      <c r="BI72" s="4" t="str">
        <f>IF(XS_Designer_Bed_Mix!$J72&lt;=XS_Designer!$BN$97,XS_Designer!BA$97,"")</f>
        <v/>
      </c>
      <c r="BJ72" s="4" t="str">
        <f>IF(XS_Designer_Bed_Mix!$J72&lt;=XS_Designer!$BN$97,XS_Designer!BB$97,"")</f>
        <v/>
      </c>
      <c r="BK72" s="4" t="str">
        <f>IF(XS_Designer_Bed_Mix!$J72&lt;=XS_Designer!$BN$97,XS_Designer!BC$97,"")</f>
        <v/>
      </c>
      <c r="BL72" s="4" t="str">
        <f>IF(XS_Designer_Bed_Mix!$J72&lt;=XS_Designer!$BN$97,XS_Designer!BD$97,"")</f>
        <v/>
      </c>
      <c r="BM72" s="4" t="str">
        <f>IF(XS_Designer_Bed_Mix!$J72&lt;=XS_Designer!$BN$97,XS_Designer!BE$97,"")</f>
        <v/>
      </c>
      <c r="BN72" s="4" t="str">
        <f>IF(XS_Designer_Bed_Mix!$J72&lt;=XS_Designer!$BN$97,XS_Designer!BF$97,"")</f>
        <v/>
      </c>
      <c r="BO72" s="4" t="str">
        <f>IF(XS_Designer_Bed_Mix!$J72&lt;=XS_Designer!$BN$97,XS_Designer!BG$97,"")</f>
        <v/>
      </c>
      <c r="BP72" s="4" t="str">
        <f>IF(XS_Designer_Bed_Mix!$J72&lt;=XS_Designer!$BN$97,XS_Designer!BH$97,"")</f>
        <v/>
      </c>
      <c r="BQ72" s="4" t="str">
        <f>IF(XS_Designer_Bed_Mix!$J72&lt;=XS_Designer!$BN$97,XS_Designer!BI$97,"")</f>
        <v/>
      </c>
      <c r="BR72" s="4" t="str">
        <f>IF(XS_Designer_Bed_Mix!$J72&lt;=XS_Designer!$BN$97,XS_Designer!BJ$97,"")</f>
        <v/>
      </c>
      <c r="BS72" s="4" t="str">
        <f>IF(XS_Designer_Bed_Mix!$J72&lt;=XS_Designer!$BN$98,XS_Designer!BA$98,"")</f>
        <v/>
      </c>
      <c r="BT72" s="4" t="str">
        <f>IF(XS_Designer_Bed_Mix!$J72&lt;=XS_Designer!$BN$98,XS_Designer!BB$98,"")</f>
        <v/>
      </c>
      <c r="BU72" s="4" t="str">
        <f>IF(XS_Designer_Bed_Mix!$J72&lt;=XS_Designer!$BN$98,XS_Designer!BC$98,"")</f>
        <v/>
      </c>
      <c r="BV72" s="4" t="str">
        <f>IF(XS_Designer_Bed_Mix!$J72&lt;=XS_Designer!$BN$98,XS_Designer!BD$98,"")</f>
        <v/>
      </c>
      <c r="BW72" s="4" t="str">
        <f>IF(XS_Designer_Bed_Mix!$J72&lt;=XS_Designer!$BN$98,XS_Designer!BE$98,"")</f>
        <v/>
      </c>
      <c r="BX72" s="4" t="str">
        <f>IF(XS_Designer_Bed_Mix!$J72&lt;=XS_Designer!$BN$98,XS_Designer!BF$98,"")</f>
        <v/>
      </c>
      <c r="BY72" s="4" t="str">
        <f>IF(XS_Designer_Bed_Mix!$J72&lt;=XS_Designer!$BN$98,XS_Designer!BG$98,"")</f>
        <v/>
      </c>
      <c r="BZ72" s="4" t="str">
        <f>IF(XS_Designer_Bed_Mix!$J72&lt;=XS_Designer!$BN$98,XS_Designer!BH$98,"")</f>
        <v/>
      </c>
      <c r="CA72" s="4" t="str">
        <f>IF(XS_Designer_Bed_Mix!$J72&lt;=XS_Designer!$BN$98,XS_Designer!BI$98,"")</f>
        <v/>
      </c>
      <c r="CB72" s="4" t="str">
        <f>IF(XS_Designer_Bed_Mix!$J72&lt;=XS_Designer!$BN$98,XS_Designer!BJ$98,"")</f>
        <v/>
      </c>
      <c r="CC72" s="4" t="str">
        <f>IF(XS_Designer_Bed_Mix!$J72&lt;=XS_Designer!$BN$99,XS_Designer!BA$99,"")</f>
        <v/>
      </c>
      <c r="CD72" s="4" t="str">
        <f>IF(XS_Designer_Bed_Mix!$J72&lt;=XS_Designer!$BN$99,XS_Designer!BB$99,"")</f>
        <v/>
      </c>
      <c r="CE72" s="4" t="str">
        <f>IF(XS_Designer_Bed_Mix!$J72&lt;=XS_Designer!$BN$99,XS_Designer!BC$99,"")</f>
        <v/>
      </c>
      <c r="CF72" s="4" t="str">
        <f>IF(XS_Designer_Bed_Mix!$J72&lt;=XS_Designer!$BN$99,XS_Designer!BD$99,"")</f>
        <v/>
      </c>
      <c r="CG72" s="4" t="str">
        <f>IF(XS_Designer_Bed_Mix!$J72&lt;=XS_Designer!$BN$99,XS_Designer!BE$99,"")</f>
        <v/>
      </c>
      <c r="CH72" s="4" t="str">
        <f>IF(XS_Designer_Bed_Mix!$J72&lt;=XS_Designer!$BN$99,XS_Designer!BF$99,"")</f>
        <v/>
      </c>
      <c r="CI72" s="4" t="str">
        <f>IF(XS_Designer_Bed_Mix!$J72&lt;=XS_Designer!$BN$99,XS_Designer!BG$99,"")</f>
        <v/>
      </c>
      <c r="CJ72" s="4" t="str">
        <f>IF(XS_Designer_Bed_Mix!$J72&lt;=XS_Designer!$BN$99,XS_Designer!BH$99,"")</f>
        <v/>
      </c>
      <c r="CK72" s="4" t="str">
        <f>IF(XS_Designer_Bed_Mix!$J72&lt;=XS_Designer!$BN$99,XS_Designer!BI$99,"")</f>
        <v/>
      </c>
      <c r="CL72" s="4" t="str">
        <f>IF(XS_Designer_Bed_Mix!$J72&lt;=XS_Designer!$BN$99,XS_Designer!BJ$99,"")</f>
        <v/>
      </c>
      <c r="CM72" s="4" t="str">
        <f>IF(XS_Designer_Bed_Mix!$J72&lt;=XS_Designer!$BN$100,XS_Designer!BA$100,"")</f>
        <v/>
      </c>
      <c r="CN72" s="4" t="str">
        <f>IF(XS_Designer_Bed_Mix!$J72&lt;=XS_Designer!$BN$100,XS_Designer!BB$100,"")</f>
        <v/>
      </c>
      <c r="CO72" s="4" t="str">
        <f>IF(XS_Designer_Bed_Mix!$J72&lt;=XS_Designer!$BN$100,XS_Designer!BC$100,"")</f>
        <v/>
      </c>
      <c r="CP72" s="4" t="str">
        <f>IF(XS_Designer_Bed_Mix!$J72&lt;=XS_Designer!$BN$100,XS_Designer!BD$100,"")</f>
        <v/>
      </c>
      <c r="CQ72" s="4" t="str">
        <f>IF(XS_Designer_Bed_Mix!$J72&lt;=XS_Designer!$BN$100,XS_Designer!BE$100,"")</f>
        <v/>
      </c>
      <c r="CR72" s="4" t="str">
        <f>IF(XS_Designer_Bed_Mix!$J72&lt;=XS_Designer!$BN$100,XS_Designer!BF$100,"")</f>
        <v/>
      </c>
      <c r="CS72" s="4" t="str">
        <f>IF(XS_Designer_Bed_Mix!$J72&lt;=XS_Designer!$BN$100,XS_Designer!BG$100,"")</f>
        <v/>
      </c>
      <c r="CT72" s="4" t="str">
        <f>IF(XS_Designer_Bed_Mix!$J72&lt;=XS_Designer!$BN$100,XS_Designer!BH$100,"")</f>
        <v/>
      </c>
      <c r="CU72" s="4" t="str">
        <f>IF(XS_Designer_Bed_Mix!$J72&lt;=XS_Designer!$BN$100,XS_Designer!BI$100,"")</f>
        <v/>
      </c>
      <c r="CV72" s="4" t="str">
        <f>IF(XS_Designer_Bed_Mix!$J72&lt;=XS_Designer!$BN$100,XS_Designer!BJ$100,"")</f>
        <v/>
      </c>
      <c r="CW72" s="4" t="str">
        <f>IF(XS_Designer_Bed_Mix!$J72&lt;=XS_Designer!$BN$101,XS_Designer!BA$101,"")</f>
        <v/>
      </c>
      <c r="CX72" s="4" t="str">
        <f>IF(XS_Designer_Bed_Mix!$J72&lt;=XS_Designer!$BN$101,XS_Designer!BB$101,"")</f>
        <v/>
      </c>
      <c r="CY72" s="4" t="str">
        <f>IF(XS_Designer_Bed_Mix!$J72&lt;=XS_Designer!$BN$101,XS_Designer!BC$101,"")</f>
        <v/>
      </c>
      <c r="CZ72" s="4" t="str">
        <f>IF(XS_Designer_Bed_Mix!$J72&lt;=XS_Designer!$BN$101,XS_Designer!BD$101,"")</f>
        <v/>
      </c>
      <c r="DA72" s="4" t="str">
        <f>IF(XS_Designer_Bed_Mix!$J72&lt;=XS_Designer!$BN$101,XS_Designer!BE$101,"")</f>
        <v/>
      </c>
      <c r="DB72" s="4" t="str">
        <f>IF(XS_Designer_Bed_Mix!$J72&lt;=XS_Designer!$BN$101,XS_Designer!BF$101,"")</f>
        <v/>
      </c>
      <c r="DC72" s="4" t="str">
        <f>IF(XS_Designer_Bed_Mix!$J72&lt;=XS_Designer!$BN$101,XS_Designer!BG$101,"")</f>
        <v/>
      </c>
      <c r="DD72" s="4" t="str">
        <f>IF(XS_Designer_Bed_Mix!$J72&lt;=XS_Designer!$BN$101,XS_Designer!BH$101,"")</f>
        <v/>
      </c>
      <c r="DE72" s="4" t="str">
        <f>IF(XS_Designer_Bed_Mix!$J72&lt;=XS_Designer!$BN$101,XS_Designer!BI$101,"")</f>
        <v/>
      </c>
      <c r="DF72" s="4" t="str">
        <f>IF(XS_Designer_Bed_Mix!$J72&lt;=XS_Designer!$BN$101,XS_Designer!BJ$101,"")</f>
        <v/>
      </c>
      <c r="DG72" s="4" t="str">
        <f>IF(XS_Designer_Bed_Mix!$J72&lt;=XS_Designer!$BN$102,XS_Designer!BA$102,"")</f>
        <v/>
      </c>
      <c r="DH72" s="4" t="str">
        <f>IF(XS_Designer_Bed_Mix!$J72&lt;=XS_Designer!$BN$102,XS_Designer!BB$102,"")</f>
        <v/>
      </c>
      <c r="DI72" s="4" t="str">
        <f>IF(XS_Designer_Bed_Mix!$J72&lt;=XS_Designer!$BN$102,XS_Designer!BC$102,"")</f>
        <v/>
      </c>
      <c r="DJ72" s="4" t="str">
        <f>IF(XS_Designer_Bed_Mix!$J72&lt;=XS_Designer!$BN$102,XS_Designer!BD$102,"")</f>
        <v/>
      </c>
      <c r="DK72" s="4" t="str">
        <f>IF(XS_Designer_Bed_Mix!$J72&lt;=XS_Designer!$BN$102,XS_Designer!BE$102,"")</f>
        <v/>
      </c>
      <c r="DL72" s="4" t="str">
        <f>IF(XS_Designer_Bed_Mix!$J72&lt;=XS_Designer!$BN$102,XS_Designer!BF$102,"")</f>
        <v/>
      </c>
      <c r="DM72" s="4" t="str">
        <f>IF(XS_Designer_Bed_Mix!$J72&lt;=XS_Designer!$BN$102,XS_Designer!BG$102,"")</f>
        <v/>
      </c>
      <c r="DN72" s="4" t="str">
        <f>IF(XS_Designer_Bed_Mix!$J72&lt;=XS_Designer!$BN$102,XS_Designer!BH$102,"")</f>
        <v/>
      </c>
      <c r="DO72" s="4" t="str">
        <f>IF(XS_Designer_Bed_Mix!$J72&lt;=XS_Designer!$BN$102,XS_Designer!BI$102,"")</f>
        <v/>
      </c>
      <c r="DP72" s="4" t="str">
        <f>IF(XS_Designer_Bed_Mix!$J72&lt;=XS_Designer!$BN$102,XS_Designer!BJ$102,"")</f>
        <v/>
      </c>
    </row>
    <row r="73" spans="10:120">
      <c r="J73" s="3">
        <v>0.72</v>
      </c>
      <c r="K73" s="4" t="str">
        <f>IF(XS_Designer_Bed_Mix!$J73&lt;=XS_Designer!$BN$92,XS_Designer!BA$92,"")</f>
        <v/>
      </c>
      <c r="L73" s="4" t="str">
        <f>IF(XS_Designer_Bed_Mix!$J73&lt;=XS_Designer!$BN$92,XS_Designer!BB$92,"")</f>
        <v/>
      </c>
      <c r="M73" s="4" t="str">
        <f>IF(XS_Designer_Bed_Mix!$J73&lt;=XS_Designer!$BN$92,XS_Designer!BC$92,"")</f>
        <v/>
      </c>
      <c r="N73" s="4" t="str">
        <f>IF(XS_Designer_Bed_Mix!$J73&lt;=XS_Designer!$BN$92,XS_Designer!BD$92,"")</f>
        <v/>
      </c>
      <c r="O73" s="4" t="str">
        <f>IF(XS_Designer_Bed_Mix!$J73&lt;=XS_Designer!$BN$92,XS_Designer!BE$92,"")</f>
        <v/>
      </c>
      <c r="P73" s="4" t="str">
        <f>IF(XS_Designer_Bed_Mix!$J73&lt;=XS_Designer!$BN$92,XS_Designer!BF$92,"")</f>
        <v/>
      </c>
      <c r="Q73" s="4" t="str">
        <f>IF(XS_Designer_Bed_Mix!$J73&lt;=XS_Designer!$BN$92,XS_Designer!BG$92,"")</f>
        <v/>
      </c>
      <c r="R73" s="4" t="str">
        <f>IF(XS_Designer_Bed_Mix!$J73&lt;=XS_Designer!$BN$92,XS_Designer!BH$92,"")</f>
        <v/>
      </c>
      <c r="S73" s="4" t="str">
        <f>IF(XS_Designer_Bed_Mix!$J73&lt;=XS_Designer!$BN$92,XS_Designer!BI$92,"")</f>
        <v/>
      </c>
      <c r="T73" s="4" t="str">
        <f>IF(XS_Designer_Bed_Mix!$J73&lt;=XS_Designer!$BN$92,XS_Designer!BJ$92,"")</f>
        <v/>
      </c>
      <c r="U73" s="4" t="str">
        <f>IF(XS_Designer_Bed_Mix!$J73&lt;=XS_Designer!$BN$93,XS_Designer!BA$93,"")</f>
        <v/>
      </c>
      <c r="V73" s="4" t="str">
        <f>IF(XS_Designer_Bed_Mix!$J73&lt;=XS_Designer!$BN$93,XS_Designer!BB$93,"")</f>
        <v/>
      </c>
      <c r="W73" s="4" t="str">
        <f>IF(XS_Designer_Bed_Mix!$J73&lt;=XS_Designer!$BN$93,XS_Designer!BC$93,"")</f>
        <v/>
      </c>
      <c r="X73" s="4" t="str">
        <f>IF(XS_Designer_Bed_Mix!$J73&lt;=XS_Designer!$BN$93,XS_Designer!BD$93,"")</f>
        <v/>
      </c>
      <c r="Y73" s="4" t="str">
        <f>IF(XS_Designer_Bed_Mix!$J73&lt;=XS_Designer!$BN$93,XS_Designer!BE$93,"")</f>
        <v/>
      </c>
      <c r="Z73" s="4" t="str">
        <f>IF(XS_Designer_Bed_Mix!$J73&lt;=XS_Designer!$BN$93,XS_Designer!BF$93,"")</f>
        <v/>
      </c>
      <c r="AA73" s="4" t="str">
        <f>IF(XS_Designer_Bed_Mix!$J73&lt;=XS_Designer!$BN$93,XS_Designer!BG$93,"")</f>
        <v/>
      </c>
      <c r="AB73" s="4" t="str">
        <f>IF(XS_Designer_Bed_Mix!$J73&lt;=XS_Designer!$BN$93,XS_Designer!BH$93,"")</f>
        <v/>
      </c>
      <c r="AC73" s="4" t="str">
        <f>IF(XS_Designer_Bed_Mix!$J73&lt;=XS_Designer!$BN$93,XS_Designer!BI$93,"")</f>
        <v/>
      </c>
      <c r="AD73" s="4" t="str">
        <f>IF(XS_Designer_Bed_Mix!$J73&lt;=XS_Designer!$BN$93,XS_Designer!BJ$93,"")</f>
        <v/>
      </c>
      <c r="AE73" s="4" t="str">
        <f>IF(XS_Designer_Bed_Mix!$J73&lt;=XS_Designer!$BN$94,XS_Designer!BA$94,"")</f>
        <v/>
      </c>
      <c r="AF73" s="4" t="str">
        <f>IF(XS_Designer_Bed_Mix!$J73&lt;=XS_Designer!$BN$94,XS_Designer!BB$94,"")</f>
        <v/>
      </c>
      <c r="AG73" s="4" t="str">
        <f>IF(XS_Designer_Bed_Mix!$J73&lt;=XS_Designer!$BN$94,XS_Designer!BC$94,"")</f>
        <v/>
      </c>
      <c r="AH73" s="4" t="str">
        <f>IF(XS_Designer_Bed_Mix!$J73&lt;=XS_Designer!$BN$94,XS_Designer!BD$94,"")</f>
        <v/>
      </c>
      <c r="AI73" s="4" t="str">
        <f>IF(XS_Designer_Bed_Mix!$J73&lt;=XS_Designer!$BN$94,XS_Designer!BE$94,"")</f>
        <v/>
      </c>
      <c r="AJ73" s="4" t="str">
        <f>IF(XS_Designer_Bed_Mix!$J73&lt;=XS_Designer!$BN$94,XS_Designer!BF$94,"")</f>
        <v/>
      </c>
      <c r="AK73" s="4" t="str">
        <f>IF(XS_Designer_Bed_Mix!$J73&lt;=XS_Designer!$BN$94,XS_Designer!BG$94,"")</f>
        <v/>
      </c>
      <c r="AL73" s="4" t="str">
        <f>IF(XS_Designer_Bed_Mix!$J73&lt;=XS_Designer!$BN$94,XS_Designer!BH$94,"")</f>
        <v/>
      </c>
      <c r="AM73" s="4" t="str">
        <f>IF(XS_Designer_Bed_Mix!$J73&lt;=XS_Designer!$BN$94,XS_Designer!BI$94,"")</f>
        <v/>
      </c>
      <c r="AN73" s="4" t="str">
        <f>IF(XS_Designer_Bed_Mix!$J73&lt;=XS_Designer!$BN$94,XS_Designer!BJ$94,"")</f>
        <v/>
      </c>
      <c r="AO73" s="4" t="str">
        <f>IF(XS_Designer_Bed_Mix!$J73&lt;=XS_Designer!$BN$95,XS_Designer!BA$95,"")</f>
        <v/>
      </c>
      <c r="AP73" s="4" t="str">
        <f>IF(XS_Designer_Bed_Mix!$J73&lt;=XS_Designer!$BN$95,XS_Designer!BB$95,"")</f>
        <v/>
      </c>
      <c r="AQ73" s="4" t="str">
        <f>IF(XS_Designer_Bed_Mix!$J73&lt;=XS_Designer!$BN$95,XS_Designer!BC$95,"")</f>
        <v/>
      </c>
      <c r="AR73" s="4" t="str">
        <f>IF(XS_Designer_Bed_Mix!$J73&lt;=XS_Designer!$BN$95,XS_Designer!BD$95,"")</f>
        <v/>
      </c>
      <c r="AS73" s="4" t="str">
        <f>IF(XS_Designer_Bed_Mix!$J73&lt;=XS_Designer!$BN$95,XS_Designer!BE$95,"")</f>
        <v/>
      </c>
      <c r="AT73" s="4" t="str">
        <f>IF(XS_Designer_Bed_Mix!$J73&lt;=XS_Designer!$BN$95,XS_Designer!BF$95,"")</f>
        <v/>
      </c>
      <c r="AU73" s="4" t="str">
        <f>IF(XS_Designer_Bed_Mix!$J73&lt;=XS_Designer!$BN$95,XS_Designer!BG$95,"")</f>
        <v/>
      </c>
      <c r="AV73" s="4" t="str">
        <f>IF(XS_Designer_Bed_Mix!$J73&lt;=XS_Designer!$BN$95,XS_Designer!BH$95,"")</f>
        <v/>
      </c>
      <c r="AW73" s="4" t="str">
        <f>IF(XS_Designer_Bed_Mix!$J73&lt;=XS_Designer!$BN$95,XS_Designer!BI$95,"")</f>
        <v/>
      </c>
      <c r="AX73" s="4" t="str">
        <f>IF(XS_Designer_Bed_Mix!$J73&lt;=XS_Designer!$BN$95,XS_Designer!BJ$95,"")</f>
        <v/>
      </c>
      <c r="AY73" s="4" t="str">
        <f>IF(XS_Designer_Bed_Mix!$J73&lt;=XS_Designer!$BN$96,XS_Designer!BA$96,"")</f>
        <v/>
      </c>
      <c r="AZ73" s="4" t="str">
        <f>IF(XS_Designer_Bed_Mix!$J73&lt;=XS_Designer!$BN$96,XS_Designer!BB$96,"")</f>
        <v/>
      </c>
      <c r="BA73" s="4" t="str">
        <f>IF(XS_Designer_Bed_Mix!$J73&lt;=XS_Designer!$BN$96,XS_Designer!BC$96,"")</f>
        <v/>
      </c>
      <c r="BB73" s="4" t="str">
        <f>IF(XS_Designer_Bed_Mix!$J73&lt;=XS_Designer!$BN$96,XS_Designer!BD$96,"")</f>
        <v/>
      </c>
      <c r="BC73" s="4" t="str">
        <f>IF(XS_Designer_Bed_Mix!$J73&lt;=XS_Designer!$BN$96,XS_Designer!BE$96,"")</f>
        <v/>
      </c>
      <c r="BD73" s="4" t="str">
        <f>IF(XS_Designer_Bed_Mix!$J73&lt;=XS_Designer!$BN$96,XS_Designer!BF$96,"")</f>
        <v/>
      </c>
      <c r="BE73" s="4" t="str">
        <f>IF(XS_Designer_Bed_Mix!$J73&lt;=XS_Designer!$BN$96,XS_Designer!BG$96,"")</f>
        <v/>
      </c>
      <c r="BF73" s="4" t="str">
        <f>IF(XS_Designer_Bed_Mix!$J73&lt;=XS_Designer!$BN$96,XS_Designer!BH$96,"")</f>
        <v/>
      </c>
      <c r="BG73" s="4" t="str">
        <f>IF(XS_Designer_Bed_Mix!$J73&lt;=XS_Designer!$BN$96,XS_Designer!BI$96,"")</f>
        <v/>
      </c>
      <c r="BH73" s="4" t="str">
        <f>IF(XS_Designer_Bed_Mix!$J73&lt;=XS_Designer!$BN$96,XS_Designer!BJ$96,"")</f>
        <v/>
      </c>
      <c r="BI73" s="4" t="str">
        <f>IF(XS_Designer_Bed_Mix!$J73&lt;=XS_Designer!$BN$97,XS_Designer!BA$97,"")</f>
        <v/>
      </c>
      <c r="BJ73" s="4" t="str">
        <f>IF(XS_Designer_Bed_Mix!$J73&lt;=XS_Designer!$BN$97,XS_Designer!BB$97,"")</f>
        <v/>
      </c>
      <c r="BK73" s="4" t="str">
        <f>IF(XS_Designer_Bed_Mix!$J73&lt;=XS_Designer!$BN$97,XS_Designer!BC$97,"")</f>
        <v/>
      </c>
      <c r="BL73" s="4" t="str">
        <f>IF(XS_Designer_Bed_Mix!$J73&lt;=XS_Designer!$BN$97,XS_Designer!BD$97,"")</f>
        <v/>
      </c>
      <c r="BM73" s="4" t="str">
        <f>IF(XS_Designer_Bed_Mix!$J73&lt;=XS_Designer!$BN$97,XS_Designer!BE$97,"")</f>
        <v/>
      </c>
      <c r="BN73" s="4" t="str">
        <f>IF(XS_Designer_Bed_Mix!$J73&lt;=XS_Designer!$BN$97,XS_Designer!BF$97,"")</f>
        <v/>
      </c>
      <c r="BO73" s="4" t="str">
        <f>IF(XS_Designer_Bed_Mix!$J73&lt;=XS_Designer!$BN$97,XS_Designer!BG$97,"")</f>
        <v/>
      </c>
      <c r="BP73" s="4" t="str">
        <f>IF(XS_Designer_Bed_Mix!$J73&lt;=XS_Designer!$BN$97,XS_Designer!BH$97,"")</f>
        <v/>
      </c>
      <c r="BQ73" s="4" t="str">
        <f>IF(XS_Designer_Bed_Mix!$J73&lt;=XS_Designer!$BN$97,XS_Designer!BI$97,"")</f>
        <v/>
      </c>
      <c r="BR73" s="4" t="str">
        <f>IF(XS_Designer_Bed_Mix!$J73&lt;=XS_Designer!$BN$97,XS_Designer!BJ$97,"")</f>
        <v/>
      </c>
      <c r="BS73" s="4" t="str">
        <f>IF(XS_Designer_Bed_Mix!$J73&lt;=XS_Designer!$BN$98,XS_Designer!BA$98,"")</f>
        <v/>
      </c>
      <c r="BT73" s="4" t="str">
        <f>IF(XS_Designer_Bed_Mix!$J73&lt;=XS_Designer!$BN$98,XS_Designer!BB$98,"")</f>
        <v/>
      </c>
      <c r="BU73" s="4" t="str">
        <f>IF(XS_Designer_Bed_Mix!$J73&lt;=XS_Designer!$BN$98,XS_Designer!BC$98,"")</f>
        <v/>
      </c>
      <c r="BV73" s="4" t="str">
        <f>IF(XS_Designer_Bed_Mix!$J73&lt;=XS_Designer!$BN$98,XS_Designer!BD$98,"")</f>
        <v/>
      </c>
      <c r="BW73" s="4" t="str">
        <f>IF(XS_Designer_Bed_Mix!$J73&lt;=XS_Designer!$BN$98,XS_Designer!BE$98,"")</f>
        <v/>
      </c>
      <c r="BX73" s="4" t="str">
        <f>IF(XS_Designer_Bed_Mix!$J73&lt;=XS_Designer!$BN$98,XS_Designer!BF$98,"")</f>
        <v/>
      </c>
      <c r="BY73" s="4" t="str">
        <f>IF(XS_Designer_Bed_Mix!$J73&lt;=XS_Designer!$BN$98,XS_Designer!BG$98,"")</f>
        <v/>
      </c>
      <c r="BZ73" s="4" t="str">
        <f>IF(XS_Designer_Bed_Mix!$J73&lt;=XS_Designer!$BN$98,XS_Designer!BH$98,"")</f>
        <v/>
      </c>
      <c r="CA73" s="4" t="str">
        <f>IF(XS_Designer_Bed_Mix!$J73&lt;=XS_Designer!$BN$98,XS_Designer!BI$98,"")</f>
        <v/>
      </c>
      <c r="CB73" s="4" t="str">
        <f>IF(XS_Designer_Bed_Mix!$J73&lt;=XS_Designer!$BN$98,XS_Designer!BJ$98,"")</f>
        <v/>
      </c>
      <c r="CC73" s="4" t="str">
        <f>IF(XS_Designer_Bed_Mix!$J73&lt;=XS_Designer!$BN$99,XS_Designer!BA$99,"")</f>
        <v/>
      </c>
      <c r="CD73" s="4" t="str">
        <f>IF(XS_Designer_Bed_Mix!$J73&lt;=XS_Designer!$BN$99,XS_Designer!BB$99,"")</f>
        <v/>
      </c>
      <c r="CE73" s="4" t="str">
        <f>IF(XS_Designer_Bed_Mix!$J73&lt;=XS_Designer!$BN$99,XS_Designer!BC$99,"")</f>
        <v/>
      </c>
      <c r="CF73" s="4" t="str">
        <f>IF(XS_Designer_Bed_Mix!$J73&lt;=XS_Designer!$BN$99,XS_Designer!BD$99,"")</f>
        <v/>
      </c>
      <c r="CG73" s="4" t="str">
        <f>IF(XS_Designer_Bed_Mix!$J73&lt;=XS_Designer!$BN$99,XS_Designer!BE$99,"")</f>
        <v/>
      </c>
      <c r="CH73" s="4" t="str">
        <f>IF(XS_Designer_Bed_Mix!$J73&lt;=XS_Designer!$BN$99,XS_Designer!BF$99,"")</f>
        <v/>
      </c>
      <c r="CI73" s="4" t="str">
        <f>IF(XS_Designer_Bed_Mix!$J73&lt;=XS_Designer!$BN$99,XS_Designer!BG$99,"")</f>
        <v/>
      </c>
      <c r="CJ73" s="4" t="str">
        <f>IF(XS_Designer_Bed_Mix!$J73&lt;=XS_Designer!$BN$99,XS_Designer!BH$99,"")</f>
        <v/>
      </c>
      <c r="CK73" s="4" t="str">
        <f>IF(XS_Designer_Bed_Mix!$J73&lt;=XS_Designer!$BN$99,XS_Designer!BI$99,"")</f>
        <v/>
      </c>
      <c r="CL73" s="4" t="str">
        <f>IF(XS_Designer_Bed_Mix!$J73&lt;=XS_Designer!$BN$99,XS_Designer!BJ$99,"")</f>
        <v/>
      </c>
      <c r="CM73" s="4" t="str">
        <f>IF(XS_Designer_Bed_Mix!$J73&lt;=XS_Designer!$BN$100,XS_Designer!BA$100,"")</f>
        <v/>
      </c>
      <c r="CN73" s="4" t="str">
        <f>IF(XS_Designer_Bed_Mix!$J73&lt;=XS_Designer!$BN$100,XS_Designer!BB$100,"")</f>
        <v/>
      </c>
      <c r="CO73" s="4" t="str">
        <f>IF(XS_Designer_Bed_Mix!$J73&lt;=XS_Designer!$BN$100,XS_Designer!BC$100,"")</f>
        <v/>
      </c>
      <c r="CP73" s="4" t="str">
        <f>IF(XS_Designer_Bed_Mix!$J73&lt;=XS_Designer!$BN$100,XS_Designer!BD$100,"")</f>
        <v/>
      </c>
      <c r="CQ73" s="4" t="str">
        <f>IF(XS_Designer_Bed_Mix!$J73&lt;=XS_Designer!$BN$100,XS_Designer!BE$100,"")</f>
        <v/>
      </c>
      <c r="CR73" s="4" t="str">
        <f>IF(XS_Designer_Bed_Mix!$J73&lt;=XS_Designer!$BN$100,XS_Designer!BF$100,"")</f>
        <v/>
      </c>
      <c r="CS73" s="4" t="str">
        <f>IF(XS_Designer_Bed_Mix!$J73&lt;=XS_Designer!$BN$100,XS_Designer!BG$100,"")</f>
        <v/>
      </c>
      <c r="CT73" s="4" t="str">
        <f>IF(XS_Designer_Bed_Mix!$J73&lt;=XS_Designer!$BN$100,XS_Designer!BH$100,"")</f>
        <v/>
      </c>
      <c r="CU73" s="4" t="str">
        <f>IF(XS_Designer_Bed_Mix!$J73&lt;=XS_Designer!$BN$100,XS_Designer!BI$100,"")</f>
        <v/>
      </c>
      <c r="CV73" s="4" t="str">
        <f>IF(XS_Designer_Bed_Mix!$J73&lt;=XS_Designer!$BN$100,XS_Designer!BJ$100,"")</f>
        <v/>
      </c>
      <c r="CW73" s="4" t="str">
        <f>IF(XS_Designer_Bed_Mix!$J73&lt;=XS_Designer!$BN$101,XS_Designer!BA$101,"")</f>
        <v/>
      </c>
      <c r="CX73" s="4" t="str">
        <f>IF(XS_Designer_Bed_Mix!$J73&lt;=XS_Designer!$BN$101,XS_Designer!BB$101,"")</f>
        <v/>
      </c>
      <c r="CY73" s="4" t="str">
        <f>IF(XS_Designer_Bed_Mix!$J73&lt;=XS_Designer!$BN$101,XS_Designer!BC$101,"")</f>
        <v/>
      </c>
      <c r="CZ73" s="4" t="str">
        <f>IF(XS_Designer_Bed_Mix!$J73&lt;=XS_Designer!$BN$101,XS_Designer!BD$101,"")</f>
        <v/>
      </c>
      <c r="DA73" s="4" t="str">
        <f>IF(XS_Designer_Bed_Mix!$J73&lt;=XS_Designer!$BN$101,XS_Designer!BE$101,"")</f>
        <v/>
      </c>
      <c r="DB73" s="4" t="str">
        <f>IF(XS_Designer_Bed_Mix!$J73&lt;=XS_Designer!$BN$101,XS_Designer!BF$101,"")</f>
        <v/>
      </c>
      <c r="DC73" s="4" t="str">
        <f>IF(XS_Designer_Bed_Mix!$J73&lt;=XS_Designer!$BN$101,XS_Designer!BG$101,"")</f>
        <v/>
      </c>
      <c r="DD73" s="4" t="str">
        <f>IF(XS_Designer_Bed_Mix!$J73&lt;=XS_Designer!$BN$101,XS_Designer!BH$101,"")</f>
        <v/>
      </c>
      <c r="DE73" s="4" t="str">
        <f>IF(XS_Designer_Bed_Mix!$J73&lt;=XS_Designer!$BN$101,XS_Designer!BI$101,"")</f>
        <v/>
      </c>
      <c r="DF73" s="4" t="str">
        <f>IF(XS_Designer_Bed_Mix!$J73&lt;=XS_Designer!$BN$101,XS_Designer!BJ$101,"")</f>
        <v/>
      </c>
      <c r="DG73" s="4" t="str">
        <f>IF(XS_Designer_Bed_Mix!$J73&lt;=XS_Designer!$BN$102,XS_Designer!BA$102,"")</f>
        <v/>
      </c>
      <c r="DH73" s="4" t="str">
        <f>IF(XS_Designer_Bed_Mix!$J73&lt;=XS_Designer!$BN$102,XS_Designer!BB$102,"")</f>
        <v/>
      </c>
      <c r="DI73" s="4" t="str">
        <f>IF(XS_Designer_Bed_Mix!$J73&lt;=XS_Designer!$BN$102,XS_Designer!BC$102,"")</f>
        <v/>
      </c>
      <c r="DJ73" s="4" t="str">
        <f>IF(XS_Designer_Bed_Mix!$J73&lt;=XS_Designer!$BN$102,XS_Designer!BD$102,"")</f>
        <v/>
      </c>
      <c r="DK73" s="4" t="str">
        <f>IF(XS_Designer_Bed_Mix!$J73&lt;=XS_Designer!$BN$102,XS_Designer!BE$102,"")</f>
        <v/>
      </c>
      <c r="DL73" s="4" t="str">
        <f>IF(XS_Designer_Bed_Mix!$J73&lt;=XS_Designer!$BN$102,XS_Designer!BF$102,"")</f>
        <v/>
      </c>
      <c r="DM73" s="4" t="str">
        <f>IF(XS_Designer_Bed_Mix!$J73&lt;=XS_Designer!$BN$102,XS_Designer!BG$102,"")</f>
        <v/>
      </c>
      <c r="DN73" s="4" t="str">
        <f>IF(XS_Designer_Bed_Mix!$J73&lt;=XS_Designer!$BN$102,XS_Designer!BH$102,"")</f>
        <v/>
      </c>
      <c r="DO73" s="4" t="str">
        <f>IF(XS_Designer_Bed_Mix!$J73&lt;=XS_Designer!$BN$102,XS_Designer!BI$102,"")</f>
        <v/>
      </c>
      <c r="DP73" s="4" t="str">
        <f>IF(XS_Designer_Bed_Mix!$J73&lt;=XS_Designer!$BN$102,XS_Designer!BJ$102,"")</f>
        <v/>
      </c>
    </row>
    <row r="74" spans="10:120">
      <c r="J74" s="3">
        <v>0.73</v>
      </c>
      <c r="K74" s="4" t="str">
        <f>IF(XS_Designer_Bed_Mix!$J74&lt;=XS_Designer!$BN$92,XS_Designer!BA$92,"")</f>
        <v/>
      </c>
      <c r="L74" s="4" t="str">
        <f>IF(XS_Designer_Bed_Mix!$J74&lt;=XS_Designer!$BN$92,XS_Designer!BB$92,"")</f>
        <v/>
      </c>
      <c r="M74" s="4" t="str">
        <f>IF(XS_Designer_Bed_Mix!$J74&lt;=XS_Designer!$BN$92,XS_Designer!BC$92,"")</f>
        <v/>
      </c>
      <c r="N74" s="4" t="str">
        <f>IF(XS_Designer_Bed_Mix!$J74&lt;=XS_Designer!$BN$92,XS_Designer!BD$92,"")</f>
        <v/>
      </c>
      <c r="O74" s="4" t="str">
        <f>IF(XS_Designer_Bed_Mix!$J74&lt;=XS_Designer!$BN$92,XS_Designer!BE$92,"")</f>
        <v/>
      </c>
      <c r="P74" s="4" t="str">
        <f>IF(XS_Designer_Bed_Mix!$J74&lt;=XS_Designer!$BN$92,XS_Designer!BF$92,"")</f>
        <v/>
      </c>
      <c r="Q74" s="4" t="str">
        <f>IF(XS_Designer_Bed_Mix!$J74&lt;=XS_Designer!$BN$92,XS_Designer!BG$92,"")</f>
        <v/>
      </c>
      <c r="R74" s="4" t="str">
        <f>IF(XS_Designer_Bed_Mix!$J74&lt;=XS_Designer!$BN$92,XS_Designer!BH$92,"")</f>
        <v/>
      </c>
      <c r="S74" s="4" t="str">
        <f>IF(XS_Designer_Bed_Mix!$J74&lt;=XS_Designer!$BN$92,XS_Designer!BI$92,"")</f>
        <v/>
      </c>
      <c r="T74" s="4" t="str">
        <f>IF(XS_Designer_Bed_Mix!$J74&lt;=XS_Designer!$BN$92,XS_Designer!BJ$92,"")</f>
        <v/>
      </c>
      <c r="U74" s="4" t="str">
        <f>IF(XS_Designer_Bed_Mix!$J74&lt;=XS_Designer!$BN$93,XS_Designer!BA$93,"")</f>
        <v/>
      </c>
      <c r="V74" s="4" t="str">
        <f>IF(XS_Designer_Bed_Mix!$J74&lt;=XS_Designer!$BN$93,XS_Designer!BB$93,"")</f>
        <v/>
      </c>
      <c r="W74" s="4" t="str">
        <f>IF(XS_Designer_Bed_Mix!$J74&lt;=XS_Designer!$BN$93,XS_Designer!BC$93,"")</f>
        <v/>
      </c>
      <c r="X74" s="4" t="str">
        <f>IF(XS_Designer_Bed_Mix!$J74&lt;=XS_Designer!$BN$93,XS_Designer!BD$93,"")</f>
        <v/>
      </c>
      <c r="Y74" s="4" t="str">
        <f>IF(XS_Designer_Bed_Mix!$J74&lt;=XS_Designer!$BN$93,XS_Designer!BE$93,"")</f>
        <v/>
      </c>
      <c r="Z74" s="4" t="str">
        <f>IF(XS_Designer_Bed_Mix!$J74&lt;=XS_Designer!$BN$93,XS_Designer!BF$93,"")</f>
        <v/>
      </c>
      <c r="AA74" s="4" t="str">
        <f>IF(XS_Designer_Bed_Mix!$J74&lt;=XS_Designer!$BN$93,XS_Designer!BG$93,"")</f>
        <v/>
      </c>
      <c r="AB74" s="4" t="str">
        <f>IF(XS_Designer_Bed_Mix!$J74&lt;=XS_Designer!$BN$93,XS_Designer!BH$93,"")</f>
        <v/>
      </c>
      <c r="AC74" s="4" t="str">
        <f>IF(XS_Designer_Bed_Mix!$J74&lt;=XS_Designer!$BN$93,XS_Designer!BI$93,"")</f>
        <v/>
      </c>
      <c r="AD74" s="4" t="str">
        <f>IF(XS_Designer_Bed_Mix!$J74&lt;=XS_Designer!$BN$93,XS_Designer!BJ$93,"")</f>
        <v/>
      </c>
      <c r="AE74" s="4" t="str">
        <f>IF(XS_Designer_Bed_Mix!$J74&lt;=XS_Designer!$BN$94,XS_Designer!BA$94,"")</f>
        <v/>
      </c>
      <c r="AF74" s="4" t="str">
        <f>IF(XS_Designer_Bed_Mix!$J74&lt;=XS_Designer!$BN$94,XS_Designer!BB$94,"")</f>
        <v/>
      </c>
      <c r="AG74" s="4" t="str">
        <f>IF(XS_Designer_Bed_Mix!$J74&lt;=XS_Designer!$BN$94,XS_Designer!BC$94,"")</f>
        <v/>
      </c>
      <c r="AH74" s="4" t="str">
        <f>IF(XS_Designer_Bed_Mix!$J74&lt;=XS_Designer!$BN$94,XS_Designer!BD$94,"")</f>
        <v/>
      </c>
      <c r="AI74" s="4" t="str">
        <f>IF(XS_Designer_Bed_Mix!$J74&lt;=XS_Designer!$BN$94,XS_Designer!BE$94,"")</f>
        <v/>
      </c>
      <c r="AJ74" s="4" t="str">
        <f>IF(XS_Designer_Bed_Mix!$J74&lt;=XS_Designer!$BN$94,XS_Designer!BF$94,"")</f>
        <v/>
      </c>
      <c r="AK74" s="4" t="str">
        <f>IF(XS_Designer_Bed_Mix!$J74&lt;=XS_Designer!$BN$94,XS_Designer!BG$94,"")</f>
        <v/>
      </c>
      <c r="AL74" s="4" t="str">
        <f>IF(XS_Designer_Bed_Mix!$J74&lt;=XS_Designer!$BN$94,XS_Designer!BH$94,"")</f>
        <v/>
      </c>
      <c r="AM74" s="4" t="str">
        <f>IF(XS_Designer_Bed_Mix!$J74&lt;=XS_Designer!$BN$94,XS_Designer!BI$94,"")</f>
        <v/>
      </c>
      <c r="AN74" s="4" t="str">
        <f>IF(XS_Designer_Bed_Mix!$J74&lt;=XS_Designer!$BN$94,XS_Designer!BJ$94,"")</f>
        <v/>
      </c>
      <c r="AO74" s="4" t="str">
        <f>IF(XS_Designer_Bed_Mix!$J74&lt;=XS_Designer!$BN$95,XS_Designer!BA$95,"")</f>
        <v/>
      </c>
      <c r="AP74" s="4" t="str">
        <f>IF(XS_Designer_Bed_Mix!$J74&lt;=XS_Designer!$BN$95,XS_Designer!BB$95,"")</f>
        <v/>
      </c>
      <c r="AQ74" s="4" t="str">
        <f>IF(XS_Designer_Bed_Mix!$J74&lt;=XS_Designer!$BN$95,XS_Designer!BC$95,"")</f>
        <v/>
      </c>
      <c r="AR74" s="4" t="str">
        <f>IF(XS_Designer_Bed_Mix!$J74&lt;=XS_Designer!$BN$95,XS_Designer!BD$95,"")</f>
        <v/>
      </c>
      <c r="AS74" s="4" t="str">
        <f>IF(XS_Designer_Bed_Mix!$J74&lt;=XS_Designer!$BN$95,XS_Designer!BE$95,"")</f>
        <v/>
      </c>
      <c r="AT74" s="4" t="str">
        <f>IF(XS_Designer_Bed_Mix!$J74&lt;=XS_Designer!$BN$95,XS_Designer!BF$95,"")</f>
        <v/>
      </c>
      <c r="AU74" s="4" t="str">
        <f>IF(XS_Designer_Bed_Mix!$J74&lt;=XS_Designer!$BN$95,XS_Designer!BG$95,"")</f>
        <v/>
      </c>
      <c r="AV74" s="4" t="str">
        <f>IF(XS_Designer_Bed_Mix!$J74&lt;=XS_Designer!$BN$95,XS_Designer!BH$95,"")</f>
        <v/>
      </c>
      <c r="AW74" s="4" t="str">
        <f>IF(XS_Designer_Bed_Mix!$J74&lt;=XS_Designer!$BN$95,XS_Designer!BI$95,"")</f>
        <v/>
      </c>
      <c r="AX74" s="4" t="str">
        <f>IF(XS_Designer_Bed_Mix!$J74&lt;=XS_Designer!$BN$95,XS_Designer!BJ$95,"")</f>
        <v/>
      </c>
      <c r="AY74" s="4" t="str">
        <f>IF(XS_Designer_Bed_Mix!$J74&lt;=XS_Designer!$BN$96,XS_Designer!BA$96,"")</f>
        <v/>
      </c>
      <c r="AZ74" s="4" t="str">
        <f>IF(XS_Designer_Bed_Mix!$J74&lt;=XS_Designer!$BN$96,XS_Designer!BB$96,"")</f>
        <v/>
      </c>
      <c r="BA74" s="4" t="str">
        <f>IF(XS_Designer_Bed_Mix!$J74&lt;=XS_Designer!$BN$96,XS_Designer!BC$96,"")</f>
        <v/>
      </c>
      <c r="BB74" s="4" t="str">
        <f>IF(XS_Designer_Bed_Mix!$J74&lt;=XS_Designer!$BN$96,XS_Designer!BD$96,"")</f>
        <v/>
      </c>
      <c r="BC74" s="4" t="str">
        <f>IF(XS_Designer_Bed_Mix!$J74&lt;=XS_Designer!$BN$96,XS_Designer!BE$96,"")</f>
        <v/>
      </c>
      <c r="BD74" s="4" t="str">
        <f>IF(XS_Designer_Bed_Mix!$J74&lt;=XS_Designer!$BN$96,XS_Designer!BF$96,"")</f>
        <v/>
      </c>
      <c r="BE74" s="4" t="str">
        <f>IF(XS_Designer_Bed_Mix!$J74&lt;=XS_Designer!$BN$96,XS_Designer!BG$96,"")</f>
        <v/>
      </c>
      <c r="BF74" s="4" t="str">
        <f>IF(XS_Designer_Bed_Mix!$J74&lt;=XS_Designer!$BN$96,XS_Designer!BH$96,"")</f>
        <v/>
      </c>
      <c r="BG74" s="4" t="str">
        <f>IF(XS_Designer_Bed_Mix!$J74&lt;=XS_Designer!$BN$96,XS_Designer!BI$96,"")</f>
        <v/>
      </c>
      <c r="BH74" s="4" t="str">
        <f>IF(XS_Designer_Bed_Mix!$J74&lt;=XS_Designer!$BN$96,XS_Designer!BJ$96,"")</f>
        <v/>
      </c>
      <c r="BI74" s="4" t="str">
        <f>IF(XS_Designer_Bed_Mix!$J74&lt;=XS_Designer!$BN$97,XS_Designer!BA$97,"")</f>
        <v/>
      </c>
      <c r="BJ74" s="4" t="str">
        <f>IF(XS_Designer_Bed_Mix!$J74&lt;=XS_Designer!$BN$97,XS_Designer!BB$97,"")</f>
        <v/>
      </c>
      <c r="BK74" s="4" t="str">
        <f>IF(XS_Designer_Bed_Mix!$J74&lt;=XS_Designer!$BN$97,XS_Designer!BC$97,"")</f>
        <v/>
      </c>
      <c r="BL74" s="4" t="str">
        <f>IF(XS_Designer_Bed_Mix!$J74&lt;=XS_Designer!$BN$97,XS_Designer!BD$97,"")</f>
        <v/>
      </c>
      <c r="BM74" s="4" t="str">
        <f>IF(XS_Designer_Bed_Mix!$J74&lt;=XS_Designer!$BN$97,XS_Designer!BE$97,"")</f>
        <v/>
      </c>
      <c r="BN74" s="4" t="str">
        <f>IF(XS_Designer_Bed_Mix!$J74&lt;=XS_Designer!$BN$97,XS_Designer!BF$97,"")</f>
        <v/>
      </c>
      <c r="BO74" s="4" t="str">
        <f>IF(XS_Designer_Bed_Mix!$J74&lt;=XS_Designer!$BN$97,XS_Designer!BG$97,"")</f>
        <v/>
      </c>
      <c r="BP74" s="4" t="str">
        <f>IF(XS_Designer_Bed_Mix!$J74&lt;=XS_Designer!$BN$97,XS_Designer!BH$97,"")</f>
        <v/>
      </c>
      <c r="BQ74" s="4" t="str">
        <f>IF(XS_Designer_Bed_Mix!$J74&lt;=XS_Designer!$BN$97,XS_Designer!BI$97,"")</f>
        <v/>
      </c>
      <c r="BR74" s="4" t="str">
        <f>IF(XS_Designer_Bed_Mix!$J74&lt;=XS_Designer!$BN$97,XS_Designer!BJ$97,"")</f>
        <v/>
      </c>
      <c r="BS74" s="4" t="str">
        <f>IF(XS_Designer_Bed_Mix!$J74&lt;=XS_Designer!$BN$98,XS_Designer!BA$98,"")</f>
        <v/>
      </c>
      <c r="BT74" s="4" t="str">
        <f>IF(XS_Designer_Bed_Mix!$J74&lt;=XS_Designer!$BN$98,XS_Designer!BB$98,"")</f>
        <v/>
      </c>
      <c r="BU74" s="4" t="str">
        <f>IF(XS_Designer_Bed_Mix!$J74&lt;=XS_Designer!$BN$98,XS_Designer!BC$98,"")</f>
        <v/>
      </c>
      <c r="BV74" s="4" t="str">
        <f>IF(XS_Designer_Bed_Mix!$J74&lt;=XS_Designer!$BN$98,XS_Designer!BD$98,"")</f>
        <v/>
      </c>
      <c r="BW74" s="4" t="str">
        <f>IF(XS_Designer_Bed_Mix!$J74&lt;=XS_Designer!$BN$98,XS_Designer!BE$98,"")</f>
        <v/>
      </c>
      <c r="BX74" s="4" t="str">
        <f>IF(XS_Designer_Bed_Mix!$J74&lt;=XS_Designer!$BN$98,XS_Designer!BF$98,"")</f>
        <v/>
      </c>
      <c r="BY74" s="4" t="str">
        <f>IF(XS_Designer_Bed_Mix!$J74&lt;=XS_Designer!$BN$98,XS_Designer!BG$98,"")</f>
        <v/>
      </c>
      <c r="BZ74" s="4" t="str">
        <f>IF(XS_Designer_Bed_Mix!$J74&lt;=XS_Designer!$BN$98,XS_Designer!BH$98,"")</f>
        <v/>
      </c>
      <c r="CA74" s="4" t="str">
        <f>IF(XS_Designer_Bed_Mix!$J74&lt;=XS_Designer!$BN$98,XS_Designer!BI$98,"")</f>
        <v/>
      </c>
      <c r="CB74" s="4" t="str">
        <f>IF(XS_Designer_Bed_Mix!$J74&lt;=XS_Designer!$BN$98,XS_Designer!BJ$98,"")</f>
        <v/>
      </c>
      <c r="CC74" s="4" t="str">
        <f>IF(XS_Designer_Bed_Mix!$J74&lt;=XS_Designer!$BN$99,XS_Designer!BA$99,"")</f>
        <v/>
      </c>
      <c r="CD74" s="4" t="str">
        <f>IF(XS_Designer_Bed_Mix!$J74&lt;=XS_Designer!$BN$99,XS_Designer!BB$99,"")</f>
        <v/>
      </c>
      <c r="CE74" s="4" t="str">
        <f>IF(XS_Designer_Bed_Mix!$J74&lt;=XS_Designer!$BN$99,XS_Designer!BC$99,"")</f>
        <v/>
      </c>
      <c r="CF74" s="4" t="str">
        <f>IF(XS_Designer_Bed_Mix!$J74&lt;=XS_Designer!$BN$99,XS_Designer!BD$99,"")</f>
        <v/>
      </c>
      <c r="CG74" s="4" t="str">
        <f>IF(XS_Designer_Bed_Mix!$J74&lt;=XS_Designer!$BN$99,XS_Designer!BE$99,"")</f>
        <v/>
      </c>
      <c r="CH74" s="4" t="str">
        <f>IF(XS_Designer_Bed_Mix!$J74&lt;=XS_Designer!$BN$99,XS_Designer!BF$99,"")</f>
        <v/>
      </c>
      <c r="CI74" s="4" t="str">
        <f>IF(XS_Designer_Bed_Mix!$J74&lt;=XS_Designer!$BN$99,XS_Designer!BG$99,"")</f>
        <v/>
      </c>
      <c r="CJ74" s="4" t="str">
        <f>IF(XS_Designer_Bed_Mix!$J74&lt;=XS_Designer!$BN$99,XS_Designer!BH$99,"")</f>
        <v/>
      </c>
      <c r="CK74" s="4" t="str">
        <f>IF(XS_Designer_Bed_Mix!$J74&lt;=XS_Designer!$BN$99,XS_Designer!BI$99,"")</f>
        <v/>
      </c>
      <c r="CL74" s="4" t="str">
        <f>IF(XS_Designer_Bed_Mix!$J74&lt;=XS_Designer!$BN$99,XS_Designer!BJ$99,"")</f>
        <v/>
      </c>
      <c r="CM74" s="4" t="str">
        <f>IF(XS_Designer_Bed_Mix!$J74&lt;=XS_Designer!$BN$100,XS_Designer!BA$100,"")</f>
        <v/>
      </c>
      <c r="CN74" s="4" t="str">
        <f>IF(XS_Designer_Bed_Mix!$J74&lt;=XS_Designer!$BN$100,XS_Designer!BB$100,"")</f>
        <v/>
      </c>
      <c r="CO74" s="4" t="str">
        <f>IF(XS_Designer_Bed_Mix!$J74&lt;=XS_Designer!$BN$100,XS_Designer!BC$100,"")</f>
        <v/>
      </c>
      <c r="CP74" s="4" t="str">
        <f>IF(XS_Designer_Bed_Mix!$J74&lt;=XS_Designer!$BN$100,XS_Designer!BD$100,"")</f>
        <v/>
      </c>
      <c r="CQ74" s="4" t="str">
        <f>IF(XS_Designer_Bed_Mix!$J74&lt;=XS_Designer!$BN$100,XS_Designer!BE$100,"")</f>
        <v/>
      </c>
      <c r="CR74" s="4" t="str">
        <f>IF(XS_Designer_Bed_Mix!$J74&lt;=XS_Designer!$BN$100,XS_Designer!BF$100,"")</f>
        <v/>
      </c>
      <c r="CS74" s="4" t="str">
        <f>IF(XS_Designer_Bed_Mix!$J74&lt;=XS_Designer!$BN$100,XS_Designer!BG$100,"")</f>
        <v/>
      </c>
      <c r="CT74" s="4" t="str">
        <f>IF(XS_Designer_Bed_Mix!$J74&lt;=XS_Designer!$BN$100,XS_Designer!BH$100,"")</f>
        <v/>
      </c>
      <c r="CU74" s="4" t="str">
        <f>IF(XS_Designer_Bed_Mix!$J74&lt;=XS_Designer!$BN$100,XS_Designer!BI$100,"")</f>
        <v/>
      </c>
      <c r="CV74" s="4" t="str">
        <f>IF(XS_Designer_Bed_Mix!$J74&lt;=XS_Designer!$BN$100,XS_Designer!BJ$100,"")</f>
        <v/>
      </c>
      <c r="CW74" s="4" t="str">
        <f>IF(XS_Designer_Bed_Mix!$J74&lt;=XS_Designer!$BN$101,XS_Designer!BA$101,"")</f>
        <v/>
      </c>
      <c r="CX74" s="4" t="str">
        <f>IF(XS_Designer_Bed_Mix!$J74&lt;=XS_Designer!$BN$101,XS_Designer!BB$101,"")</f>
        <v/>
      </c>
      <c r="CY74" s="4" t="str">
        <f>IF(XS_Designer_Bed_Mix!$J74&lt;=XS_Designer!$BN$101,XS_Designer!BC$101,"")</f>
        <v/>
      </c>
      <c r="CZ74" s="4" t="str">
        <f>IF(XS_Designer_Bed_Mix!$J74&lt;=XS_Designer!$BN$101,XS_Designer!BD$101,"")</f>
        <v/>
      </c>
      <c r="DA74" s="4" t="str">
        <f>IF(XS_Designer_Bed_Mix!$J74&lt;=XS_Designer!$BN$101,XS_Designer!BE$101,"")</f>
        <v/>
      </c>
      <c r="DB74" s="4" t="str">
        <f>IF(XS_Designer_Bed_Mix!$J74&lt;=XS_Designer!$BN$101,XS_Designer!BF$101,"")</f>
        <v/>
      </c>
      <c r="DC74" s="4" t="str">
        <f>IF(XS_Designer_Bed_Mix!$J74&lt;=XS_Designer!$BN$101,XS_Designer!BG$101,"")</f>
        <v/>
      </c>
      <c r="DD74" s="4" t="str">
        <f>IF(XS_Designer_Bed_Mix!$J74&lt;=XS_Designer!$BN$101,XS_Designer!BH$101,"")</f>
        <v/>
      </c>
      <c r="DE74" s="4" t="str">
        <f>IF(XS_Designer_Bed_Mix!$J74&lt;=XS_Designer!$BN$101,XS_Designer!BI$101,"")</f>
        <v/>
      </c>
      <c r="DF74" s="4" t="str">
        <f>IF(XS_Designer_Bed_Mix!$J74&lt;=XS_Designer!$BN$101,XS_Designer!BJ$101,"")</f>
        <v/>
      </c>
      <c r="DG74" s="4" t="str">
        <f>IF(XS_Designer_Bed_Mix!$J74&lt;=XS_Designer!$BN$102,XS_Designer!BA$102,"")</f>
        <v/>
      </c>
      <c r="DH74" s="4" t="str">
        <f>IF(XS_Designer_Bed_Mix!$J74&lt;=XS_Designer!$BN$102,XS_Designer!BB$102,"")</f>
        <v/>
      </c>
      <c r="DI74" s="4" t="str">
        <f>IF(XS_Designer_Bed_Mix!$J74&lt;=XS_Designer!$BN$102,XS_Designer!BC$102,"")</f>
        <v/>
      </c>
      <c r="DJ74" s="4" t="str">
        <f>IF(XS_Designer_Bed_Mix!$J74&lt;=XS_Designer!$BN$102,XS_Designer!BD$102,"")</f>
        <v/>
      </c>
      <c r="DK74" s="4" t="str">
        <f>IF(XS_Designer_Bed_Mix!$J74&lt;=XS_Designer!$BN$102,XS_Designer!BE$102,"")</f>
        <v/>
      </c>
      <c r="DL74" s="4" t="str">
        <f>IF(XS_Designer_Bed_Mix!$J74&lt;=XS_Designer!$BN$102,XS_Designer!BF$102,"")</f>
        <v/>
      </c>
      <c r="DM74" s="4" t="str">
        <f>IF(XS_Designer_Bed_Mix!$J74&lt;=XS_Designer!$BN$102,XS_Designer!BG$102,"")</f>
        <v/>
      </c>
      <c r="DN74" s="4" t="str">
        <f>IF(XS_Designer_Bed_Mix!$J74&lt;=XS_Designer!$BN$102,XS_Designer!BH$102,"")</f>
        <v/>
      </c>
      <c r="DO74" s="4" t="str">
        <f>IF(XS_Designer_Bed_Mix!$J74&lt;=XS_Designer!$BN$102,XS_Designer!BI$102,"")</f>
        <v/>
      </c>
      <c r="DP74" s="4" t="str">
        <f>IF(XS_Designer_Bed_Mix!$J74&lt;=XS_Designer!$BN$102,XS_Designer!BJ$102,"")</f>
        <v/>
      </c>
    </row>
    <row r="75" spans="10:120">
      <c r="J75" s="3">
        <v>0.74</v>
      </c>
      <c r="K75" s="4" t="str">
        <f>IF(XS_Designer_Bed_Mix!$J75&lt;=XS_Designer!$BN$92,XS_Designer!BA$92,"")</f>
        <v/>
      </c>
      <c r="L75" s="4" t="str">
        <f>IF(XS_Designer_Bed_Mix!$J75&lt;=XS_Designer!$BN$92,XS_Designer!BB$92,"")</f>
        <v/>
      </c>
      <c r="M75" s="4" t="str">
        <f>IF(XS_Designer_Bed_Mix!$J75&lt;=XS_Designer!$BN$92,XS_Designer!BC$92,"")</f>
        <v/>
      </c>
      <c r="N75" s="4" t="str">
        <f>IF(XS_Designer_Bed_Mix!$J75&lt;=XS_Designer!$BN$92,XS_Designer!BD$92,"")</f>
        <v/>
      </c>
      <c r="O75" s="4" t="str">
        <f>IF(XS_Designer_Bed_Mix!$J75&lt;=XS_Designer!$BN$92,XS_Designer!BE$92,"")</f>
        <v/>
      </c>
      <c r="P75" s="4" t="str">
        <f>IF(XS_Designer_Bed_Mix!$J75&lt;=XS_Designer!$BN$92,XS_Designer!BF$92,"")</f>
        <v/>
      </c>
      <c r="Q75" s="4" t="str">
        <f>IF(XS_Designer_Bed_Mix!$J75&lt;=XS_Designer!$BN$92,XS_Designer!BG$92,"")</f>
        <v/>
      </c>
      <c r="R75" s="4" t="str">
        <f>IF(XS_Designer_Bed_Mix!$J75&lt;=XS_Designer!$BN$92,XS_Designer!BH$92,"")</f>
        <v/>
      </c>
      <c r="S75" s="4" t="str">
        <f>IF(XS_Designer_Bed_Mix!$J75&lt;=XS_Designer!$BN$92,XS_Designer!BI$92,"")</f>
        <v/>
      </c>
      <c r="T75" s="4" t="str">
        <f>IF(XS_Designer_Bed_Mix!$J75&lt;=XS_Designer!$BN$92,XS_Designer!BJ$92,"")</f>
        <v/>
      </c>
      <c r="U75" s="4" t="str">
        <f>IF(XS_Designer_Bed_Mix!$J75&lt;=XS_Designer!$BN$93,XS_Designer!BA$93,"")</f>
        <v/>
      </c>
      <c r="V75" s="4" t="str">
        <f>IF(XS_Designer_Bed_Mix!$J75&lt;=XS_Designer!$BN$93,XS_Designer!BB$93,"")</f>
        <v/>
      </c>
      <c r="W75" s="4" t="str">
        <f>IF(XS_Designer_Bed_Mix!$J75&lt;=XS_Designer!$BN$93,XS_Designer!BC$93,"")</f>
        <v/>
      </c>
      <c r="X75" s="4" t="str">
        <f>IF(XS_Designer_Bed_Mix!$J75&lt;=XS_Designer!$BN$93,XS_Designer!BD$93,"")</f>
        <v/>
      </c>
      <c r="Y75" s="4" t="str">
        <f>IF(XS_Designer_Bed_Mix!$J75&lt;=XS_Designer!$BN$93,XS_Designer!BE$93,"")</f>
        <v/>
      </c>
      <c r="Z75" s="4" t="str">
        <f>IF(XS_Designer_Bed_Mix!$J75&lt;=XS_Designer!$BN$93,XS_Designer!BF$93,"")</f>
        <v/>
      </c>
      <c r="AA75" s="4" t="str">
        <f>IF(XS_Designer_Bed_Mix!$J75&lt;=XS_Designer!$BN$93,XS_Designer!BG$93,"")</f>
        <v/>
      </c>
      <c r="AB75" s="4" t="str">
        <f>IF(XS_Designer_Bed_Mix!$J75&lt;=XS_Designer!$BN$93,XS_Designer!BH$93,"")</f>
        <v/>
      </c>
      <c r="AC75" s="4" t="str">
        <f>IF(XS_Designer_Bed_Mix!$J75&lt;=XS_Designer!$BN$93,XS_Designer!BI$93,"")</f>
        <v/>
      </c>
      <c r="AD75" s="4" t="str">
        <f>IF(XS_Designer_Bed_Mix!$J75&lt;=XS_Designer!$BN$93,XS_Designer!BJ$93,"")</f>
        <v/>
      </c>
      <c r="AE75" s="4" t="str">
        <f>IF(XS_Designer_Bed_Mix!$J75&lt;=XS_Designer!$BN$94,XS_Designer!BA$94,"")</f>
        <v/>
      </c>
      <c r="AF75" s="4" t="str">
        <f>IF(XS_Designer_Bed_Mix!$J75&lt;=XS_Designer!$BN$94,XS_Designer!BB$94,"")</f>
        <v/>
      </c>
      <c r="AG75" s="4" t="str">
        <f>IF(XS_Designer_Bed_Mix!$J75&lt;=XS_Designer!$BN$94,XS_Designer!BC$94,"")</f>
        <v/>
      </c>
      <c r="AH75" s="4" t="str">
        <f>IF(XS_Designer_Bed_Mix!$J75&lt;=XS_Designer!$BN$94,XS_Designer!BD$94,"")</f>
        <v/>
      </c>
      <c r="AI75" s="4" t="str">
        <f>IF(XS_Designer_Bed_Mix!$J75&lt;=XS_Designer!$BN$94,XS_Designer!BE$94,"")</f>
        <v/>
      </c>
      <c r="AJ75" s="4" t="str">
        <f>IF(XS_Designer_Bed_Mix!$J75&lt;=XS_Designer!$BN$94,XS_Designer!BF$94,"")</f>
        <v/>
      </c>
      <c r="AK75" s="4" t="str">
        <f>IF(XS_Designer_Bed_Mix!$J75&lt;=XS_Designer!$BN$94,XS_Designer!BG$94,"")</f>
        <v/>
      </c>
      <c r="AL75" s="4" t="str">
        <f>IF(XS_Designer_Bed_Mix!$J75&lt;=XS_Designer!$BN$94,XS_Designer!BH$94,"")</f>
        <v/>
      </c>
      <c r="AM75" s="4" t="str">
        <f>IF(XS_Designer_Bed_Mix!$J75&lt;=XS_Designer!$BN$94,XS_Designer!BI$94,"")</f>
        <v/>
      </c>
      <c r="AN75" s="4" t="str">
        <f>IF(XS_Designer_Bed_Mix!$J75&lt;=XS_Designer!$BN$94,XS_Designer!BJ$94,"")</f>
        <v/>
      </c>
      <c r="AO75" s="4" t="str">
        <f>IF(XS_Designer_Bed_Mix!$J75&lt;=XS_Designer!$BN$95,XS_Designer!BA$95,"")</f>
        <v/>
      </c>
      <c r="AP75" s="4" t="str">
        <f>IF(XS_Designer_Bed_Mix!$J75&lt;=XS_Designer!$BN$95,XS_Designer!BB$95,"")</f>
        <v/>
      </c>
      <c r="AQ75" s="4" t="str">
        <f>IF(XS_Designer_Bed_Mix!$J75&lt;=XS_Designer!$BN$95,XS_Designer!BC$95,"")</f>
        <v/>
      </c>
      <c r="AR75" s="4" t="str">
        <f>IF(XS_Designer_Bed_Mix!$J75&lt;=XS_Designer!$BN$95,XS_Designer!BD$95,"")</f>
        <v/>
      </c>
      <c r="AS75" s="4" t="str">
        <f>IF(XS_Designer_Bed_Mix!$J75&lt;=XS_Designer!$BN$95,XS_Designer!BE$95,"")</f>
        <v/>
      </c>
      <c r="AT75" s="4" t="str">
        <f>IF(XS_Designer_Bed_Mix!$J75&lt;=XS_Designer!$BN$95,XS_Designer!BF$95,"")</f>
        <v/>
      </c>
      <c r="AU75" s="4" t="str">
        <f>IF(XS_Designer_Bed_Mix!$J75&lt;=XS_Designer!$BN$95,XS_Designer!BG$95,"")</f>
        <v/>
      </c>
      <c r="AV75" s="4" t="str">
        <f>IF(XS_Designer_Bed_Mix!$J75&lt;=XS_Designer!$BN$95,XS_Designer!BH$95,"")</f>
        <v/>
      </c>
      <c r="AW75" s="4" t="str">
        <f>IF(XS_Designer_Bed_Mix!$J75&lt;=XS_Designer!$BN$95,XS_Designer!BI$95,"")</f>
        <v/>
      </c>
      <c r="AX75" s="4" t="str">
        <f>IF(XS_Designer_Bed_Mix!$J75&lt;=XS_Designer!$BN$95,XS_Designer!BJ$95,"")</f>
        <v/>
      </c>
      <c r="AY75" s="4" t="str">
        <f>IF(XS_Designer_Bed_Mix!$J75&lt;=XS_Designer!$BN$96,XS_Designer!BA$96,"")</f>
        <v/>
      </c>
      <c r="AZ75" s="4" t="str">
        <f>IF(XS_Designer_Bed_Mix!$J75&lt;=XS_Designer!$BN$96,XS_Designer!BB$96,"")</f>
        <v/>
      </c>
      <c r="BA75" s="4" t="str">
        <f>IF(XS_Designer_Bed_Mix!$J75&lt;=XS_Designer!$BN$96,XS_Designer!BC$96,"")</f>
        <v/>
      </c>
      <c r="BB75" s="4" t="str">
        <f>IF(XS_Designer_Bed_Mix!$J75&lt;=XS_Designer!$BN$96,XS_Designer!BD$96,"")</f>
        <v/>
      </c>
      <c r="BC75" s="4" t="str">
        <f>IF(XS_Designer_Bed_Mix!$J75&lt;=XS_Designer!$BN$96,XS_Designer!BE$96,"")</f>
        <v/>
      </c>
      <c r="BD75" s="4" t="str">
        <f>IF(XS_Designer_Bed_Mix!$J75&lt;=XS_Designer!$BN$96,XS_Designer!BF$96,"")</f>
        <v/>
      </c>
      <c r="BE75" s="4" t="str">
        <f>IF(XS_Designer_Bed_Mix!$J75&lt;=XS_Designer!$BN$96,XS_Designer!BG$96,"")</f>
        <v/>
      </c>
      <c r="BF75" s="4" t="str">
        <f>IF(XS_Designer_Bed_Mix!$J75&lt;=XS_Designer!$BN$96,XS_Designer!BH$96,"")</f>
        <v/>
      </c>
      <c r="BG75" s="4" t="str">
        <f>IF(XS_Designer_Bed_Mix!$J75&lt;=XS_Designer!$BN$96,XS_Designer!BI$96,"")</f>
        <v/>
      </c>
      <c r="BH75" s="4" t="str">
        <f>IF(XS_Designer_Bed_Mix!$J75&lt;=XS_Designer!$BN$96,XS_Designer!BJ$96,"")</f>
        <v/>
      </c>
      <c r="BI75" s="4" t="str">
        <f>IF(XS_Designer_Bed_Mix!$J75&lt;=XS_Designer!$BN$97,XS_Designer!BA$97,"")</f>
        <v/>
      </c>
      <c r="BJ75" s="4" t="str">
        <f>IF(XS_Designer_Bed_Mix!$J75&lt;=XS_Designer!$BN$97,XS_Designer!BB$97,"")</f>
        <v/>
      </c>
      <c r="BK75" s="4" t="str">
        <f>IF(XS_Designer_Bed_Mix!$J75&lt;=XS_Designer!$BN$97,XS_Designer!BC$97,"")</f>
        <v/>
      </c>
      <c r="BL75" s="4" t="str">
        <f>IF(XS_Designer_Bed_Mix!$J75&lt;=XS_Designer!$BN$97,XS_Designer!BD$97,"")</f>
        <v/>
      </c>
      <c r="BM75" s="4" t="str">
        <f>IF(XS_Designer_Bed_Mix!$J75&lt;=XS_Designer!$BN$97,XS_Designer!BE$97,"")</f>
        <v/>
      </c>
      <c r="BN75" s="4" t="str">
        <f>IF(XS_Designer_Bed_Mix!$J75&lt;=XS_Designer!$BN$97,XS_Designer!BF$97,"")</f>
        <v/>
      </c>
      <c r="BO75" s="4" t="str">
        <f>IF(XS_Designer_Bed_Mix!$J75&lt;=XS_Designer!$BN$97,XS_Designer!BG$97,"")</f>
        <v/>
      </c>
      <c r="BP75" s="4" t="str">
        <f>IF(XS_Designer_Bed_Mix!$J75&lt;=XS_Designer!$BN$97,XS_Designer!BH$97,"")</f>
        <v/>
      </c>
      <c r="BQ75" s="4" t="str">
        <f>IF(XS_Designer_Bed_Mix!$J75&lt;=XS_Designer!$BN$97,XS_Designer!BI$97,"")</f>
        <v/>
      </c>
      <c r="BR75" s="4" t="str">
        <f>IF(XS_Designer_Bed_Mix!$J75&lt;=XS_Designer!$BN$97,XS_Designer!BJ$97,"")</f>
        <v/>
      </c>
      <c r="BS75" s="4" t="str">
        <f>IF(XS_Designer_Bed_Mix!$J75&lt;=XS_Designer!$BN$98,XS_Designer!BA$98,"")</f>
        <v/>
      </c>
      <c r="BT75" s="4" t="str">
        <f>IF(XS_Designer_Bed_Mix!$J75&lt;=XS_Designer!$BN$98,XS_Designer!BB$98,"")</f>
        <v/>
      </c>
      <c r="BU75" s="4" t="str">
        <f>IF(XS_Designer_Bed_Mix!$J75&lt;=XS_Designer!$BN$98,XS_Designer!BC$98,"")</f>
        <v/>
      </c>
      <c r="BV75" s="4" t="str">
        <f>IF(XS_Designer_Bed_Mix!$J75&lt;=XS_Designer!$BN$98,XS_Designer!BD$98,"")</f>
        <v/>
      </c>
      <c r="BW75" s="4" t="str">
        <f>IF(XS_Designer_Bed_Mix!$J75&lt;=XS_Designer!$BN$98,XS_Designer!BE$98,"")</f>
        <v/>
      </c>
      <c r="BX75" s="4" t="str">
        <f>IF(XS_Designer_Bed_Mix!$J75&lt;=XS_Designer!$BN$98,XS_Designer!BF$98,"")</f>
        <v/>
      </c>
      <c r="BY75" s="4" t="str">
        <f>IF(XS_Designer_Bed_Mix!$J75&lt;=XS_Designer!$BN$98,XS_Designer!BG$98,"")</f>
        <v/>
      </c>
      <c r="BZ75" s="4" t="str">
        <f>IF(XS_Designer_Bed_Mix!$J75&lt;=XS_Designer!$BN$98,XS_Designer!BH$98,"")</f>
        <v/>
      </c>
      <c r="CA75" s="4" t="str">
        <f>IF(XS_Designer_Bed_Mix!$J75&lt;=XS_Designer!$BN$98,XS_Designer!BI$98,"")</f>
        <v/>
      </c>
      <c r="CB75" s="4" t="str">
        <f>IF(XS_Designer_Bed_Mix!$J75&lt;=XS_Designer!$BN$98,XS_Designer!BJ$98,"")</f>
        <v/>
      </c>
      <c r="CC75" s="4" t="str">
        <f>IF(XS_Designer_Bed_Mix!$J75&lt;=XS_Designer!$BN$99,XS_Designer!BA$99,"")</f>
        <v/>
      </c>
      <c r="CD75" s="4" t="str">
        <f>IF(XS_Designer_Bed_Mix!$J75&lt;=XS_Designer!$BN$99,XS_Designer!BB$99,"")</f>
        <v/>
      </c>
      <c r="CE75" s="4" t="str">
        <f>IF(XS_Designer_Bed_Mix!$J75&lt;=XS_Designer!$BN$99,XS_Designer!BC$99,"")</f>
        <v/>
      </c>
      <c r="CF75" s="4" t="str">
        <f>IF(XS_Designer_Bed_Mix!$J75&lt;=XS_Designer!$BN$99,XS_Designer!BD$99,"")</f>
        <v/>
      </c>
      <c r="CG75" s="4" t="str">
        <f>IF(XS_Designer_Bed_Mix!$J75&lt;=XS_Designer!$BN$99,XS_Designer!BE$99,"")</f>
        <v/>
      </c>
      <c r="CH75" s="4" t="str">
        <f>IF(XS_Designer_Bed_Mix!$J75&lt;=XS_Designer!$BN$99,XS_Designer!BF$99,"")</f>
        <v/>
      </c>
      <c r="CI75" s="4" t="str">
        <f>IF(XS_Designer_Bed_Mix!$J75&lt;=XS_Designer!$BN$99,XS_Designer!BG$99,"")</f>
        <v/>
      </c>
      <c r="CJ75" s="4" t="str">
        <f>IF(XS_Designer_Bed_Mix!$J75&lt;=XS_Designer!$BN$99,XS_Designer!BH$99,"")</f>
        <v/>
      </c>
      <c r="CK75" s="4" t="str">
        <f>IF(XS_Designer_Bed_Mix!$J75&lt;=XS_Designer!$BN$99,XS_Designer!BI$99,"")</f>
        <v/>
      </c>
      <c r="CL75" s="4" t="str">
        <f>IF(XS_Designer_Bed_Mix!$J75&lt;=XS_Designer!$BN$99,XS_Designer!BJ$99,"")</f>
        <v/>
      </c>
      <c r="CM75" s="4" t="str">
        <f>IF(XS_Designer_Bed_Mix!$J75&lt;=XS_Designer!$BN$100,XS_Designer!BA$100,"")</f>
        <v/>
      </c>
      <c r="CN75" s="4" t="str">
        <f>IF(XS_Designer_Bed_Mix!$J75&lt;=XS_Designer!$BN$100,XS_Designer!BB$100,"")</f>
        <v/>
      </c>
      <c r="CO75" s="4" t="str">
        <f>IF(XS_Designer_Bed_Mix!$J75&lt;=XS_Designer!$BN$100,XS_Designer!BC$100,"")</f>
        <v/>
      </c>
      <c r="CP75" s="4" t="str">
        <f>IF(XS_Designer_Bed_Mix!$J75&lt;=XS_Designer!$BN$100,XS_Designer!BD$100,"")</f>
        <v/>
      </c>
      <c r="CQ75" s="4" t="str">
        <f>IF(XS_Designer_Bed_Mix!$J75&lt;=XS_Designer!$BN$100,XS_Designer!BE$100,"")</f>
        <v/>
      </c>
      <c r="CR75" s="4" t="str">
        <f>IF(XS_Designer_Bed_Mix!$J75&lt;=XS_Designer!$BN$100,XS_Designer!BF$100,"")</f>
        <v/>
      </c>
      <c r="CS75" s="4" t="str">
        <f>IF(XS_Designer_Bed_Mix!$J75&lt;=XS_Designer!$BN$100,XS_Designer!BG$100,"")</f>
        <v/>
      </c>
      <c r="CT75" s="4" t="str">
        <f>IF(XS_Designer_Bed_Mix!$J75&lt;=XS_Designer!$BN$100,XS_Designer!BH$100,"")</f>
        <v/>
      </c>
      <c r="CU75" s="4" t="str">
        <f>IF(XS_Designer_Bed_Mix!$J75&lt;=XS_Designer!$BN$100,XS_Designer!BI$100,"")</f>
        <v/>
      </c>
      <c r="CV75" s="4" t="str">
        <f>IF(XS_Designer_Bed_Mix!$J75&lt;=XS_Designer!$BN$100,XS_Designer!BJ$100,"")</f>
        <v/>
      </c>
      <c r="CW75" s="4" t="str">
        <f>IF(XS_Designer_Bed_Mix!$J75&lt;=XS_Designer!$BN$101,XS_Designer!BA$101,"")</f>
        <v/>
      </c>
      <c r="CX75" s="4" t="str">
        <f>IF(XS_Designer_Bed_Mix!$J75&lt;=XS_Designer!$BN$101,XS_Designer!BB$101,"")</f>
        <v/>
      </c>
      <c r="CY75" s="4" t="str">
        <f>IF(XS_Designer_Bed_Mix!$J75&lt;=XS_Designer!$BN$101,XS_Designer!BC$101,"")</f>
        <v/>
      </c>
      <c r="CZ75" s="4" t="str">
        <f>IF(XS_Designer_Bed_Mix!$J75&lt;=XS_Designer!$BN$101,XS_Designer!BD$101,"")</f>
        <v/>
      </c>
      <c r="DA75" s="4" t="str">
        <f>IF(XS_Designer_Bed_Mix!$J75&lt;=XS_Designer!$BN$101,XS_Designer!BE$101,"")</f>
        <v/>
      </c>
      <c r="DB75" s="4" t="str">
        <f>IF(XS_Designer_Bed_Mix!$J75&lt;=XS_Designer!$BN$101,XS_Designer!BF$101,"")</f>
        <v/>
      </c>
      <c r="DC75" s="4" t="str">
        <f>IF(XS_Designer_Bed_Mix!$J75&lt;=XS_Designer!$BN$101,XS_Designer!BG$101,"")</f>
        <v/>
      </c>
      <c r="DD75" s="4" t="str">
        <f>IF(XS_Designer_Bed_Mix!$J75&lt;=XS_Designer!$BN$101,XS_Designer!BH$101,"")</f>
        <v/>
      </c>
      <c r="DE75" s="4" t="str">
        <f>IF(XS_Designer_Bed_Mix!$J75&lt;=XS_Designer!$BN$101,XS_Designer!BI$101,"")</f>
        <v/>
      </c>
      <c r="DF75" s="4" t="str">
        <f>IF(XS_Designer_Bed_Mix!$J75&lt;=XS_Designer!$BN$101,XS_Designer!BJ$101,"")</f>
        <v/>
      </c>
      <c r="DG75" s="4" t="str">
        <f>IF(XS_Designer_Bed_Mix!$J75&lt;=XS_Designer!$BN$102,XS_Designer!BA$102,"")</f>
        <v/>
      </c>
      <c r="DH75" s="4" t="str">
        <f>IF(XS_Designer_Bed_Mix!$J75&lt;=XS_Designer!$BN$102,XS_Designer!BB$102,"")</f>
        <v/>
      </c>
      <c r="DI75" s="4" t="str">
        <f>IF(XS_Designer_Bed_Mix!$J75&lt;=XS_Designer!$BN$102,XS_Designer!BC$102,"")</f>
        <v/>
      </c>
      <c r="DJ75" s="4" t="str">
        <f>IF(XS_Designer_Bed_Mix!$J75&lt;=XS_Designer!$BN$102,XS_Designer!BD$102,"")</f>
        <v/>
      </c>
      <c r="DK75" s="4" t="str">
        <f>IF(XS_Designer_Bed_Mix!$J75&lt;=XS_Designer!$BN$102,XS_Designer!BE$102,"")</f>
        <v/>
      </c>
      <c r="DL75" s="4" t="str">
        <f>IF(XS_Designer_Bed_Mix!$J75&lt;=XS_Designer!$BN$102,XS_Designer!BF$102,"")</f>
        <v/>
      </c>
      <c r="DM75" s="4" t="str">
        <f>IF(XS_Designer_Bed_Mix!$J75&lt;=XS_Designer!$BN$102,XS_Designer!BG$102,"")</f>
        <v/>
      </c>
      <c r="DN75" s="4" t="str">
        <f>IF(XS_Designer_Bed_Mix!$J75&lt;=XS_Designer!$BN$102,XS_Designer!BH$102,"")</f>
        <v/>
      </c>
      <c r="DO75" s="4" t="str">
        <f>IF(XS_Designer_Bed_Mix!$J75&lt;=XS_Designer!$BN$102,XS_Designer!BI$102,"")</f>
        <v/>
      </c>
      <c r="DP75" s="4" t="str">
        <f>IF(XS_Designer_Bed_Mix!$J75&lt;=XS_Designer!$BN$102,XS_Designer!BJ$102,"")</f>
        <v/>
      </c>
    </row>
    <row r="76" spans="10:120">
      <c r="J76" s="3">
        <v>0.75</v>
      </c>
      <c r="K76" s="4" t="str">
        <f>IF(XS_Designer_Bed_Mix!$J76&lt;=XS_Designer!$BN$92,XS_Designer!BA$92,"")</f>
        <v/>
      </c>
      <c r="L76" s="4" t="str">
        <f>IF(XS_Designer_Bed_Mix!$J76&lt;=XS_Designer!$BN$92,XS_Designer!BB$92,"")</f>
        <v/>
      </c>
      <c r="M76" s="4" t="str">
        <f>IF(XS_Designer_Bed_Mix!$J76&lt;=XS_Designer!$BN$92,XS_Designer!BC$92,"")</f>
        <v/>
      </c>
      <c r="N76" s="4" t="str">
        <f>IF(XS_Designer_Bed_Mix!$J76&lt;=XS_Designer!$BN$92,XS_Designer!BD$92,"")</f>
        <v/>
      </c>
      <c r="O76" s="4" t="str">
        <f>IF(XS_Designer_Bed_Mix!$J76&lt;=XS_Designer!$BN$92,XS_Designer!BE$92,"")</f>
        <v/>
      </c>
      <c r="P76" s="4" t="str">
        <f>IF(XS_Designer_Bed_Mix!$J76&lt;=XS_Designer!$BN$92,XS_Designer!BF$92,"")</f>
        <v/>
      </c>
      <c r="Q76" s="4" t="str">
        <f>IF(XS_Designer_Bed_Mix!$J76&lt;=XS_Designer!$BN$92,XS_Designer!BG$92,"")</f>
        <v/>
      </c>
      <c r="R76" s="4" t="str">
        <f>IF(XS_Designer_Bed_Mix!$J76&lt;=XS_Designer!$BN$92,XS_Designer!BH$92,"")</f>
        <v/>
      </c>
      <c r="S76" s="4" t="str">
        <f>IF(XS_Designer_Bed_Mix!$J76&lt;=XS_Designer!$BN$92,XS_Designer!BI$92,"")</f>
        <v/>
      </c>
      <c r="T76" s="4" t="str">
        <f>IF(XS_Designer_Bed_Mix!$J76&lt;=XS_Designer!$BN$92,XS_Designer!BJ$92,"")</f>
        <v/>
      </c>
      <c r="U76" s="4" t="str">
        <f>IF(XS_Designer_Bed_Mix!$J76&lt;=XS_Designer!$BN$93,XS_Designer!BA$93,"")</f>
        <v/>
      </c>
      <c r="V76" s="4" t="str">
        <f>IF(XS_Designer_Bed_Mix!$J76&lt;=XS_Designer!$BN$93,XS_Designer!BB$93,"")</f>
        <v/>
      </c>
      <c r="W76" s="4" t="str">
        <f>IF(XS_Designer_Bed_Mix!$J76&lt;=XS_Designer!$BN$93,XS_Designer!BC$93,"")</f>
        <v/>
      </c>
      <c r="X76" s="4" t="str">
        <f>IF(XS_Designer_Bed_Mix!$J76&lt;=XS_Designer!$BN$93,XS_Designer!BD$93,"")</f>
        <v/>
      </c>
      <c r="Y76" s="4" t="str">
        <f>IF(XS_Designer_Bed_Mix!$J76&lt;=XS_Designer!$BN$93,XS_Designer!BE$93,"")</f>
        <v/>
      </c>
      <c r="Z76" s="4" t="str">
        <f>IF(XS_Designer_Bed_Mix!$J76&lt;=XS_Designer!$BN$93,XS_Designer!BF$93,"")</f>
        <v/>
      </c>
      <c r="AA76" s="4" t="str">
        <f>IF(XS_Designer_Bed_Mix!$J76&lt;=XS_Designer!$BN$93,XS_Designer!BG$93,"")</f>
        <v/>
      </c>
      <c r="AB76" s="4" t="str">
        <f>IF(XS_Designer_Bed_Mix!$J76&lt;=XS_Designer!$BN$93,XS_Designer!BH$93,"")</f>
        <v/>
      </c>
      <c r="AC76" s="4" t="str">
        <f>IF(XS_Designer_Bed_Mix!$J76&lt;=XS_Designer!$BN$93,XS_Designer!BI$93,"")</f>
        <v/>
      </c>
      <c r="AD76" s="4" t="str">
        <f>IF(XS_Designer_Bed_Mix!$J76&lt;=XS_Designer!$BN$93,XS_Designer!BJ$93,"")</f>
        <v/>
      </c>
      <c r="AE76" s="4" t="str">
        <f>IF(XS_Designer_Bed_Mix!$J76&lt;=XS_Designer!$BN$94,XS_Designer!BA$94,"")</f>
        <v/>
      </c>
      <c r="AF76" s="4" t="str">
        <f>IF(XS_Designer_Bed_Mix!$J76&lt;=XS_Designer!$BN$94,XS_Designer!BB$94,"")</f>
        <v/>
      </c>
      <c r="AG76" s="4" t="str">
        <f>IF(XS_Designer_Bed_Mix!$J76&lt;=XS_Designer!$BN$94,XS_Designer!BC$94,"")</f>
        <v/>
      </c>
      <c r="AH76" s="4" t="str">
        <f>IF(XS_Designer_Bed_Mix!$J76&lt;=XS_Designer!$BN$94,XS_Designer!BD$94,"")</f>
        <v/>
      </c>
      <c r="AI76" s="4" t="str">
        <f>IF(XS_Designer_Bed_Mix!$J76&lt;=XS_Designer!$BN$94,XS_Designer!BE$94,"")</f>
        <v/>
      </c>
      <c r="AJ76" s="4" t="str">
        <f>IF(XS_Designer_Bed_Mix!$J76&lt;=XS_Designer!$BN$94,XS_Designer!BF$94,"")</f>
        <v/>
      </c>
      <c r="AK76" s="4" t="str">
        <f>IF(XS_Designer_Bed_Mix!$J76&lt;=XS_Designer!$BN$94,XS_Designer!BG$94,"")</f>
        <v/>
      </c>
      <c r="AL76" s="4" t="str">
        <f>IF(XS_Designer_Bed_Mix!$J76&lt;=XS_Designer!$BN$94,XS_Designer!BH$94,"")</f>
        <v/>
      </c>
      <c r="AM76" s="4" t="str">
        <f>IF(XS_Designer_Bed_Mix!$J76&lt;=XS_Designer!$BN$94,XS_Designer!BI$94,"")</f>
        <v/>
      </c>
      <c r="AN76" s="4" t="str">
        <f>IF(XS_Designer_Bed_Mix!$J76&lt;=XS_Designer!$BN$94,XS_Designer!BJ$94,"")</f>
        <v/>
      </c>
      <c r="AO76" s="4" t="str">
        <f>IF(XS_Designer_Bed_Mix!$J76&lt;=XS_Designer!$BN$95,XS_Designer!BA$95,"")</f>
        <v/>
      </c>
      <c r="AP76" s="4" t="str">
        <f>IF(XS_Designer_Bed_Mix!$J76&lt;=XS_Designer!$BN$95,XS_Designer!BB$95,"")</f>
        <v/>
      </c>
      <c r="AQ76" s="4" t="str">
        <f>IF(XS_Designer_Bed_Mix!$J76&lt;=XS_Designer!$BN$95,XS_Designer!BC$95,"")</f>
        <v/>
      </c>
      <c r="AR76" s="4" t="str">
        <f>IF(XS_Designer_Bed_Mix!$J76&lt;=XS_Designer!$BN$95,XS_Designer!BD$95,"")</f>
        <v/>
      </c>
      <c r="AS76" s="4" t="str">
        <f>IF(XS_Designer_Bed_Mix!$J76&lt;=XS_Designer!$BN$95,XS_Designer!BE$95,"")</f>
        <v/>
      </c>
      <c r="AT76" s="4" t="str">
        <f>IF(XS_Designer_Bed_Mix!$J76&lt;=XS_Designer!$BN$95,XS_Designer!BF$95,"")</f>
        <v/>
      </c>
      <c r="AU76" s="4" t="str">
        <f>IF(XS_Designer_Bed_Mix!$J76&lt;=XS_Designer!$BN$95,XS_Designer!BG$95,"")</f>
        <v/>
      </c>
      <c r="AV76" s="4" t="str">
        <f>IF(XS_Designer_Bed_Mix!$J76&lt;=XS_Designer!$BN$95,XS_Designer!BH$95,"")</f>
        <v/>
      </c>
      <c r="AW76" s="4" t="str">
        <f>IF(XS_Designer_Bed_Mix!$J76&lt;=XS_Designer!$BN$95,XS_Designer!BI$95,"")</f>
        <v/>
      </c>
      <c r="AX76" s="4" t="str">
        <f>IF(XS_Designer_Bed_Mix!$J76&lt;=XS_Designer!$BN$95,XS_Designer!BJ$95,"")</f>
        <v/>
      </c>
      <c r="AY76" s="4" t="str">
        <f>IF(XS_Designer_Bed_Mix!$J76&lt;=XS_Designer!$BN$96,XS_Designer!BA$96,"")</f>
        <v/>
      </c>
      <c r="AZ76" s="4" t="str">
        <f>IF(XS_Designer_Bed_Mix!$J76&lt;=XS_Designer!$BN$96,XS_Designer!BB$96,"")</f>
        <v/>
      </c>
      <c r="BA76" s="4" t="str">
        <f>IF(XS_Designer_Bed_Mix!$J76&lt;=XS_Designer!$BN$96,XS_Designer!BC$96,"")</f>
        <v/>
      </c>
      <c r="BB76" s="4" t="str">
        <f>IF(XS_Designer_Bed_Mix!$J76&lt;=XS_Designer!$BN$96,XS_Designer!BD$96,"")</f>
        <v/>
      </c>
      <c r="BC76" s="4" t="str">
        <f>IF(XS_Designer_Bed_Mix!$J76&lt;=XS_Designer!$BN$96,XS_Designer!BE$96,"")</f>
        <v/>
      </c>
      <c r="BD76" s="4" t="str">
        <f>IF(XS_Designer_Bed_Mix!$J76&lt;=XS_Designer!$BN$96,XS_Designer!BF$96,"")</f>
        <v/>
      </c>
      <c r="BE76" s="4" t="str">
        <f>IF(XS_Designer_Bed_Mix!$J76&lt;=XS_Designer!$BN$96,XS_Designer!BG$96,"")</f>
        <v/>
      </c>
      <c r="BF76" s="4" t="str">
        <f>IF(XS_Designer_Bed_Mix!$J76&lt;=XS_Designer!$BN$96,XS_Designer!BH$96,"")</f>
        <v/>
      </c>
      <c r="BG76" s="4" t="str">
        <f>IF(XS_Designer_Bed_Mix!$J76&lt;=XS_Designer!$BN$96,XS_Designer!BI$96,"")</f>
        <v/>
      </c>
      <c r="BH76" s="4" t="str">
        <f>IF(XS_Designer_Bed_Mix!$J76&lt;=XS_Designer!$BN$96,XS_Designer!BJ$96,"")</f>
        <v/>
      </c>
      <c r="BI76" s="4" t="str">
        <f>IF(XS_Designer_Bed_Mix!$J76&lt;=XS_Designer!$BN$97,XS_Designer!BA$97,"")</f>
        <v/>
      </c>
      <c r="BJ76" s="4" t="str">
        <f>IF(XS_Designer_Bed_Mix!$J76&lt;=XS_Designer!$BN$97,XS_Designer!BB$97,"")</f>
        <v/>
      </c>
      <c r="BK76" s="4" t="str">
        <f>IF(XS_Designer_Bed_Mix!$J76&lt;=XS_Designer!$BN$97,XS_Designer!BC$97,"")</f>
        <v/>
      </c>
      <c r="BL76" s="4" t="str">
        <f>IF(XS_Designer_Bed_Mix!$J76&lt;=XS_Designer!$BN$97,XS_Designer!BD$97,"")</f>
        <v/>
      </c>
      <c r="BM76" s="4" t="str">
        <f>IF(XS_Designer_Bed_Mix!$J76&lt;=XS_Designer!$BN$97,XS_Designer!BE$97,"")</f>
        <v/>
      </c>
      <c r="BN76" s="4" t="str">
        <f>IF(XS_Designer_Bed_Mix!$J76&lt;=XS_Designer!$BN$97,XS_Designer!BF$97,"")</f>
        <v/>
      </c>
      <c r="BO76" s="4" t="str">
        <f>IF(XS_Designer_Bed_Mix!$J76&lt;=XS_Designer!$BN$97,XS_Designer!BG$97,"")</f>
        <v/>
      </c>
      <c r="BP76" s="4" t="str">
        <f>IF(XS_Designer_Bed_Mix!$J76&lt;=XS_Designer!$BN$97,XS_Designer!BH$97,"")</f>
        <v/>
      </c>
      <c r="BQ76" s="4" t="str">
        <f>IF(XS_Designer_Bed_Mix!$J76&lt;=XS_Designer!$BN$97,XS_Designer!BI$97,"")</f>
        <v/>
      </c>
      <c r="BR76" s="4" t="str">
        <f>IF(XS_Designer_Bed_Mix!$J76&lt;=XS_Designer!$BN$97,XS_Designer!BJ$97,"")</f>
        <v/>
      </c>
      <c r="BS76" s="4" t="str">
        <f>IF(XS_Designer_Bed_Mix!$J76&lt;=XS_Designer!$BN$98,XS_Designer!BA$98,"")</f>
        <v/>
      </c>
      <c r="BT76" s="4" t="str">
        <f>IF(XS_Designer_Bed_Mix!$J76&lt;=XS_Designer!$BN$98,XS_Designer!BB$98,"")</f>
        <v/>
      </c>
      <c r="BU76" s="4" t="str">
        <f>IF(XS_Designer_Bed_Mix!$J76&lt;=XS_Designer!$BN$98,XS_Designer!BC$98,"")</f>
        <v/>
      </c>
      <c r="BV76" s="4" t="str">
        <f>IF(XS_Designer_Bed_Mix!$J76&lt;=XS_Designer!$BN$98,XS_Designer!BD$98,"")</f>
        <v/>
      </c>
      <c r="BW76" s="4" t="str">
        <f>IF(XS_Designer_Bed_Mix!$J76&lt;=XS_Designer!$BN$98,XS_Designer!BE$98,"")</f>
        <v/>
      </c>
      <c r="BX76" s="4" t="str">
        <f>IF(XS_Designer_Bed_Mix!$J76&lt;=XS_Designer!$BN$98,XS_Designer!BF$98,"")</f>
        <v/>
      </c>
      <c r="BY76" s="4" t="str">
        <f>IF(XS_Designer_Bed_Mix!$J76&lt;=XS_Designer!$BN$98,XS_Designer!BG$98,"")</f>
        <v/>
      </c>
      <c r="BZ76" s="4" t="str">
        <f>IF(XS_Designer_Bed_Mix!$J76&lt;=XS_Designer!$BN$98,XS_Designer!BH$98,"")</f>
        <v/>
      </c>
      <c r="CA76" s="4" t="str">
        <f>IF(XS_Designer_Bed_Mix!$J76&lt;=XS_Designer!$BN$98,XS_Designer!BI$98,"")</f>
        <v/>
      </c>
      <c r="CB76" s="4" t="str">
        <f>IF(XS_Designer_Bed_Mix!$J76&lt;=XS_Designer!$BN$98,XS_Designer!BJ$98,"")</f>
        <v/>
      </c>
      <c r="CC76" s="4" t="str">
        <f>IF(XS_Designer_Bed_Mix!$J76&lt;=XS_Designer!$BN$99,XS_Designer!BA$99,"")</f>
        <v/>
      </c>
      <c r="CD76" s="4" t="str">
        <f>IF(XS_Designer_Bed_Mix!$J76&lt;=XS_Designer!$BN$99,XS_Designer!BB$99,"")</f>
        <v/>
      </c>
      <c r="CE76" s="4" t="str">
        <f>IF(XS_Designer_Bed_Mix!$J76&lt;=XS_Designer!$BN$99,XS_Designer!BC$99,"")</f>
        <v/>
      </c>
      <c r="CF76" s="4" t="str">
        <f>IF(XS_Designer_Bed_Mix!$J76&lt;=XS_Designer!$BN$99,XS_Designer!BD$99,"")</f>
        <v/>
      </c>
      <c r="CG76" s="4" t="str">
        <f>IF(XS_Designer_Bed_Mix!$J76&lt;=XS_Designer!$BN$99,XS_Designer!BE$99,"")</f>
        <v/>
      </c>
      <c r="CH76" s="4" t="str">
        <f>IF(XS_Designer_Bed_Mix!$J76&lt;=XS_Designer!$BN$99,XS_Designer!BF$99,"")</f>
        <v/>
      </c>
      <c r="CI76" s="4" t="str">
        <f>IF(XS_Designer_Bed_Mix!$J76&lt;=XS_Designer!$BN$99,XS_Designer!BG$99,"")</f>
        <v/>
      </c>
      <c r="CJ76" s="4" t="str">
        <f>IF(XS_Designer_Bed_Mix!$J76&lt;=XS_Designer!$BN$99,XS_Designer!BH$99,"")</f>
        <v/>
      </c>
      <c r="CK76" s="4" t="str">
        <f>IF(XS_Designer_Bed_Mix!$J76&lt;=XS_Designer!$BN$99,XS_Designer!BI$99,"")</f>
        <v/>
      </c>
      <c r="CL76" s="4" t="str">
        <f>IF(XS_Designer_Bed_Mix!$J76&lt;=XS_Designer!$BN$99,XS_Designer!BJ$99,"")</f>
        <v/>
      </c>
      <c r="CM76" s="4" t="str">
        <f>IF(XS_Designer_Bed_Mix!$J76&lt;=XS_Designer!$BN$100,XS_Designer!BA$100,"")</f>
        <v/>
      </c>
      <c r="CN76" s="4" t="str">
        <f>IF(XS_Designer_Bed_Mix!$J76&lt;=XS_Designer!$BN$100,XS_Designer!BB$100,"")</f>
        <v/>
      </c>
      <c r="CO76" s="4" t="str">
        <f>IF(XS_Designer_Bed_Mix!$J76&lt;=XS_Designer!$BN$100,XS_Designer!BC$100,"")</f>
        <v/>
      </c>
      <c r="CP76" s="4" t="str">
        <f>IF(XS_Designer_Bed_Mix!$J76&lt;=XS_Designer!$BN$100,XS_Designer!BD$100,"")</f>
        <v/>
      </c>
      <c r="CQ76" s="4" t="str">
        <f>IF(XS_Designer_Bed_Mix!$J76&lt;=XS_Designer!$BN$100,XS_Designer!BE$100,"")</f>
        <v/>
      </c>
      <c r="CR76" s="4" t="str">
        <f>IF(XS_Designer_Bed_Mix!$J76&lt;=XS_Designer!$BN$100,XS_Designer!BF$100,"")</f>
        <v/>
      </c>
      <c r="CS76" s="4" t="str">
        <f>IF(XS_Designer_Bed_Mix!$J76&lt;=XS_Designer!$BN$100,XS_Designer!BG$100,"")</f>
        <v/>
      </c>
      <c r="CT76" s="4" t="str">
        <f>IF(XS_Designer_Bed_Mix!$J76&lt;=XS_Designer!$BN$100,XS_Designer!BH$100,"")</f>
        <v/>
      </c>
      <c r="CU76" s="4" t="str">
        <f>IF(XS_Designer_Bed_Mix!$J76&lt;=XS_Designer!$BN$100,XS_Designer!BI$100,"")</f>
        <v/>
      </c>
      <c r="CV76" s="4" t="str">
        <f>IF(XS_Designer_Bed_Mix!$J76&lt;=XS_Designer!$BN$100,XS_Designer!BJ$100,"")</f>
        <v/>
      </c>
      <c r="CW76" s="4" t="str">
        <f>IF(XS_Designer_Bed_Mix!$J76&lt;=XS_Designer!$BN$101,XS_Designer!BA$101,"")</f>
        <v/>
      </c>
      <c r="CX76" s="4" t="str">
        <f>IF(XS_Designer_Bed_Mix!$J76&lt;=XS_Designer!$BN$101,XS_Designer!BB$101,"")</f>
        <v/>
      </c>
      <c r="CY76" s="4" t="str">
        <f>IF(XS_Designer_Bed_Mix!$J76&lt;=XS_Designer!$BN$101,XS_Designer!BC$101,"")</f>
        <v/>
      </c>
      <c r="CZ76" s="4" t="str">
        <f>IF(XS_Designer_Bed_Mix!$J76&lt;=XS_Designer!$BN$101,XS_Designer!BD$101,"")</f>
        <v/>
      </c>
      <c r="DA76" s="4" t="str">
        <f>IF(XS_Designer_Bed_Mix!$J76&lt;=XS_Designer!$BN$101,XS_Designer!BE$101,"")</f>
        <v/>
      </c>
      <c r="DB76" s="4" t="str">
        <f>IF(XS_Designer_Bed_Mix!$J76&lt;=XS_Designer!$BN$101,XS_Designer!BF$101,"")</f>
        <v/>
      </c>
      <c r="DC76" s="4" t="str">
        <f>IF(XS_Designer_Bed_Mix!$J76&lt;=XS_Designer!$BN$101,XS_Designer!BG$101,"")</f>
        <v/>
      </c>
      <c r="DD76" s="4" t="str">
        <f>IF(XS_Designer_Bed_Mix!$J76&lt;=XS_Designer!$BN$101,XS_Designer!BH$101,"")</f>
        <v/>
      </c>
      <c r="DE76" s="4" t="str">
        <f>IF(XS_Designer_Bed_Mix!$J76&lt;=XS_Designer!$BN$101,XS_Designer!BI$101,"")</f>
        <v/>
      </c>
      <c r="DF76" s="4" t="str">
        <f>IF(XS_Designer_Bed_Mix!$J76&lt;=XS_Designer!$BN$101,XS_Designer!BJ$101,"")</f>
        <v/>
      </c>
      <c r="DG76" s="4" t="str">
        <f>IF(XS_Designer_Bed_Mix!$J76&lt;=XS_Designer!$BN$102,XS_Designer!BA$102,"")</f>
        <v/>
      </c>
      <c r="DH76" s="4" t="str">
        <f>IF(XS_Designer_Bed_Mix!$J76&lt;=XS_Designer!$BN$102,XS_Designer!BB$102,"")</f>
        <v/>
      </c>
      <c r="DI76" s="4" t="str">
        <f>IF(XS_Designer_Bed_Mix!$J76&lt;=XS_Designer!$BN$102,XS_Designer!BC$102,"")</f>
        <v/>
      </c>
      <c r="DJ76" s="4" t="str">
        <f>IF(XS_Designer_Bed_Mix!$J76&lt;=XS_Designer!$BN$102,XS_Designer!BD$102,"")</f>
        <v/>
      </c>
      <c r="DK76" s="4" t="str">
        <f>IF(XS_Designer_Bed_Mix!$J76&lt;=XS_Designer!$BN$102,XS_Designer!BE$102,"")</f>
        <v/>
      </c>
      <c r="DL76" s="4" t="str">
        <f>IF(XS_Designer_Bed_Mix!$J76&lt;=XS_Designer!$BN$102,XS_Designer!BF$102,"")</f>
        <v/>
      </c>
      <c r="DM76" s="4" t="str">
        <f>IF(XS_Designer_Bed_Mix!$J76&lt;=XS_Designer!$BN$102,XS_Designer!BG$102,"")</f>
        <v/>
      </c>
      <c r="DN76" s="4" t="str">
        <f>IF(XS_Designer_Bed_Mix!$J76&lt;=XS_Designer!$BN$102,XS_Designer!BH$102,"")</f>
        <v/>
      </c>
      <c r="DO76" s="4" t="str">
        <f>IF(XS_Designer_Bed_Mix!$J76&lt;=XS_Designer!$BN$102,XS_Designer!BI$102,"")</f>
        <v/>
      </c>
      <c r="DP76" s="4" t="str">
        <f>IF(XS_Designer_Bed_Mix!$J76&lt;=XS_Designer!$BN$102,XS_Designer!BJ$102,"")</f>
        <v/>
      </c>
    </row>
    <row r="77" spans="10:120">
      <c r="J77" s="3">
        <v>0.76</v>
      </c>
      <c r="K77" s="4" t="str">
        <f>IF(XS_Designer_Bed_Mix!$J77&lt;=XS_Designer!$BN$92,XS_Designer!BA$92,"")</f>
        <v/>
      </c>
      <c r="L77" s="4" t="str">
        <f>IF(XS_Designer_Bed_Mix!$J77&lt;=XS_Designer!$BN$92,XS_Designer!BB$92,"")</f>
        <v/>
      </c>
      <c r="M77" s="4" t="str">
        <f>IF(XS_Designer_Bed_Mix!$J77&lt;=XS_Designer!$BN$92,XS_Designer!BC$92,"")</f>
        <v/>
      </c>
      <c r="N77" s="4" t="str">
        <f>IF(XS_Designer_Bed_Mix!$J77&lt;=XS_Designer!$BN$92,XS_Designer!BD$92,"")</f>
        <v/>
      </c>
      <c r="O77" s="4" t="str">
        <f>IF(XS_Designer_Bed_Mix!$J77&lt;=XS_Designer!$BN$92,XS_Designer!BE$92,"")</f>
        <v/>
      </c>
      <c r="P77" s="4" t="str">
        <f>IF(XS_Designer_Bed_Mix!$J77&lt;=XS_Designer!$BN$92,XS_Designer!BF$92,"")</f>
        <v/>
      </c>
      <c r="Q77" s="4" t="str">
        <f>IF(XS_Designer_Bed_Mix!$J77&lt;=XS_Designer!$BN$92,XS_Designer!BG$92,"")</f>
        <v/>
      </c>
      <c r="R77" s="4" t="str">
        <f>IF(XS_Designer_Bed_Mix!$J77&lt;=XS_Designer!$BN$92,XS_Designer!BH$92,"")</f>
        <v/>
      </c>
      <c r="S77" s="4" t="str">
        <f>IF(XS_Designer_Bed_Mix!$J77&lt;=XS_Designer!$BN$92,XS_Designer!BI$92,"")</f>
        <v/>
      </c>
      <c r="T77" s="4" t="str">
        <f>IF(XS_Designer_Bed_Mix!$J77&lt;=XS_Designer!$BN$92,XS_Designer!BJ$92,"")</f>
        <v/>
      </c>
      <c r="U77" s="4" t="str">
        <f>IF(XS_Designer_Bed_Mix!$J77&lt;=XS_Designer!$BN$93,XS_Designer!BA$93,"")</f>
        <v/>
      </c>
      <c r="V77" s="4" t="str">
        <f>IF(XS_Designer_Bed_Mix!$J77&lt;=XS_Designer!$BN$93,XS_Designer!BB$93,"")</f>
        <v/>
      </c>
      <c r="W77" s="4" t="str">
        <f>IF(XS_Designer_Bed_Mix!$J77&lt;=XS_Designer!$BN$93,XS_Designer!BC$93,"")</f>
        <v/>
      </c>
      <c r="X77" s="4" t="str">
        <f>IF(XS_Designer_Bed_Mix!$J77&lt;=XS_Designer!$BN$93,XS_Designer!BD$93,"")</f>
        <v/>
      </c>
      <c r="Y77" s="4" t="str">
        <f>IF(XS_Designer_Bed_Mix!$J77&lt;=XS_Designer!$BN$93,XS_Designer!BE$93,"")</f>
        <v/>
      </c>
      <c r="Z77" s="4" t="str">
        <f>IF(XS_Designer_Bed_Mix!$J77&lt;=XS_Designer!$BN$93,XS_Designer!BF$93,"")</f>
        <v/>
      </c>
      <c r="AA77" s="4" t="str">
        <f>IF(XS_Designer_Bed_Mix!$J77&lt;=XS_Designer!$BN$93,XS_Designer!BG$93,"")</f>
        <v/>
      </c>
      <c r="AB77" s="4" t="str">
        <f>IF(XS_Designer_Bed_Mix!$J77&lt;=XS_Designer!$BN$93,XS_Designer!BH$93,"")</f>
        <v/>
      </c>
      <c r="AC77" s="4" t="str">
        <f>IF(XS_Designer_Bed_Mix!$J77&lt;=XS_Designer!$BN$93,XS_Designer!BI$93,"")</f>
        <v/>
      </c>
      <c r="AD77" s="4" t="str">
        <f>IF(XS_Designer_Bed_Mix!$J77&lt;=XS_Designer!$BN$93,XS_Designer!BJ$93,"")</f>
        <v/>
      </c>
      <c r="AE77" s="4" t="str">
        <f>IF(XS_Designer_Bed_Mix!$J77&lt;=XS_Designer!$BN$94,XS_Designer!BA$94,"")</f>
        <v/>
      </c>
      <c r="AF77" s="4" t="str">
        <f>IF(XS_Designer_Bed_Mix!$J77&lt;=XS_Designer!$BN$94,XS_Designer!BB$94,"")</f>
        <v/>
      </c>
      <c r="AG77" s="4" t="str">
        <f>IF(XS_Designer_Bed_Mix!$J77&lt;=XS_Designer!$BN$94,XS_Designer!BC$94,"")</f>
        <v/>
      </c>
      <c r="AH77" s="4" t="str">
        <f>IF(XS_Designer_Bed_Mix!$J77&lt;=XS_Designer!$BN$94,XS_Designer!BD$94,"")</f>
        <v/>
      </c>
      <c r="AI77" s="4" t="str">
        <f>IF(XS_Designer_Bed_Mix!$J77&lt;=XS_Designer!$BN$94,XS_Designer!BE$94,"")</f>
        <v/>
      </c>
      <c r="AJ77" s="4" t="str">
        <f>IF(XS_Designer_Bed_Mix!$J77&lt;=XS_Designer!$BN$94,XS_Designer!BF$94,"")</f>
        <v/>
      </c>
      <c r="AK77" s="4" t="str">
        <f>IF(XS_Designer_Bed_Mix!$J77&lt;=XS_Designer!$BN$94,XS_Designer!BG$94,"")</f>
        <v/>
      </c>
      <c r="AL77" s="4" t="str">
        <f>IF(XS_Designer_Bed_Mix!$J77&lt;=XS_Designer!$BN$94,XS_Designer!BH$94,"")</f>
        <v/>
      </c>
      <c r="AM77" s="4" t="str">
        <f>IF(XS_Designer_Bed_Mix!$J77&lt;=XS_Designer!$BN$94,XS_Designer!BI$94,"")</f>
        <v/>
      </c>
      <c r="AN77" s="4" t="str">
        <f>IF(XS_Designer_Bed_Mix!$J77&lt;=XS_Designer!$BN$94,XS_Designer!BJ$94,"")</f>
        <v/>
      </c>
      <c r="AO77" s="4" t="str">
        <f>IF(XS_Designer_Bed_Mix!$J77&lt;=XS_Designer!$BN$95,XS_Designer!BA$95,"")</f>
        <v/>
      </c>
      <c r="AP77" s="4" t="str">
        <f>IF(XS_Designer_Bed_Mix!$J77&lt;=XS_Designer!$BN$95,XS_Designer!BB$95,"")</f>
        <v/>
      </c>
      <c r="AQ77" s="4" t="str">
        <f>IF(XS_Designer_Bed_Mix!$J77&lt;=XS_Designer!$BN$95,XS_Designer!BC$95,"")</f>
        <v/>
      </c>
      <c r="AR77" s="4" t="str">
        <f>IF(XS_Designer_Bed_Mix!$J77&lt;=XS_Designer!$BN$95,XS_Designer!BD$95,"")</f>
        <v/>
      </c>
      <c r="AS77" s="4" t="str">
        <f>IF(XS_Designer_Bed_Mix!$J77&lt;=XS_Designer!$BN$95,XS_Designer!BE$95,"")</f>
        <v/>
      </c>
      <c r="AT77" s="4" t="str">
        <f>IF(XS_Designer_Bed_Mix!$J77&lt;=XS_Designer!$BN$95,XS_Designer!BF$95,"")</f>
        <v/>
      </c>
      <c r="AU77" s="4" t="str">
        <f>IF(XS_Designer_Bed_Mix!$J77&lt;=XS_Designer!$BN$95,XS_Designer!BG$95,"")</f>
        <v/>
      </c>
      <c r="AV77" s="4" t="str">
        <f>IF(XS_Designer_Bed_Mix!$J77&lt;=XS_Designer!$BN$95,XS_Designer!BH$95,"")</f>
        <v/>
      </c>
      <c r="AW77" s="4" t="str">
        <f>IF(XS_Designer_Bed_Mix!$J77&lt;=XS_Designer!$BN$95,XS_Designer!BI$95,"")</f>
        <v/>
      </c>
      <c r="AX77" s="4" t="str">
        <f>IF(XS_Designer_Bed_Mix!$J77&lt;=XS_Designer!$BN$95,XS_Designer!BJ$95,"")</f>
        <v/>
      </c>
      <c r="AY77" s="4" t="str">
        <f>IF(XS_Designer_Bed_Mix!$J77&lt;=XS_Designer!$BN$96,XS_Designer!BA$96,"")</f>
        <v/>
      </c>
      <c r="AZ77" s="4" t="str">
        <f>IF(XS_Designer_Bed_Mix!$J77&lt;=XS_Designer!$BN$96,XS_Designer!BB$96,"")</f>
        <v/>
      </c>
      <c r="BA77" s="4" t="str">
        <f>IF(XS_Designer_Bed_Mix!$J77&lt;=XS_Designer!$BN$96,XS_Designer!BC$96,"")</f>
        <v/>
      </c>
      <c r="BB77" s="4" t="str">
        <f>IF(XS_Designer_Bed_Mix!$J77&lt;=XS_Designer!$BN$96,XS_Designer!BD$96,"")</f>
        <v/>
      </c>
      <c r="BC77" s="4" t="str">
        <f>IF(XS_Designer_Bed_Mix!$J77&lt;=XS_Designer!$BN$96,XS_Designer!BE$96,"")</f>
        <v/>
      </c>
      <c r="BD77" s="4" t="str">
        <f>IF(XS_Designer_Bed_Mix!$J77&lt;=XS_Designer!$BN$96,XS_Designer!BF$96,"")</f>
        <v/>
      </c>
      <c r="BE77" s="4" t="str">
        <f>IF(XS_Designer_Bed_Mix!$J77&lt;=XS_Designer!$BN$96,XS_Designer!BG$96,"")</f>
        <v/>
      </c>
      <c r="BF77" s="4" t="str">
        <f>IF(XS_Designer_Bed_Mix!$J77&lt;=XS_Designer!$BN$96,XS_Designer!BH$96,"")</f>
        <v/>
      </c>
      <c r="BG77" s="4" t="str">
        <f>IF(XS_Designer_Bed_Mix!$J77&lt;=XS_Designer!$BN$96,XS_Designer!BI$96,"")</f>
        <v/>
      </c>
      <c r="BH77" s="4" t="str">
        <f>IF(XS_Designer_Bed_Mix!$J77&lt;=XS_Designer!$BN$96,XS_Designer!BJ$96,"")</f>
        <v/>
      </c>
      <c r="BI77" s="4" t="str">
        <f>IF(XS_Designer_Bed_Mix!$J77&lt;=XS_Designer!$BN$97,XS_Designer!BA$97,"")</f>
        <v/>
      </c>
      <c r="BJ77" s="4" t="str">
        <f>IF(XS_Designer_Bed_Mix!$J77&lt;=XS_Designer!$BN$97,XS_Designer!BB$97,"")</f>
        <v/>
      </c>
      <c r="BK77" s="4" t="str">
        <f>IF(XS_Designer_Bed_Mix!$J77&lt;=XS_Designer!$BN$97,XS_Designer!BC$97,"")</f>
        <v/>
      </c>
      <c r="BL77" s="4" t="str">
        <f>IF(XS_Designer_Bed_Mix!$J77&lt;=XS_Designer!$BN$97,XS_Designer!BD$97,"")</f>
        <v/>
      </c>
      <c r="BM77" s="4" t="str">
        <f>IF(XS_Designer_Bed_Mix!$J77&lt;=XS_Designer!$BN$97,XS_Designer!BE$97,"")</f>
        <v/>
      </c>
      <c r="BN77" s="4" t="str">
        <f>IF(XS_Designer_Bed_Mix!$J77&lt;=XS_Designer!$BN$97,XS_Designer!BF$97,"")</f>
        <v/>
      </c>
      <c r="BO77" s="4" t="str">
        <f>IF(XS_Designer_Bed_Mix!$J77&lt;=XS_Designer!$BN$97,XS_Designer!BG$97,"")</f>
        <v/>
      </c>
      <c r="BP77" s="4" t="str">
        <f>IF(XS_Designer_Bed_Mix!$J77&lt;=XS_Designer!$BN$97,XS_Designer!BH$97,"")</f>
        <v/>
      </c>
      <c r="BQ77" s="4" t="str">
        <f>IF(XS_Designer_Bed_Mix!$J77&lt;=XS_Designer!$BN$97,XS_Designer!BI$97,"")</f>
        <v/>
      </c>
      <c r="BR77" s="4" t="str">
        <f>IF(XS_Designer_Bed_Mix!$J77&lt;=XS_Designer!$BN$97,XS_Designer!BJ$97,"")</f>
        <v/>
      </c>
      <c r="BS77" s="4" t="str">
        <f>IF(XS_Designer_Bed_Mix!$J77&lt;=XS_Designer!$BN$98,XS_Designer!BA$98,"")</f>
        <v/>
      </c>
      <c r="BT77" s="4" t="str">
        <f>IF(XS_Designer_Bed_Mix!$J77&lt;=XS_Designer!$BN$98,XS_Designer!BB$98,"")</f>
        <v/>
      </c>
      <c r="BU77" s="4" t="str">
        <f>IF(XS_Designer_Bed_Mix!$J77&lt;=XS_Designer!$BN$98,XS_Designer!BC$98,"")</f>
        <v/>
      </c>
      <c r="BV77" s="4" t="str">
        <f>IF(XS_Designer_Bed_Mix!$J77&lt;=XS_Designer!$BN$98,XS_Designer!BD$98,"")</f>
        <v/>
      </c>
      <c r="BW77" s="4" t="str">
        <f>IF(XS_Designer_Bed_Mix!$J77&lt;=XS_Designer!$BN$98,XS_Designer!BE$98,"")</f>
        <v/>
      </c>
      <c r="BX77" s="4" t="str">
        <f>IF(XS_Designer_Bed_Mix!$J77&lt;=XS_Designer!$BN$98,XS_Designer!BF$98,"")</f>
        <v/>
      </c>
      <c r="BY77" s="4" t="str">
        <f>IF(XS_Designer_Bed_Mix!$J77&lt;=XS_Designer!$BN$98,XS_Designer!BG$98,"")</f>
        <v/>
      </c>
      <c r="BZ77" s="4" t="str">
        <f>IF(XS_Designer_Bed_Mix!$J77&lt;=XS_Designer!$BN$98,XS_Designer!BH$98,"")</f>
        <v/>
      </c>
      <c r="CA77" s="4" t="str">
        <f>IF(XS_Designer_Bed_Mix!$J77&lt;=XS_Designer!$BN$98,XS_Designer!BI$98,"")</f>
        <v/>
      </c>
      <c r="CB77" s="4" t="str">
        <f>IF(XS_Designer_Bed_Mix!$J77&lt;=XS_Designer!$BN$98,XS_Designer!BJ$98,"")</f>
        <v/>
      </c>
      <c r="CC77" s="4" t="str">
        <f>IF(XS_Designer_Bed_Mix!$J77&lt;=XS_Designer!$BN$99,XS_Designer!BA$99,"")</f>
        <v/>
      </c>
      <c r="CD77" s="4" t="str">
        <f>IF(XS_Designer_Bed_Mix!$J77&lt;=XS_Designer!$BN$99,XS_Designer!BB$99,"")</f>
        <v/>
      </c>
      <c r="CE77" s="4" t="str">
        <f>IF(XS_Designer_Bed_Mix!$J77&lt;=XS_Designer!$BN$99,XS_Designer!BC$99,"")</f>
        <v/>
      </c>
      <c r="CF77" s="4" t="str">
        <f>IF(XS_Designer_Bed_Mix!$J77&lt;=XS_Designer!$BN$99,XS_Designer!BD$99,"")</f>
        <v/>
      </c>
      <c r="CG77" s="4" t="str">
        <f>IF(XS_Designer_Bed_Mix!$J77&lt;=XS_Designer!$BN$99,XS_Designer!BE$99,"")</f>
        <v/>
      </c>
      <c r="CH77" s="4" t="str">
        <f>IF(XS_Designer_Bed_Mix!$J77&lt;=XS_Designer!$BN$99,XS_Designer!BF$99,"")</f>
        <v/>
      </c>
      <c r="CI77" s="4" t="str">
        <f>IF(XS_Designer_Bed_Mix!$J77&lt;=XS_Designer!$BN$99,XS_Designer!BG$99,"")</f>
        <v/>
      </c>
      <c r="CJ77" s="4" t="str">
        <f>IF(XS_Designer_Bed_Mix!$J77&lt;=XS_Designer!$BN$99,XS_Designer!BH$99,"")</f>
        <v/>
      </c>
      <c r="CK77" s="4" t="str">
        <f>IF(XS_Designer_Bed_Mix!$J77&lt;=XS_Designer!$BN$99,XS_Designer!BI$99,"")</f>
        <v/>
      </c>
      <c r="CL77" s="4" t="str">
        <f>IF(XS_Designer_Bed_Mix!$J77&lt;=XS_Designer!$BN$99,XS_Designer!BJ$99,"")</f>
        <v/>
      </c>
      <c r="CM77" s="4" t="str">
        <f>IF(XS_Designer_Bed_Mix!$J77&lt;=XS_Designer!$BN$100,XS_Designer!BA$100,"")</f>
        <v/>
      </c>
      <c r="CN77" s="4" t="str">
        <f>IF(XS_Designer_Bed_Mix!$J77&lt;=XS_Designer!$BN$100,XS_Designer!BB$100,"")</f>
        <v/>
      </c>
      <c r="CO77" s="4" t="str">
        <f>IF(XS_Designer_Bed_Mix!$J77&lt;=XS_Designer!$BN$100,XS_Designer!BC$100,"")</f>
        <v/>
      </c>
      <c r="CP77" s="4" t="str">
        <f>IF(XS_Designer_Bed_Mix!$J77&lt;=XS_Designer!$BN$100,XS_Designer!BD$100,"")</f>
        <v/>
      </c>
      <c r="CQ77" s="4" t="str">
        <f>IF(XS_Designer_Bed_Mix!$J77&lt;=XS_Designer!$BN$100,XS_Designer!BE$100,"")</f>
        <v/>
      </c>
      <c r="CR77" s="4" t="str">
        <f>IF(XS_Designer_Bed_Mix!$J77&lt;=XS_Designer!$BN$100,XS_Designer!BF$100,"")</f>
        <v/>
      </c>
      <c r="CS77" s="4" t="str">
        <f>IF(XS_Designer_Bed_Mix!$J77&lt;=XS_Designer!$BN$100,XS_Designer!BG$100,"")</f>
        <v/>
      </c>
      <c r="CT77" s="4" t="str">
        <f>IF(XS_Designer_Bed_Mix!$J77&lt;=XS_Designer!$BN$100,XS_Designer!BH$100,"")</f>
        <v/>
      </c>
      <c r="CU77" s="4" t="str">
        <f>IF(XS_Designer_Bed_Mix!$J77&lt;=XS_Designer!$BN$100,XS_Designer!BI$100,"")</f>
        <v/>
      </c>
      <c r="CV77" s="4" t="str">
        <f>IF(XS_Designer_Bed_Mix!$J77&lt;=XS_Designer!$BN$100,XS_Designer!BJ$100,"")</f>
        <v/>
      </c>
      <c r="CW77" s="4" t="str">
        <f>IF(XS_Designer_Bed_Mix!$J77&lt;=XS_Designer!$BN$101,XS_Designer!BA$101,"")</f>
        <v/>
      </c>
      <c r="CX77" s="4" t="str">
        <f>IF(XS_Designer_Bed_Mix!$J77&lt;=XS_Designer!$BN$101,XS_Designer!BB$101,"")</f>
        <v/>
      </c>
      <c r="CY77" s="4" t="str">
        <f>IF(XS_Designer_Bed_Mix!$J77&lt;=XS_Designer!$BN$101,XS_Designer!BC$101,"")</f>
        <v/>
      </c>
      <c r="CZ77" s="4" t="str">
        <f>IF(XS_Designer_Bed_Mix!$J77&lt;=XS_Designer!$BN$101,XS_Designer!BD$101,"")</f>
        <v/>
      </c>
      <c r="DA77" s="4" t="str">
        <f>IF(XS_Designer_Bed_Mix!$J77&lt;=XS_Designer!$BN$101,XS_Designer!BE$101,"")</f>
        <v/>
      </c>
      <c r="DB77" s="4" t="str">
        <f>IF(XS_Designer_Bed_Mix!$J77&lt;=XS_Designer!$BN$101,XS_Designer!BF$101,"")</f>
        <v/>
      </c>
      <c r="DC77" s="4" t="str">
        <f>IF(XS_Designer_Bed_Mix!$J77&lt;=XS_Designer!$BN$101,XS_Designer!BG$101,"")</f>
        <v/>
      </c>
      <c r="DD77" s="4" t="str">
        <f>IF(XS_Designer_Bed_Mix!$J77&lt;=XS_Designer!$BN$101,XS_Designer!BH$101,"")</f>
        <v/>
      </c>
      <c r="DE77" s="4" t="str">
        <f>IF(XS_Designer_Bed_Mix!$J77&lt;=XS_Designer!$BN$101,XS_Designer!BI$101,"")</f>
        <v/>
      </c>
      <c r="DF77" s="4" t="str">
        <f>IF(XS_Designer_Bed_Mix!$J77&lt;=XS_Designer!$BN$101,XS_Designer!BJ$101,"")</f>
        <v/>
      </c>
      <c r="DG77" s="4" t="str">
        <f>IF(XS_Designer_Bed_Mix!$J77&lt;=XS_Designer!$BN$102,XS_Designer!BA$102,"")</f>
        <v/>
      </c>
      <c r="DH77" s="4" t="str">
        <f>IF(XS_Designer_Bed_Mix!$J77&lt;=XS_Designer!$BN$102,XS_Designer!BB$102,"")</f>
        <v/>
      </c>
      <c r="DI77" s="4" t="str">
        <f>IF(XS_Designer_Bed_Mix!$J77&lt;=XS_Designer!$BN$102,XS_Designer!BC$102,"")</f>
        <v/>
      </c>
      <c r="DJ77" s="4" t="str">
        <f>IF(XS_Designer_Bed_Mix!$J77&lt;=XS_Designer!$BN$102,XS_Designer!BD$102,"")</f>
        <v/>
      </c>
      <c r="DK77" s="4" t="str">
        <f>IF(XS_Designer_Bed_Mix!$J77&lt;=XS_Designer!$BN$102,XS_Designer!BE$102,"")</f>
        <v/>
      </c>
      <c r="DL77" s="4" t="str">
        <f>IF(XS_Designer_Bed_Mix!$J77&lt;=XS_Designer!$BN$102,XS_Designer!BF$102,"")</f>
        <v/>
      </c>
      <c r="DM77" s="4" t="str">
        <f>IF(XS_Designer_Bed_Mix!$J77&lt;=XS_Designer!$BN$102,XS_Designer!BG$102,"")</f>
        <v/>
      </c>
      <c r="DN77" s="4" t="str">
        <f>IF(XS_Designer_Bed_Mix!$J77&lt;=XS_Designer!$BN$102,XS_Designer!BH$102,"")</f>
        <v/>
      </c>
      <c r="DO77" s="4" t="str">
        <f>IF(XS_Designer_Bed_Mix!$J77&lt;=XS_Designer!$BN$102,XS_Designer!BI$102,"")</f>
        <v/>
      </c>
      <c r="DP77" s="4" t="str">
        <f>IF(XS_Designer_Bed_Mix!$J77&lt;=XS_Designer!$BN$102,XS_Designer!BJ$102,"")</f>
        <v/>
      </c>
    </row>
    <row r="78" spans="10:120">
      <c r="J78" s="3">
        <v>0.77</v>
      </c>
      <c r="K78" s="4" t="str">
        <f>IF(XS_Designer_Bed_Mix!$J78&lt;=XS_Designer!$BN$92,XS_Designer!BA$92,"")</f>
        <v/>
      </c>
      <c r="L78" s="4" t="str">
        <f>IF(XS_Designer_Bed_Mix!$J78&lt;=XS_Designer!$BN$92,XS_Designer!BB$92,"")</f>
        <v/>
      </c>
      <c r="M78" s="4" t="str">
        <f>IF(XS_Designer_Bed_Mix!$J78&lt;=XS_Designer!$BN$92,XS_Designer!BC$92,"")</f>
        <v/>
      </c>
      <c r="N78" s="4" t="str">
        <f>IF(XS_Designer_Bed_Mix!$J78&lt;=XS_Designer!$BN$92,XS_Designer!BD$92,"")</f>
        <v/>
      </c>
      <c r="O78" s="4" t="str">
        <f>IF(XS_Designer_Bed_Mix!$J78&lt;=XS_Designer!$BN$92,XS_Designer!BE$92,"")</f>
        <v/>
      </c>
      <c r="P78" s="4" t="str">
        <f>IF(XS_Designer_Bed_Mix!$J78&lt;=XS_Designer!$BN$92,XS_Designer!BF$92,"")</f>
        <v/>
      </c>
      <c r="Q78" s="4" t="str">
        <f>IF(XS_Designer_Bed_Mix!$J78&lt;=XS_Designer!$BN$92,XS_Designer!BG$92,"")</f>
        <v/>
      </c>
      <c r="R78" s="4" t="str">
        <f>IF(XS_Designer_Bed_Mix!$J78&lt;=XS_Designer!$BN$92,XS_Designer!BH$92,"")</f>
        <v/>
      </c>
      <c r="S78" s="4" t="str">
        <f>IF(XS_Designer_Bed_Mix!$J78&lt;=XS_Designer!$BN$92,XS_Designer!BI$92,"")</f>
        <v/>
      </c>
      <c r="T78" s="4" t="str">
        <f>IF(XS_Designer_Bed_Mix!$J78&lt;=XS_Designer!$BN$92,XS_Designer!BJ$92,"")</f>
        <v/>
      </c>
      <c r="U78" s="4" t="str">
        <f>IF(XS_Designer_Bed_Mix!$J78&lt;=XS_Designer!$BN$93,XS_Designer!BA$93,"")</f>
        <v/>
      </c>
      <c r="V78" s="4" t="str">
        <f>IF(XS_Designer_Bed_Mix!$J78&lt;=XS_Designer!$BN$93,XS_Designer!BB$93,"")</f>
        <v/>
      </c>
      <c r="W78" s="4" t="str">
        <f>IF(XS_Designer_Bed_Mix!$J78&lt;=XS_Designer!$BN$93,XS_Designer!BC$93,"")</f>
        <v/>
      </c>
      <c r="X78" s="4" t="str">
        <f>IF(XS_Designer_Bed_Mix!$J78&lt;=XS_Designer!$BN$93,XS_Designer!BD$93,"")</f>
        <v/>
      </c>
      <c r="Y78" s="4" t="str">
        <f>IF(XS_Designer_Bed_Mix!$J78&lt;=XS_Designer!$BN$93,XS_Designer!BE$93,"")</f>
        <v/>
      </c>
      <c r="Z78" s="4" t="str">
        <f>IF(XS_Designer_Bed_Mix!$J78&lt;=XS_Designer!$BN$93,XS_Designer!BF$93,"")</f>
        <v/>
      </c>
      <c r="AA78" s="4" t="str">
        <f>IF(XS_Designer_Bed_Mix!$J78&lt;=XS_Designer!$BN$93,XS_Designer!BG$93,"")</f>
        <v/>
      </c>
      <c r="AB78" s="4" t="str">
        <f>IF(XS_Designer_Bed_Mix!$J78&lt;=XS_Designer!$BN$93,XS_Designer!BH$93,"")</f>
        <v/>
      </c>
      <c r="AC78" s="4" t="str">
        <f>IF(XS_Designer_Bed_Mix!$J78&lt;=XS_Designer!$BN$93,XS_Designer!BI$93,"")</f>
        <v/>
      </c>
      <c r="AD78" s="4" t="str">
        <f>IF(XS_Designer_Bed_Mix!$J78&lt;=XS_Designer!$BN$93,XS_Designer!BJ$93,"")</f>
        <v/>
      </c>
      <c r="AE78" s="4" t="str">
        <f>IF(XS_Designer_Bed_Mix!$J78&lt;=XS_Designer!$BN$94,XS_Designer!BA$94,"")</f>
        <v/>
      </c>
      <c r="AF78" s="4" t="str">
        <f>IF(XS_Designer_Bed_Mix!$J78&lt;=XS_Designer!$BN$94,XS_Designer!BB$94,"")</f>
        <v/>
      </c>
      <c r="AG78" s="4" t="str">
        <f>IF(XS_Designer_Bed_Mix!$J78&lt;=XS_Designer!$BN$94,XS_Designer!BC$94,"")</f>
        <v/>
      </c>
      <c r="AH78" s="4" t="str">
        <f>IF(XS_Designer_Bed_Mix!$J78&lt;=XS_Designer!$BN$94,XS_Designer!BD$94,"")</f>
        <v/>
      </c>
      <c r="AI78" s="4" t="str">
        <f>IF(XS_Designer_Bed_Mix!$J78&lt;=XS_Designer!$BN$94,XS_Designer!BE$94,"")</f>
        <v/>
      </c>
      <c r="AJ78" s="4" t="str">
        <f>IF(XS_Designer_Bed_Mix!$J78&lt;=XS_Designer!$BN$94,XS_Designer!BF$94,"")</f>
        <v/>
      </c>
      <c r="AK78" s="4" t="str">
        <f>IF(XS_Designer_Bed_Mix!$J78&lt;=XS_Designer!$BN$94,XS_Designer!BG$94,"")</f>
        <v/>
      </c>
      <c r="AL78" s="4" t="str">
        <f>IF(XS_Designer_Bed_Mix!$J78&lt;=XS_Designer!$BN$94,XS_Designer!BH$94,"")</f>
        <v/>
      </c>
      <c r="AM78" s="4" t="str">
        <f>IF(XS_Designer_Bed_Mix!$J78&lt;=XS_Designer!$BN$94,XS_Designer!BI$94,"")</f>
        <v/>
      </c>
      <c r="AN78" s="4" t="str">
        <f>IF(XS_Designer_Bed_Mix!$J78&lt;=XS_Designer!$BN$94,XS_Designer!BJ$94,"")</f>
        <v/>
      </c>
      <c r="AO78" s="4" t="str">
        <f>IF(XS_Designer_Bed_Mix!$J78&lt;=XS_Designer!$BN$95,XS_Designer!BA$95,"")</f>
        <v/>
      </c>
      <c r="AP78" s="4" t="str">
        <f>IF(XS_Designer_Bed_Mix!$J78&lt;=XS_Designer!$BN$95,XS_Designer!BB$95,"")</f>
        <v/>
      </c>
      <c r="AQ78" s="4" t="str">
        <f>IF(XS_Designer_Bed_Mix!$J78&lt;=XS_Designer!$BN$95,XS_Designer!BC$95,"")</f>
        <v/>
      </c>
      <c r="AR78" s="4" t="str">
        <f>IF(XS_Designer_Bed_Mix!$J78&lt;=XS_Designer!$BN$95,XS_Designer!BD$95,"")</f>
        <v/>
      </c>
      <c r="AS78" s="4" t="str">
        <f>IF(XS_Designer_Bed_Mix!$J78&lt;=XS_Designer!$BN$95,XS_Designer!BE$95,"")</f>
        <v/>
      </c>
      <c r="AT78" s="4" t="str">
        <f>IF(XS_Designer_Bed_Mix!$J78&lt;=XS_Designer!$BN$95,XS_Designer!BF$95,"")</f>
        <v/>
      </c>
      <c r="AU78" s="4" t="str">
        <f>IF(XS_Designer_Bed_Mix!$J78&lt;=XS_Designer!$BN$95,XS_Designer!BG$95,"")</f>
        <v/>
      </c>
      <c r="AV78" s="4" t="str">
        <f>IF(XS_Designer_Bed_Mix!$J78&lt;=XS_Designer!$BN$95,XS_Designer!BH$95,"")</f>
        <v/>
      </c>
      <c r="AW78" s="4" t="str">
        <f>IF(XS_Designer_Bed_Mix!$J78&lt;=XS_Designer!$BN$95,XS_Designer!BI$95,"")</f>
        <v/>
      </c>
      <c r="AX78" s="4" t="str">
        <f>IF(XS_Designer_Bed_Mix!$J78&lt;=XS_Designer!$BN$95,XS_Designer!BJ$95,"")</f>
        <v/>
      </c>
      <c r="AY78" s="4" t="str">
        <f>IF(XS_Designer_Bed_Mix!$J78&lt;=XS_Designer!$BN$96,XS_Designer!BA$96,"")</f>
        <v/>
      </c>
      <c r="AZ78" s="4" t="str">
        <f>IF(XS_Designer_Bed_Mix!$J78&lt;=XS_Designer!$BN$96,XS_Designer!BB$96,"")</f>
        <v/>
      </c>
      <c r="BA78" s="4" t="str">
        <f>IF(XS_Designer_Bed_Mix!$J78&lt;=XS_Designer!$BN$96,XS_Designer!BC$96,"")</f>
        <v/>
      </c>
      <c r="BB78" s="4" t="str">
        <f>IF(XS_Designer_Bed_Mix!$J78&lt;=XS_Designer!$BN$96,XS_Designer!BD$96,"")</f>
        <v/>
      </c>
      <c r="BC78" s="4" t="str">
        <f>IF(XS_Designer_Bed_Mix!$J78&lt;=XS_Designer!$BN$96,XS_Designer!BE$96,"")</f>
        <v/>
      </c>
      <c r="BD78" s="4" t="str">
        <f>IF(XS_Designer_Bed_Mix!$J78&lt;=XS_Designer!$BN$96,XS_Designer!BF$96,"")</f>
        <v/>
      </c>
      <c r="BE78" s="4" t="str">
        <f>IF(XS_Designer_Bed_Mix!$J78&lt;=XS_Designer!$BN$96,XS_Designer!BG$96,"")</f>
        <v/>
      </c>
      <c r="BF78" s="4" t="str">
        <f>IF(XS_Designer_Bed_Mix!$J78&lt;=XS_Designer!$BN$96,XS_Designer!BH$96,"")</f>
        <v/>
      </c>
      <c r="BG78" s="4" t="str">
        <f>IF(XS_Designer_Bed_Mix!$J78&lt;=XS_Designer!$BN$96,XS_Designer!BI$96,"")</f>
        <v/>
      </c>
      <c r="BH78" s="4" t="str">
        <f>IF(XS_Designer_Bed_Mix!$J78&lt;=XS_Designer!$BN$96,XS_Designer!BJ$96,"")</f>
        <v/>
      </c>
      <c r="BI78" s="4" t="str">
        <f>IF(XS_Designer_Bed_Mix!$J78&lt;=XS_Designer!$BN$97,XS_Designer!BA$97,"")</f>
        <v/>
      </c>
      <c r="BJ78" s="4" t="str">
        <f>IF(XS_Designer_Bed_Mix!$J78&lt;=XS_Designer!$BN$97,XS_Designer!BB$97,"")</f>
        <v/>
      </c>
      <c r="BK78" s="4" t="str">
        <f>IF(XS_Designer_Bed_Mix!$J78&lt;=XS_Designer!$BN$97,XS_Designer!BC$97,"")</f>
        <v/>
      </c>
      <c r="BL78" s="4" t="str">
        <f>IF(XS_Designer_Bed_Mix!$J78&lt;=XS_Designer!$BN$97,XS_Designer!BD$97,"")</f>
        <v/>
      </c>
      <c r="BM78" s="4" t="str">
        <f>IF(XS_Designer_Bed_Mix!$J78&lt;=XS_Designer!$BN$97,XS_Designer!BE$97,"")</f>
        <v/>
      </c>
      <c r="BN78" s="4" t="str">
        <f>IF(XS_Designer_Bed_Mix!$J78&lt;=XS_Designer!$BN$97,XS_Designer!BF$97,"")</f>
        <v/>
      </c>
      <c r="BO78" s="4" t="str">
        <f>IF(XS_Designer_Bed_Mix!$J78&lt;=XS_Designer!$BN$97,XS_Designer!BG$97,"")</f>
        <v/>
      </c>
      <c r="BP78" s="4" t="str">
        <f>IF(XS_Designer_Bed_Mix!$J78&lt;=XS_Designer!$BN$97,XS_Designer!BH$97,"")</f>
        <v/>
      </c>
      <c r="BQ78" s="4" t="str">
        <f>IF(XS_Designer_Bed_Mix!$J78&lt;=XS_Designer!$BN$97,XS_Designer!BI$97,"")</f>
        <v/>
      </c>
      <c r="BR78" s="4" t="str">
        <f>IF(XS_Designer_Bed_Mix!$J78&lt;=XS_Designer!$BN$97,XS_Designer!BJ$97,"")</f>
        <v/>
      </c>
      <c r="BS78" s="4" t="str">
        <f>IF(XS_Designer_Bed_Mix!$J78&lt;=XS_Designer!$BN$98,XS_Designer!BA$98,"")</f>
        <v/>
      </c>
      <c r="BT78" s="4" t="str">
        <f>IF(XS_Designer_Bed_Mix!$J78&lt;=XS_Designer!$BN$98,XS_Designer!BB$98,"")</f>
        <v/>
      </c>
      <c r="BU78" s="4" t="str">
        <f>IF(XS_Designer_Bed_Mix!$J78&lt;=XS_Designer!$BN$98,XS_Designer!BC$98,"")</f>
        <v/>
      </c>
      <c r="BV78" s="4" t="str">
        <f>IF(XS_Designer_Bed_Mix!$J78&lt;=XS_Designer!$BN$98,XS_Designer!BD$98,"")</f>
        <v/>
      </c>
      <c r="BW78" s="4" t="str">
        <f>IF(XS_Designer_Bed_Mix!$J78&lt;=XS_Designer!$BN$98,XS_Designer!BE$98,"")</f>
        <v/>
      </c>
      <c r="BX78" s="4" t="str">
        <f>IF(XS_Designer_Bed_Mix!$J78&lt;=XS_Designer!$BN$98,XS_Designer!BF$98,"")</f>
        <v/>
      </c>
      <c r="BY78" s="4" t="str">
        <f>IF(XS_Designer_Bed_Mix!$J78&lt;=XS_Designer!$BN$98,XS_Designer!BG$98,"")</f>
        <v/>
      </c>
      <c r="BZ78" s="4" t="str">
        <f>IF(XS_Designer_Bed_Mix!$J78&lt;=XS_Designer!$BN$98,XS_Designer!BH$98,"")</f>
        <v/>
      </c>
      <c r="CA78" s="4" t="str">
        <f>IF(XS_Designer_Bed_Mix!$J78&lt;=XS_Designer!$BN$98,XS_Designer!BI$98,"")</f>
        <v/>
      </c>
      <c r="CB78" s="4" t="str">
        <f>IF(XS_Designer_Bed_Mix!$J78&lt;=XS_Designer!$BN$98,XS_Designer!BJ$98,"")</f>
        <v/>
      </c>
      <c r="CC78" s="4" t="str">
        <f>IF(XS_Designer_Bed_Mix!$J78&lt;=XS_Designer!$BN$99,XS_Designer!BA$99,"")</f>
        <v/>
      </c>
      <c r="CD78" s="4" t="str">
        <f>IF(XS_Designer_Bed_Mix!$J78&lt;=XS_Designer!$BN$99,XS_Designer!BB$99,"")</f>
        <v/>
      </c>
      <c r="CE78" s="4" t="str">
        <f>IF(XS_Designer_Bed_Mix!$J78&lt;=XS_Designer!$BN$99,XS_Designer!BC$99,"")</f>
        <v/>
      </c>
      <c r="CF78" s="4" t="str">
        <f>IF(XS_Designer_Bed_Mix!$J78&lt;=XS_Designer!$BN$99,XS_Designer!BD$99,"")</f>
        <v/>
      </c>
      <c r="CG78" s="4" t="str">
        <f>IF(XS_Designer_Bed_Mix!$J78&lt;=XS_Designer!$BN$99,XS_Designer!BE$99,"")</f>
        <v/>
      </c>
      <c r="CH78" s="4" t="str">
        <f>IF(XS_Designer_Bed_Mix!$J78&lt;=XS_Designer!$BN$99,XS_Designer!BF$99,"")</f>
        <v/>
      </c>
      <c r="CI78" s="4" t="str">
        <f>IF(XS_Designer_Bed_Mix!$J78&lt;=XS_Designer!$BN$99,XS_Designer!BG$99,"")</f>
        <v/>
      </c>
      <c r="CJ78" s="4" t="str">
        <f>IF(XS_Designer_Bed_Mix!$J78&lt;=XS_Designer!$BN$99,XS_Designer!BH$99,"")</f>
        <v/>
      </c>
      <c r="CK78" s="4" t="str">
        <f>IF(XS_Designer_Bed_Mix!$J78&lt;=XS_Designer!$BN$99,XS_Designer!BI$99,"")</f>
        <v/>
      </c>
      <c r="CL78" s="4" t="str">
        <f>IF(XS_Designer_Bed_Mix!$J78&lt;=XS_Designer!$BN$99,XS_Designer!BJ$99,"")</f>
        <v/>
      </c>
      <c r="CM78" s="4" t="str">
        <f>IF(XS_Designer_Bed_Mix!$J78&lt;=XS_Designer!$BN$100,XS_Designer!BA$100,"")</f>
        <v/>
      </c>
      <c r="CN78" s="4" t="str">
        <f>IF(XS_Designer_Bed_Mix!$J78&lt;=XS_Designer!$BN$100,XS_Designer!BB$100,"")</f>
        <v/>
      </c>
      <c r="CO78" s="4" t="str">
        <f>IF(XS_Designer_Bed_Mix!$J78&lt;=XS_Designer!$BN$100,XS_Designer!BC$100,"")</f>
        <v/>
      </c>
      <c r="CP78" s="4" t="str">
        <f>IF(XS_Designer_Bed_Mix!$J78&lt;=XS_Designer!$BN$100,XS_Designer!BD$100,"")</f>
        <v/>
      </c>
      <c r="CQ78" s="4" t="str">
        <f>IF(XS_Designer_Bed_Mix!$J78&lt;=XS_Designer!$BN$100,XS_Designer!BE$100,"")</f>
        <v/>
      </c>
      <c r="CR78" s="4" t="str">
        <f>IF(XS_Designer_Bed_Mix!$J78&lt;=XS_Designer!$BN$100,XS_Designer!BF$100,"")</f>
        <v/>
      </c>
      <c r="CS78" s="4" t="str">
        <f>IF(XS_Designer_Bed_Mix!$J78&lt;=XS_Designer!$BN$100,XS_Designer!BG$100,"")</f>
        <v/>
      </c>
      <c r="CT78" s="4" t="str">
        <f>IF(XS_Designer_Bed_Mix!$J78&lt;=XS_Designer!$BN$100,XS_Designer!BH$100,"")</f>
        <v/>
      </c>
      <c r="CU78" s="4" t="str">
        <f>IF(XS_Designer_Bed_Mix!$J78&lt;=XS_Designer!$BN$100,XS_Designer!BI$100,"")</f>
        <v/>
      </c>
      <c r="CV78" s="4" t="str">
        <f>IF(XS_Designer_Bed_Mix!$J78&lt;=XS_Designer!$BN$100,XS_Designer!BJ$100,"")</f>
        <v/>
      </c>
      <c r="CW78" s="4" t="str">
        <f>IF(XS_Designer_Bed_Mix!$J78&lt;=XS_Designer!$BN$101,XS_Designer!BA$101,"")</f>
        <v/>
      </c>
      <c r="CX78" s="4" t="str">
        <f>IF(XS_Designer_Bed_Mix!$J78&lt;=XS_Designer!$BN$101,XS_Designer!BB$101,"")</f>
        <v/>
      </c>
      <c r="CY78" s="4" t="str">
        <f>IF(XS_Designer_Bed_Mix!$J78&lt;=XS_Designer!$BN$101,XS_Designer!BC$101,"")</f>
        <v/>
      </c>
      <c r="CZ78" s="4" t="str">
        <f>IF(XS_Designer_Bed_Mix!$J78&lt;=XS_Designer!$BN$101,XS_Designer!BD$101,"")</f>
        <v/>
      </c>
      <c r="DA78" s="4" t="str">
        <f>IF(XS_Designer_Bed_Mix!$J78&lt;=XS_Designer!$BN$101,XS_Designer!BE$101,"")</f>
        <v/>
      </c>
      <c r="DB78" s="4" t="str">
        <f>IF(XS_Designer_Bed_Mix!$J78&lt;=XS_Designer!$BN$101,XS_Designer!BF$101,"")</f>
        <v/>
      </c>
      <c r="DC78" s="4" t="str">
        <f>IF(XS_Designer_Bed_Mix!$J78&lt;=XS_Designer!$BN$101,XS_Designer!BG$101,"")</f>
        <v/>
      </c>
      <c r="DD78" s="4" t="str">
        <f>IF(XS_Designer_Bed_Mix!$J78&lt;=XS_Designer!$BN$101,XS_Designer!BH$101,"")</f>
        <v/>
      </c>
      <c r="DE78" s="4" t="str">
        <f>IF(XS_Designer_Bed_Mix!$J78&lt;=XS_Designer!$BN$101,XS_Designer!BI$101,"")</f>
        <v/>
      </c>
      <c r="DF78" s="4" t="str">
        <f>IF(XS_Designer_Bed_Mix!$J78&lt;=XS_Designer!$BN$101,XS_Designer!BJ$101,"")</f>
        <v/>
      </c>
      <c r="DG78" s="4" t="str">
        <f>IF(XS_Designer_Bed_Mix!$J78&lt;=XS_Designer!$BN$102,XS_Designer!BA$102,"")</f>
        <v/>
      </c>
      <c r="DH78" s="4" t="str">
        <f>IF(XS_Designer_Bed_Mix!$J78&lt;=XS_Designer!$BN$102,XS_Designer!BB$102,"")</f>
        <v/>
      </c>
      <c r="DI78" s="4" t="str">
        <f>IF(XS_Designer_Bed_Mix!$J78&lt;=XS_Designer!$BN$102,XS_Designer!BC$102,"")</f>
        <v/>
      </c>
      <c r="DJ78" s="4" t="str">
        <f>IF(XS_Designer_Bed_Mix!$J78&lt;=XS_Designer!$BN$102,XS_Designer!BD$102,"")</f>
        <v/>
      </c>
      <c r="DK78" s="4" t="str">
        <f>IF(XS_Designer_Bed_Mix!$J78&lt;=XS_Designer!$BN$102,XS_Designer!BE$102,"")</f>
        <v/>
      </c>
      <c r="DL78" s="4" t="str">
        <f>IF(XS_Designer_Bed_Mix!$J78&lt;=XS_Designer!$BN$102,XS_Designer!BF$102,"")</f>
        <v/>
      </c>
      <c r="DM78" s="4" t="str">
        <f>IF(XS_Designer_Bed_Mix!$J78&lt;=XS_Designer!$BN$102,XS_Designer!BG$102,"")</f>
        <v/>
      </c>
      <c r="DN78" s="4" t="str">
        <f>IF(XS_Designer_Bed_Mix!$J78&lt;=XS_Designer!$BN$102,XS_Designer!BH$102,"")</f>
        <v/>
      </c>
      <c r="DO78" s="4" t="str">
        <f>IF(XS_Designer_Bed_Mix!$J78&lt;=XS_Designer!$BN$102,XS_Designer!BI$102,"")</f>
        <v/>
      </c>
      <c r="DP78" s="4" t="str">
        <f>IF(XS_Designer_Bed_Mix!$J78&lt;=XS_Designer!$BN$102,XS_Designer!BJ$102,"")</f>
        <v/>
      </c>
    </row>
    <row r="79" spans="10:120">
      <c r="J79" s="3">
        <v>0.78</v>
      </c>
      <c r="K79" s="4" t="str">
        <f>IF(XS_Designer_Bed_Mix!$J79&lt;=XS_Designer!$BN$92,XS_Designer!BA$92,"")</f>
        <v/>
      </c>
      <c r="L79" s="4" t="str">
        <f>IF(XS_Designer_Bed_Mix!$J79&lt;=XS_Designer!$BN$92,XS_Designer!BB$92,"")</f>
        <v/>
      </c>
      <c r="M79" s="4" t="str">
        <f>IF(XS_Designer_Bed_Mix!$J79&lt;=XS_Designer!$BN$92,XS_Designer!BC$92,"")</f>
        <v/>
      </c>
      <c r="N79" s="4" t="str">
        <f>IF(XS_Designer_Bed_Mix!$J79&lt;=XS_Designer!$BN$92,XS_Designer!BD$92,"")</f>
        <v/>
      </c>
      <c r="O79" s="4" t="str">
        <f>IF(XS_Designer_Bed_Mix!$J79&lt;=XS_Designer!$BN$92,XS_Designer!BE$92,"")</f>
        <v/>
      </c>
      <c r="P79" s="4" t="str">
        <f>IF(XS_Designer_Bed_Mix!$J79&lt;=XS_Designer!$BN$92,XS_Designer!BF$92,"")</f>
        <v/>
      </c>
      <c r="Q79" s="4" t="str">
        <f>IF(XS_Designer_Bed_Mix!$J79&lt;=XS_Designer!$BN$92,XS_Designer!BG$92,"")</f>
        <v/>
      </c>
      <c r="R79" s="4" t="str">
        <f>IF(XS_Designer_Bed_Mix!$J79&lt;=XS_Designer!$BN$92,XS_Designer!BH$92,"")</f>
        <v/>
      </c>
      <c r="S79" s="4" t="str">
        <f>IF(XS_Designer_Bed_Mix!$J79&lt;=XS_Designer!$BN$92,XS_Designer!BI$92,"")</f>
        <v/>
      </c>
      <c r="T79" s="4" t="str">
        <f>IF(XS_Designer_Bed_Mix!$J79&lt;=XS_Designer!$BN$92,XS_Designer!BJ$92,"")</f>
        <v/>
      </c>
      <c r="U79" s="4" t="str">
        <f>IF(XS_Designer_Bed_Mix!$J79&lt;=XS_Designer!$BN$93,XS_Designer!BA$93,"")</f>
        <v/>
      </c>
      <c r="V79" s="4" t="str">
        <f>IF(XS_Designer_Bed_Mix!$J79&lt;=XS_Designer!$BN$93,XS_Designer!BB$93,"")</f>
        <v/>
      </c>
      <c r="W79" s="4" t="str">
        <f>IF(XS_Designer_Bed_Mix!$J79&lt;=XS_Designer!$BN$93,XS_Designer!BC$93,"")</f>
        <v/>
      </c>
      <c r="X79" s="4" t="str">
        <f>IF(XS_Designer_Bed_Mix!$J79&lt;=XS_Designer!$BN$93,XS_Designer!BD$93,"")</f>
        <v/>
      </c>
      <c r="Y79" s="4" t="str">
        <f>IF(XS_Designer_Bed_Mix!$J79&lt;=XS_Designer!$BN$93,XS_Designer!BE$93,"")</f>
        <v/>
      </c>
      <c r="Z79" s="4" t="str">
        <f>IF(XS_Designer_Bed_Mix!$J79&lt;=XS_Designer!$BN$93,XS_Designer!BF$93,"")</f>
        <v/>
      </c>
      <c r="AA79" s="4" t="str">
        <f>IF(XS_Designer_Bed_Mix!$J79&lt;=XS_Designer!$BN$93,XS_Designer!BG$93,"")</f>
        <v/>
      </c>
      <c r="AB79" s="4" t="str">
        <f>IF(XS_Designer_Bed_Mix!$J79&lt;=XS_Designer!$BN$93,XS_Designer!BH$93,"")</f>
        <v/>
      </c>
      <c r="AC79" s="4" t="str">
        <f>IF(XS_Designer_Bed_Mix!$J79&lt;=XS_Designer!$BN$93,XS_Designer!BI$93,"")</f>
        <v/>
      </c>
      <c r="AD79" s="4" t="str">
        <f>IF(XS_Designer_Bed_Mix!$J79&lt;=XS_Designer!$BN$93,XS_Designer!BJ$93,"")</f>
        <v/>
      </c>
      <c r="AE79" s="4" t="str">
        <f>IF(XS_Designer_Bed_Mix!$J79&lt;=XS_Designer!$BN$94,XS_Designer!BA$94,"")</f>
        <v/>
      </c>
      <c r="AF79" s="4" t="str">
        <f>IF(XS_Designer_Bed_Mix!$J79&lt;=XS_Designer!$BN$94,XS_Designer!BB$94,"")</f>
        <v/>
      </c>
      <c r="AG79" s="4" t="str">
        <f>IF(XS_Designer_Bed_Mix!$J79&lt;=XS_Designer!$BN$94,XS_Designer!BC$94,"")</f>
        <v/>
      </c>
      <c r="AH79" s="4" t="str">
        <f>IF(XS_Designer_Bed_Mix!$J79&lt;=XS_Designer!$BN$94,XS_Designer!BD$94,"")</f>
        <v/>
      </c>
      <c r="AI79" s="4" t="str">
        <f>IF(XS_Designer_Bed_Mix!$J79&lt;=XS_Designer!$BN$94,XS_Designer!BE$94,"")</f>
        <v/>
      </c>
      <c r="AJ79" s="4" t="str">
        <f>IF(XS_Designer_Bed_Mix!$J79&lt;=XS_Designer!$BN$94,XS_Designer!BF$94,"")</f>
        <v/>
      </c>
      <c r="AK79" s="4" t="str">
        <f>IF(XS_Designer_Bed_Mix!$J79&lt;=XS_Designer!$BN$94,XS_Designer!BG$94,"")</f>
        <v/>
      </c>
      <c r="AL79" s="4" t="str">
        <f>IF(XS_Designer_Bed_Mix!$J79&lt;=XS_Designer!$BN$94,XS_Designer!BH$94,"")</f>
        <v/>
      </c>
      <c r="AM79" s="4" t="str">
        <f>IF(XS_Designer_Bed_Mix!$J79&lt;=XS_Designer!$BN$94,XS_Designer!BI$94,"")</f>
        <v/>
      </c>
      <c r="AN79" s="4" t="str">
        <f>IF(XS_Designer_Bed_Mix!$J79&lt;=XS_Designer!$BN$94,XS_Designer!BJ$94,"")</f>
        <v/>
      </c>
      <c r="AO79" s="4" t="str">
        <f>IF(XS_Designer_Bed_Mix!$J79&lt;=XS_Designer!$BN$95,XS_Designer!BA$95,"")</f>
        <v/>
      </c>
      <c r="AP79" s="4" t="str">
        <f>IF(XS_Designer_Bed_Mix!$J79&lt;=XS_Designer!$BN$95,XS_Designer!BB$95,"")</f>
        <v/>
      </c>
      <c r="AQ79" s="4" t="str">
        <f>IF(XS_Designer_Bed_Mix!$J79&lt;=XS_Designer!$BN$95,XS_Designer!BC$95,"")</f>
        <v/>
      </c>
      <c r="AR79" s="4" t="str">
        <f>IF(XS_Designer_Bed_Mix!$J79&lt;=XS_Designer!$BN$95,XS_Designer!BD$95,"")</f>
        <v/>
      </c>
      <c r="AS79" s="4" t="str">
        <f>IF(XS_Designer_Bed_Mix!$J79&lt;=XS_Designer!$BN$95,XS_Designer!BE$95,"")</f>
        <v/>
      </c>
      <c r="AT79" s="4" t="str">
        <f>IF(XS_Designer_Bed_Mix!$J79&lt;=XS_Designer!$BN$95,XS_Designer!BF$95,"")</f>
        <v/>
      </c>
      <c r="AU79" s="4" t="str">
        <f>IF(XS_Designer_Bed_Mix!$J79&lt;=XS_Designer!$BN$95,XS_Designer!BG$95,"")</f>
        <v/>
      </c>
      <c r="AV79" s="4" t="str">
        <f>IF(XS_Designer_Bed_Mix!$J79&lt;=XS_Designer!$BN$95,XS_Designer!BH$95,"")</f>
        <v/>
      </c>
      <c r="AW79" s="4" t="str">
        <f>IF(XS_Designer_Bed_Mix!$J79&lt;=XS_Designer!$BN$95,XS_Designer!BI$95,"")</f>
        <v/>
      </c>
      <c r="AX79" s="4" t="str">
        <f>IF(XS_Designer_Bed_Mix!$J79&lt;=XS_Designer!$BN$95,XS_Designer!BJ$95,"")</f>
        <v/>
      </c>
      <c r="AY79" s="4" t="str">
        <f>IF(XS_Designer_Bed_Mix!$J79&lt;=XS_Designer!$BN$96,XS_Designer!BA$96,"")</f>
        <v/>
      </c>
      <c r="AZ79" s="4" t="str">
        <f>IF(XS_Designer_Bed_Mix!$J79&lt;=XS_Designer!$BN$96,XS_Designer!BB$96,"")</f>
        <v/>
      </c>
      <c r="BA79" s="4" t="str">
        <f>IF(XS_Designer_Bed_Mix!$J79&lt;=XS_Designer!$BN$96,XS_Designer!BC$96,"")</f>
        <v/>
      </c>
      <c r="BB79" s="4" t="str">
        <f>IF(XS_Designer_Bed_Mix!$J79&lt;=XS_Designer!$BN$96,XS_Designer!BD$96,"")</f>
        <v/>
      </c>
      <c r="BC79" s="4" t="str">
        <f>IF(XS_Designer_Bed_Mix!$J79&lt;=XS_Designer!$BN$96,XS_Designer!BE$96,"")</f>
        <v/>
      </c>
      <c r="BD79" s="4" t="str">
        <f>IF(XS_Designer_Bed_Mix!$J79&lt;=XS_Designer!$BN$96,XS_Designer!BF$96,"")</f>
        <v/>
      </c>
      <c r="BE79" s="4" t="str">
        <f>IF(XS_Designer_Bed_Mix!$J79&lt;=XS_Designer!$BN$96,XS_Designer!BG$96,"")</f>
        <v/>
      </c>
      <c r="BF79" s="4" t="str">
        <f>IF(XS_Designer_Bed_Mix!$J79&lt;=XS_Designer!$BN$96,XS_Designer!BH$96,"")</f>
        <v/>
      </c>
      <c r="BG79" s="4" t="str">
        <f>IF(XS_Designer_Bed_Mix!$J79&lt;=XS_Designer!$BN$96,XS_Designer!BI$96,"")</f>
        <v/>
      </c>
      <c r="BH79" s="4" t="str">
        <f>IF(XS_Designer_Bed_Mix!$J79&lt;=XS_Designer!$BN$96,XS_Designer!BJ$96,"")</f>
        <v/>
      </c>
      <c r="BI79" s="4" t="str">
        <f>IF(XS_Designer_Bed_Mix!$J79&lt;=XS_Designer!$BN$97,XS_Designer!BA$97,"")</f>
        <v/>
      </c>
      <c r="BJ79" s="4" t="str">
        <f>IF(XS_Designer_Bed_Mix!$J79&lt;=XS_Designer!$BN$97,XS_Designer!BB$97,"")</f>
        <v/>
      </c>
      <c r="BK79" s="4" t="str">
        <f>IF(XS_Designer_Bed_Mix!$J79&lt;=XS_Designer!$BN$97,XS_Designer!BC$97,"")</f>
        <v/>
      </c>
      <c r="BL79" s="4" t="str">
        <f>IF(XS_Designer_Bed_Mix!$J79&lt;=XS_Designer!$BN$97,XS_Designer!BD$97,"")</f>
        <v/>
      </c>
      <c r="BM79" s="4" t="str">
        <f>IF(XS_Designer_Bed_Mix!$J79&lt;=XS_Designer!$BN$97,XS_Designer!BE$97,"")</f>
        <v/>
      </c>
      <c r="BN79" s="4" t="str">
        <f>IF(XS_Designer_Bed_Mix!$J79&lt;=XS_Designer!$BN$97,XS_Designer!BF$97,"")</f>
        <v/>
      </c>
      <c r="BO79" s="4" t="str">
        <f>IF(XS_Designer_Bed_Mix!$J79&lt;=XS_Designer!$BN$97,XS_Designer!BG$97,"")</f>
        <v/>
      </c>
      <c r="BP79" s="4" t="str">
        <f>IF(XS_Designer_Bed_Mix!$J79&lt;=XS_Designer!$BN$97,XS_Designer!BH$97,"")</f>
        <v/>
      </c>
      <c r="BQ79" s="4" t="str">
        <f>IF(XS_Designer_Bed_Mix!$J79&lt;=XS_Designer!$BN$97,XS_Designer!BI$97,"")</f>
        <v/>
      </c>
      <c r="BR79" s="4" t="str">
        <f>IF(XS_Designer_Bed_Mix!$J79&lt;=XS_Designer!$BN$97,XS_Designer!BJ$97,"")</f>
        <v/>
      </c>
      <c r="BS79" s="4" t="str">
        <f>IF(XS_Designer_Bed_Mix!$J79&lt;=XS_Designer!$BN$98,XS_Designer!BA$98,"")</f>
        <v/>
      </c>
      <c r="BT79" s="4" t="str">
        <f>IF(XS_Designer_Bed_Mix!$J79&lt;=XS_Designer!$BN$98,XS_Designer!BB$98,"")</f>
        <v/>
      </c>
      <c r="BU79" s="4" t="str">
        <f>IF(XS_Designer_Bed_Mix!$J79&lt;=XS_Designer!$BN$98,XS_Designer!BC$98,"")</f>
        <v/>
      </c>
      <c r="BV79" s="4" t="str">
        <f>IF(XS_Designer_Bed_Mix!$J79&lt;=XS_Designer!$BN$98,XS_Designer!BD$98,"")</f>
        <v/>
      </c>
      <c r="BW79" s="4" t="str">
        <f>IF(XS_Designer_Bed_Mix!$J79&lt;=XS_Designer!$BN$98,XS_Designer!BE$98,"")</f>
        <v/>
      </c>
      <c r="BX79" s="4" t="str">
        <f>IF(XS_Designer_Bed_Mix!$J79&lt;=XS_Designer!$BN$98,XS_Designer!BF$98,"")</f>
        <v/>
      </c>
      <c r="BY79" s="4" t="str">
        <f>IF(XS_Designer_Bed_Mix!$J79&lt;=XS_Designer!$BN$98,XS_Designer!BG$98,"")</f>
        <v/>
      </c>
      <c r="BZ79" s="4" t="str">
        <f>IF(XS_Designer_Bed_Mix!$J79&lt;=XS_Designer!$BN$98,XS_Designer!BH$98,"")</f>
        <v/>
      </c>
      <c r="CA79" s="4" t="str">
        <f>IF(XS_Designer_Bed_Mix!$J79&lt;=XS_Designer!$BN$98,XS_Designer!BI$98,"")</f>
        <v/>
      </c>
      <c r="CB79" s="4" t="str">
        <f>IF(XS_Designer_Bed_Mix!$J79&lt;=XS_Designer!$BN$98,XS_Designer!BJ$98,"")</f>
        <v/>
      </c>
      <c r="CC79" s="4" t="str">
        <f>IF(XS_Designer_Bed_Mix!$J79&lt;=XS_Designer!$BN$99,XS_Designer!BA$99,"")</f>
        <v/>
      </c>
      <c r="CD79" s="4" t="str">
        <f>IF(XS_Designer_Bed_Mix!$J79&lt;=XS_Designer!$BN$99,XS_Designer!BB$99,"")</f>
        <v/>
      </c>
      <c r="CE79" s="4" t="str">
        <f>IF(XS_Designer_Bed_Mix!$J79&lt;=XS_Designer!$BN$99,XS_Designer!BC$99,"")</f>
        <v/>
      </c>
      <c r="CF79" s="4" t="str">
        <f>IF(XS_Designer_Bed_Mix!$J79&lt;=XS_Designer!$BN$99,XS_Designer!BD$99,"")</f>
        <v/>
      </c>
      <c r="CG79" s="4" t="str">
        <f>IF(XS_Designer_Bed_Mix!$J79&lt;=XS_Designer!$BN$99,XS_Designer!BE$99,"")</f>
        <v/>
      </c>
      <c r="CH79" s="4" t="str">
        <f>IF(XS_Designer_Bed_Mix!$J79&lt;=XS_Designer!$BN$99,XS_Designer!BF$99,"")</f>
        <v/>
      </c>
      <c r="CI79" s="4" t="str">
        <f>IF(XS_Designer_Bed_Mix!$J79&lt;=XS_Designer!$BN$99,XS_Designer!BG$99,"")</f>
        <v/>
      </c>
      <c r="CJ79" s="4" t="str">
        <f>IF(XS_Designer_Bed_Mix!$J79&lt;=XS_Designer!$BN$99,XS_Designer!BH$99,"")</f>
        <v/>
      </c>
      <c r="CK79" s="4" t="str">
        <f>IF(XS_Designer_Bed_Mix!$J79&lt;=XS_Designer!$BN$99,XS_Designer!BI$99,"")</f>
        <v/>
      </c>
      <c r="CL79" s="4" t="str">
        <f>IF(XS_Designer_Bed_Mix!$J79&lt;=XS_Designer!$BN$99,XS_Designer!BJ$99,"")</f>
        <v/>
      </c>
      <c r="CM79" s="4" t="str">
        <f>IF(XS_Designer_Bed_Mix!$J79&lt;=XS_Designer!$BN$100,XS_Designer!BA$100,"")</f>
        <v/>
      </c>
      <c r="CN79" s="4" t="str">
        <f>IF(XS_Designer_Bed_Mix!$J79&lt;=XS_Designer!$BN$100,XS_Designer!BB$100,"")</f>
        <v/>
      </c>
      <c r="CO79" s="4" t="str">
        <f>IF(XS_Designer_Bed_Mix!$J79&lt;=XS_Designer!$BN$100,XS_Designer!BC$100,"")</f>
        <v/>
      </c>
      <c r="CP79" s="4" t="str">
        <f>IF(XS_Designer_Bed_Mix!$J79&lt;=XS_Designer!$BN$100,XS_Designer!BD$100,"")</f>
        <v/>
      </c>
      <c r="CQ79" s="4" t="str">
        <f>IF(XS_Designer_Bed_Mix!$J79&lt;=XS_Designer!$BN$100,XS_Designer!BE$100,"")</f>
        <v/>
      </c>
      <c r="CR79" s="4" t="str">
        <f>IF(XS_Designer_Bed_Mix!$J79&lt;=XS_Designer!$BN$100,XS_Designer!BF$100,"")</f>
        <v/>
      </c>
      <c r="CS79" s="4" t="str">
        <f>IF(XS_Designer_Bed_Mix!$J79&lt;=XS_Designer!$BN$100,XS_Designer!BG$100,"")</f>
        <v/>
      </c>
      <c r="CT79" s="4" t="str">
        <f>IF(XS_Designer_Bed_Mix!$J79&lt;=XS_Designer!$BN$100,XS_Designer!BH$100,"")</f>
        <v/>
      </c>
      <c r="CU79" s="4" t="str">
        <f>IF(XS_Designer_Bed_Mix!$J79&lt;=XS_Designer!$BN$100,XS_Designer!BI$100,"")</f>
        <v/>
      </c>
      <c r="CV79" s="4" t="str">
        <f>IF(XS_Designer_Bed_Mix!$J79&lt;=XS_Designer!$BN$100,XS_Designer!BJ$100,"")</f>
        <v/>
      </c>
      <c r="CW79" s="4" t="str">
        <f>IF(XS_Designer_Bed_Mix!$J79&lt;=XS_Designer!$BN$101,XS_Designer!BA$101,"")</f>
        <v/>
      </c>
      <c r="CX79" s="4" t="str">
        <f>IF(XS_Designer_Bed_Mix!$J79&lt;=XS_Designer!$BN$101,XS_Designer!BB$101,"")</f>
        <v/>
      </c>
      <c r="CY79" s="4" t="str">
        <f>IF(XS_Designer_Bed_Mix!$J79&lt;=XS_Designer!$BN$101,XS_Designer!BC$101,"")</f>
        <v/>
      </c>
      <c r="CZ79" s="4" t="str">
        <f>IF(XS_Designer_Bed_Mix!$J79&lt;=XS_Designer!$BN$101,XS_Designer!BD$101,"")</f>
        <v/>
      </c>
      <c r="DA79" s="4" t="str">
        <f>IF(XS_Designer_Bed_Mix!$J79&lt;=XS_Designer!$BN$101,XS_Designer!BE$101,"")</f>
        <v/>
      </c>
      <c r="DB79" s="4" t="str">
        <f>IF(XS_Designer_Bed_Mix!$J79&lt;=XS_Designer!$BN$101,XS_Designer!BF$101,"")</f>
        <v/>
      </c>
      <c r="DC79" s="4" t="str">
        <f>IF(XS_Designer_Bed_Mix!$J79&lt;=XS_Designer!$BN$101,XS_Designer!BG$101,"")</f>
        <v/>
      </c>
      <c r="DD79" s="4" t="str">
        <f>IF(XS_Designer_Bed_Mix!$J79&lt;=XS_Designer!$BN$101,XS_Designer!BH$101,"")</f>
        <v/>
      </c>
      <c r="DE79" s="4" t="str">
        <f>IF(XS_Designer_Bed_Mix!$J79&lt;=XS_Designer!$BN$101,XS_Designer!BI$101,"")</f>
        <v/>
      </c>
      <c r="DF79" s="4" t="str">
        <f>IF(XS_Designer_Bed_Mix!$J79&lt;=XS_Designer!$BN$101,XS_Designer!BJ$101,"")</f>
        <v/>
      </c>
      <c r="DG79" s="4" t="str">
        <f>IF(XS_Designer_Bed_Mix!$J79&lt;=XS_Designer!$BN$102,XS_Designer!BA$102,"")</f>
        <v/>
      </c>
      <c r="DH79" s="4" t="str">
        <f>IF(XS_Designer_Bed_Mix!$J79&lt;=XS_Designer!$BN$102,XS_Designer!BB$102,"")</f>
        <v/>
      </c>
      <c r="DI79" s="4" t="str">
        <f>IF(XS_Designer_Bed_Mix!$J79&lt;=XS_Designer!$BN$102,XS_Designer!BC$102,"")</f>
        <v/>
      </c>
      <c r="DJ79" s="4" t="str">
        <f>IF(XS_Designer_Bed_Mix!$J79&lt;=XS_Designer!$BN$102,XS_Designer!BD$102,"")</f>
        <v/>
      </c>
      <c r="DK79" s="4" t="str">
        <f>IF(XS_Designer_Bed_Mix!$J79&lt;=XS_Designer!$BN$102,XS_Designer!BE$102,"")</f>
        <v/>
      </c>
      <c r="DL79" s="4" t="str">
        <f>IF(XS_Designer_Bed_Mix!$J79&lt;=XS_Designer!$BN$102,XS_Designer!BF$102,"")</f>
        <v/>
      </c>
      <c r="DM79" s="4" t="str">
        <f>IF(XS_Designer_Bed_Mix!$J79&lt;=XS_Designer!$BN$102,XS_Designer!BG$102,"")</f>
        <v/>
      </c>
      <c r="DN79" s="4" t="str">
        <f>IF(XS_Designer_Bed_Mix!$J79&lt;=XS_Designer!$BN$102,XS_Designer!BH$102,"")</f>
        <v/>
      </c>
      <c r="DO79" s="4" t="str">
        <f>IF(XS_Designer_Bed_Mix!$J79&lt;=XS_Designer!$BN$102,XS_Designer!BI$102,"")</f>
        <v/>
      </c>
      <c r="DP79" s="4" t="str">
        <f>IF(XS_Designer_Bed_Mix!$J79&lt;=XS_Designer!$BN$102,XS_Designer!BJ$102,"")</f>
        <v/>
      </c>
    </row>
    <row r="80" spans="10:120">
      <c r="J80" s="3">
        <v>0.79</v>
      </c>
      <c r="K80" s="4" t="str">
        <f>IF(XS_Designer_Bed_Mix!$J80&lt;=XS_Designer!$BN$92,XS_Designer!BA$92,"")</f>
        <v/>
      </c>
      <c r="L80" s="4" t="str">
        <f>IF(XS_Designer_Bed_Mix!$J80&lt;=XS_Designer!$BN$92,XS_Designer!BB$92,"")</f>
        <v/>
      </c>
      <c r="M80" s="4" t="str">
        <f>IF(XS_Designer_Bed_Mix!$J80&lt;=XS_Designer!$BN$92,XS_Designer!BC$92,"")</f>
        <v/>
      </c>
      <c r="N80" s="4" t="str">
        <f>IF(XS_Designer_Bed_Mix!$J80&lt;=XS_Designer!$BN$92,XS_Designer!BD$92,"")</f>
        <v/>
      </c>
      <c r="O80" s="4" t="str">
        <f>IF(XS_Designer_Bed_Mix!$J80&lt;=XS_Designer!$BN$92,XS_Designer!BE$92,"")</f>
        <v/>
      </c>
      <c r="P80" s="4" t="str">
        <f>IF(XS_Designer_Bed_Mix!$J80&lt;=XS_Designer!$BN$92,XS_Designer!BF$92,"")</f>
        <v/>
      </c>
      <c r="Q80" s="4" t="str">
        <f>IF(XS_Designer_Bed_Mix!$J80&lt;=XS_Designer!$BN$92,XS_Designer!BG$92,"")</f>
        <v/>
      </c>
      <c r="R80" s="4" t="str">
        <f>IF(XS_Designer_Bed_Mix!$J80&lt;=XS_Designer!$BN$92,XS_Designer!BH$92,"")</f>
        <v/>
      </c>
      <c r="S80" s="4" t="str">
        <f>IF(XS_Designer_Bed_Mix!$J80&lt;=XS_Designer!$BN$92,XS_Designer!BI$92,"")</f>
        <v/>
      </c>
      <c r="T80" s="4" t="str">
        <f>IF(XS_Designer_Bed_Mix!$J80&lt;=XS_Designer!$BN$92,XS_Designer!BJ$92,"")</f>
        <v/>
      </c>
      <c r="U80" s="4" t="str">
        <f>IF(XS_Designer_Bed_Mix!$J80&lt;=XS_Designer!$BN$93,XS_Designer!BA$93,"")</f>
        <v/>
      </c>
      <c r="V80" s="4" t="str">
        <f>IF(XS_Designer_Bed_Mix!$J80&lt;=XS_Designer!$BN$93,XS_Designer!BB$93,"")</f>
        <v/>
      </c>
      <c r="W80" s="4" t="str">
        <f>IF(XS_Designer_Bed_Mix!$J80&lt;=XS_Designer!$BN$93,XS_Designer!BC$93,"")</f>
        <v/>
      </c>
      <c r="X80" s="4" t="str">
        <f>IF(XS_Designer_Bed_Mix!$J80&lt;=XS_Designer!$BN$93,XS_Designer!BD$93,"")</f>
        <v/>
      </c>
      <c r="Y80" s="4" t="str">
        <f>IF(XS_Designer_Bed_Mix!$J80&lt;=XS_Designer!$BN$93,XS_Designer!BE$93,"")</f>
        <v/>
      </c>
      <c r="Z80" s="4" t="str">
        <f>IF(XS_Designer_Bed_Mix!$J80&lt;=XS_Designer!$BN$93,XS_Designer!BF$93,"")</f>
        <v/>
      </c>
      <c r="AA80" s="4" t="str">
        <f>IF(XS_Designer_Bed_Mix!$J80&lt;=XS_Designer!$BN$93,XS_Designer!BG$93,"")</f>
        <v/>
      </c>
      <c r="AB80" s="4" t="str">
        <f>IF(XS_Designer_Bed_Mix!$J80&lt;=XS_Designer!$BN$93,XS_Designer!BH$93,"")</f>
        <v/>
      </c>
      <c r="AC80" s="4" t="str">
        <f>IF(XS_Designer_Bed_Mix!$J80&lt;=XS_Designer!$BN$93,XS_Designer!BI$93,"")</f>
        <v/>
      </c>
      <c r="AD80" s="4" t="str">
        <f>IF(XS_Designer_Bed_Mix!$J80&lt;=XS_Designer!$BN$93,XS_Designer!BJ$93,"")</f>
        <v/>
      </c>
      <c r="AE80" s="4" t="str">
        <f>IF(XS_Designer_Bed_Mix!$J80&lt;=XS_Designer!$BN$94,XS_Designer!BA$94,"")</f>
        <v/>
      </c>
      <c r="AF80" s="4" t="str">
        <f>IF(XS_Designer_Bed_Mix!$J80&lt;=XS_Designer!$BN$94,XS_Designer!BB$94,"")</f>
        <v/>
      </c>
      <c r="AG80" s="4" t="str">
        <f>IF(XS_Designer_Bed_Mix!$J80&lt;=XS_Designer!$BN$94,XS_Designer!BC$94,"")</f>
        <v/>
      </c>
      <c r="AH80" s="4" t="str">
        <f>IF(XS_Designer_Bed_Mix!$J80&lt;=XS_Designer!$BN$94,XS_Designer!BD$94,"")</f>
        <v/>
      </c>
      <c r="AI80" s="4" t="str">
        <f>IF(XS_Designer_Bed_Mix!$J80&lt;=XS_Designer!$BN$94,XS_Designer!BE$94,"")</f>
        <v/>
      </c>
      <c r="AJ80" s="4" t="str">
        <f>IF(XS_Designer_Bed_Mix!$J80&lt;=XS_Designer!$BN$94,XS_Designer!BF$94,"")</f>
        <v/>
      </c>
      <c r="AK80" s="4" t="str">
        <f>IF(XS_Designer_Bed_Mix!$J80&lt;=XS_Designer!$BN$94,XS_Designer!BG$94,"")</f>
        <v/>
      </c>
      <c r="AL80" s="4" t="str">
        <f>IF(XS_Designer_Bed_Mix!$J80&lt;=XS_Designer!$BN$94,XS_Designer!BH$94,"")</f>
        <v/>
      </c>
      <c r="AM80" s="4" t="str">
        <f>IF(XS_Designer_Bed_Mix!$J80&lt;=XS_Designer!$BN$94,XS_Designer!BI$94,"")</f>
        <v/>
      </c>
      <c r="AN80" s="4" t="str">
        <f>IF(XS_Designer_Bed_Mix!$J80&lt;=XS_Designer!$BN$94,XS_Designer!BJ$94,"")</f>
        <v/>
      </c>
      <c r="AO80" s="4" t="str">
        <f>IF(XS_Designer_Bed_Mix!$J80&lt;=XS_Designer!$BN$95,XS_Designer!BA$95,"")</f>
        <v/>
      </c>
      <c r="AP80" s="4" t="str">
        <f>IF(XS_Designer_Bed_Mix!$J80&lt;=XS_Designer!$BN$95,XS_Designer!BB$95,"")</f>
        <v/>
      </c>
      <c r="AQ80" s="4" t="str">
        <f>IF(XS_Designer_Bed_Mix!$J80&lt;=XS_Designer!$BN$95,XS_Designer!BC$95,"")</f>
        <v/>
      </c>
      <c r="AR80" s="4" t="str">
        <f>IF(XS_Designer_Bed_Mix!$J80&lt;=XS_Designer!$BN$95,XS_Designer!BD$95,"")</f>
        <v/>
      </c>
      <c r="AS80" s="4" t="str">
        <f>IF(XS_Designer_Bed_Mix!$J80&lt;=XS_Designer!$BN$95,XS_Designer!BE$95,"")</f>
        <v/>
      </c>
      <c r="AT80" s="4" t="str">
        <f>IF(XS_Designer_Bed_Mix!$J80&lt;=XS_Designer!$BN$95,XS_Designer!BF$95,"")</f>
        <v/>
      </c>
      <c r="AU80" s="4" t="str">
        <f>IF(XS_Designer_Bed_Mix!$J80&lt;=XS_Designer!$BN$95,XS_Designer!BG$95,"")</f>
        <v/>
      </c>
      <c r="AV80" s="4" t="str">
        <f>IF(XS_Designer_Bed_Mix!$J80&lt;=XS_Designer!$BN$95,XS_Designer!BH$95,"")</f>
        <v/>
      </c>
      <c r="AW80" s="4" t="str">
        <f>IF(XS_Designer_Bed_Mix!$J80&lt;=XS_Designer!$BN$95,XS_Designer!BI$95,"")</f>
        <v/>
      </c>
      <c r="AX80" s="4" t="str">
        <f>IF(XS_Designer_Bed_Mix!$J80&lt;=XS_Designer!$BN$95,XS_Designer!BJ$95,"")</f>
        <v/>
      </c>
      <c r="AY80" s="4" t="str">
        <f>IF(XS_Designer_Bed_Mix!$J80&lt;=XS_Designer!$BN$96,XS_Designer!BA$96,"")</f>
        <v/>
      </c>
      <c r="AZ80" s="4" t="str">
        <f>IF(XS_Designer_Bed_Mix!$J80&lt;=XS_Designer!$BN$96,XS_Designer!BB$96,"")</f>
        <v/>
      </c>
      <c r="BA80" s="4" t="str">
        <f>IF(XS_Designer_Bed_Mix!$J80&lt;=XS_Designer!$BN$96,XS_Designer!BC$96,"")</f>
        <v/>
      </c>
      <c r="BB80" s="4" t="str">
        <f>IF(XS_Designer_Bed_Mix!$J80&lt;=XS_Designer!$BN$96,XS_Designer!BD$96,"")</f>
        <v/>
      </c>
      <c r="BC80" s="4" t="str">
        <f>IF(XS_Designer_Bed_Mix!$J80&lt;=XS_Designer!$BN$96,XS_Designer!BE$96,"")</f>
        <v/>
      </c>
      <c r="BD80" s="4" t="str">
        <f>IF(XS_Designer_Bed_Mix!$J80&lt;=XS_Designer!$BN$96,XS_Designer!BF$96,"")</f>
        <v/>
      </c>
      <c r="BE80" s="4" t="str">
        <f>IF(XS_Designer_Bed_Mix!$J80&lt;=XS_Designer!$BN$96,XS_Designer!BG$96,"")</f>
        <v/>
      </c>
      <c r="BF80" s="4" t="str">
        <f>IF(XS_Designer_Bed_Mix!$J80&lt;=XS_Designer!$BN$96,XS_Designer!BH$96,"")</f>
        <v/>
      </c>
      <c r="BG80" s="4" t="str">
        <f>IF(XS_Designer_Bed_Mix!$J80&lt;=XS_Designer!$BN$96,XS_Designer!BI$96,"")</f>
        <v/>
      </c>
      <c r="BH80" s="4" t="str">
        <f>IF(XS_Designer_Bed_Mix!$J80&lt;=XS_Designer!$BN$96,XS_Designer!BJ$96,"")</f>
        <v/>
      </c>
      <c r="BI80" s="4" t="str">
        <f>IF(XS_Designer_Bed_Mix!$J80&lt;=XS_Designer!$BN$97,XS_Designer!BA$97,"")</f>
        <v/>
      </c>
      <c r="BJ80" s="4" t="str">
        <f>IF(XS_Designer_Bed_Mix!$J80&lt;=XS_Designer!$BN$97,XS_Designer!BB$97,"")</f>
        <v/>
      </c>
      <c r="BK80" s="4" t="str">
        <f>IF(XS_Designer_Bed_Mix!$J80&lt;=XS_Designer!$BN$97,XS_Designer!BC$97,"")</f>
        <v/>
      </c>
      <c r="BL80" s="4" t="str">
        <f>IF(XS_Designer_Bed_Mix!$J80&lt;=XS_Designer!$BN$97,XS_Designer!BD$97,"")</f>
        <v/>
      </c>
      <c r="BM80" s="4" t="str">
        <f>IF(XS_Designer_Bed_Mix!$J80&lt;=XS_Designer!$BN$97,XS_Designer!BE$97,"")</f>
        <v/>
      </c>
      <c r="BN80" s="4" t="str">
        <f>IF(XS_Designer_Bed_Mix!$J80&lt;=XS_Designer!$BN$97,XS_Designer!BF$97,"")</f>
        <v/>
      </c>
      <c r="BO80" s="4" t="str">
        <f>IF(XS_Designer_Bed_Mix!$J80&lt;=XS_Designer!$BN$97,XS_Designer!BG$97,"")</f>
        <v/>
      </c>
      <c r="BP80" s="4" t="str">
        <f>IF(XS_Designer_Bed_Mix!$J80&lt;=XS_Designer!$BN$97,XS_Designer!BH$97,"")</f>
        <v/>
      </c>
      <c r="BQ80" s="4" t="str">
        <f>IF(XS_Designer_Bed_Mix!$J80&lt;=XS_Designer!$BN$97,XS_Designer!BI$97,"")</f>
        <v/>
      </c>
      <c r="BR80" s="4" t="str">
        <f>IF(XS_Designer_Bed_Mix!$J80&lt;=XS_Designer!$BN$97,XS_Designer!BJ$97,"")</f>
        <v/>
      </c>
      <c r="BS80" s="4" t="str">
        <f>IF(XS_Designer_Bed_Mix!$J80&lt;=XS_Designer!$BN$98,XS_Designer!BA$98,"")</f>
        <v/>
      </c>
      <c r="BT80" s="4" t="str">
        <f>IF(XS_Designer_Bed_Mix!$J80&lt;=XS_Designer!$BN$98,XS_Designer!BB$98,"")</f>
        <v/>
      </c>
      <c r="BU80" s="4" t="str">
        <f>IF(XS_Designer_Bed_Mix!$J80&lt;=XS_Designer!$BN$98,XS_Designer!BC$98,"")</f>
        <v/>
      </c>
      <c r="BV80" s="4" t="str">
        <f>IF(XS_Designer_Bed_Mix!$J80&lt;=XS_Designer!$BN$98,XS_Designer!BD$98,"")</f>
        <v/>
      </c>
      <c r="BW80" s="4" t="str">
        <f>IF(XS_Designer_Bed_Mix!$J80&lt;=XS_Designer!$BN$98,XS_Designer!BE$98,"")</f>
        <v/>
      </c>
      <c r="BX80" s="4" t="str">
        <f>IF(XS_Designer_Bed_Mix!$J80&lt;=XS_Designer!$BN$98,XS_Designer!BF$98,"")</f>
        <v/>
      </c>
      <c r="BY80" s="4" t="str">
        <f>IF(XS_Designer_Bed_Mix!$J80&lt;=XS_Designer!$BN$98,XS_Designer!BG$98,"")</f>
        <v/>
      </c>
      <c r="BZ80" s="4" t="str">
        <f>IF(XS_Designer_Bed_Mix!$J80&lt;=XS_Designer!$BN$98,XS_Designer!BH$98,"")</f>
        <v/>
      </c>
      <c r="CA80" s="4" t="str">
        <f>IF(XS_Designer_Bed_Mix!$J80&lt;=XS_Designer!$BN$98,XS_Designer!BI$98,"")</f>
        <v/>
      </c>
      <c r="CB80" s="4" t="str">
        <f>IF(XS_Designer_Bed_Mix!$J80&lt;=XS_Designer!$BN$98,XS_Designer!BJ$98,"")</f>
        <v/>
      </c>
      <c r="CC80" s="4" t="str">
        <f>IF(XS_Designer_Bed_Mix!$J80&lt;=XS_Designer!$BN$99,XS_Designer!BA$99,"")</f>
        <v/>
      </c>
      <c r="CD80" s="4" t="str">
        <f>IF(XS_Designer_Bed_Mix!$J80&lt;=XS_Designer!$BN$99,XS_Designer!BB$99,"")</f>
        <v/>
      </c>
      <c r="CE80" s="4" t="str">
        <f>IF(XS_Designer_Bed_Mix!$J80&lt;=XS_Designer!$BN$99,XS_Designer!BC$99,"")</f>
        <v/>
      </c>
      <c r="CF80" s="4" t="str">
        <f>IF(XS_Designer_Bed_Mix!$J80&lt;=XS_Designer!$BN$99,XS_Designer!BD$99,"")</f>
        <v/>
      </c>
      <c r="CG80" s="4" t="str">
        <f>IF(XS_Designer_Bed_Mix!$J80&lt;=XS_Designer!$BN$99,XS_Designer!BE$99,"")</f>
        <v/>
      </c>
      <c r="CH80" s="4" t="str">
        <f>IF(XS_Designer_Bed_Mix!$J80&lt;=XS_Designer!$BN$99,XS_Designer!BF$99,"")</f>
        <v/>
      </c>
      <c r="CI80" s="4" t="str">
        <f>IF(XS_Designer_Bed_Mix!$J80&lt;=XS_Designer!$BN$99,XS_Designer!BG$99,"")</f>
        <v/>
      </c>
      <c r="CJ80" s="4" t="str">
        <f>IF(XS_Designer_Bed_Mix!$J80&lt;=XS_Designer!$BN$99,XS_Designer!BH$99,"")</f>
        <v/>
      </c>
      <c r="CK80" s="4" t="str">
        <f>IF(XS_Designer_Bed_Mix!$J80&lt;=XS_Designer!$BN$99,XS_Designer!BI$99,"")</f>
        <v/>
      </c>
      <c r="CL80" s="4" t="str">
        <f>IF(XS_Designer_Bed_Mix!$J80&lt;=XS_Designer!$BN$99,XS_Designer!BJ$99,"")</f>
        <v/>
      </c>
      <c r="CM80" s="4" t="str">
        <f>IF(XS_Designer_Bed_Mix!$J80&lt;=XS_Designer!$BN$100,XS_Designer!BA$100,"")</f>
        <v/>
      </c>
      <c r="CN80" s="4" t="str">
        <f>IF(XS_Designer_Bed_Mix!$J80&lt;=XS_Designer!$BN$100,XS_Designer!BB$100,"")</f>
        <v/>
      </c>
      <c r="CO80" s="4" t="str">
        <f>IF(XS_Designer_Bed_Mix!$J80&lt;=XS_Designer!$BN$100,XS_Designer!BC$100,"")</f>
        <v/>
      </c>
      <c r="CP80" s="4" t="str">
        <f>IF(XS_Designer_Bed_Mix!$J80&lt;=XS_Designer!$BN$100,XS_Designer!BD$100,"")</f>
        <v/>
      </c>
      <c r="CQ80" s="4" t="str">
        <f>IF(XS_Designer_Bed_Mix!$J80&lt;=XS_Designer!$BN$100,XS_Designer!BE$100,"")</f>
        <v/>
      </c>
      <c r="CR80" s="4" t="str">
        <f>IF(XS_Designer_Bed_Mix!$J80&lt;=XS_Designer!$BN$100,XS_Designer!BF$100,"")</f>
        <v/>
      </c>
      <c r="CS80" s="4" t="str">
        <f>IF(XS_Designer_Bed_Mix!$J80&lt;=XS_Designer!$BN$100,XS_Designer!BG$100,"")</f>
        <v/>
      </c>
      <c r="CT80" s="4" t="str">
        <f>IF(XS_Designer_Bed_Mix!$J80&lt;=XS_Designer!$BN$100,XS_Designer!BH$100,"")</f>
        <v/>
      </c>
      <c r="CU80" s="4" t="str">
        <f>IF(XS_Designer_Bed_Mix!$J80&lt;=XS_Designer!$BN$100,XS_Designer!BI$100,"")</f>
        <v/>
      </c>
      <c r="CV80" s="4" t="str">
        <f>IF(XS_Designer_Bed_Mix!$J80&lt;=XS_Designer!$BN$100,XS_Designer!BJ$100,"")</f>
        <v/>
      </c>
      <c r="CW80" s="4" t="str">
        <f>IF(XS_Designer_Bed_Mix!$J80&lt;=XS_Designer!$BN$101,XS_Designer!BA$101,"")</f>
        <v/>
      </c>
      <c r="CX80" s="4" t="str">
        <f>IF(XS_Designer_Bed_Mix!$J80&lt;=XS_Designer!$BN$101,XS_Designer!BB$101,"")</f>
        <v/>
      </c>
      <c r="CY80" s="4" t="str">
        <f>IF(XS_Designer_Bed_Mix!$J80&lt;=XS_Designer!$BN$101,XS_Designer!BC$101,"")</f>
        <v/>
      </c>
      <c r="CZ80" s="4" t="str">
        <f>IF(XS_Designer_Bed_Mix!$J80&lt;=XS_Designer!$BN$101,XS_Designer!BD$101,"")</f>
        <v/>
      </c>
      <c r="DA80" s="4" t="str">
        <f>IF(XS_Designer_Bed_Mix!$J80&lt;=XS_Designer!$BN$101,XS_Designer!BE$101,"")</f>
        <v/>
      </c>
      <c r="DB80" s="4" t="str">
        <f>IF(XS_Designer_Bed_Mix!$J80&lt;=XS_Designer!$BN$101,XS_Designer!BF$101,"")</f>
        <v/>
      </c>
      <c r="DC80" s="4" t="str">
        <f>IF(XS_Designer_Bed_Mix!$J80&lt;=XS_Designer!$BN$101,XS_Designer!BG$101,"")</f>
        <v/>
      </c>
      <c r="DD80" s="4" t="str">
        <f>IF(XS_Designer_Bed_Mix!$J80&lt;=XS_Designer!$BN$101,XS_Designer!BH$101,"")</f>
        <v/>
      </c>
      <c r="DE80" s="4" t="str">
        <f>IF(XS_Designer_Bed_Mix!$J80&lt;=XS_Designer!$BN$101,XS_Designer!BI$101,"")</f>
        <v/>
      </c>
      <c r="DF80" s="4" t="str">
        <f>IF(XS_Designer_Bed_Mix!$J80&lt;=XS_Designer!$BN$101,XS_Designer!BJ$101,"")</f>
        <v/>
      </c>
      <c r="DG80" s="4" t="str">
        <f>IF(XS_Designer_Bed_Mix!$J80&lt;=XS_Designer!$BN$102,XS_Designer!BA$102,"")</f>
        <v/>
      </c>
      <c r="DH80" s="4" t="str">
        <f>IF(XS_Designer_Bed_Mix!$J80&lt;=XS_Designer!$BN$102,XS_Designer!BB$102,"")</f>
        <v/>
      </c>
      <c r="DI80" s="4" t="str">
        <f>IF(XS_Designer_Bed_Mix!$J80&lt;=XS_Designer!$BN$102,XS_Designer!BC$102,"")</f>
        <v/>
      </c>
      <c r="DJ80" s="4" t="str">
        <f>IF(XS_Designer_Bed_Mix!$J80&lt;=XS_Designer!$BN$102,XS_Designer!BD$102,"")</f>
        <v/>
      </c>
      <c r="DK80" s="4" t="str">
        <f>IF(XS_Designer_Bed_Mix!$J80&lt;=XS_Designer!$BN$102,XS_Designer!BE$102,"")</f>
        <v/>
      </c>
      <c r="DL80" s="4" t="str">
        <f>IF(XS_Designer_Bed_Mix!$J80&lt;=XS_Designer!$BN$102,XS_Designer!BF$102,"")</f>
        <v/>
      </c>
      <c r="DM80" s="4" t="str">
        <f>IF(XS_Designer_Bed_Mix!$J80&lt;=XS_Designer!$BN$102,XS_Designer!BG$102,"")</f>
        <v/>
      </c>
      <c r="DN80" s="4" t="str">
        <f>IF(XS_Designer_Bed_Mix!$J80&lt;=XS_Designer!$BN$102,XS_Designer!BH$102,"")</f>
        <v/>
      </c>
      <c r="DO80" s="4" t="str">
        <f>IF(XS_Designer_Bed_Mix!$J80&lt;=XS_Designer!$BN$102,XS_Designer!BI$102,"")</f>
        <v/>
      </c>
      <c r="DP80" s="4" t="str">
        <f>IF(XS_Designer_Bed_Mix!$J80&lt;=XS_Designer!$BN$102,XS_Designer!BJ$102,"")</f>
        <v/>
      </c>
    </row>
    <row r="81" spans="10:120">
      <c r="J81" s="3">
        <v>0.8</v>
      </c>
      <c r="K81" s="4" t="str">
        <f>IF(XS_Designer_Bed_Mix!$J81&lt;=XS_Designer!$BN$92,XS_Designer!BA$92,"")</f>
        <v/>
      </c>
      <c r="L81" s="4" t="str">
        <f>IF(XS_Designer_Bed_Mix!$J81&lt;=XS_Designer!$BN$92,XS_Designer!BB$92,"")</f>
        <v/>
      </c>
      <c r="M81" s="4" t="str">
        <f>IF(XS_Designer_Bed_Mix!$J81&lt;=XS_Designer!$BN$92,XS_Designer!BC$92,"")</f>
        <v/>
      </c>
      <c r="N81" s="4" t="str">
        <f>IF(XS_Designer_Bed_Mix!$J81&lt;=XS_Designer!$BN$92,XS_Designer!BD$92,"")</f>
        <v/>
      </c>
      <c r="O81" s="4" t="str">
        <f>IF(XS_Designer_Bed_Mix!$J81&lt;=XS_Designer!$BN$92,XS_Designer!BE$92,"")</f>
        <v/>
      </c>
      <c r="P81" s="4" t="str">
        <f>IF(XS_Designer_Bed_Mix!$J81&lt;=XS_Designer!$BN$92,XS_Designer!BF$92,"")</f>
        <v/>
      </c>
      <c r="Q81" s="4" t="str">
        <f>IF(XS_Designer_Bed_Mix!$J81&lt;=XS_Designer!$BN$92,XS_Designer!BG$92,"")</f>
        <v/>
      </c>
      <c r="R81" s="4" t="str">
        <f>IF(XS_Designer_Bed_Mix!$J81&lt;=XS_Designer!$BN$92,XS_Designer!BH$92,"")</f>
        <v/>
      </c>
      <c r="S81" s="4" t="str">
        <f>IF(XS_Designer_Bed_Mix!$J81&lt;=XS_Designer!$BN$92,XS_Designer!BI$92,"")</f>
        <v/>
      </c>
      <c r="T81" s="4" t="str">
        <f>IF(XS_Designer_Bed_Mix!$J81&lt;=XS_Designer!$BN$92,XS_Designer!BJ$92,"")</f>
        <v/>
      </c>
      <c r="U81" s="4" t="str">
        <f>IF(XS_Designer_Bed_Mix!$J81&lt;=XS_Designer!$BN$93,XS_Designer!BA$93,"")</f>
        <v/>
      </c>
      <c r="V81" s="4" t="str">
        <f>IF(XS_Designer_Bed_Mix!$J81&lt;=XS_Designer!$BN$93,XS_Designer!BB$93,"")</f>
        <v/>
      </c>
      <c r="W81" s="4" t="str">
        <f>IF(XS_Designer_Bed_Mix!$J81&lt;=XS_Designer!$BN$93,XS_Designer!BC$93,"")</f>
        <v/>
      </c>
      <c r="X81" s="4" t="str">
        <f>IF(XS_Designer_Bed_Mix!$J81&lt;=XS_Designer!$BN$93,XS_Designer!BD$93,"")</f>
        <v/>
      </c>
      <c r="Y81" s="4" t="str">
        <f>IF(XS_Designer_Bed_Mix!$J81&lt;=XS_Designer!$BN$93,XS_Designer!BE$93,"")</f>
        <v/>
      </c>
      <c r="Z81" s="4" t="str">
        <f>IF(XS_Designer_Bed_Mix!$J81&lt;=XS_Designer!$BN$93,XS_Designer!BF$93,"")</f>
        <v/>
      </c>
      <c r="AA81" s="4" t="str">
        <f>IF(XS_Designer_Bed_Mix!$J81&lt;=XS_Designer!$BN$93,XS_Designer!BG$93,"")</f>
        <v/>
      </c>
      <c r="AB81" s="4" t="str">
        <f>IF(XS_Designer_Bed_Mix!$J81&lt;=XS_Designer!$BN$93,XS_Designer!BH$93,"")</f>
        <v/>
      </c>
      <c r="AC81" s="4" t="str">
        <f>IF(XS_Designer_Bed_Mix!$J81&lt;=XS_Designer!$BN$93,XS_Designer!BI$93,"")</f>
        <v/>
      </c>
      <c r="AD81" s="4" t="str">
        <f>IF(XS_Designer_Bed_Mix!$J81&lt;=XS_Designer!$BN$93,XS_Designer!BJ$93,"")</f>
        <v/>
      </c>
      <c r="AE81" s="4" t="str">
        <f>IF(XS_Designer_Bed_Mix!$J81&lt;=XS_Designer!$BN$94,XS_Designer!BA$94,"")</f>
        <v/>
      </c>
      <c r="AF81" s="4" t="str">
        <f>IF(XS_Designer_Bed_Mix!$J81&lt;=XS_Designer!$BN$94,XS_Designer!BB$94,"")</f>
        <v/>
      </c>
      <c r="AG81" s="4" t="str">
        <f>IF(XS_Designer_Bed_Mix!$J81&lt;=XS_Designer!$BN$94,XS_Designer!BC$94,"")</f>
        <v/>
      </c>
      <c r="AH81" s="4" t="str">
        <f>IF(XS_Designer_Bed_Mix!$J81&lt;=XS_Designer!$BN$94,XS_Designer!BD$94,"")</f>
        <v/>
      </c>
      <c r="AI81" s="4" t="str">
        <f>IF(XS_Designer_Bed_Mix!$J81&lt;=XS_Designer!$BN$94,XS_Designer!BE$94,"")</f>
        <v/>
      </c>
      <c r="AJ81" s="4" t="str">
        <f>IF(XS_Designer_Bed_Mix!$J81&lt;=XS_Designer!$BN$94,XS_Designer!BF$94,"")</f>
        <v/>
      </c>
      <c r="AK81" s="4" t="str">
        <f>IF(XS_Designer_Bed_Mix!$J81&lt;=XS_Designer!$BN$94,XS_Designer!BG$94,"")</f>
        <v/>
      </c>
      <c r="AL81" s="4" t="str">
        <f>IF(XS_Designer_Bed_Mix!$J81&lt;=XS_Designer!$BN$94,XS_Designer!BH$94,"")</f>
        <v/>
      </c>
      <c r="AM81" s="4" t="str">
        <f>IF(XS_Designer_Bed_Mix!$J81&lt;=XS_Designer!$BN$94,XS_Designer!BI$94,"")</f>
        <v/>
      </c>
      <c r="AN81" s="4" t="str">
        <f>IF(XS_Designer_Bed_Mix!$J81&lt;=XS_Designer!$BN$94,XS_Designer!BJ$94,"")</f>
        <v/>
      </c>
      <c r="AO81" s="4" t="str">
        <f>IF(XS_Designer_Bed_Mix!$J81&lt;=XS_Designer!$BN$95,XS_Designer!BA$95,"")</f>
        <v/>
      </c>
      <c r="AP81" s="4" t="str">
        <f>IF(XS_Designer_Bed_Mix!$J81&lt;=XS_Designer!$BN$95,XS_Designer!BB$95,"")</f>
        <v/>
      </c>
      <c r="AQ81" s="4" t="str">
        <f>IF(XS_Designer_Bed_Mix!$J81&lt;=XS_Designer!$BN$95,XS_Designer!BC$95,"")</f>
        <v/>
      </c>
      <c r="AR81" s="4" t="str">
        <f>IF(XS_Designer_Bed_Mix!$J81&lt;=XS_Designer!$BN$95,XS_Designer!BD$95,"")</f>
        <v/>
      </c>
      <c r="AS81" s="4" t="str">
        <f>IF(XS_Designer_Bed_Mix!$J81&lt;=XS_Designer!$BN$95,XS_Designer!BE$95,"")</f>
        <v/>
      </c>
      <c r="AT81" s="4" t="str">
        <f>IF(XS_Designer_Bed_Mix!$J81&lt;=XS_Designer!$BN$95,XS_Designer!BF$95,"")</f>
        <v/>
      </c>
      <c r="AU81" s="4" t="str">
        <f>IF(XS_Designer_Bed_Mix!$J81&lt;=XS_Designer!$BN$95,XS_Designer!BG$95,"")</f>
        <v/>
      </c>
      <c r="AV81" s="4" t="str">
        <f>IF(XS_Designer_Bed_Mix!$J81&lt;=XS_Designer!$BN$95,XS_Designer!BH$95,"")</f>
        <v/>
      </c>
      <c r="AW81" s="4" t="str">
        <f>IF(XS_Designer_Bed_Mix!$J81&lt;=XS_Designer!$BN$95,XS_Designer!BI$95,"")</f>
        <v/>
      </c>
      <c r="AX81" s="4" t="str">
        <f>IF(XS_Designer_Bed_Mix!$J81&lt;=XS_Designer!$BN$95,XS_Designer!BJ$95,"")</f>
        <v/>
      </c>
      <c r="AY81" s="4" t="str">
        <f>IF(XS_Designer_Bed_Mix!$J81&lt;=XS_Designer!$BN$96,XS_Designer!BA$96,"")</f>
        <v/>
      </c>
      <c r="AZ81" s="4" t="str">
        <f>IF(XS_Designer_Bed_Mix!$J81&lt;=XS_Designer!$BN$96,XS_Designer!BB$96,"")</f>
        <v/>
      </c>
      <c r="BA81" s="4" t="str">
        <f>IF(XS_Designer_Bed_Mix!$J81&lt;=XS_Designer!$BN$96,XS_Designer!BC$96,"")</f>
        <v/>
      </c>
      <c r="BB81" s="4" t="str">
        <f>IF(XS_Designer_Bed_Mix!$J81&lt;=XS_Designer!$BN$96,XS_Designer!BD$96,"")</f>
        <v/>
      </c>
      <c r="BC81" s="4" t="str">
        <f>IF(XS_Designer_Bed_Mix!$J81&lt;=XS_Designer!$BN$96,XS_Designer!BE$96,"")</f>
        <v/>
      </c>
      <c r="BD81" s="4" t="str">
        <f>IF(XS_Designer_Bed_Mix!$J81&lt;=XS_Designer!$BN$96,XS_Designer!BF$96,"")</f>
        <v/>
      </c>
      <c r="BE81" s="4" t="str">
        <f>IF(XS_Designer_Bed_Mix!$J81&lt;=XS_Designer!$BN$96,XS_Designer!BG$96,"")</f>
        <v/>
      </c>
      <c r="BF81" s="4" t="str">
        <f>IF(XS_Designer_Bed_Mix!$J81&lt;=XS_Designer!$BN$96,XS_Designer!BH$96,"")</f>
        <v/>
      </c>
      <c r="BG81" s="4" t="str">
        <f>IF(XS_Designer_Bed_Mix!$J81&lt;=XS_Designer!$BN$96,XS_Designer!BI$96,"")</f>
        <v/>
      </c>
      <c r="BH81" s="4" t="str">
        <f>IF(XS_Designer_Bed_Mix!$J81&lt;=XS_Designer!$BN$96,XS_Designer!BJ$96,"")</f>
        <v/>
      </c>
      <c r="BI81" s="4" t="str">
        <f>IF(XS_Designer_Bed_Mix!$J81&lt;=XS_Designer!$BN$97,XS_Designer!BA$97,"")</f>
        <v/>
      </c>
      <c r="BJ81" s="4" t="str">
        <f>IF(XS_Designer_Bed_Mix!$J81&lt;=XS_Designer!$BN$97,XS_Designer!BB$97,"")</f>
        <v/>
      </c>
      <c r="BK81" s="4" t="str">
        <f>IF(XS_Designer_Bed_Mix!$J81&lt;=XS_Designer!$BN$97,XS_Designer!BC$97,"")</f>
        <v/>
      </c>
      <c r="BL81" s="4" t="str">
        <f>IF(XS_Designer_Bed_Mix!$J81&lt;=XS_Designer!$BN$97,XS_Designer!BD$97,"")</f>
        <v/>
      </c>
      <c r="BM81" s="4" t="str">
        <f>IF(XS_Designer_Bed_Mix!$J81&lt;=XS_Designer!$BN$97,XS_Designer!BE$97,"")</f>
        <v/>
      </c>
      <c r="BN81" s="4" t="str">
        <f>IF(XS_Designer_Bed_Mix!$J81&lt;=XS_Designer!$BN$97,XS_Designer!BF$97,"")</f>
        <v/>
      </c>
      <c r="BO81" s="4" t="str">
        <f>IF(XS_Designer_Bed_Mix!$J81&lt;=XS_Designer!$BN$97,XS_Designer!BG$97,"")</f>
        <v/>
      </c>
      <c r="BP81" s="4" t="str">
        <f>IF(XS_Designer_Bed_Mix!$J81&lt;=XS_Designer!$BN$97,XS_Designer!BH$97,"")</f>
        <v/>
      </c>
      <c r="BQ81" s="4" t="str">
        <f>IF(XS_Designer_Bed_Mix!$J81&lt;=XS_Designer!$BN$97,XS_Designer!BI$97,"")</f>
        <v/>
      </c>
      <c r="BR81" s="4" t="str">
        <f>IF(XS_Designer_Bed_Mix!$J81&lt;=XS_Designer!$BN$97,XS_Designer!BJ$97,"")</f>
        <v/>
      </c>
      <c r="BS81" s="4" t="str">
        <f>IF(XS_Designer_Bed_Mix!$J81&lt;=XS_Designer!$BN$98,XS_Designer!BA$98,"")</f>
        <v/>
      </c>
      <c r="BT81" s="4" t="str">
        <f>IF(XS_Designer_Bed_Mix!$J81&lt;=XS_Designer!$BN$98,XS_Designer!BB$98,"")</f>
        <v/>
      </c>
      <c r="BU81" s="4" t="str">
        <f>IF(XS_Designer_Bed_Mix!$J81&lt;=XS_Designer!$BN$98,XS_Designer!BC$98,"")</f>
        <v/>
      </c>
      <c r="BV81" s="4" t="str">
        <f>IF(XS_Designer_Bed_Mix!$J81&lt;=XS_Designer!$BN$98,XS_Designer!BD$98,"")</f>
        <v/>
      </c>
      <c r="BW81" s="4" t="str">
        <f>IF(XS_Designer_Bed_Mix!$J81&lt;=XS_Designer!$BN$98,XS_Designer!BE$98,"")</f>
        <v/>
      </c>
      <c r="BX81" s="4" t="str">
        <f>IF(XS_Designer_Bed_Mix!$J81&lt;=XS_Designer!$BN$98,XS_Designer!BF$98,"")</f>
        <v/>
      </c>
      <c r="BY81" s="4" t="str">
        <f>IF(XS_Designer_Bed_Mix!$J81&lt;=XS_Designer!$BN$98,XS_Designer!BG$98,"")</f>
        <v/>
      </c>
      <c r="BZ81" s="4" t="str">
        <f>IF(XS_Designer_Bed_Mix!$J81&lt;=XS_Designer!$BN$98,XS_Designer!BH$98,"")</f>
        <v/>
      </c>
      <c r="CA81" s="4" t="str">
        <f>IF(XS_Designer_Bed_Mix!$J81&lt;=XS_Designer!$BN$98,XS_Designer!BI$98,"")</f>
        <v/>
      </c>
      <c r="CB81" s="4" t="str">
        <f>IF(XS_Designer_Bed_Mix!$J81&lt;=XS_Designer!$BN$98,XS_Designer!BJ$98,"")</f>
        <v/>
      </c>
      <c r="CC81" s="4" t="str">
        <f>IF(XS_Designer_Bed_Mix!$J81&lt;=XS_Designer!$BN$99,XS_Designer!BA$99,"")</f>
        <v/>
      </c>
      <c r="CD81" s="4" t="str">
        <f>IF(XS_Designer_Bed_Mix!$J81&lt;=XS_Designer!$BN$99,XS_Designer!BB$99,"")</f>
        <v/>
      </c>
      <c r="CE81" s="4" t="str">
        <f>IF(XS_Designer_Bed_Mix!$J81&lt;=XS_Designer!$BN$99,XS_Designer!BC$99,"")</f>
        <v/>
      </c>
      <c r="CF81" s="4" t="str">
        <f>IF(XS_Designer_Bed_Mix!$J81&lt;=XS_Designer!$BN$99,XS_Designer!BD$99,"")</f>
        <v/>
      </c>
      <c r="CG81" s="4" t="str">
        <f>IF(XS_Designer_Bed_Mix!$J81&lt;=XS_Designer!$BN$99,XS_Designer!BE$99,"")</f>
        <v/>
      </c>
      <c r="CH81" s="4" t="str">
        <f>IF(XS_Designer_Bed_Mix!$J81&lt;=XS_Designer!$BN$99,XS_Designer!BF$99,"")</f>
        <v/>
      </c>
      <c r="CI81" s="4" t="str">
        <f>IF(XS_Designer_Bed_Mix!$J81&lt;=XS_Designer!$BN$99,XS_Designer!BG$99,"")</f>
        <v/>
      </c>
      <c r="CJ81" s="4" t="str">
        <f>IF(XS_Designer_Bed_Mix!$J81&lt;=XS_Designer!$BN$99,XS_Designer!BH$99,"")</f>
        <v/>
      </c>
      <c r="CK81" s="4" t="str">
        <f>IF(XS_Designer_Bed_Mix!$J81&lt;=XS_Designer!$BN$99,XS_Designer!BI$99,"")</f>
        <v/>
      </c>
      <c r="CL81" s="4" t="str">
        <f>IF(XS_Designer_Bed_Mix!$J81&lt;=XS_Designer!$BN$99,XS_Designer!BJ$99,"")</f>
        <v/>
      </c>
      <c r="CM81" s="4" t="str">
        <f>IF(XS_Designer_Bed_Mix!$J81&lt;=XS_Designer!$BN$100,XS_Designer!BA$100,"")</f>
        <v/>
      </c>
      <c r="CN81" s="4" t="str">
        <f>IF(XS_Designer_Bed_Mix!$J81&lt;=XS_Designer!$BN$100,XS_Designer!BB$100,"")</f>
        <v/>
      </c>
      <c r="CO81" s="4" t="str">
        <f>IF(XS_Designer_Bed_Mix!$J81&lt;=XS_Designer!$BN$100,XS_Designer!BC$100,"")</f>
        <v/>
      </c>
      <c r="CP81" s="4" t="str">
        <f>IF(XS_Designer_Bed_Mix!$J81&lt;=XS_Designer!$BN$100,XS_Designer!BD$100,"")</f>
        <v/>
      </c>
      <c r="CQ81" s="4" t="str">
        <f>IF(XS_Designer_Bed_Mix!$J81&lt;=XS_Designer!$BN$100,XS_Designer!BE$100,"")</f>
        <v/>
      </c>
      <c r="CR81" s="4" t="str">
        <f>IF(XS_Designer_Bed_Mix!$J81&lt;=XS_Designer!$BN$100,XS_Designer!BF$100,"")</f>
        <v/>
      </c>
      <c r="CS81" s="4" t="str">
        <f>IF(XS_Designer_Bed_Mix!$J81&lt;=XS_Designer!$BN$100,XS_Designer!BG$100,"")</f>
        <v/>
      </c>
      <c r="CT81" s="4" t="str">
        <f>IF(XS_Designer_Bed_Mix!$J81&lt;=XS_Designer!$BN$100,XS_Designer!BH$100,"")</f>
        <v/>
      </c>
      <c r="CU81" s="4" t="str">
        <f>IF(XS_Designer_Bed_Mix!$J81&lt;=XS_Designer!$BN$100,XS_Designer!BI$100,"")</f>
        <v/>
      </c>
      <c r="CV81" s="4" t="str">
        <f>IF(XS_Designer_Bed_Mix!$J81&lt;=XS_Designer!$BN$100,XS_Designer!BJ$100,"")</f>
        <v/>
      </c>
      <c r="CW81" s="4" t="str">
        <f>IF(XS_Designer_Bed_Mix!$J81&lt;=XS_Designer!$BN$101,XS_Designer!BA$101,"")</f>
        <v/>
      </c>
      <c r="CX81" s="4" t="str">
        <f>IF(XS_Designer_Bed_Mix!$J81&lt;=XS_Designer!$BN$101,XS_Designer!BB$101,"")</f>
        <v/>
      </c>
      <c r="CY81" s="4" t="str">
        <f>IF(XS_Designer_Bed_Mix!$J81&lt;=XS_Designer!$BN$101,XS_Designer!BC$101,"")</f>
        <v/>
      </c>
      <c r="CZ81" s="4" t="str">
        <f>IF(XS_Designer_Bed_Mix!$J81&lt;=XS_Designer!$BN$101,XS_Designer!BD$101,"")</f>
        <v/>
      </c>
      <c r="DA81" s="4" t="str">
        <f>IF(XS_Designer_Bed_Mix!$J81&lt;=XS_Designer!$BN$101,XS_Designer!BE$101,"")</f>
        <v/>
      </c>
      <c r="DB81" s="4" t="str">
        <f>IF(XS_Designer_Bed_Mix!$J81&lt;=XS_Designer!$BN$101,XS_Designer!BF$101,"")</f>
        <v/>
      </c>
      <c r="DC81" s="4" t="str">
        <f>IF(XS_Designer_Bed_Mix!$J81&lt;=XS_Designer!$BN$101,XS_Designer!BG$101,"")</f>
        <v/>
      </c>
      <c r="DD81" s="4" t="str">
        <f>IF(XS_Designer_Bed_Mix!$J81&lt;=XS_Designer!$BN$101,XS_Designer!BH$101,"")</f>
        <v/>
      </c>
      <c r="DE81" s="4" t="str">
        <f>IF(XS_Designer_Bed_Mix!$J81&lt;=XS_Designer!$BN$101,XS_Designer!BI$101,"")</f>
        <v/>
      </c>
      <c r="DF81" s="4" t="str">
        <f>IF(XS_Designer_Bed_Mix!$J81&lt;=XS_Designer!$BN$101,XS_Designer!BJ$101,"")</f>
        <v/>
      </c>
      <c r="DG81" s="4" t="str">
        <f>IF(XS_Designer_Bed_Mix!$J81&lt;=XS_Designer!$BN$102,XS_Designer!BA$102,"")</f>
        <v/>
      </c>
      <c r="DH81" s="4" t="str">
        <f>IF(XS_Designer_Bed_Mix!$J81&lt;=XS_Designer!$BN$102,XS_Designer!BB$102,"")</f>
        <v/>
      </c>
      <c r="DI81" s="4" t="str">
        <f>IF(XS_Designer_Bed_Mix!$J81&lt;=XS_Designer!$BN$102,XS_Designer!BC$102,"")</f>
        <v/>
      </c>
      <c r="DJ81" s="4" t="str">
        <f>IF(XS_Designer_Bed_Mix!$J81&lt;=XS_Designer!$BN$102,XS_Designer!BD$102,"")</f>
        <v/>
      </c>
      <c r="DK81" s="4" t="str">
        <f>IF(XS_Designer_Bed_Mix!$J81&lt;=XS_Designer!$BN$102,XS_Designer!BE$102,"")</f>
        <v/>
      </c>
      <c r="DL81" s="4" t="str">
        <f>IF(XS_Designer_Bed_Mix!$J81&lt;=XS_Designer!$BN$102,XS_Designer!BF$102,"")</f>
        <v/>
      </c>
      <c r="DM81" s="4" t="str">
        <f>IF(XS_Designer_Bed_Mix!$J81&lt;=XS_Designer!$BN$102,XS_Designer!BG$102,"")</f>
        <v/>
      </c>
      <c r="DN81" s="4" t="str">
        <f>IF(XS_Designer_Bed_Mix!$J81&lt;=XS_Designer!$BN$102,XS_Designer!BH$102,"")</f>
        <v/>
      </c>
      <c r="DO81" s="4" t="str">
        <f>IF(XS_Designer_Bed_Mix!$J81&lt;=XS_Designer!$BN$102,XS_Designer!BI$102,"")</f>
        <v/>
      </c>
      <c r="DP81" s="4" t="str">
        <f>IF(XS_Designer_Bed_Mix!$J81&lt;=XS_Designer!$BN$102,XS_Designer!BJ$102,"")</f>
        <v/>
      </c>
    </row>
    <row r="82" spans="10:120">
      <c r="J82" s="3">
        <v>0.81</v>
      </c>
      <c r="K82" s="4" t="str">
        <f>IF(XS_Designer_Bed_Mix!$J82&lt;=XS_Designer!$BN$92,XS_Designer!BA$92,"")</f>
        <v/>
      </c>
      <c r="L82" s="4" t="str">
        <f>IF(XS_Designer_Bed_Mix!$J82&lt;=XS_Designer!$BN$92,XS_Designer!BB$92,"")</f>
        <v/>
      </c>
      <c r="M82" s="4" t="str">
        <f>IF(XS_Designer_Bed_Mix!$J82&lt;=XS_Designer!$BN$92,XS_Designer!BC$92,"")</f>
        <v/>
      </c>
      <c r="N82" s="4" t="str">
        <f>IF(XS_Designer_Bed_Mix!$J82&lt;=XS_Designer!$BN$92,XS_Designer!BD$92,"")</f>
        <v/>
      </c>
      <c r="O82" s="4" t="str">
        <f>IF(XS_Designer_Bed_Mix!$J82&lt;=XS_Designer!$BN$92,XS_Designer!BE$92,"")</f>
        <v/>
      </c>
      <c r="P82" s="4" t="str">
        <f>IF(XS_Designer_Bed_Mix!$J82&lt;=XS_Designer!$BN$92,XS_Designer!BF$92,"")</f>
        <v/>
      </c>
      <c r="Q82" s="4" t="str">
        <f>IF(XS_Designer_Bed_Mix!$J82&lt;=XS_Designer!$BN$92,XS_Designer!BG$92,"")</f>
        <v/>
      </c>
      <c r="R82" s="4" t="str">
        <f>IF(XS_Designer_Bed_Mix!$J82&lt;=XS_Designer!$BN$92,XS_Designer!BH$92,"")</f>
        <v/>
      </c>
      <c r="S82" s="4" t="str">
        <f>IF(XS_Designer_Bed_Mix!$J82&lt;=XS_Designer!$BN$92,XS_Designer!BI$92,"")</f>
        <v/>
      </c>
      <c r="T82" s="4" t="str">
        <f>IF(XS_Designer_Bed_Mix!$J82&lt;=XS_Designer!$BN$92,XS_Designer!BJ$92,"")</f>
        <v/>
      </c>
      <c r="U82" s="4" t="str">
        <f>IF(XS_Designer_Bed_Mix!$J82&lt;=XS_Designer!$BN$93,XS_Designer!BA$93,"")</f>
        <v/>
      </c>
      <c r="V82" s="4" t="str">
        <f>IF(XS_Designer_Bed_Mix!$J82&lt;=XS_Designer!$BN$93,XS_Designer!BB$93,"")</f>
        <v/>
      </c>
      <c r="W82" s="4" t="str">
        <f>IF(XS_Designer_Bed_Mix!$J82&lt;=XS_Designer!$BN$93,XS_Designer!BC$93,"")</f>
        <v/>
      </c>
      <c r="X82" s="4" t="str">
        <f>IF(XS_Designer_Bed_Mix!$J82&lt;=XS_Designer!$BN$93,XS_Designer!BD$93,"")</f>
        <v/>
      </c>
      <c r="Y82" s="4" t="str">
        <f>IF(XS_Designer_Bed_Mix!$J82&lt;=XS_Designer!$BN$93,XS_Designer!BE$93,"")</f>
        <v/>
      </c>
      <c r="Z82" s="4" t="str">
        <f>IF(XS_Designer_Bed_Mix!$J82&lt;=XS_Designer!$BN$93,XS_Designer!BF$93,"")</f>
        <v/>
      </c>
      <c r="AA82" s="4" t="str">
        <f>IF(XS_Designer_Bed_Mix!$J82&lt;=XS_Designer!$BN$93,XS_Designer!BG$93,"")</f>
        <v/>
      </c>
      <c r="AB82" s="4" t="str">
        <f>IF(XS_Designer_Bed_Mix!$J82&lt;=XS_Designer!$BN$93,XS_Designer!BH$93,"")</f>
        <v/>
      </c>
      <c r="AC82" s="4" t="str">
        <f>IF(XS_Designer_Bed_Mix!$J82&lt;=XS_Designer!$BN$93,XS_Designer!BI$93,"")</f>
        <v/>
      </c>
      <c r="AD82" s="4" t="str">
        <f>IF(XS_Designer_Bed_Mix!$J82&lt;=XS_Designer!$BN$93,XS_Designer!BJ$93,"")</f>
        <v/>
      </c>
      <c r="AE82" s="4" t="str">
        <f>IF(XS_Designer_Bed_Mix!$J82&lt;=XS_Designer!$BN$94,XS_Designer!BA$94,"")</f>
        <v/>
      </c>
      <c r="AF82" s="4" t="str">
        <f>IF(XS_Designer_Bed_Mix!$J82&lt;=XS_Designer!$BN$94,XS_Designer!BB$94,"")</f>
        <v/>
      </c>
      <c r="AG82" s="4" t="str">
        <f>IF(XS_Designer_Bed_Mix!$J82&lt;=XS_Designer!$BN$94,XS_Designer!BC$94,"")</f>
        <v/>
      </c>
      <c r="AH82" s="4" t="str">
        <f>IF(XS_Designer_Bed_Mix!$J82&lt;=XS_Designer!$BN$94,XS_Designer!BD$94,"")</f>
        <v/>
      </c>
      <c r="AI82" s="4" t="str">
        <f>IF(XS_Designer_Bed_Mix!$J82&lt;=XS_Designer!$BN$94,XS_Designer!BE$94,"")</f>
        <v/>
      </c>
      <c r="AJ82" s="4" t="str">
        <f>IF(XS_Designer_Bed_Mix!$J82&lt;=XS_Designer!$BN$94,XS_Designer!BF$94,"")</f>
        <v/>
      </c>
      <c r="AK82" s="4" t="str">
        <f>IF(XS_Designer_Bed_Mix!$J82&lt;=XS_Designer!$BN$94,XS_Designer!BG$94,"")</f>
        <v/>
      </c>
      <c r="AL82" s="4" t="str">
        <f>IF(XS_Designer_Bed_Mix!$J82&lt;=XS_Designer!$BN$94,XS_Designer!BH$94,"")</f>
        <v/>
      </c>
      <c r="AM82" s="4" t="str">
        <f>IF(XS_Designer_Bed_Mix!$J82&lt;=XS_Designer!$BN$94,XS_Designer!BI$94,"")</f>
        <v/>
      </c>
      <c r="AN82" s="4" t="str">
        <f>IF(XS_Designer_Bed_Mix!$J82&lt;=XS_Designer!$BN$94,XS_Designer!BJ$94,"")</f>
        <v/>
      </c>
      <c r="AO82" s="4" t="str">
        <f>IF(XS_Designer_Bed_Mix!$J82&lt;=XS_Designer!$BN$95,XS_Designer!BA$95,"")</f>
        <v/>
      </c>
      <c r="AP82" s="4" t="str">
        <f>IF(XS_Designer_Bed_Mix!$J82&lt;=XS_Designer!$BN$95,XS_Designer!BB$95,"")</f>
        <v/>
      </c>
      <c r="AQ82" s="4" t="str">
        <f>IF(XS_Designer_Bed_Mix!$J82&lt;=XS_Designer!$BN$95,XS_Designer!BC$95,"")</f>
        <v/>
      </c>
      <c r="AR82" s="4" t="str">
        <f>IF(XS_Designer_Bed_Mix!$J82&lt;=XS_Designer!$BN$95,XS_Designer!BD$95,"")</f>
        <v/>
      </c>
      <c r="AS82" s="4" t="str">
        <f>IF(XS_Designer_Bed_Mix!$J82&lt;=XS_Designer!$BN$95,XS_Designer!BE$95,"")</f>
        <v/>
      </c>
      <c r="AT82" s="4" t="str">
        <f>IF(XS_Designer_Bed_Mix!$J82&lt;=XS_Designer!$BN$95,XS_Designer!BF$95,"")</f>
        <v/>
      </c>
      <c r="AU82" s="4" t="str">
        <f>IF(XS_Designer_Bed_Mix!$J82&lt;=XS_Designer!$BN$95,XS_Designer!BG$95,"")</f>
        <v/>
      </c>
      <c r="AV82" s="4" t="str">
        <f>IF(XS_Designer_Bed_Mix!$J82&lt;=XS_Designer!$BN$95,XS_Designer!BH$95,"")</f>
        <v/>
      </c>
      <c r="AW82" s="4" t="str">
        <f>IF(XS_Designer_Bed_Mix!$J82&lt;=XS_Designer!$BN$95,XS_Designer!BI$95,"")</f>
        <v/>
      </c>
      <c r="AX82" s="4" t="str">
        <f>IF(XS_Designer_Bed_Mix!$J82&lt;=XS_Designer!$BN$95,XS_Designer!BJ$95,"")</f>
        <v/>
      </c>
      <c r="AY82" s="4" t="str">
        <f>IF(XS_Designer_Bed_Mix!$J82&lt;=XS_Designer!$BN$96,XS_Designer!BA$96,"")</f>
        <v/>
      </c>
      <c r="AZ82" s="4" t="str">
        <f>IF(XS_Designer_Bed_Mix!$J82&lt;=XS_Designer!$BN$96,XS_Designer!BB$96,"")</f>
        <v/>
      </c>
      <c r="BA82" s="4" t="str">
        <f>IF(XS_Designer_Bed_Mix!$J82&lt;=XS_Designer!$BN$96,XS_Designer!BC$96,"")</f>
        <v/>
      </c>
      <c r="BB82" s="4" t="str">
        <f>IF(XS_Designer_Bed_Mix!$J82&lt;=XS_Designer!$BN$96,XS_Designer!BD$96,"")</f>
        <v/>
      </c>
      <c r="BC82" s="4" t="str">
        <f>IF(XS_Designer_Bed_Mix!$J82&lt;=XS_Designer!$BN$96,XS_Designer!BE$96,"")</f>
        <v/>
      </c>
      <c r="BD82" s="4" t="str">
        <f>IF(XS_Designer_Bed_Mix!$J82&lt;=XS_Designer!$BN$96,XS_Designer!BF$96,"")</f>
        <v/>
      </c>
      <c r="BE82" s="4" t="str">
        <f>IF(XS_Designer_Bed_Mix!$J82&lt;=XS_Designer!$BN$96,XS_Designer!BG$96,"")</f>
        <v/>
      </c>
      <c r="BF82" s="4" t="str">
        <f>IF(XS_Designer_Bed_Mix!$J82&lt;=XS_Designer!$BN$96,XS_Designer!BH$96,"")</f>
        <v/>
      </c>
      <c r="BG82" s="4" t="str">
        <f>IF(XS_Designer_Bed_Mix!$J82&lt;=XS_Designer!$BN$96,XS_Designer!BI$96,"")</f>
        <v/>
      </c>
      <c r="BH82" s="4" t="str">
        <f>IF(XS_Designer_Bed_Mix!$J82&lt;=XS_Designer!$BN$96,XS_Designer!BJ$96,"")</f>
        <v/>
      </c>
      <c r="BI82" s="4" t="str">
        <f>IF(XS_Designer_Bed_Mix!$J82&lt;=XS_Designer!$BN$97,XS_Designer!BA$97,"")</f>
        <v/>
      </c>
      <c r="BJ82" s="4" t="str">
        <f>IF(XS_Designer_Bed_Mix!$J82&lt;=XS_Designer!$BN$97,XS_Designer!BB$97,"")</f>
        <v/>
      </c>
      <c r="BK82" s="4" t="str">
        <f>IF(XS_Designer_Bed_Mix!$J82&lt;=XS_Designer!$BN$97,XS_Designer!BC$97,"")</f>
        <v/>
      </c>
      <c r="BL82" s="4" t="str">
        <f>IF(XS_Designer_Bed_Mix!$J82&lt;=XS_Designer!$BN$97,XS_Designer!BD$97,"")</f>
        <v/>
      </c>
      <c r="BM82" s="4" t="str">
        <f>IF(XS_Designer_Bed_Mix!$J82&lt;=XS_Designer!$BN$97,XS_Designer!BE$97,"")</f>
        <v/>
      </c>
      <c r="BN82" s="4" t="str">
        <f>IF(XS_Designer_Bed_Mix!$J82&lt;=XS_Designer!$BN$97,XS_Designer!BF$97,"")</f>
        <v/>
      </c>
      <c r="BO82" s="4" t="str">
        <f>IF(XS_Designer_Bed_Mix!$J82&lt;=XS_Designer!$BN$97,XS_Designer!BG$97,"")</f>
        <v/>
      </c>
      <c r="BP82" s="4" t="str">
        <f>IF(XS_Designer_Bed_Mix!$J82&lt;=XS_Designer!$BN$97,XS_Designer!BH$97,"")</f>
        <v/>
      </c>
      <c r="BQ82" s="4" t="str">
        <f>IF(XS_Designer_Bed_Mix!$J82&lt;=XS_Designer!$BN$97,XS_Designer!BI$97,"")</f>
        <v/>
      </c>
      <c r="BR82" s="4" t="str">
        <f>IF(XS_Designer_Bed_Mix!$J82&lt;=XS_Designer!$BN$97,XS_Designer!BJ$97,"")</f>
        <v/>
      </c>
      <c r="BS82" s="4" t="str">
        <f>IF(XS_Designer_Bed_Mix!$J82&lt;=XS_Designer!$BN$98,XS_Designer!BA$98,"")</f>
        <v/>
      </c>
      <c r="BT82" s="4" t="str">
        <f>IF(XS_Designer_Bed_Mix!$J82&lt;=XS_Designer!$BN$98,XS_Designer!BB$98,"")</f>
        <v/>
      </c>
      <c r="BU82" s="4" t="str">
        <f>IF(XS_Designer_Bed_Mix!$J82&lt;=XS_Designer!$BN$98,XS_Designer!BC$98,"")</f>
        <v/>
      </c>
      <c r="BV82" s="4" t="str">
        <f>IF(XS_Designer_Bed_Mix!$J82&lt;=XS_Designer!$BN$98,XS_Designer!BD$98,"")</f>
        <v/>
      </c>
      <c r="BW82" s="4" t="str">
        <f>IF(XS_Designer_Bed_Mix!$J82&lt;=XS_Designer!$BN$98,XS_Designer!BE$98,"")</f>
        <v/>
      </c>
      <c r="BX82" s="4" t="str">
        <f>IF(XS_Designer_Bed_Mix!$J82&lt;=XS_Designer!$BN$98,XS_Designer!BF$98,"")</f>
        <v/>
      </c>
      <c r="BY82" s="4" t="str">
        <f>IF(XS_Designer_Bed_Mix!$J82&lt;=XS_Designer!$BN$98,XS_Designer!BG$98,"")</f>
        <v/>
      </c>
      <c r="BZ82" s="4" t="str">
        <f>IF(XS_Designer_Bed_Mix!$J82&lt;=XS_Designer!$BN$98,XS_Designer!BH$98,"")</f>
        <v/>
      </c>
      <c r="CA82" s="4" t="str">
        <f>IF(XS_Designer_Bed_Mix!$J82&lt;=XS_Designer!$BN$98,XS_Designer!BI$98,"")</f>
        <v/>
      </c>
      <c r="CB82" s="4" t="str">
        <f>IF(XS_Designer_Bed_Mix!$J82&lt;=XS_Designer!$BN$98,XS_Designer!BJ$98,"")</f>
        <v/>
      </c>
      <c r="CC82" s="4" t="str">
        <f>IF(XS_Designer_Bed_Mix!$J82&lt;=XS_Designer!$BN$99,XS_Designer!BA$99,"")</f>
        <v/>
      </c>
      <c r="CD82" s="4" t="str">
        <f>IF(XS_Designer_Bed_Mix!$J82&lt;=XS_Designer!$BN$99,XS_Designer!BB$99,"")</f>
        <v/>
      </c>
      <c r="CE82" s="4" t="str">
        <f>IF(XS_Designer_Bed_Mix!$J82&lt;=XS_Designer!$BN$99,XS_Designer!BC$99,"")</f>
        <v/>
      </c>
      <c r="CF82" s="4" t="str">
        <f>IF(XS_Designer_Bed_Mix!$J82&lt;=XS_Designer!$BN$99,XS_Designer!BD$99,"")</f>
        <v/>
      </c>
      <c r="CG82" s="4" t="str">
        <f>IF(XS_Designer_Bed_Mix!$J82&lt;=XS_Designer!$BN$99,XS_Designer!BE$99,"")</f>
        <v/>
      </c>
      <c r="CH82" s="4" t="str">
        <f>IF(XS_Designer_Bed_Mix!$J82&lt;=XS_Designer!$BN$99,XS_Designer!BF$99,"")</f>
        <v/>
      </c>
      <c r="CI82" s="4" t="str">
        <f>IF(XS_Designer_Bed_Mix!$J82&lt;=XS_Designer!$BN$99,XS_Designer!BG$99,"")</f>
        <v/>
      </c>
      <c r="CJ82" s="4" t="str">
        <f>IF(XS_Designer_Bed_Mix!$J82&lt;=XS_Designer!$BN$99,XS_Designer!BH$99,"")</f>
        <v/>
      </c>
      <c r="CK82" s="4" t="str">
        <f>IF(XS_Designer_Bed_Mix!$J82&lt;=XS_Designer!$BN$99,XS_Designer!BI$99,"")</f>
        <v/>
      </c>
      <c r="CL82" s="4" t="str">
        <f>IF(XS_Designer_Bed_Mix!$J82&lt;=XS_Designer!$BN$99,XS_Designer!BJ$99,"")</f>
        <v/>
      </c>
      <c r="CM82" s="4" t="str">
        <f>IF(XS_Designer_Bed_Mix!$J82&lt;=XS_Designer!$BN$100,XS_Designer!BA$100,"")</f>
        <v/>
      </c>
      <c r="CN82" s="4" t="str">
        <f>IF(XS_Designer_Bed_Mix!$J82&lt;=XS_Designer!$BN$100,XS_Designer!BB$100,"")</f>
        <v/>
      </c>
      <c r="CO82" s="4" t="str">
        <f>IF(XS_Designer_Bed_Mix!$J82&lt;=XS_Designer!$BN$100,XS_Designer!BC$100,"")</f>
        <v/>
      </c>
      <c r="CP82" s="4" t="str">
        <f>IF(XS_Designer_Bed_Mix!$J82&lt;=XS_Designer!$BN$100,XS_Designer!BD$100,"")</f>
        <v/>
      </c>
      <c r="CQ82" s="4" t="str">
        <f>IF(XS_Designer_Bed_Mix!$J82&lt;=XS_Designer!$BN$100,XS_Designer!BE$100,"")</f>
        <v/>
      </c>
      <c r="CR82" s="4" t="str">
        <f>IF(XS_Designer_Bed_Mix!$J82&lt;=XS_Designer!$BN$100,XS_Designer!BF$100,"")</f>
        <v/>
      </c>
      <c r="CS82" s="4" t="str">
        <f>IF(XS_Designer_Bed_Mix!$J82&lt;=XS_Designer!$BN$100,XS_Designer!BG$100,"")</f>
        <v/>
      </c>
      <c r="CT82" s="4" t="str">
        <f>IF(XS_Designer_Bed_Mix!$J82&lt;=XS_Designer!$BN$100,XS_Designer!BH$100,"")</f>
        <v/>
      </c>
      <c r="CU82" s="4" t="str">
        <f>IF(XS_Designer_Bed_Mix!$J82&lt;=XS_Designer!$BN$100,XS_Designer!BI$100,"")</f>
        <v/>
      </c>
      <c r="CV82" s="4" t="str">
        <f>IF(XS_Designer_Bed_Mix!$J82&lt;=XS_Designer!$BN$100,XS_Designer!BJ$100,"")</f>
        <v/>
      </c>
      <c r="CW82" s="4" t="str">
        <f>IF(XS_Designer_Bed_Mix!$J82&lt;=XS_Designer!$BN$101,XS_Designer!BA$101,"")</f>
        <v/>
      </c>
      <c r="CX82" s="4" t="str">
        <f>IF(XS_Designer_Bed_Mix!$J82&lt;=XS_Designer!$BN$101,XS_Designer!BB$101,"")</f>
        <v/>
      </c>
      <c r="CY82" s="4" t="str">
        <f>IF(XS_Designer_Bed_Mix!$J82&lt;=XS_Designer!$BN$101,XS_Designer!BC$101,"")</f>
        <v/>
      </c>
      <c r="CZ82" s="4" t="str">
        <f>IF(XS_Designer_Bed_Mix!$J82&lt;=XS_Designer!$BN$101,XS_Designer!BD$101,"")</f>
        <v/>
      </c>
      <c r="DA82" s="4" t="str">
        <f>IF(XS_Designer_Bed_Mix!$J82&lt;=XS_Designer!$BN$101,XS_Designer!BE$101,"")</f>
        <v/>
      </c>
      <c r="DB82" s="4" t="str">
        <f>IF(XS_Designer_Bed_Mix!$J82&lt;=XS_Designer!$BN$101,XS_Designer!BF$101,"")</f>
        <v/>
      </c>
      <c r="DC82" s="4" t="str">
        <f>IF(XS_Designer_Bed_Mix!$J82&lt;=XS_Designer!$BN$101,XS_Designer!BG$101,"")</f>
        <v/>
      </c>
      <c r="DD82" s="4" t="str">
        <f>IF(XS_Designer_Bed_Mix!$J82&lt;=XS_Designer!$BN$101,XS_Designer!BH$101,"")</f>
        <v/>
      </c>
      <c r="DE82" s="4" t="str">
        <f>IF(XS_Designer_Bed_Mix!$J82&lt;=XS_Designer!$BN$101,XS_Designer!BI$101,"")</f>
        <v/>
      </c>
      <c r="DF82" s="4" t="str">
        <f>IF(XS_Designer_Bed_Mix!$J82&lt;=XS_Designer!$BN$101,XS_Designer!BJ$101,"")</f>
        <v/>
      </c>
      <c r="DG82" s="4" t="str">
        <f>IF(XS_Designer_Bed_Mix!$J82&lt;=XS_Designer!$BN$102,XS_Designer!BA$102,"")</f>
        <v/>
      </c>
      <c r="DH82" s="4" t="str">
        <f>IF(XS_Designer_Bed_Mix!$J82&lt;=XS_Designer!$BN$102,XS_Designer!BB$102,"")</f>
        <v/>
      </c>
      <c r="DI82" s="4" t="str">
        <f>IF(XS_Designer_Bed_Mix!$J82&lt;=XS_Designer!$BN$102,XS_Designer!BC$102,"")</f>
        <v/>
      </c>
      <c r="DJ82" s="4" t="str">
        <f>IF(XS_Designer_Bed_Mix!$J82&lt;=XS_Designer!$BN$102,XS_Designer!BD$102,"")</f>
        <v/>
      </c>
      <c r="DK82" s="4" t="str">
        <f>IF(XS_Designer_Bed_Mix!$J82&lt;=XS_Designer!$BN$102,XS_Designer!BE$102,"")</f>
        <v/>
      </c>
      <c r="DL82" s="4" t="str">
        <f>IF(XS_Designer_Bed_Mix!$J82&lt;=XS_Designer!$BN$102,XS_Designer!BF$102,"")</f>
        <v/>
      </c>
      <c r="DM82" s="4" t="str">
        <f>IF(XS_Designer_Bed_Mix!$J82&lt;=XS_Designer!$BN$102,XS_Designer!BG$102,"")</f>
        <v/>
      </c>
      <c r="DN82" s="4" t="str">
        <f>IF(XS_Designer_Bed_Mix!$J82&lt;=XS_Designer!$BN$102,XS_Designer!BH$102,"")</f>
        <v/>
      </c>
      <c r="DO82" s="4" t="str">
        <f>IF(XS_Designer_Bed_Mix!$J82&lt;=XS_Designer!$BN$102,XS_Designer!BI$102,"")</f>
        <v/>
      </c>
      <c r="DP82" s="4" t="str">
        <f>IF(XS_Designer_Bed_Mix!$J82&lt;=XS_Designer!$BN$102,XS_Designer!BJ$102,"")</f>
        <v/>
      </c>
    </row>
    <row r="83" spans="10:120">
      <c r="J83" s="3">
        <v>0.82</v>
      </c>
      <c r="K83" s="4" t="str">
        <f>IF(XS_Designer_Bed_Mix!$J83&lt;=XS_Designer!$BN$92,XS_Designer!BA$92,"")</f>
        <v/>
      </c>
      <c r="L83" s="4" t="str">
        <f>IF(XS_Designer_Bed_Mix!$J83&lt;=XS_Designer!$BN$92,XS_Designer!BB$92,"")</f>
        <v/>
      </c>
      <c r="M83" s="4" t="str">
        <f>IF(XS_Designer_Bed_Mix!$J83&lt;=XS_Designer!$BN$92,XS_Designer!BC$92,"")</f>
        <v/>
      </c>
      <c r="N83" s="4" t="str">
        <f>IF(XS_Designer_Bed_Mix!$J83&lt;=XS_Designer!$BN$92,XS_Designer!BD$92,"")</f>
        <v/>
      </c>
      <c r="O83" s="4" t="str">
        <f>IF(XS_Designer_Bed_Mix!$J83&lt;=XS_Designer!$BN$92,XS_Designer!BE$92,"")</f>
        <v/>
      </c>
      <c r="P83" s="4" t="str">
        <f>IF(XS_Designer_Bed_Mix!$J83&lt;=XS_Designer!$BN$92,XS_Designer!BF$92,"")</f>
        <v/>
      </c>
      <c r="Q83" s="4" t="str">
        <f>IF(XS_Designer_Bed_Mix!$J83&lt;=XS_Designer!$BN$92,XS_Designer!BG$92,"")</f>
        <v/>
      </c>
      <c r="R83" s="4" t="str">
        <f>IF(XS_Designer_Bed_Mix!$J83&lt;=XS_Designer!$BN$92,XS_Designer!BH$92,"")</f>
        <v/>
      </c>
      <c r="S83" s="4" t="str">
        <f>IF(XS_Designer_Bed_Mix!$J83&lt;=XS_Designer!$BN$92,XS_Designer!BI$92,"")</f>
        <v/>
      </c>
      <c r="T83" s="4" t="str">
        <f>IF(XS_Designer_Bed_Mix!$J83&lt;=XS_Designer!$BN$92,XS_Designer!BJ$92,"")</f>
        <v/>
      </c>
      <c r="U83" s="4" t="str">
        <f>IF(XS_Designer_Bed_Mix!$J83&lt;=XS_Designer!$BN$93,XS_Designer!BA$93,"")</f>
        <v/>
      </c>
      <c r="V83" s="4" t="str">
        <f>IF(XS_Designer_Bed_Mix!$J83&lt;=XS_Designer!$BN$93,XS_Designer!BB$93,"")</f>
        <v/>
      </c>
      <c r="W83" s="4" t="str">
        <f>IF(XS_Designer_Bed_Mix!$J83&lt;=XS_Designer!$BN$93,XS_Designer!BC$93,"")</f>
        <v/>
      </c>
      <c r="X83" s="4" t="str">
        <f>IF(XS_Designer_Bed_Mix!$J83&lt;=XS_Designer!$BN$93,XS_Designer!BD$93,"")</f>
        <v/>
      </c>
      <c r="Y83" s="4" t="str">
        <f>IF(XS_Designer_Bed_Mix!$J83&lt;=XS_Designer!$BN$93,XS_Designer!BE$93,"")</f>
        <v/>
      </c>
      <c r="Z83" s="4" t="str">
        <f>IF(XS_Designer_Bed_Mix!$J83&lt;=XS_Designer!$BN$93,XS_Designer!BF$93,"")</f>
        <v/>
      </c>
      <c r="AA83" s="4" t="str">
        <f>IF(XS_Designer_Bed_Mix!$J83&lt;=XS_Designer!$BN$93,XS_Designer!BG$93,"")</f>
        <v/>
      </c>
      <c r="AB83" s="4" t="str">
        <f>IF(XS_Designer_Bed_Mix!$J83&lt;=XS_Designer!$BN$93,XS_Designer!BH$93,"")</f>
        <v/>
      </c>
      <c r="AC83" s="4" t="str">
        <f>IF(XS_Designer_Bed_Mix!$J83&lt;=XS_Designer!$BN$93,XS_Designer!BI$93,"")</f>
        <v/>
      </c>
      <c r="AD83" s="4" t="str">
        <f>IF(XS_Designer_Bed_Mix!$J83&lt;=XS_Designer!$BN$93,XS_Designer!BJ$93,"")</f>
        <v/>
      </c>
      <c r="AE83" s="4" t="str">
        <f>IF(XS_Designer_Bed_Mix!$J83&lt;=XS_Designer!$BN$94,XS_Designer!BA$94,"")</f>
        <v/>
      </c>
      <c r="AF83" s="4" t="str">
        <f>IF(XS_Designer_Bed_Mix!$J83&lt;=XS_Designer!$BN$94,XS_Designer!BB$94,"")</f>
        <v/>
      </c>
      <c r="AG83" s="4" t="str">
        <f>IF(XS_Designer_Bed_Mix!$J83&lt;=XS_Designer!$BN$94,XS_Designer!BC$94,"")</f>
        <v/>
      </c>
      <c r="AH83" s="4" t="str">
        <f>IF(XS_Designer_Bed_Mix!$J83&lt;=XS_Designer!$BN$94,XS_Designer!BD$94,"")</f>
        <v/>
      </c>
      <c r="AI83" s="4" t="str">
        <f>IF(XS_Designer_Bed_Mix!$J83&lt;=XS_Designer!$BN$94,XS_Designer!BE$94,"")</f>
        <v/>
      </c>
      <c r="AJ83" s="4" t="str">
        <f>IF(XS_Designer_Bed_Mix!$J83&lt;=XS_Designer!$BN$94,XS_Designer!BF$94,"")</f>
        <v/>
      </c>
      <c r="AK83" s="4" t="str">
        <f>IF(XS_Designer_Bed_Mix!$J83&lt;=XS_Designer!$BN$94,XS_Designer!BG$94,"")</f>
        <v/>
      </c>
      <c r="AL83" s="4" t="str">
        <f>IF(XS_Designer_Bed_Mix!$J83&lt;=XS_Designer!$BN$94,XS_Designer!BH$94,"")</f>
        <v/>
      </c>
      <c r="AM83" s="4" t="str">
        <f>IF(XS_Designer_Bed_Mix!$J83&lt;=XS_Designer!$BN$94,XS_Designer!BI$94,"")</f>
        <v/>
      </c>
      <c r="AN83" s="4" t="str">
        <f>IF(XS_Designer_Bed_Mix!$J83&lt;=XS_Designer!$BN$94,XS_Designer!BJ$94,"")</f>
        <v/>
      </c>
      <c r="AO83" s="4" t="str">
        <f>IF(XS_Designer_Bed_Mix!$J83&lt;=XS_Designer!$BN$95,XS_Designer!BA$95,"")</f>
        <v/>
      </c>
      <c r="AP83" s="4" t="str">
        <f>IF(XS_Designer_Bed_Mix!$J83&lt;=XS_Designer!$BN$95,XS_Designer!BB$95,"")</f>
        <v/>
      </c>
      <c r="AQ83" s="4" t="str">
        <f>IF(XS_Designer_Bed_Mix!$J83&lt;=XS_Designer!$BN$95,XS_Designer!BC$95,"")</f>
        <v/>
      </c>
      <c r="AR83" s="4" t="str">
        <f>IF(XS_Designer_Bed_Mix!$J83&lt;=XS_Designer!$BN$95,XS_Designer!BD$95,"")</f>
        <v/>
      </c>
      <c r="AS83" s="4" t="str">
        <f>IF(XS_Designer_Bed_Mix!$J83&lt;=XS_Designer!$BN$95,XS_Designer!BE$95,"")</f>
        <v/>
      </c>
      <c r="AT83" s="4" t="str">
        <f>IF(XS_Designer_Bed_Mix!$J83&lt;=XS_Designer!$BN$95,XS_Designer!BF$95,"")</f>
        <v/>
      </c>
      <c r="AU83" s="4" t="str">
        <f>IF(XS_Designer_Bed_Mix!$J83&lt;=XS_Designer!$BN$95,XS_Designer!BG$95,"")</f>
        <v/>
      </c>
      <c r="AV83" s="4" t="str">
        <f>IF(XS_Designer_Bed_Mix!$J83&lt;=XS_Designer!$BN$95,XS_Designer!BH$95,"")</f>
        <v/>
      </c>
      <c r="AW83" s="4" t="str">
        <f>IF(XS_Designer_Bed_Mix!$J83&lt;=XS_Designer!$BN$95,XS_Designer!BI$95,"")</f>
        <v/>
      </c>
      <c r="AX83" s="4" t="str">
        <f>IF(XS_Designer_Bed_Mix!$J83&lt;=XS_Designer!$BN$95,XS_Designer!BJ$95,"")</f>
        <v/>
      </c>
      <c r="AY83" s="4" t="str">
        <f>IF(XS_Designer_Bed_Mix!$J83&lt;=XS_Designer!$BN$96,XS_Designer!BA$96,"")</f>
        <v/>
      </c>
      <c r="AZ83" s="4" t="str">
        <f>IF(XS_Designer_Bed_Mix!$J83&lt;=XS_Designer!$BN$96,XS_Designer!BB$96,"")</f>
        <v/>
      </c>
      <c r="BA83" s="4" t="str">
        <f>IF(XS_Designer_Bed_Mix!$J83&lt;=XS_Designer!$BN$96,XS_Designer!BC$96,"")</f>
        <v/>
      </c>
      <c r="BB83" s="4" t="str">
        <f>IF(XS_Designer_Bed_Mix!$J83&lt;=XS_Designer!$BN$96,XS_Designer!BD$96,"")</f>
        <v/>
      </c>
      <c r="BC83" s="4" t="str">
        <f>IF(XS_Designer_Bed_Mix!$J83&lt;=XS_Designer!$BN$96,XS_Designer!BE$96,"")</f>
        <v/>
      </c>
      <c r="BD83" s="4" t="str">
        <f>IF(XS_Designer_Bed_Mix!$J83&lt;=XS_Designer!$BN$96,XS_Designer!BF$96,"")</f>
        <v/>
      </c>
      <c r="BE83" s="4" t="str">
        <f>IF(XS_Designer_Bed_Mix!$J83&lt;=XS_Designer!$BN$96,XS_Designer!BG$96,"")</f>
        <v/>
      </c>
      <c r="BF83" s="4" t="str">
        <f>IF(XS_Designer_Bed_Mix!$J83&lt;=XS_Designer!$BN$96,XS_Designer!BH$96,"")</f>
        <v/>
      </c>
      <c r="BG83" s="4" t="str">
        <f>IF(XS_Designer_Bed_Mix!$J83&lt;=XS_Designer!$BN$96,XS_Designer!BI$96,"")</f>
        <v/>
      </c>
      <c r="BH83" s="4" t="str">
        <f>IF(XS_Designer_Bed_Mix!$J83&lt;=XS_Designer!$BN$96,XS_Designer!BJ$96,"")</f>
        <v/>
      </c>
      <c r="BI83" s="4" t="str">
        <f>IF(XS_Designer_Bed_Mix!$J83&lt;=XS_Designer!$BN$97,XS_Designer!BA$97,"")</f>
        <v/>
      </c>
      <c r="BJ83" s="4" t="str">
        <f>IF(XS_Designer_Bed_Mix!$J83&lt;=XS_Designer!$BN$97,XS_Designer!BB$97,"")</f>
        <v/>
      </c>
      <c r="BK83" s="4" t="str">
        <f>IF(XS_Designer_Bed_Mix!$J83&lt;=XS_Designer!$BN$97,XS_Designer!BC$97,"")</f>
        <v/>
      </c>
      <c r="BL83" s="4" t="str">
        <f>IF(XS_Designer_Bed_Mix!$J83&lt;=XS_Designer!$BN$97,XS_Designer!BD$97,"")</f>
        <v/>
      </c>
      <c r="BM83" s="4" t="str">
        <f>IF(XS_Designer_Bed_Mix!$J83&lt;=XS_Designer!$BN$97,XS_Designer!BE$97,"")</f>
        <v/>
      </c>
      <c r="BN83" s="4" t="str">
        <f>IF(XS_Designer_Bed_Mix!$J83&lt;=XS_Designer!$BN$97,XS_Designer!BF$97,"")</f>
        <v/>
      </c>
      <c r="BO83" s="4" t="str">
        <f>IF(XS_Designer_Bed_Mix!$J83&lt;=XS_Designer!$BN$97,XS_Designer!BG$97,"")</f>
        <v/>
      </c>
      <c r="BP83" s="4" t="str">
        <f>IF(XS_Designer_Bed_Mix!$J83&lt;=XS_Designer!$BN$97,XS_Designer!BH$97,"")</f>
        <v/>
      </c>
      <c r="BQ83" s="4" t="str">
        <f>IF(XS_Designer_Bed_Mix!$J83&lt;=XS_Designer!$BN$97,XS_Designer!BI$97,"")</f>
        <v/>
      </c>
      <c r="BR83" s="4" t="str">
        <f>IF(XS_Designer_Bed_Mix!$J83&lt;=XS_Designer!$BN$97,XS_Designer!BJ$97,"")</f>
        <v/>
      </c>
      <c r="BS83" s="4" t="str">
        <f>IF(XS_Designer_Bed_Mix!$J83&lt;=XS_Designer!$BN$98,XS_Designer!BA$98,"")</f>
        <v/>
      </c>
      <c r="BT83" s="4" t="str">
        <f>IF(XS_Designer_Bed_Mix!$J83&lt;=XS_Designer!$BN$98,XS_Designer!BB$98,"")</f>
        <v/>
      </c>
      <c r="BU83" s="4" t="str">
        <f>IF(XS_Designer_Bed_Mix!$J83&lt;=XS_Designer!$BN$98,XS_Designer!BC$98,"")</f>
        <v/>
      </c>
      <c r="BV83" s="4" t="str">
        <f>IF(XS_Designer_Bed_Mix!$J83&lt;=XS_Designer!$BN$98,XS_Designer!BD$98,"")</f>
        <v/>
      </c>
      <c r="BW83" s="4" t="str">
        <f>IF(XS_Designer_Bed_Mix!$J83&lt;=XS_Designer!$BN$98,XS_Designer!BE$98,"")</f>
        <v/>
      </c>
      <c r="BX83" s="4" t="str">
        <f>IF(XS_Designer_Bed_Mix!$J83&lt;=XS_Designer!$BN$98,XS_Designer!BF$98,"")</f>
        <v/>
      </c>
      <c r="BY83" s="4" t="str">
        <f>IF(XS_Designer_Bed_Mix!$J83&lt;=XS_Designer!$BN$98,XS_Designer!BG$98,"")</f>
        <v/>
      </c>
      <c r="BZ83" s="4" t="str">
        <f>IF(XS_Designer_Bed_Mix!$J83&lt;=XS_Designer!$BN$98,XS_Designer!BH$98,"")</f>
        <v/>
      </c>
      <c r="CA83" s="4" t="str">
        <f>IF(XS_Designer_Bed_Mix!$J83&lt;=XS_Designer!$BN$98,XS_Designer!BI$98,"")</f>
        <v/>
      </c>
      <c r="CB83" s="4" t="str">
        <f>IF(XS_Designer_Bed_Mix!$J83&lt;=XS_Designer!$BN$98,XS_Designer!BJ$98,"")</f>
        <v/>
      </c>
      <c r="CC83" s="4" t="str">
        <f>IF(XS_Designer_Bed_Mix!$J83&lt;=XS_Designer!$BN$99,XS_Designer!BA$99,"")</f>
        <v/>
      </c>
      <c r="CD83" s="4" t="str">
        <f>IF(XS_Designer_Bed_Mix!$J83&lt;=XS_Designer!$BN$99,XS_Designer!BB$99,"")</f>
        <v/>
      </c>
      <c r="CE83" s="4" t="str">
        <f>IF(XS_Designer_Bed_Mix!$J83&lt;=XS_Designer!$BN$99,XS_Designer!BC$99,"")</f>
        <v/>
      </c>
      <c r="CF83" s="4" t="str">
        <f>IF(XS_Designer_Bed_Mix!$J83&lt;=XS_Designer!$BN$99,XS_Designer!BD$99,"")</f>
        <v/>
      </c>
      <c r="CG83" s="4" t="str">
        <f>IF(XS_Designer_Bed_Mix!$J83&lt;=XS_Designer!$BN$99,XS_Designer!BE$99,"")</f>
        <v/>
      </c>
      <c r="CH83" s="4" t="str">
        <f>IF(XS_Designer_Bed_Mix!$J83&lt;=XS_Designer!$BN$99,XS_Designer!BF$99,"")</f>
        <v/>
      </c>
      <c r="CI83" s="4" t="str">
        <f>IF(XS_Designer_Bed_Mix!$J83&lt;=XS_Designer!$BN$99,XS_Designer!BG$99,"")</f>
        <v/>
      </c>
      <c r="CJ83" s="4" t="str">
        <f>IF(XS_Designer_Bed_Mix!$J83&lt;=XS_Designer!$BN$99,XS_Designer!BH$99,"")</f>
        <v/>
      </c>
      <c r="CK83" s="4" t="str">
        <f>IF(XS_Designer_Bed_Mix!$J83&lt;=XS_Designer!$BN$99,XS_Designer!BI$99,"")</f>
        <v/>
      </c>
      <c r="CL83" s="4" t="str">
        <f>IF(XS_Designer_Bed_Mix!$J83&lt;=XS_Designer!$BN$99,XS_Designer!BJ$99,"")</f>
        <v/>
      </c>
      <c r="CM83" s="4" t="str">
        <f>IF(XS_Designer_Bed_Mix!$J83&lt;=XS_Designer!$BN$100,XS_Designer!BA$100,"")</f>
        <v/>
      </c>
      <c r="CN83" s="4" t="str">
        <f>IF(XS_Designer_Bed_Mix!$J83&lt;=XS_Designer!$BN$100,XS_Designer!BB$100,"")</f>
        <v/>
      </c>
      <c r="CO83" s="4" t="str">
        <f>IF(XS_Designer_Bed_Mix!$J83&lt;=XS_Designer!$BN$100,XS_Designer!BC$100,"")</f>
        <v/>
      </c>
      <c r="CP83" s="4" t="str">
        <f>IF(XS_Designer_Bed_Mix!$J83&lt;=XS_Designer!$BN$100,XS_Designer!BD$100,"")</f>
        <v/>
      </c>
      <c r="CQ83" s="4" t="str">
        <f>IF(XS_Designer_Bed_Mix!$J83&lt;=XS_Designer!$BN$100,XS_Designer!BE$100,"")</f>
        <v/>
      </c>
      <c r="CR83" s="4" t="str">
        <f>IF(XS_Designer_Bed_Mix!$J83&lt;=XS_Designer!$BN$100,XS_Designer!BF$100,"")</f>
        <v/>
      </c>
      <c r="CS83" s="4" t="str">
        <f>IF(XS_Designer_Bed_Mix!$J83&lt;=XS_Designer!$BN$100,XS_Designer!BG$100,"")</f>
        <v/>
      </c>
      <c r="CT83" s="4" t="str">
        <f>IF(XS_Designer_Bed_Mix!$J83&lt;=XS_Designer!$BN$100,XS_Designer!BH$100,"")</f>
        <v/>
      </c>
      <c r="CU83" s="4" t="str">
        <f>IF(XS_Designer_Bed_Mix!$J83&lt;=XS_Designer!$BN$100,XS_Designer!BI$100,"")</f>
        <v/>
      </c>
      <c r="CV83" s="4" t="str">
        <f>IF(XS_Designer_Bed_Mix!$J83&lt;=XS_Designer!$BN$100,XS_Designer!BJ$100,"")</f>
        <v/>
      </c>
      <c r="CW83" s="4" t="str">
        <f>IF(XS_Designer_Bed_Mix!$J83&lt;=XS_Designer!$BN$101,XS_Designer!BA$101,"")</f>
        <v/>
      </c>
      <c r="CX83" s="4" t="str">
        <f>IF(XS_Designer_Bed_Mix!$J83&lt;=XS_Designer!$BN$101,XS_Designer!BB$101,"")</f>
        <v/>
      </c>
      <c r="CY83" s="4" t="str">
        <f>IF(XS_Designer_Bed_Mix!$J83&lt;=XS_Designer!$BN$101,XS_Designer!BC$101,"")</f>
        <v/>
      </c>
      <c r="CZ83" s="4" t="str">
        <f>IF(XS_Designer_Bed_Mix!$J83&lt;=XS_Designer!$BN$101,XS_Designer!BD$101,"")</f>
        <v/>
      </c>
      <c r="DA83" s="4" t="str">
        <f>IF(XS_Designer_Bed_Mix!$J83&lt;=XS_Designer!$BN$101,XS_Designer!BE$101,"")</f>
        <v/>
      </c>
      <c r="DB83" s="4" t="str">
        <f>IF(XS_Designer_Bed_Mix!$J83&lt;=XS_Designer!$BN$101,XS_Designer!BF$101,"")</f>
        <v/>
      </c>
      <c r="DC83" s="4" t="str">
        <f>IF(XS_Designer_Bed_Mix!$J83&lt;=XS_Designer!$BN$101,XS_Designer!BG$101,"")</f>
        <v/>
      </c>
      <c r="DD83" s="4" t="str">
        <f>IF(XS_Designer_Bed_Mix!$J83&lt;=XS_Designer!$BN$101,XS_Designer!BH$101,"")</f>
        <v/>
      </c>
      <c r="DE83" s="4" t="str">
        <f>IF(XS_Designer_Bed_Mix!$J83&lt;=XS_Designer!$BN$101,XS_Designer!BI$101,"")</f>
        <v/>
      </c>
      <c r="DF83" s="4" t="str">
        <f>IF(XS_Designer_Bed_Mix!$J83&lt;=XS_Designer!$BN$101,XS_Designer!BJ$101,"")</f>
        <v/>
      </c>
      <c r="DG83" s="4" t="str">
        <f>IF(XS_Designer_Bed_Mix!$J83&lt;=XS_Designer!$BN$102,XS_Designer!BA$102,"")</f>
        <v/>
      </c>
      <c r="DH83" s="4" t="str">
        <f>IF(XS_Designer_Bed_Mix!$J83&lt;=XS_Designer!$BN$102,XS_Designer!BB$102,"")</f>
        <v/>
      </c>
      <c r="DI83" s="4" t="str">
        <f>IF(XS_Designer_Bed_Mix!$J83&lt;=XS_Designer!$BN$102,XS_Designer!BC$102,"")</f>
        <v/>
      </c>
      <c r="DJ83" s="4" t="str">
        <f>IF(XS_Designer_Bed_Mix!$J83&lt;=XS_Designer!$BN$102,XS_Designer!BD$102,"")</f>
        <v/>
      </c>
      <c r="DK83" s="4" t="str">
        <f>IF(XS_Designer_Bed_Mix!$J83&lt;=XS_Designer!$BN$102,XS_Designer!BE$102,"")</f>
        <v/>
      </c>
      <c r="DL83" s="4" t="str">
        <f>IF(XS_Designer_Bed_Mix!$J83&lt;=XS_Designer!$BN$102,XS_Designer!BF$102,"")</f>
        <v/>
      </c>
      <c r="DM83" s="4" t="str">
        <f>IF(XS_Designer_Bed_Mix!$J83&lt;=XS_Designer!$BN$102,XS_Designer!BG$102,"")</f>
        <v/>
      </c>
      <c r="DN83" s="4" t="str">
        <f>IF(XS_Designer_Bed_Mix!$J83&lt;=XS_Designer!$BN$102,XS_Designer!BH$102,"")</f>
        <v/>
      </c>
      <c r="DO83" s="4" t="str">
        <f>IF(XS_Designer_Bed_Mix!$J83&lt;=XS_Designer!$BN$102,XS_Designer!BI$102,"")</f>
        <v/>
      </c>
      <c r="DP83" s="4" t="str">
        <f>IF(XS_Designer_Bed_Mix!$J83&lt;=XS_Designer!$BN$102,XS_Designer!BJ$102,"")</f>
        <v/>
      </c>
    </row>
    <row r="84" spans="10:120">
      <c r="J84" s="3">
        <v>0.83</v>
      </c>
      <c r="K84" s="4" t="str">
        <f>IF(XS_Designer_Bed_Mix!$J84&lt;=XS_Designer!$BN$92,XS_Designer!BA$92,"")</f>
        <v/>
      </c>
      <c r="L84" s="4" t="str">
        <f>IF(XS_Designer_Bed_Mix!$J84&lt;=XS_Designer!$BN$92,XS_Designer!BB$92,"")</f>
        <v/>
      </c>
      <c r="M84" s="4" t="str">
        <f>IF(XS_Designer_Bed_Mix!$J84&lt;=XS_Designer!$BN$92,XS_Designer!BC$92,"")</f>
        <v/>
      </c>
      <c r="N84" s="4" t="str">
        <f>IF(XS_Designer_Bed_Mix!$J84&lt;=XS_Designer!$BN$92,XS_Designer!BD$92,"")</f>
        <v/>
      </c>
      <c r="O84" s="4" t="str">
        <f>IF(XS_Designer_Bed_Mix!$J84&lt;=XS_Designer!$BN$92,XS_Designer!BE$92,"")</f>
        <v/>
      </c>
      <c r="P84" s="4" t="str">
        <f>IF(XS_Designer_Bed_Mix!$J84&lt;=XS_Designer!$BN$92,XS_Designer!BF$92,"")</f>
        <v/>
      </c>
      <c r="Q84" s="4" t="str">
        <f>IF(XS_Designer_Bed_Mix!$J84&lt;=XS_Designer!$BN$92,XS_Designer!BG$92,"")</f>
        <v/>
      </c>
      <c r="R84" s="4" t="str">
        <f>IF(XS_Designer_Bed_Mix!$J84&lt;=XS_Designer!$BN$92,XS_Designer!BH$92,"")</f>
        <v/>
      </c>
      <c r="S84" s="4" t="str">
        <f>IF(XS_Designer_Bed_Mix!$J84&lt;=XS_Designer!$BN$92,XS_Designer!BI$92,"")</f>
        <v/>
      </c>
      <c r="T84" s="4" t="str">
        <f>IF(XS_Designer_Bed_Mix!$J84&lt;=XS_Designer!$BN$92,XS_Designer!BJ$92,"")</f>
        <v/>
      </c>
      <c r="U84" s="4" t="str">
        <f>IF(XS_Designer_Bed_Mix!$J84&lt;=XS_Designer!$BN$93,XS_Designer!BA$93,"")</f>
        <v/>
      </c>
      <c r="V84" s="4" t="str">
        <f>IF(XS_Designer_Bed_Mix!$J84&lt;=XS_Designer!$BN$93,XS_Designer!BB$93,"")</f>
        <v/>
      </c>
      <c r="W84" s="4" t="str">
        <f>IF(XS_Designer_Bed_Mix!$J84&lt;=XS_Designer!$BN$93,XS_Designer!BC$93,"")</f>
        <v/>
      </c>
      <c r="X84" s="4" t="str">
        <f>IF(XS_Designer_Bed_Mix!$J84&lt;=XS_Designer!$BN$93,XS_Designer!BD$93,"")</f>
        <v/>
      </c>
      <c r="Y84" s="4" t="str">
        <f>IF(XS_Designer_Bed_Mix!$J84&lt;=XS_Designer!$BN$93,XS_Designer!BE$93,"")</f>
        <v/>
      </c>
      <c r="Z84" s="4" t="str">
        <f>IF(XS_Designer_Bed_Mix!$J84&lt;=XS_Designer!$BN$93,XS_Designer!BF$93,"")</f>
        <v/>
      </c>
      <c r="AA84" s="4" t="str">
        <f>IF(XS_Designer_Bed_Mix!$J84&lt;=XS_Designer!$BN$93,XS_Designer!BG$93,"")</f>
        <v/>
      </c>
      <c r="AB84" s="4" t="str">
        <f>IF(XS_Designer_Bed_Mix!$J84&lt;=XS_Designer!$BN$93,XS_Designer!BH$93,"")</f>
        <v/>
      </c>
      <c r="AC84" s="4" t="str">
        <f>IF(XS_Designer_Bed_Mix!$J84&lt;=XS_Designer!$BN$93,XS_Designer!BI$93,"")</f>
        <v/>
      </c>
      <c r="AD84" s="4" t="str">
        <f>IF(XS_Designer_Bed_Mix!$J84&lt;=XS_Designer!$BN$93,XS_Designer!BJ$93,"")</f>
        <v/>
      </c>
      <c r="AE84" s="4" t="str">
        <f>IF(XS_Designer_Bed_Mix!$J84&lt;=XS_Designer!$BN$94,XS_Designer!BA$94,"")</f>
        <v/>
      </c>
      <c r="AF84" s="4" t="str">
        <f>IF(XS_Designer_Bed_Mix!$J84&lt;=XS_Designer!$BN$94,XS_Designer!BB$94,"")</f>
        <v/>
      </c>
      <c r="AG84" s="4" t="str">
        <f>IF(XS_Designer_Bed_Mix!$J84&lt;=XS_Designer!$BN$94,XS_Designer!BC$94,"")</f>
        <v/>
      </c>
      <c r="AH84" s="4" t="str">
        <f>IF(XS_Designer_Bed_Mix!$J84&lt;=XS_Designer!$BN$94,XS_Designer!BD$94,"")</f>
        <v/>
      </c>
      <c r="AI84" s="4" t="str">
        <f>IF(XS_Designer_Bed_Mix!$J84&lt;=XS_Designer!$BN$94,XS_Designer!BE$94,"")</f>
        <v/>
      </c>
      <c r="AJ84" s="4" t="str">
        <f>IF(XS_Designer_Bed_Mix!$J84&lt;=XS_Designer!$BN$94,XS_Designer!BF$94,"")</f>
        <v/>
      </c>
      <c r="AK84" s="4" t="str">
        <f>IF(XS_Designer_Bed_Mix!$J84&lt;=XS_Designer!$BN$94,XS_Designer!BG$94,"")</f>
        <v/>
      </c>
      <c r="AL84" s="4" t="str">
        <f>IF(XS_Designer_Bed_Mix!$J84&lt;=XS_Designer!$BN$94,XS_Designer!BH$94,"")</f>
        <v/>
      </c>
      <c r="AM84" s="4" t="str">
        <f>IF(XS_Designer_Bed_Mix!$J84&lt;=XS_Designer!$BN$94,XS_Designer!BI$94,"")</f>
        <v/>
      </c>
      <c r="AN84" s="4" t="str">
        <f>IF(XS_Designer_Bed_Mix!$J84&lt;=XS_Designer!$BN$94,XS_Designer!BJ$94,"")</f>
        <v/>
      </c>
      <c r="AO84" s="4" t="str">
        <f>IF(XS_Designer_Bed_Mix!$J84&lt;=XS_Designer!$BN$95,XS_Designer!BA$95,"")</f>
        <v/>
      </c>
      <c r="AP84" s="4" t="str">
        <f>IF(XS_Designer_Bed_Mix!$J84&lt;=XS_Designer!$BN$95,XS_Designer!BB$95,"")</f>
        <v/>
      </c>
      <c r="AQ84" s="4" t="str">
        <f>IF(XS_Designer_Bed_Mix!$J84&lt;=XS_Designer!$BN$95,XS_Designer!BC$95,"")</f>
        <v/>
      </c>
      <c r="AR84" s="4" t="str">
        <f>IF(XS_Designer_Bed_Mix!$J84&lt;=XS_Designer!$BN$95,XS_Designer!BD$95,"")</f>
        <v/>
      </c>
      <c r="AS84" s="4" t="str">
        <f>IF(XS_Designer_Bed_Mix!$J84&lt;=XS_Designer!$BN$95,XS_Designer!BE$95,"")</f>
        <v/>
      </c>
      <c r="AT84" s="4" t="str">
        <f>IF(XS_Designer_Bed_Mix!$J84&lt;=XS_Designer!$BN$95,XS_Designer!BF$95,"")</f>
        <v/>
      </c>
      <c r="AU84" s="4" t="str">
        <f>IF(XS_Designer_Bed_Mix!$J84&lt;=XS_Designer!$BN$95,XS_Designer!BG$95,"")</f>
        <v/>
      </c>
      <c r="AV84" s="4" t="str">
        <f>IF(XS_Designer_Bed_Mix!$J84&lt;=XS_Designer!$BN$95,XS_Designer!BH$95,"")</f>
        <v/>
      </c>
      <c r="AW84" s="4" t="str">
        <f>IF(XS_Designer_Bed_Mix!$J84&lt;=XS_Designer!$BN$95,XS_Designer!BI$95,"")</f>
        <v/>
      </c>
      <c r="AX84" s="4" t="str">
        <f>IF(XS_Designer_Bed_Mix!$J84&lt;=XS_Designer!$BN$95,XS_Designer!BJ$95,"")</f>
        <v/>
      </c>
      <c r="AY84" s="4" t="str">
        <f>IF(XS_Designer_Bed_Mix!$J84&lt;=XS_Designer!$BN$96,XS_Designer!BA$96,"")</f>
        <v/>
      </c>
      <c r="AZ84" s="4" t="str">
        <f>IF(XS_Designer_Bed_Mix!$J84&lt;=XS_Designer!$BN$96,XS_Designer!BB$96,"")</f>
        <v/>
      </c>
      <c r="BA84" s="4" t="str">
        <f>IF(XS_Designer_Bed_Mix!$J84&lt;=XS_Designer!$BN$96,XS_Designer!BC$96,"")</f>
        <v/>
      </c>
      <c r="BB84" s="4" t="str">
        <f>IF(XS_Designer_Bed_Mix!$J84&lt;=XS_Designer!$BN$96,XS_Designer!BD$96,"")</f>
        <v/>
      </c>
      <c r="BC84" s="4" t="str">
        <f>IF(XS_Designer_Bed_Mix!$J84&lt;=XS_Designer!$BN$96,XS_Designer!BE$96,"")</f>
        <v/>
      </c>
      <c r="BD84" s="4" t="str">
        <f>IF(XS_Designer_Bed_Mix!$J84&lt;=XS_Designer!$BN$96,XS_Designer!BF$96,"")</f>
        <v/>
      </c>
      <c r="BE84" s="4" t="str">
        <f>IF(XS_Designer_Bed_Mix!$J84&lt;=XS_Designer!$BN$96,XS_Designer!BG$96,"")</f>
        <v/>
      </c>
      <c r="BF84" s="4" t="str">
        <f>IF(XS_Designer_Bed_Mix!$J84&lt;=XS_Designer!$BN$96,XS_Designer!BH$96,"")</f>
        <v/>
      </c>
      <c r="BG84" s="4" t="str">
        <f>IF(XS_Designer_Bed_Mix!$J84&lt;=XS_Designer!$BN$96,XS_Designer!BI$96,"")</f>
        <v/>
      </c>
      <c r="BH84" s="4" t="str">
        <f>IF(XS_Designer_Bed_Mix!$J84&lt;=XS_Designer!$BN$96,XS_Designer!BJ$96,"")</f>
        <v/>
      </c>
      <c r="BI84" s="4" t="str">
        <f>IF(XS_Designer_Bed_Mix!$J84&lt;=XS_Designer!$BN$97,XS_Designer!BA$97,"")</f>
        <v/>
      </c>
      <c r="BJ84" s="4" t="str">
        <f>IF(XS_Designer_Bed_Mix!$J84&lt;=XS_Designer!$BN$97,XS_Designer!BB$97,"")</f>
        <v/>
      </c>
      <c r="BK84" s="4" t="str">
        <f>IF(XS_Designer_Bed_Mix!$J84&lt;=XS_Designer!$BN$97,XS_Designer!BC$97,"")</f>
        <v/>
      </c>
      <c r="BL84" s="4" t="str">
        <f>IF(XS_Designer_Bed_Mix!$J84&lt;=XS_Designer!$BN$97,XS_Designer!BD$97,"")</f>
        <v/>
      </c>
      <c r="BM84" s="4" t="str">
        <f>IF(XS_Designer_Bed_Mix!$J84&lt;=XS_Designer!$BN$97,XS_Designer!BE$97,"")</f>
        <v/>
      </c>
      <c r="BN84" s="4" t="str">
        <f>IF(XS_Designer_Bed_Mix!$J84&lt;=XS_Designer!$BN$97,XS_Designer!BF$97,"")</f>
        <v/>
      </c>
      <c r="BO84" s="4" t="str">
        <f>IF(XS_Designer_Bed_Mix!$J84&lt;=XS_Designer!$BN$97,XS_Designer!BG$97,"")</f>
        <v/>
      </c>
      <c r="BP84" s="4" t="str">
        <f>IF(XS_Designer_Bed_Mix!$J84&lt;=XS_Designer!$BN$97,XS_Designer!BH$97,"")</f>
        <v/>
      </c>
      <c r="BQ84" s="4" t="str">
        <f>IF(XS_Designer_Bed_Mix!$J84&lt;=XS_Designer!$BN$97,XS_Designer!BI$97,"")</f>
        <v/>
      </c>
      <c r="BR84" s="4" t="str">
        <f>IF(XS_Designer_Bed_Mix!$J84&lt;=XS_Designer!$BN$97,XS_Designer!BJ$97,"")</f>
        <v/>
      </c>
      <c r="BS84" s="4" t="str">
        <f>IF(XS_Designer_Bed_Mix!$J84&lt;=XS_Designer!$BN$98,XS_Designer!BA$98,"")</f>
        <v/>
      </c>
      <c r="BT84" s="4" t="str">
        <f>IF(XS_Designer_Bed_Mix!$J84&lt;=XS_Designer!$BN$98,XS_Designer!BB$98,"")</f>
        <v/>
      </c>
      <c r="BU84" s="4" t="str">
        <f>IF(XS_Designer_Bed_Mix!$J84&lt;=XS_Designer!$BN$98,XS_Designer!BC$98,"")</f>
        <v/>
      </c>
      <c r="BV84" s="4" t="str">
        <f>IF(XS_Designer_Bed_Mix!$J84&lt;=XS_Designer!$BN$98,XS_Designer!BD$98,"")</f>
        <v/>
      </c>
      <c r="BW84" s="4" t="str">
        <f>IF(XS_Designer_Bed_Mix!$J84&lt;=XS_Designer!$BN$98,XS_Designer!BE$98,"")</f>
        <v/>
      </c>
      <c r="BX84" s="4" t="str">
        <f>IF(XS_Designer_Bed_Mix!$J84&lt;=XS_Designer!$BN$98,XS_Designer!BF$98,"")</f>
        <v/>
      </c>
      <c r="BY84" s="4" t="str">
        <f>IF(XS_Designer_Bed_Mix!$J84&lt;=XS_Designer!$BN$98,XS_Designer!BG$98,"")</f>
        <v/>
      </c>
      <c r="BZ84" s="4" t="str">
        <f>IF(XS_Designer_Bed_Mix!$J84&lt;=XS_Designer!$BN$98,XS_Designer!BH$98,"")</f>
        <v/>
      </c>
      <c r="CA84" s="4" t="str">
        <f>IF(XS_Designer_Bed_Mix!$J84&lt;=XS_Designer!$BN$98,XS_Designer!BI$98,"")</f>
        <v/>
      </c>
      <c r="CB84" s="4" t="str">
        <f>IF(XS_Designer_Bed_Mix!$J84&lt;=XS_Designer!$BN$98,XS_Designer!BJ$98,"")</f>
        <v/>
      </c>
      <c r="CC84" s="4" t="str">
        <f>IF(XS_Designer_Bed_Mix!$J84&lt;=XS_Designer!$BN$99,XS_Designer!BA$99,"")</f>
        <v/>
      </c>
      <c r="CD84" s="4" t="str">
        <f>IF(XS_Designer_Bed_Mix!$J84&lt;=XS_Designer!$BN$99,XS_Designer!BB$99,"")</f>
        <v/>
      </c>
      <c r="CE84" s="4" t="str">
        <f>IF(XS_Designer_Bed_Mix!$J84&lt;=XS_Designer!$BN$99,XS_Designer!BC$99,"")</f>
        <v/>
      </c>
      <c r="CF84" s="4" t="str">
        <f>IF(XS_Designer_Bed_Mix!$J84&lt;=XS_Designer!$BN$99,XS_Designer!BD$99,"")</f>
        <v/>
      </c>
      <c r="CG84" s="4" t="str">
        <f>IF(XS_Designer_Bed_Mix!$J84&lt;=XS_Designer!$BN$99,XS_Designer!BE$99,"")</f>
        <v/>
      </c>
      <c r="CH84" s="4" t="str">
        <f>IF(XS_Designer_Bed_Mix!$J84&lt;=XS_Designer!$BN$99,XS_Designer!BF$99,"")</f>
        <v/>
      </c>
      <c r="CI84" s="4" t="str">
        <f>IF(XS_Designer_Bed_Mix!$J84&lt;=XS_Designer!$BN$99,XS_Designer!BG$99,"")</f>
        <v/>
      </c>
      <c r="CJ84" s="4" t="str">
        <f>IF(XS_Designer_Bed_Mix!$J84&lt;=XS_Designer!$BN$99,XS_Designer!BH$99,"")</f>
        <v/>
      </c>
      <c r="CK84" s="4" t="str">
        <f>IF(XS_Designer_Bed_Mix!$J84&lt;=XS_Designer!$BN$99,XS_Designer!BI$99,"")</f>
        <v/>
      </c>
      <c r="CL84" s="4" t="str">
        <f>IF(XS_Designer_Bed_Mix!$J84&lt;=XS_Designer!$BN$99,XS_Designer!BJ$99,"")</f>
        <v/>
      </c>
      <c r="CM84" s="4" t="str">
        <f>IF(XS_Designer_Bed_Mix!$J84&lt;=XS_Designer!$BN$100,XS_Designer!BA$100,"")</f>
        <v/>
      </c>
      <c r="CN84" s="4" t="str">
        <f>IF(XS_Designer_Bed_Mix!$J84&lt;=XS_Designer!$BN$100,XS_Designer!BB$100,"")</f>
        <v/>
      </c>
      <c r="CO84" s="4" t="str">
        <f>IF(XS_Designer_Bed_Mix!$J84&lt;=XS_Designer!$BN$100,XS_Designer!BC$100,"")</f>
        <v/>
      </c>
      <c r="CP84" s="4" t="str">
        <f>IF(XS_Designer_Bed_Mix!$J84&lt;=XS_Designer!$BN$100,XS_Designer!BD$100,"")</f>
        <v/>
      </c>
      <c r="CQ84" s="4" t="str">
        <f>IF(XS_Designer_Bed_Mix!$J84&lt;=XS_Designer!$BN$100,XS_Designer!BE$100,"")</f>
        <v/>
      </c>
      <c r="CR84" s="4" t="str">
        <f>IF(XS_Designer_Bed_Mix!$J84&lt;=XS_Designer!$BN$100,XS_Designer!BF$100,"")</f>
        <v/>
      </c>
      <c r="CS84" s="4" t="str">
        <f>IF(XS_Designer_Bed_Mix!$J84&lt;=XS_Designer!$BN$100,XS_Designer!BG$100,"")</f>
        <v/>
      </c>
      <c r="CT84" s="4" t="str">
        <f>IF(XS_Designer_Bed_Mix!$J84&lt;=XS_Designer!$BN$100,XS_Designer!BH$100,"")</f>
        <v/>
      </c>
      <c r="CU84" s="4" t="str">
        <f>IF(XS_Designer_Bed_Mix!$J84&lt;=XS_Designer!$BN$100,XS_Designer!BI$100,"")</f>
        <v/>
      </c>
      <c r="CV84" s="4" t="str">
        <f>IF(XS_Designer_Bed_Mix!$J84&lt;=XS_Designer!$BN$100,XS_Designer!BJ$100,"")</f>
        <v/>
      </c>
      <c r="CW84" s="4" t="str">
        <f>IF(XS_Designer_Bed_Mix!$J84&lt;=XS_Designer!$BN$101,XS_Designer!BA$101,"")</f>
        <v/>
      </c>
      <c r="CX84" s="4" t="str">
        <f>IF(XS_Designer_Bed_Mix!$J84&lt;=XS_Designer!$BN$101,XS_Designer!BB$101,"")</f>
        <v/>
      </c>
      <c r="CY84" s="4" t="str">
        <f>IF(XS_Designer_Bed_Mix!$J84&lt;=XS_Designer!$BN$101,XS_Designer!BC$101,"")</f>
        <v/>
      </c>
      <c r="CZ84" s="4" t="str">
        <f>IF(XS_Designer_Bed_Mix!$J84&lt;=XS_Designer!$BN$101,XS_Designer!BD$101,"")</f>
        <v/>
      </c>
      <c r="DA84" s="4" t="str">
        <f>IF(XS_Designer_Bed_Mix!$J84&lt;=XS_Designer!$BN$101,XS_Designer!BE$101,"")</f>
        <v/>
      </c>
      <c r="DB84" s="4" t="str">
        <f>IF(XS_Designer_Bed_Mix!$J84&lt;=XS_Designer!$BN$101,XS_Designer!BF$101,"")</f>
        <v/>
      </c>
      <c r="DC84" s="4" t="str">
        <f>IF(XS_Designer_Bed_Mix!$J84&lt;=XS_Designer!$BN$101,XS_Designer!BG$101,"")</f>
        <v/>
      </c>
      <c r="DD84" s="4" t="str">
        <f>IF(XS_Designer_Bed_Mix!$J84&lt;=XS_Designer!$BN$101,XS_Designer!BH$101,"")</f>
        <v/>
      </c>
      <c r="DE84" s="4" t="str">
        <f>IF(XS_Designer_Bed_Mix!$J84&lt;=XS_Designer!$BN$101,XS_Designer!BI$101,"")</f>
        <v/>
      </c>
      <c r="DF84" s="4" t="str">
        <f>IF(XS_Designer_Bed_Mix!$J84&lt;=XS_Designer!$BN$101,XS_Designer!BJ$101,"")</f>
        <v/>
      </c>
      <c r="DG84" s="4" t="str">
        <f>IF(XS_Designer_Bed_Mix!$J84&lt;=XS_Designer!$BN$102,XS_Designer!BA$102,"")</f>
        <v/>
      </c>
      <c r="DH84" s="4" t="str">
        <f>IF(XS_Designer_Bed_Mix!$J84&lt;=XS_Designer!$BN$102,XS_Designer!BB$102,"")</f>
        <v/>
      </c>
      <c r="DI84" s="4" t="str">
        <f>IF(XS_Designer_Bed_Mix!$J84&lt;=XS_Designer!$BN$102,XS_Designer!BC$102,"")</f>
        <v/>
      </c>
      <c r="DJ84" s="4" t="str">
        <f>IF(XS_Designer_Bed_Mix!$J84&lt;=XS_Designer!$BN$102,XS_Designer!BD$102,"")</f>
        <v/>
      </c>
      <c r="DK84" s="4" t="str">
        <f>IF(XS_Designer_Bed_Mix!$J84&lt;=XS_Designer!$BN$102,XS_Designer!BE$102,"")</f>
        <v/>
      </c>
      <c r="DL84" s="4" t="str">
        <f>IF(XS_Designer_Bed_Mix!$J84&lt;=XS_Designer!$BN$102,XS_Designer!BF$102,"")</f>
        <v/>
      </c>
      <c r="DM84" s="4" t="str">
        <f>IF(XS_Designer_Bed_Mix!$J84&lt;=XS_Designer!$BN$102,XS_Designer!BG$102,"")</f>
        <v/>
      </c>
      <c r="DN84" s="4" t="str">
        <f>IF(XS_Designer_Bed_Mix!$J84&lt;=XS_Designer!$BN$102,XS_Designer!BH$102,"")</f>
        <v/>
      </c>
      <c r="DO84" s="4" t="str">
        <f>IF(XS_Designer_Bed_Mix!$J84&lt;=XS_Designer!$BN$102,XS_Designer!BI$102,"")</f>
        <v/>
      </c>
      <c r="DP84" s="4" t="str">
        <f>IF(XS_Designer_Bed_Mix!$J84&lt;=XS_Designer!$BN$102,XS_Designer!BJ$102,"")</f>
        <v/>
      </c>
    </row>
    <row r="85" spans="10:120">
      <c r="J85" s="3">
        <v>0.84</v>
      </c>
      <c r="K85" s="4" t="str">
        <f>IF(XS_Designer_Bed_Mix!$J85&lt;=XS_Designer!$BN$92,XS_Designer!BA$92,"")</f>
        <v/>
      </c>
      <c r="L85" s="4" t="str">
        <f>IF(XS_Designer_Bed_Mix!$J85&lt;=XS_Designer!$BN$92,XS_Designer!BB$92,"")</f>
        <v/>
      </c>
      <c r="M85" s="4" t="str">
        <f>IF(XS_Designer_Bed_Mix!$J85&lt;=XS_Designer!$BN$92,XS_Designer!BC$92,"")</f>
        <v/>
      </c>
      <c r="N85" s="4" t="str">
        <f>IF(XS_Designer_Bed_Mix!$J85&lt;=XS_Designer!$BN$92,XS_Designer!BD$92,"")</f>
        <v/>
      </c>
      <c r="O85" s="4" t="str">
        <f>IF(XS_Designer_Bed_Mix!$J85&lt;=XS_Designer!$BN$92,XS_Designer!BE$92,"")</f>
        <v/>
      </c>
      <c r="P85" s="4" t="str">
        <f>IF(XS_Designer_Bed_Mix!$J85&lt;=XS_Designer!$BN$92,XS_Designer!BF$92,"")</f>
        <v/>
      </c>
      <c r="Q85" s="4" t="str">
        <f>IF(XS_Designer_Bed_Mix!$J85&lt;=XS_Designer!$BN$92,XS_Designer!BG$92,"")</f>
        <v/>
      </c>
      <c r="R85" s="4" t="str">
        <f>IF(XS_Designer_Bed_Mix!$J85&lt;=XS_Designer!$BN$92,XS_Designer!BH$92,"")</f>
        <v/>
      </c>
      <c r="S85" s="4" t="str">
        <f>IF(XS_Designer_Bed_Mix!$J85&lt;=XS_Designer!$BN$92,XS_Designer!BI$92,"")</f>
        <v/>
      </c>
      <c r="T85" s="4" t="str">
        <f>IF(XS_Designer_Bed_Mix!$J85&lt;=XS_Designer!$BN$92,XS_Designer!BJ$92,"")</f>
        <v/>
      </c>
      <c r="U85" s="4" t="str">
        <f>IF(XS_Designer_Bed_Mix!$J85&lt;=XS_Designer!$BN$93,XS_Designer!BA$93,"")</f>
        <v/>
      </c>
      <c r="V85" s="4" t="str">
        <f>IF(XS_Designer_Bed_Mix!$J85&lt;=XS_Designer!$BN$93,XS_Designer!BB$93,"")</f>
        <v/>
      </c>
      <c r="W85" s="4" t="str">
        <f>IF(XS_Designer_Bed_Mix!$J85&lt;=XS_Designer!$BN$93,XS_Designer!BC$93,"")</f>
        <v/>
      </c>
      <c r="X85" s="4" t="str">
        <f>IF(XS_Designer_Bed_Mix!$J85&lt;=XS_Designer!$BN$93,XS_Designer!BD$93,"")</f>
        <v/>
      </c>
      <c r="Y85" s="4" t="str">
        <f>IF(XS_Designer_Bed_Mix!$J85&lt;=XS_Designer!$BN$93,XS_Designer!BE$93,"")</f>
        <v/>
      </c>
      <c r="Z85" s="4" t="str">
        <f>IF(XS_Designer_Bed_Mix!$J85&lt;=XS_Designer!$BN$93,XS_Designer!BF$93,"")</f>
        <v/>
      </c>
      <c r="AA85" s="4" t="str">
        <f>IF(XS_Designer_Bed_Mix!$J85&lt;=XS_Designer!$BN$93,XS_Designer!BG$93,"")</f>
        <v/>
      </c>
      <c r="AB85" s="4" t="str">
        <f>IF(XS_Designer_Bed_Mix!$J85&lt;=XS_Designer!$BN$93,XS_Designer!BH$93,"")</f>
        <v/>
      </c>
      <c r="AC85" s="4" t="str">
        <f>IF(XS_Designer_Bed_Mix!$J85&lt;=XS_Designer!$BN$93,XS_Designer!BI$93,"")</f>
        <v/>
      </c>
      <c r="AD85" s="4" t="str">
        <f>IF(XS_Designer_Bed_Mix!$J85&lt;=XS_Designer!$BN$93,XS_Designer!BJ$93,"")</f>
        <v/>
      </c>
      <c r="AE85" s="4" t="str">
        <f>IF(XS_Designer_Bed_Mix!$J85&lt;=XS_Designer!$BN$94,XS_Designer!BA$94,"")</f>
        <v/>
      </c>
      <c r="AF85" s="4" t="str">
        <f>IF(XS_Designer_Bed_Mix!$J85&lt;=XS_Designer!$BN$94,XS_Designer!BB$94,"")</f>
        <v/>
      </c>
      <c r="AG85" s="4" t="str">
        <f>IF(XS_Designer_Bed_Mix!$J85&lt;=XS_Designer!$BN$94,XS_Designer!BC$94,"")</f>
        <v/>
      </c>
      <c r="AH85" s="4" t="str">
        <f>IF(XS_Designer_Bed_Mix!$J85&lt;=XS_Designer!$BN$94,XS_Designer!BD$94,"")</f>
        <v/>
      </c>
      <c r="AI85" s="4" t="str">
        <f>IF(XS_Designer_Bed_Mix!$J85&lt;=XS_Designer!$BN$94,XS_Designer!BE$94,"")</f>
        <v/>
      </c>
      <c r="AJ85" s="4" t="str">
        <f>IF(XS_Designer_Bed_Mix!$J85&lt;=XS_Designer!$BN$94,XS_Designer!BF$94,"")</f>
        <v/>
      </c>
      <c r="AK85" s="4" t="str">
        <f>IF(XS_Designer_Bed_Mix!$J85&lt;=XS_Designer!$BN$94,XS_Designer!BG$94,"")</f>
        <v/>
      </c>
      <c r="AL85" s="4" t="str">
        <f>IF(XS_Designer_Bed_Mix!$J85&lt;=XS_Designer!$BN$94,XS_Designer!BH$94,"")</f>
        <v/>
      </c>
      <c r="AM85" s="4" t="str">
        <f>IF(XS_Designer_Bed_Mix!$J85&lt;=XS_Designer!$BN$94,XS_Designer!BI$94,"")</f>
        <v/>
      </c>
      <c r="AN85" s="4" t="str">
        <f>IF(XS_Designer_Bed_Mix!$J85&lt;=XS_Designer!$BN$94,XS_Designer!BJ$94,"")</f>
        <v/>
      </c>
      <c r="AO85" s="4" t="str">
        <f>IF(XS_Designer_Bed_Mix!$J85&lt;=XS_Designer!$BN$95,XS_Designer!BA$95,"")</f>
        <v/>
      </c>
      <c r="AP85" s="4" t="str">
        <f>IF(XS_Designer_Bed_Mix!$J85&lt;=XS_Designer!$BN$95,XS_Designer!BB$95,"")</f>
        <v/>
      </c>
      <c r="AQ85" s="4" t="str">
        <f>IF(XS_Designer_Bed_Mix!$J85&lt;=XS_Designer!$BN$95,XS_Designer!BC$95,"")</f>
        <v/>
      </c>
      <c r="AR85" s="4" t="str">
        <f>IF(XS_Designer_Bed_Mix!$J85&lt;=XS_Designer!$BN$95,XS_Designer!BD$95,"")</f>
        <v/>
      </c>
      <c r="AS85" s="4" t="str">
        <f>IF(XS_Designer_Bed_Mix!$J85&lt;=XS_Designer!$BN$95,XS_Designer!BE$95,"")</f>
        <v/>
      </c>
      <c r="AT85" s="4" t="str">
        <f>IF(XS_Designer_Bed_Mix!$J85&lt;=XS_Designer!$BN$95,XS_Designer!BF$95,"")</f>
        <v/>
      </c>
      <c r="AU85" s="4" t="str">
        <f>IF(XS_Designer_Bed_Mix!$J85&lt;=XS_Designer!$BN$95,XS_Designer!BG$95,"")</f>
        <v/>
      </c>
      <c r="AV85" s="4" t="str">
        <f>IF(XS_Designer_Bed_Mix!$J85&lt;=XS_Designer!$BN$95,XS_Designer!BH$95,"")</f>
        <v/>
      </c>
      <c r="AW85" s="4" t="str">
        <f>IF(XS_Designer_Bed_Mix!$J85&lt;=XS_Designer!$BN$95,XS_Designer!BI$95,"")</f>
        <v/>
      </c>
      <c r="AX85" s="4" t="str">
        <f>IF(XS_Designer_Bed_Mix!$J85&lt;=XS_Designer!$BN$95,XS_Designer!BJ$95,"")</f>
        <v/>
      </c>
      <c r="AY85" s="4" t="str">
        <f>IF(XS_Designer_Bed_Mix!$J85&lt;=XS_Designer!$BN$96,XS_Designer!BA$96,"")</f>
        <v/>
      </c>
      <c r="AZ85" s="4" t="str">
        <f>IF(XS_Designer_Bed_Mix!$J85&lt;=XS_Designer!$BN$96,XS_Designer!BB$96,"")</f>
        <v/>
      </c>
      <c r="BA85" s="4" t="str">
        <f>IF(XS_Designer_Bed_Mix!$J85&lt;=XS_Designer!$BN$96,XS_Designer!BC$96,"")</f>
        <v/>
      </c>
      <c r="BB85" s="4" t="str">
        <f>IF(XS_Designer_Bed_Mix!$J85&lt;=XS_Designer!$BN$96,XS_Designer!BD$96,"")</f>
        <v/>
      </c>
      <c r="BC85" s="4" t="str">
        <f>IF(XS_Designer_Bed_Mix!$J85&lt;=XS_Designer!$BN$96,XS_Designer!BE$96,"")</f>
        <v/>
      </c>
      <c r="BD85" s="4" t="str">
        <f>IF(XS_Designer_Bed_Mix!$J85&lt;=XS_Designer!$BN$96,XS_Designer!BF$96,"")</f>
        <v/>
      </c>
      <c r="BE85" s="4" t="str">
        <f>IF(XS_Designer_Bed_Mix!$J85&lt;=XS_Designer!$BN$96,XS_Designer!BG$96,"")</f>
        <v/>
      </c>
      <c r="BF85" s="4" t="str">
        <f>IF(XS_Designer_Bed_Mix!$J85&lt;=XS_Designer!$BN$96,XS_Designer!BH$96,"")</f>
        <v/>
      </c>
      <c r="BG85" s="4" t="str">
        <f>IF(XS_Designer_Bed_Mix!$J85&lt;=XS_Designer!$BN$96,XS_Designer!BI$96,"")</f>
        <v/>
      </c>
      <c r="BH85" s="4" t="str">
        <f>IF(XS_Designer_Bed_Mix!$J85&lt;=XS_Designer!$BN$96,XS_Designer!BJ$96,"")</f>
        <v/>
      </c>
      <c r="BI85" s="4" t="str">
        <f>IF(XS_Designer_Bed_Mix!$J85&lt;=XS_Designer!$BN$97,XS_Designer!BA$97,"")</f>
        <v/>
      </c>
      <c r="BJ85" s="4" t="str">
        <f>IF(XS_Designer_Bed_Mix!$J85&lt;=XS_Designer!$BN$97,XS_Designer!BB$97,"")</f>
        <v/>
      </c>
      <c r="BK85" s="4" t="str">
        <f>IF(XS_Designer_Bed_Mix!$J85&lt;=XS_Designer!$BN$97,XS_Designer!BC$97,"")</f>
        <v/>
      </c>
      <c r="BL85" s="4" t="str">
        <f>IF(XS_Designer_Bed_Mix!$J85&lt;=XS_Designer!$BN$97,XS_Designer!BD$97,"")</f>
        <v/>
      </c>
      <c r="BM85" s="4" t="str">
        <f>IF(XS_Designer_Bed_Mix!$J85&lt;=XS_Designer!$BN$97,XS_Designer!BE$97,"")</f>
        <v/>
      </c>
      <c r="BN85" s="4" t="str">
        <f>IF(XS_Designer_Bed_Mix!$J85&lt;=XS_Designer!$BN$97,XS_Designer!BF$97,"")</f>
        <v/>
      </c>
      <c r="BO85" s="4" t="str">
        <f>IF(XS_Designer_Bed_Mix!$J85&lt;=XS_Designer!$BN$97,XS_Designer!BG$97,"")</f>
        <v/>
      </c>
      <c r="BP85" s="4" t="str">
        <f>IF(XS_Designer_Bed_Mix!$J85&lt;=XS_Designer!$BN$97,XS_Designer!BH$97,"")</f>
        <v/>
      </c>
      <c r="BQ85" s="4" t="str">
        <f>IF(XS_Designer_Bed_Mix!$J85&lt;=XS_Designer!$BN$97,XS_Designer!BI$97,"")</f>
        <v/>
      </c>
      <c r="BR85" s="4" t="str">
        <f>IF(XS_Designer_Bed_Mix!$J85&lt;=XS_Designer!$BN$97,XS_Designer!BJ$97,"")</f>
        <v/>
      </c>
      <c r="BS85" s="4" t="str">
        <f>IF(XS_Designer_Bed_Mix!$J85&lt;=XS_Designer!$BN$98,XS_Designer!BA$98,"")</f>
        <v/>
      </c>
      <c r="BT85" s="4" t="str">
        <f>IF(XS_Designer_Bed_Mix!$J85&lt;=XS_Designer!$BN$98,XS_Designer!BB$98,"")</f>
        <v/>
      </c>
      <c r="BU85" s="4" t="str">
        <f>IF(XS_Designer_Bed_Mix!$J85&lt;=XS_Designer!$BN$98,XS_Designer!BC$98,"")</f>
        <v/>
      </c>
      <c r="BV85" s="4" t="str">
        <f>IF(XS_Designer_Bed_Mix!$J85&lt;=XS_Designer!$BN$98,XS_Designer!BD$98,"")</f>
        <v/>
      </c>
      <c r="BW85" s="4" t="str">
        <f>IF(XS_Designer_Bed_Mix!$J85&lt;=XS_Designer!$BN$98,XS_Designer!BE$98,"")</f>
        <v/>
      </c>
      <c r="BX85" s="4" t="str">
        <f>IF(XS_Designer_Bed_Mix!$J85&lt;=XS_Designer!$BN$98,XS_Designer!BF$98,"")</f>
        <v/>
      </c>
      <c r="BY85" s="4" t="str">
        <f>IF(XS_Designer_Bed_Mix!$J85&lt;=XS_Designer!$BN$98,XS_Designer!BG$98,"")</f>
        <v/>
      </c>
      <c r="BZ85" s="4" t="str">
        <f>IF(XS_Designer_Bed_Mix!$J85&lt;=XS_Designer!$BN$98,XS_Designer!BH$98,"")</f>
        <v/>
      </c>
      <c r="CA85" s="4" t="str">
        <f>IF(XS_Designer_Bed_Mix!$J85&lt;=XS_Designer!$BN$98,XS_Designer!BI$98,"")</f>
        <v/>
      </c>
      <c r="CB85" s="4" t="str">
        <f>IF(XS_Designer_Bed_Mix!$J85&lt;=XS_Designer!$BN$98,XS_Designer!BJ$98,"")</f>
        <v/>
      </c>
      <c r="CC85" s="4" t="str">
        <f>IF(XS_Designer_Bed_Mix!$J85&lt;=XS_Designer!$BN$99,XS_Designer!BA$99,"")</f>
        <v/>
      </c>
      <c r="CD85" s="4" t="str">
        <f>IF(XS_Designer_Bed_Mix!$J85&lt;=XS_Designer!$BN$99,XS_Designer!BB$99,"")</f>
        <v/>
      </c>
      <c r="CE85" s="4" t="str">
        <f>IF(XS_Designer_Bed_Mix!$J85&lt;=XS_Designer!$BN$99,XS_Designer!BC$99,"")</f>
        <v/>
      </c>
      <c r="CF85" s="4" t="str">
        <f>IF(XS_Designer_Bed_Mix!$J85&lt;=XS_Designer!$BN$99,XS_Designer!BD$99,"")</f>
        <v/>
      </c>
      <c r="CG85" s="4" t="str">
        <f>IF(XS_Designer_Bed_Mix!$J85&lt;=XS_Designer!$BN$99,XS_Designer!BE$99,"")</f>
        <v/>
      </c>
      <c r="CH85" s="4" t="str">
        <f>IF(XS_Designer_Bed_Mix!$J85&lt;=XS_Designer!$BN$99,XS_Designer!BF$99,"")</f>
        <v/>
      </c>
      <c r="CI85" s="4" t="str">
        <f>IF(XS_Designer_Bed_Mix!$J85&lt;=XS_Designer!$BN$99,XS_Designer!BG$99,"")</f>
        <v/>
      </c>
      <c r="CJ85" s="4" t="str">
        <f>IF(XS_Designer_Bed_Mix!$J85&lt;=XS_Designer!$BN$99,XS_Designer!BH$99,"")</f>
        <v/>
      </c>
      <c r="CK85" s="4" t="str">
        <f>IF(XS_Designer_Bed_Mix!$J85&lt;=XS_Designer!$BN$99,XS_Designer!BI$99,"")</f>
        <v/>
      </c>
      <c r="CL85" s="4" t="str">
        <f>IF(XS_Designer_Bed_Mix!$J85&lt;=XS_Designer!$BN$99,XS_Designer!BJ$99,"")</f>
        <v/>
      </c>
      <c r="CM85" s="4" t="str">
        <f>IF(XS_Designer_Bed_Mix!$J85&lt;=XS_Designer!$BN$100,XS_Designer!BA$100,"")</f>
        <v/>
      </c>
      <c r="CN85" s="4" t="str">
        <f>IF(XS_Designer_Bed_Mix!$J85&lt;=XS_Designer!$BN$100,XS_Designer!BB$100,"")</f>
        <v/>
      </c>
      <c r="CO85" s="4" t="str">
        <f>IF(XS_Designer_Bed_Mix!$J85&lt;=XS_Designer!$BN$100,XS_Designer!BC$100,"")</f>
        <v/>
      </c>
      <c r="CP85" s="4" t="str">
        <f>IF(XS_Designer_Bed_Mix!$J85&lt;=XS_Designer!$BN$100,XS_Designer!BD$100,"")</f>
        <v/>
      </c>
      <c r="CQ85" s="4" t="str">
        <f>IF(XS_Designer_Bed_Mix!$J85&lt;=XS_Designer!$BN$100,XS_Designer!BE$100,"")</f>
        <v/>
      </c>
      <c r="CR85" s="4" t="str">
        <f>IF(XS_Designer_Bed_Mix!$J85&lt;=XS_Designer!$BN$100,XS_Designer!BF$100,"")</f>
        <v/>
      </c>
      <c r="CS85" s="4" t="str">
        <f>IF(XS_Designer_Bed_Mix!$J85&lt;=XS_Designer!$BN$100,XS_Designer!BG$100,"")</f>
        <v/>
      </c>
      <c r="CT85" s="4" t="str">
        <f>IF(XS_Designer_Bed_Mix!$J85&lt;=XS_Designer!$BN$100,XS_Designer!BH$100,"")</f>
        <v/>
      </c>
      <c r="CU85" s="4" t="str">
        <f>IF(XS_Designer_Bed_Mix!$J85&lt;=XS_Designer!$BN$100,XS_Designer!BI$100,"")</f>
        <v/>
      </c>
      <c r="CV85" s="4" t="str">
        <f>IF(XS_Designer_Bed_Mix!$J85&lt;=XS_Designer!$BN$100,XS_Designer!BJ$100,"")</f>
        <v/>
      </c>
      <c r="CW85" s="4" t="str">
        <f>IF(XS_Designer_Bed_Mix!$J85&lt;=XS_Designer!$BN$101,XS_Designer!BA$101,"")</f>
        <v/>
      </c>
      <c r="CX85" s="4" t="str">
        <f>IF(XS_Designer_Bed_Mix!$J85&lt;=XS_Designer!$BN$101,XS_Designer!BB$101,"")</f>
        <v/>
      </c>
      <c r="CY85" s="4" t="str">
        <f>IF(XS_Designer_Bed_Mix!$J85&lt;=XS_Designer!$BN$101,XS_Designer!BC$101,"")</f>
        <v/>
      </c>
      <c r="CZ85" s="4" t="str">
        <f>IF(XS_Designer_Bed_Mix!$J85&lt;=XS_Designer!$BN$101,XS_Designer!BD$101,"")</f>
        <v/>
      </c>
      <c r="DA85" s="4" t="str">
        <f>IF(XS_Designer_Bed_Mix!$J85&lt;=XS_Designer!$BN$101,XS_Designer!BE$101,"")</f>
        <v/>
      </c>
      <c r="DB85" s="4" t="str">
        <f>IF(XS_Designer_Bed_Mix!$J85&lt;=XS_Designer!$BN$101,XS_Designer!BF$101,"")</f>
        <v/>
      </c>
      <c r="DC85" s="4" t="str">
        <f>IF(XS_Designer_Bed_Mix!$J85&lt;=XS_Designer!$BN$101,XS_Designer!BG$101,"")</f>
        <v/>
      </c>
      <c r="DD85" s="4" t="str">
        <f>IF(XS_Designer_Bed_Mix!$J85&lt;=XS_Designer!$BN$101,XS_Designer!BH$101,"")</f>
        <v/>
      </c>
      <c r="DE85" s="4" t="str">
        <f>IF(XS_Designer_Bed_Mix!$J85&lt;=XS_Designer!$BN$101,XS_Designer!BI$101,"")</f>
        <v/>
      </c>
      <c r="DF85" s="4" t="str">
        <f>IF(XS_Designer_Bed_Mix!$J85&lt;=XS_Designer!$BN$101,XS_Designer!BJ$101,"")</f>
        <v/>
      </c>
      <c r="DG85" s="4" t="str">
        <f>IF(XS_Designer_Bed_Mix!$J85&lt;=XS_Designer!$BN$102,XS_Designer!BA$102,"")</f>
        <v/>
      </c>
      <c r="DH85" s="4" t="str">
        <f>IF(XS_Designer_Bed_Mix!$J85&lt;=XS_Designer!$BN$102,XS_Designer!BB$102,"")</f>
        <v/>
      </c>
      <c r="DI85" s="4" t="str">
        <f>IF(XS_Designer_Bed_Mix!$J85&lt;=XS_Designer!$BN$102,XS_Designer!BC$102,"")</f>
        <v/>
      </c>
      <c r="DJ85" s="4" t="str">
        <f>IF(XS_Designer_Bed_Mix!$J85&lt;=XS_Designer!$BN$102,XS_Designer!BD$102,"")</f>
        <v/>
      </c>
      <c r="DK85" s="4" t="str">
        <f>IF(XS_Designer_Bed_Mix!$J85&lt;=XS_Designer!$BN$102,XS_Designer!BE$102,"")</f>
        <v/>
      </c>
      <c r="DL85" s="4" t="str">
        <f>IF(XS_Designer_Bed_Mix!$J85&lt;=XS_Designer!$BN$102,XS_Designer!BF$102,"")</f>
        <v/>
      </c>
      <c r="DM85" s="4" t="str">
        <f>IF(XS_Designer_Bed_Mix!$J85&lt;=XS_Designer!$BN$102,XS_Designer!BG$102,"")</f>
        <v/>
      </c>
      <c r="DN85" s="4" t="str">
        <f>IF(XS_Designer_Bed_Mix!$J85&lt;=XS_Designer!$BN$102,XS_Designer!BH$102,"")</f>
        <v/>
      </c>
      <c r="DO85" s="4" t="str">
        <f>IF(XS_Designer_Bed_Mix!$J85&lt;=XS_Designer!$BN$102,XS_Designer!BI$102,"")</f>
        <v/>
      </c>
      <c r="DP85" s="4" t="str">
        <f>IF(XS_Designer_Bed_Mix!$J85&lt;=XS_Designer!$BN$102,XS_Designer!BJ$102,"")</f>
        <v/>
      </c>
    </row>
    <row r="86" spans="10:120">
      <c r="J86" s="3">
        <v>0.85</v>
      </c>
      <c r="K86" s="4" t="str">
        <f>IF(XS_Designer_Bed_Mix!$J86&lt;=XS_Designer!$BN$92,XS_Designer!BA$92,"")</f>
        <v/>
      </c>
      <c r="L86" s="4" t="str">
        <f>IF(XS_Designer_Bed_Mix!$J86&lt;=XS_Designer!$BN$92,XS_Designer!BB$92,"")</f>
        <v/>
      </c>
      <c r="M86" s="4" t="str">
        <f>IF(XS_Designer_Bed_Mix!$J86&lt;=XS_Designer!$BN$92,XS_Designer!BC$92,"")</f>
        <v/>
      </c>
      <c r="N86" s="4" t="str">
        <f>IF(XS_Designer_Bed_Mix!$J86&lt;=XS_Designer!$BN$92,XS_Designer!BD$92,"")</f>
        <v/>
      </c>
      <c r="O86" s="4" t="str">
        <f>IF(XS_Designer_Bed_Mix!$J86&lt;=XS_Designer!$BN$92,XS_Designer!BE$92,"")</f>
        <v/>
      </c>
      <c r="P86" s="4" t="str">
        <f>IF(XS_Designer_Bed_Mix!$J86&lt;=XS_Designer!$BN$92,XS_Designer!BF$92,"")</f>
        <v/>
      </c>
      <c r="Q86" s="4" t="str">
        <f>IF(XS_Designer_Bed_Mix!$J86&lt;=XS_Designer!$BN$92,XS_Designer!BG$92,"")</f>
        <v/>
      </c>
      <c r="R86" s="4" t="str">
        <f>IF(XS_Designer_Bed_Mix!$J86&lt;=XS_Designer!$BN$92,XS_Designer!BH$92,"")</f>
        <v/>
      </c>
      <c r="S86" s="4" t="str">
        <f>IF(XS_Designer_Bed_Mix!$J86&lt;=XS_Designer!$BN$92,XS_Designer!BI$92,"")</f>
        <v/>
      </c>
      <c r="T86" s="4" t="str">
        <f>IF(XS_Designer_Bed_Mix!$J86&lt;=XS_Designer!$BN$92,XS_Designer!BJ$92,"")</f>
        <v/>
      </c>
      <c r="U86" s="4" t="str">
        <f>IF(XS_Designer_Bed_Mix!$J86&lt;=XS_Designer!$BN$93,XS_Designer!BA$93,"")</f>
        <v/>
      </c>
      <c r="V86" s="4" t="str">
        <f>IF(XS_Designer_Bed_Mix!$J86&lt;=XS_Designer!$BN$93,XS_Designer!BB$93,"")</f>
        <v/>
      </c>
      <c r="W86" s="4" t="str">
        <f>IF(XS_Designer_Bed_Mix!$J86&lt;=XS_Designer!$BN$93,XS_Designer!BC$93,"")</f>
        <v/>
      </c>
      <c r="X86" s="4" t="str">
        <f>IF(XS_Designer_Bed_Mix!$J86&lt;=XS_Designer!$BN$93,XS_Designer!BD$93,"")</f>
        <v/>
      </c>
      <c r="Y86" s="4" t="str">
        <f>IF(XS_Designer_Bed_Mix!$J86&lt;=XS_Designer!$BN$93,XS_Designer!BE$93,"")</f>
        <v/>
      </c>
      <c r="Z86" s="4" t="str">
        <f>IF(XS_Designer_Bed_Mix!$J86&lt;=XS_Designer!$BN$93,XS_Designer!BF$93,"")</f>
        <v/>
      </c>
      <c r="AA86" s="4" t="str">
        <f>IF(XS_Designer_Bed_Mix!$J86&lt;=XS_Designer!$BN$93,XS_Designer!BG$93,"")</f>
        <v/>
      </c>
      <c r="AB86" s="4" t="str">
        <f>IF(XS_Designer_Bed_Mix!$J86&lt;=XS_Designer!$BN$93,XS_Designer!BH$93,"")</f>
        <v/>
      </c>
      <c r="AC86" s="4" t="str">
        <f>IF(XS_Designer_Bed_Mix!$J86&lt;=XS_Designer!$BN$93,XS_Designer!BI$93,"")</f>
        <v/>
      </c>
      <c r="AD86" s="4" t="str">
        <f>IF(XS_Designer_Bed_Mix!$J86&lt;=XS_Designer!$BN$93,XS_Designer!BJ$93,"")</f>
        <v/>
      </c>
      <c r="AE86" s="4" t="str">
        <f>IF(XS_Designer_Bed_Mix!$J86&lt;=XS_Designer!$BN$94,XS_Designer!BA$94,"")</f>
        <v/>
      </c>
      <c r="AF86" s="4" t="str">
        <f>IF(XS_Designer_Bed_Mix!$J86&lt;=XS_Designer!$BN$94,XS_Designer!BB$94,"")</f>
        <v/>
      </c>
      <c r="AG86" s="4" t="str">
        <f>IF(XS_Designer_Bed_Mix!$J86&lt;=XS_Designer!$BN$94,XS_Designer!BC$94,"")</f>
        <v/>
      </c>
      <c r="AH86" s="4" t="str">
        <f>IF(XS_Designer_Bed_Mix!$J86&lt;=XS_Designer!$BN$94,XS_Designer!BD$94,"")</f>
        <v/>
      </c>
      <c r="AI86" s="4" t="str">
        <f>IF(XS_Designer_Bed_Mix!$J86&lt;=XS_Designer!$BN$94,XS_Designer!BE$94,"")</f>
        <v/>
      </c>
      <c r="AJ86" s="4" t="str">
        <f>IF(XS_Designer_Bed_Mix!$J86&lt;=XS_Designer!$BN$94,XS_Designer!BF$94,"")</f>
        <v/>
      </c>
      <c r="AK86" s="4" t="str">
        <f>IF(XS_Designer_Bed_Mix!$J86&lt;=XS_Designer!$BN$94,XS_Designer!BG$94,"")</f>
        <v/>
      </c>
      <c r="AL86" s="4" t="str">
        <f>IF(XS_Designer_Bed_Mix!$J86&lt;=XS_Designer!$BN$94,XS_Designer!BH$94,"")</f>
        <v/>
      </c>
      <c r="AM86" s="4" t="str">
        <f>IF(XS_Designer_Bed_Mix!$J86&lt;=XS_Designer!$BN$94,XS_Designer!BI$94,"")</f>
        <v/>
      </c>
      <c r="AN86" s="4" t="str">
        <f>IF(XS_Designer_Bed_Mix!$J86&lt;=XS_Designer!$BN$94,XS_Designer!BJ$94,"")</f>
        <v/>
      </c>
      <c r="AO86" s="4" t="str">
        <f>IF(XS_Designer_Bed_Mix!$J86&lt;=XS_Designer!$BN$95,XS_Designer!BA$95,"")</f>
        <v/>
      </c>
      <c r="AP86" s="4" t="str">
        <f>IF(XS_Designer_Bed_Mix!$J86&lt;=XS_Designer!$BN$95,XS_Designer!BB$95,"")</f>
        <v/>
      </c>
      <c r="AQ86" s="4" t="str">
        <f>IF(XS_Designer_Bed_Mix!$J86&lt;=XS_Designer!$BN$95,XS_Designer!BC$95,"")</f>
        <v/>
      </c>
      <c r="AR86" s="4" t="str">
        <f>IF(XS_Designer_Bed_Mix!$J86&lt;=XS_Designer!$BN$95,XS_Designer!BD$95,"")</f>
        <v/>
      </c>
      <c r="AS86" s="4" t="str">
        <f>IF(XS_Designer_Bed_Mix!$J86&lt;=XS_Designer!$BN$95,XS_Designer!BE$95,"")</f>
        <v/>
      </c>
      <c r="AT86" s="4" t="str">
        <f>IF(XS_Designer_Bed_Mix!$J86&lt;=XS_Designer!$BN$95,XS_Designer!BF$95,"")</f>
        <v/>
      </c>
      <c r="AU86" s="4" t="str">
        <f>IF(XS_Designer_Bed_Mix!$J86&lt;=XS_Designer!$BN$95,XS_Designer!BG$95,"")</f>
        <v/>
      </c>
      <c r="AV86" s="4" t="str">
        <f>IF(XS_Designer_Bed_Mix!$J86&lt;=XS_Designer!$BN$95,XS_Designer!BH$95,"")</f>
        <v/>
      </c>
      <c r="AW86" s="4" t="str">
        <f>IF(XS_Designer_Bed_Mix!$J86&lt;=XS_Designer!$BN$95,XS_Designer!BI$95,"")</f>
        <v/>
      </c>
      <c r="AX86" s="4" t="str">
        <f>IF(XS_Designer_Bed_Mix!$J86&lt;=XS_Designer!$BN$95,XS_Designer!BJ$95,"")</f>
        <v/>
      </c>
      <c r="AY86" s="4" t="str">
        <f>IF(XS_Designer_Bed_Mix!$J86&lt;=XS_Designer!$BN$96,XS_Designer!BA$96,"")</f>
        <v/>
      </c>
      <c r="AZ86" s="4" t="str">
        <f>IF(XS_Designer_Bed_Mix!$J86&lt;=XS_Designer!$BN$96,XS_Designer!BB$96,"")</f>
        <v/>
      </c>
      <c r="BA86" s="4" t="str">
        <f>IF(XS_Designer_Bed_Mix!$J86&lt;=XS_Designer!$BN$96,XS_Designer!BC$96,"")</f>
        <v/>
      </c>
      <c r="BB86" s="4" t="str">
        <f>IF(XS_Designer_Bed_Mix!$J86&lt;=XS_Designer!$BN$96,XS_Designer!BD$96,"")</f>
        <v/>
      </c>
      <c r="BC86" s="4" t="str">
        <f>IF(XS_Designer_Bed_Mix!$J86&lt;=XS_Designer!$BN$96,XS_Designer!BE$96,"")</f>
        <v/>
      </c>
      <c r="BD86" s="4" t="str">
        <f>IF(XS_Designer_Bed_Mix!$J86&lt;=XS_Designer!$BN$96,XS_Designer!BF$96,"")</f>
        <v/>
      </c>
      <c r="BE86" s="4" t="str">
        <f>IF(XS_Designer_Bed_Mix!$J86&lt;=XS_Designer!$BN$96,XS_Designer!BG$96,"")</f>
        <v/>
      </c>
      <c r="BF86" s="4" t="str">
        <f>IF(XS_Designer_Bed_Mix!$J86&lt;=XS_Designer!$BN$96,XS_Designer!BH$96,"")</f>
        <v/>
      </c>
      <c r="BG86" s="4" t="str">
        <f>IF(XS_Designer_Bed_Mix!$J86&lt;=XS_Designer!$BN$96,XS_Designer!BI$96,"")</f>
        <v/>
      </c>
      <c r="BH86" s="4" t="str">
        <f>IF(XS_Designer_Bed_Mix!$J86&lt;=XS_Designer!$BN$96,XS_Designer!BJ$96,"")</f>
        <v/>
      </c>
      <c r="BI86" s="4" t="str">
        <f>IF(XS_Designer_Bed_Mix!$J86&lt;=XS_Designer!$BN$97,XS_Designer!BA$97,"")</f>
        <v/>
      </c>
      <c r="BJ86" s="4" t="str">
        <f>IF(XS_Designer_Bed_Mix!$J86&lt;=XS_Designer!$BN$97,XS_Designer!BB$97,"")</f>
        <v/>
      </c>
      <c r="BK86" s="4" t="str">
        <f>IF(XS_Designer_Bed_Mix!$J86&lt;=XS_Designer!$BN$97,XS_Designer!BC$97,"")</f>
        <v/>
      </c>
      <c r="BL86" s="4" t="str">
        <f>IF(XS_Designer_Bed_Mix!$J86&lt;=XS_Designer!$BN$97,XS_Designer!BD$97,"")</f>
        <v/>
      </c>
      <c r="BM86" s="4" t="str">
        <f>IF(XS_Designer_Bed_Mix!$J86&lt;=XS_Designer!$BN$97,XS_Designer!BE$97,"")</f>
        <v/>
      </c>
      <c r="BN86" s="4" t="str">
        <f>IF(XS_Designer_Bed_Mix!$J86&lt;=XS_Designer!$BN$97,XS_Designer!BF$97,"")</f>
        <v/>
      </c>
      <c r="BO86" s="4" t="str">
        <f>IF(XS_Designer_Bed_Mix!$J86&lt;=XS_Designer!$BN$97,XS_Designer!BG$97,"")</f>
        <v/>
      </c>
      <c r="BP86" s="4" t="str">
        <f>IF(XS_Designer_Bed_Mix!$J86&lt;=XS_Designer!$BN$97,XS_Designer!BH$97,"")</f>
        <v/>
      </c>
      <c r="BQ86" s="4" t="str">
        <f>IF(XS_Designer_Bed_Mix!$J86&lt;=XS_Designer!$BN$97,XS_Designer!BI$97,"")</f>
        <v/>
      </c>
      <c r="BR86" s="4" t="str">
        <f>IF(XS_Designer_Bed_Mix!$J86&lt;=XS_Designer!$BN$97,XS_Designer!BJ$97,"")</f>
        <v/>
      </c>
      <c r="BS86" s="4" t="str">
        <f>IF(XS_Designer_Bed_Mix!$J86&lt;=XS_Designer!$BN$98,XS_Designer!BA$98,"")</f>
        <v/>
      </c>
      <c r="BT86" s="4" t="str">
        <f>IF(XS_Designer_Bed_Mix!$J86&lt;=XS_Designer!$BN$98,XS_Designer!BB$98,"")</f>
        <v/>
      </c>
      <c r="BU86" s="4" t="str">
        <f>IF(XS_Designer_Bed_Mix!$J86&lt;=XS_Designer!$BN$98,XS_Designer!BC$98,"")</f>
        <v/>
      </c>
      <c r="BV86" s="4" t="str">
        <f>IF(XS_Designer_Bed_Mix!$J86&lt;=XS_Designer!$BN$98,XS_Designer!BD$98,"")</f>
        <v/>
      </c>
      <c r="BW86" s="4" t="str">
        <f>IF(XS_Designer_Bed_Mix!$J86&lt;=XS_Designer!$BN$98,XS_Designer!BE$98,"")</f>
        <v/>
      </c>
      <c r="BX86" s="4" t="str">
        <f>IF(XS_Designer_Bed_Mix!$J86&lt;=XS_Designer!$BN$98,XS_Designer!BF$98,"")</f>
        <v/>
      </c>
      <c r="BY86" s="4" t="str">
        <f>IF(XS_Designer_Bed_Mix!$J86&lt;=XS_Designer!$BN$98,XS_Designer!BG$98,"")</f>
        <v/>
      </c>
      <c r="BZ86" s="4" t="str">
        <f>IF(XS_Designer_Bed_Mix!$J86&lt;=XS_Designer!$BN$98,XS_Designer!BH$98,"")</f>
        <v/>
      </c>
      <c r="CA86" s="4" t="str">
        <f>IF(XS_Designer_Bed_Mix!$J86&lt;=XS_Designer!$BN$98,XS_Designer!BI$98,"")</f>
        <v/>
      </c>
      <c r="CB86" s="4" t="str">
        <f>IF(XS_Designer_Bed_Mix!$J86&lt;=XS_Designer!$BN$98,XS_Designer!BJ$98,"")</f>
        <v/>
      </c>
      <c r="CC86" s="4" t="str">
        <f>IF(XS_Designer_Bed_Mix!$J86&lt;=XS_Designer!$BN$99,XS_Designer!BA$99,"")</f>
        <v/>
      </c>
      <c r="CD86" s="4" t="str">
        <f>IF(XS_Designer_Bed_Mix!$J86&lt;=XS_Designer!$BN$99,XS_Designer!BB$99,"")</f>
        <v/>
      </c>
      <c r="CE86" s="4" t="str">
        <f>IF(XS_Designer_Bed_Mix!$J86&lt;=XS_Designer!$BN$99,XS_Designer!BC$99,"")</f>
        <v/>
      </c>
      <c r="CF86" s="4" t="str">
        <f>IF(XS_Designer_Bed_Mix!$J86&lt;=XS_Designer!$BN$99,XS_Designer!BD$99,"")</f>
        <v/>
      </c>
      <c r="CG86" s="4" t="str">
        <f>IF(XS_Designer_Bed_Mix!$J86&lt;=XS_Designer!$BN$99,XS_Designer!BE$99,"")</f>
        <v/>
      </c>
      <c r="CH86" s="4" t="str">
        <f>IF(XS_Designer_Bed_Mix!$J86&lt;=XS_Designer!$BN$99,XS_Designer!BF$99,"")</f>
        <v/>
      </c>
      <c r="CI86" s="4" t="str">
        <f>IF(XS_Designer_Bed_Mix!$J86&lt;=XS_Designer!$BN$99,XS_Designer!BG$99,"")</f>
        <v/>
      </c>
      <c r="CJ86" s="4" t="str">
        <f>IF(XS_Designer_Bed_Mix!$J86&lt;=XS_Designer!$BN$99,XS_Designer!BH$99,"")</f>
        <v/>
      </c>
      <c r="CK86" s="4" t="str">
        <f>IF(XS_Designer_Bed_Mix!$J86&lt;=XS_Designer!$BN$99,XS_Designer!BI$99,"")</f>
        <v/>
      </c>
      <c r="CL86" s="4" t="str">
        <f>IF(XS_Designer_Bed_Mix!$J86&lt;=XS_Designer!$BN$99,XS_Designer!BJ$99,"")</f>
        <v/>
      </c>
      <c r="CM86" s="4" t="str">
        <f>IF(XS_Designer_Bed_Mix!$J86&lt;=XS_Designer!$BN$100,XS_Designer!BA$100,"")</f>
        <v/>
      </c>
      <c r="CN86" s="4" t="str">
        <f>IF(XS_Designer_Bed_Mix!$J86&lt;=XS_Designer!$BN$100,XS_Designer!BB$100,"")</f>
        <v/>
      </c>
      <c r="CO86" s="4" t="str">
        <f>IF(XS_Designer_Bed_Mix!$J86&lt;=XS_Designer!$BN$100,XS_Designer!BC$100,"")</f>
        <v/>
      </c>
      <c r="CP86" s="4" t="str">
        <f>IF(XS_Designer_Bed_Mix!$J86&lt;=XS_Designer!$BN$100,XS_Designer!BD$100,"")</f>
        <v/>
      </c>
      <c r="CQ86" s="4" t="str">
        <f>IF(XS_Designer_Bed_Mix!$J86&lt;=XS_Designer!$BN$100,XS_Designer!BE$100,"")</f>
        <v/>
      </c>
      <c r="CR86" s="4" t="str">
        <f>IF(XS_Designer_Bed_Mix!$J86&lt;=XS_Designer!$BN$100,XS_Designer!BF$100,"")</f>
        <v/>
      </c>
      <c r="CS86" s="4" t="str">
        <f>IF(XS_Designer_Bed_Mix!$J86&lt;=XS_Designer!$BN$100,XS_Designer!BG$100,"")</f>
        <v/>
      </c>
      <c r="CT86" s="4" t="str">
        <f>IF(XS_Designer_Bed_Mix!$J86&lt;=XS_Designer!$BN$100,XS_Designer!BH$100,"")</f>
        <v/>
      </c>
      <c r="CU86" s="4" t="str">
        <f>IF(XS_Designer_Bed_Mix!$J86&lt;=XS_Designer!$BN$100,XS_Designer!BI$100,"")</f>
        <v/>
      </c>
      <c r="CV86" s="4" t="str">
        <f>IF(XS_Designer_Bed_Mix!$J86&lt;=XS_Designer!$BN$100,XS_Designer!BJ$100,"")</f>
        <v/>
      </c>
      <c r="CW86" s="4" t="str">
        <f>IF(XS_Designer_Bed_Mix!$J86&lt;=XS_Designer!$BN$101,XS_Designer!BA$101,"")</f>
        <v/>
      </c>
      <c r="CX86" s="4" t="str">
        <f>IF(XS_Designer_Bed_Mix!$J86&lt;=XS_Designer!$BN$101,XS_Designer!BB$101,"")</f>
        <v/>
      </c>
      <c r="CY86" s="4" t="str">
        <f>IF(XS_Designer_Bed_Mix!$J86&lt;=XS_Designer!$BN$101,XS_Designer!BC$101,"")</f>
        <v/>
      </c>
      <c r="CZ86" s="4" t="str">
        <f>IF(XS_Designer_Bed_Mix!$J86&lt;=XS_Designer!$BN$101,XS_Designer!BD$101,"")</f>
        <v/>
      </c>
      <c r="DA86" s="4" t="str">
        <f>IF(XS_Designer_Bed_Mix!$J86&lt;=XS_Designer!$BN$101,XS_Designer!BE$101,"")</f>
        <v/>
      </c>
      <c r="DB86" s="4" t="str">
        <f>IF(XS_Designer_Bed_Mix!$J86&lt;=XS_Designer!$BN$101,XS_Designer!BF$101,"")</f>
        <v/>
      </c>
      <c r="DC86" s="4" t="str">
        <f>IF(XS_Designer_Bed_Mix!$J86&lt;=XS_Designer!$BN$101,XS_Designer!BG$101,"")</f>
        <v/>
      </c>
      <c r="DD86" s="4" t="str">
        <f>IF(XS_Designer_Bed_Mix!$J86&lt;=XS_Designer!$BN$101,XS_Designer!BH$101,"")</f>
        <v/>
      </c>
      <c r="DE86" s="4" t="str">
        <f>IF(XS_Designer_Bed_Mix!$J86&lt;=XS_Designer!$BN$101,XS_Designer!BI$101,"")</f>
        <v/>
      </c>
      <c r="DF86" s="4" t="str">
        <f>IF(XS_Designer_Bed_Mix!$J86&lt;=XS_Designer!$BN$101,XS_Designer!BJ$101,"")</f>
        <v/>
      </c>
      <c r="DG86" s="4" t="str">
        <f>IF(XS_Designer_Bed_Mix!$J86&lt;=XS_Designer!$BN$102,XS_Designer!BA$102,"")</f>
        <v/>
      </c>
      <c r="DH86" s="4" t="str">
        <f>IF(XS_Designer_Bed_Mix!$J86&lt;=XS_Designer!$BN$102,XS_Designer!BB$102,"")</f>
        <v/>
      </c>
      <c r="DI86" s="4" t="str">
        <f>IF(XS_Designer_Bed_Mix!$J86&lt;=XS_Designer!$BN$102,XS_Designer!BC$102,"")</f>
        <v/>
      </c>
      <c r="DJ86" s="4" t="str">
        <f>IF(XS_Designer_Bed_Mix!$J86&lt;=XS_Designer!$BN$102,XS_Designer!BD$102,"")</f>
        <v/>
      </c>
      <c r="DK86" s="4" t="str">
        <f>IF(XS_Designer_Bed_Mix!$J86&lt;=XS_Designer!$BN$102,XS_Designer!BE$102,"")</f>
        <v/>
      </c>
      <c r="DL86" s="4" t="str">
        <f>IF(XS_Designer_Bed_Mix!$J86&lt;=XS_Designer!$BN$102,XS_Designer!BF$102,"")</f>
        <v/>
      </c>
      <c r="DM86" s="4" t="str">
        <f>IF(XS_Designer_Bed_Mix!$J86&lt;=XS_Designer!$BN$102,XS_Designer!BG$102,"")</f>
        <v/>
      </c>
      <c r="DN86" s="4" t="str">
        <f>IF(XS_Designer_Bed_Mix!$J86&lt;=XS_Designer!$BN$102,XS_Designer!BH$102,"")</f>
        <v/>
      </c>
      <c r="DO86" s="4" t="str">
        <f>IF(XS_Designer_Bed_Mix!$J86&lt;=XS_Designer!$BN$102,XS_Designer!BI$102,"")</f>
        <v/>
      </c>
      <c r="DP86" s="4" t="str">
        <f>IF(XS_Designer_Bed_Mix!$J86&lt;=XS_Designer!$BN$102,XS_Designer!BJ$102,"")</f>
        <v/>
      </c>
    </row>
    <row r="87" spans="10:120">
      <c r="J87" s="3">
        <v>0.86</v>
      </c>
      <c r="K87" s="4" t="str">
        <f>IF(XS_Designer_Bed_Mix!$J87&lt;=XS_Designer!$BN$92,XS_Designer!BA$92,"")</f>
        <v/>
      </c>
      <c r="L87" s="4" t="str">
        <f>IF(XS_Designer_Bed_Mix!$J87&lt;=XS_Designer!$BN$92,XS_Designer!BB$92,"")</f>
        <v/>
      </c>
      <c r="M87" s="4" t="str">
        <f>IF(XS_Designer_Bed_Mix!$J87&lt;=XS_Designer!$BN$92,XS_Designer!BC$92,"")</f>
        <v/>
      </c>
      <c r="N87" s="4" t="str">
        <f>IF(XS_Designer_Bed_Mix!$J87&lt;=XS_Designer!$BN$92,XS_Designer!BD$92,"")</f>
        <v/>
      </c>
      <c r="O87" s="4" t="str">
        <f>IF(XS_Designer_Bed_Mix!$J87&lt;=XS_Designer!$BN$92,XS_Designer!BE$92,"")</f>
        <v/>
      </c>
      <c r="P87" s="4" t="str">
        <f>IF(XS_Designer_Bed_Mix!$J87&lt;=XS_Designer!$BN$92,XS_Designer!BF$92,"")</f>
        <v/>
      </c>
      <c r="Q87" s="4" t="str">
        <f>IF(XS_Designer_Bed_Mix!$J87&lt;=XS_Designer!$BN$92,XS_Designer!BG$92,"")</f>
        <v/>
      </c>
      <c r="R87" s="4" t="str">
        <f>IF(XS_Designer_Bed_Mix!$J87&lt;=XS_Designer!$BN$92,XS_Designer!BH$92,"")</f>
        <v/>
      </c>
      <c r="S87" s="4" t="str">
        <f>IF(XS_Designer_Bed_Mix!$J87&lt;=XS_Designer!$BN$92,XS_Designer!BI$92,"")</f>
        <v/>
      </c>
      <c r="T87" s="4" t="str">
        <f>IF(XS_Designer_Bed_Mix!$J87&lt;=XS_Designer!$BN$92,XS_Designer!BJ$92,"")</f>
        <v/>
      </c>
      <c r="U87" s="4" t="str">
        <f>IF(XS_Designer_Bed_Mix!$J87&lt;=XS_Designer!$BN$93,XS_Designer!BA$93,"")</f>
        <v/>
      </c>
      <c r="V87" s="4" t="str">
        <f>IF(XS_Designer_Bed_Mix!$J87&lt;=XS_Designer!$BN$93,XS_Designer!BB$93,"")</f>
        <v/>
      </c>
      <c r="W87" s="4" t="str">
        <f>IF(XS_Designer_Bed_Mix!$J87&lt;=XS_Designer!$BN$93,XS_Designer!BC$93,"")</f>
        <v/>
      </c>
      <c r="X87" s="4" t="str">
        <f>IF(XS_Designer_Bed_Mix!$J87&lt;=XS_Designer!$BN$93,XS_Designer!BD$93,"")</f>
        <v/>
      </c>
      <c r="Y87" s="4" t="str">
        <f>IF(XS_Designer_Bed_Mix!$J87&lt;=XS_Designer!$BN$93,XS_Designer!BE$93,"")</f>
        <v/>
      </c>
      <c r="Z87" s="4" t="str">
        <f>IF(XS_Designer_Bed_Mix!$J87&lt;=XS_Designer!$BN$93,XS_Designer!BF$93,"")</f>
        <v/>
      </c>
      <c r="AA87" s="4" t="str">
        <f>IF(XS_Designer_Bed_Mix!$J87&lt;=XS_Designer!$BN$93,XS_Designer!BG$93,"")</f>
        <v/>
      </c>
      <c r="AB87" s="4" t="str">
        <f>IF(XS_Designer_Bed_Mix!$J87&lt;=XS_Designer!$BN$93,XS_Designer!BH$93,"")</f>
        <v/>
      </c>
      <c r="AC87" s="4" t="str">
        <f>IF(XS_Designer_Bed_Mix!$J87&lt;=XS_Designer!$BN$93,XS_Designer!BI$93,"")</f>
        <v/>
      </c>
      <c r="AD87" s="4" t="str">
        <f>IF(XS_Designer_Bed_Mix!$J87&lt;=XS_Designer!$BN$93,XS_Designer!BJ$93,"")</f>
        <v/>
      </c>
      <c r="AE87" s="4" t="str">
        <f>IF(XS_Designer_Bed_Mix!$J87&lt;=XS_Designer!$BN$94,XS_Designer!BA$94,"")</f>
        <v/>
      </c>
      <c r="AF87" s="4" t="str">
        <f>IF(XS_Designer_Bed_Mix!$J87&lt;=XS_Designer!$BN$94,XS_Designer!BB$94,"")</f>
        <v/>
      </c>
      <c r="AG87" s="4" t="str">
        <f>IF(XS_Designer_Bed_Mix!$J87&lt;=XS_Designer!$BN$94,XS_Designer!BC$94,"")</f>
        <v/>
      </c>
      <c r="AH87" s="4" t="str">
        <f>IF(XS_Designer_Bed_Mix!$J87&lt;=XS_Designer!$BN$94,XS_Designer!BD$94,"")</f>
        <v/>
      </c>
      <c r="AI87" s="4" t="str">
        <f>IF(XS_Designer_Bed_Mix!$J87&lt;=XS_Designer!$BN$94,XS_Designer!BE$94,"")</f>
        <v/>
      </c>
      <c r="AJ87" s="4" t="str">
        <f>IF(XS_Designer_Bed_Mix!$J87&lt;=XS_Designer!$BN$94,XS_Designer!BF$94,"")</f>
        <v/>
      </c>
      <c r="AK87" s="4" t="str">
        <f>IF(XS_Designer_Bed_Mix!$J87&lt;=XS_Designer!$BN$94,XS_Designer!BG$94,"")</f>
        <v/>
      </c>
      <c r="AL87" s="4" t="str">
        <f>IF(XS_Designer_Bed_Mix!$J87&lt;=XS_Designer!$BN$94,XS_Designer!BH$94,"")</f>
        <v/>
      </c>
      <c r="AM87" s="4" t="str">
        <f>IF(XS_Designer_Bed_Mix!$J87&lt;=XS_Designer!$BN$94,XS_Designer!BI$94,"")</f>
        <v/>
      </c>
      <c r="AN87" s="4" t="str">
        <f>IF(XS_Designer_Bed_Mix!$J87&lt;=XS_Designer!$BN$94,XS_Designer!BJ$94,"")</f>
        <v/>
      </c>
      <c r="AO87" s="4" t="str">
        <f>IF(XS_Designer_Bed_Mix!$J87&lt;=XS_Designer!$BN$95,XS_Designer!BA$95,"")</f>
        <v/>
      </c>
      <c r="AP87" s="4" t="str">
        <f>IF(XS_Designer_Bed_Mix!$J87&lt;=XS_Designer!$BN$95,XS_Designer!BB$95,"")</f>
        <v/>
      </c>
      <c r="AQ87" s="4" t="str">
        <f>IF(XS_Designer_Bed_Mix!$J87&lt;=XS_Designer!$BN$95,XS_Designer!BC$95,"")</f>
        <v/>
      </c>
      <c r="AR87" s="4" t="str">
        <f>IF(XS_Designer_Bed_Mix!$J87&lt;=XS_Designer!$BN$95,XS_Designer!BD$95,"")</f>
        <v/>
      </c>
      <c r="AS87" s="4" t="str">
        <f>IF(XS_Designer_Bed_Mix!$J87&lt;=XS_Designer!$BN$95,XS_Designer!BE$95,"")</f>
        <v/>
      </c>
      <c r="AT87" s="4" t="str">
        <f>IF(XS_Designer_Bed_Mix!$J87&lt;=XS_Designer!$BN$95,XS_Designer!BF$95,"")</f>
        <v/>
      </c>
      <c r="AU87" s="4" t="str">
        <f>IF(XS_Designer_Bed_Mix!$J87&lt;=XS_Designer!$BN$95,XS_Designer!BG$95,"")</f>
        <v/>
      </c>
      <c r="AV87" s="4" t="str">
        <f>IF(XS_Designer_Bed_Mix!$J87&lt;=XS_Designer!$BN$95,XS_Designer!BH$95,"")</f>
        <v/>
      </c>
      <c r="AW87" s="4" t="str">
        <f>IF(XS_Designer_Bed_Mix!$J87&lt;=XS_Designer!$BN$95,XS_Designer!BI$95,"")</f>
        <v/>
      </c>
      <c r="AX87" s="4" t="str">
        <f>IF(XS_Designer_Bed_Mix!$J87&lt;=XS_Designer!$BN$95,XS_Designer!BJ$95,"")</f>
        <v/>
      </c>
      <c r="AY87" s="4" t="str">
        <f>IF(XS_Designer_Bed_Mix!$J87&lt;=XS_Designer!$BN$96,XS_Designer!BA$96,"")</f>
        <v/>
      </c>
      <c r="AZ87" s="4" t="str">
        <f>IF(XS_Designer_Bed_Mix!$J87&lt;=XS_Designer!$BN$96,XS_Designer!BB$96,"")</f>
        <v/>
      </c>
      <c r="BA87" s="4" t="str">
        <f>IF(XS_Designer_Bed_Mix!$J87&lt;=XS_Designer!$BN$96,XS_Designer!BC$96,"")</f>
        <v/>
      </c>
      <c r="BB87" s="4" t="str">
        <f>IF(XS_Designer_Bed_Mix!$J87&lt;=XS_Designer!$BN$96,XS_Designer!BD$96,"")</f>
        <v/>
      </c>
      <c r="BC87" s="4" t="str">
        <f>IF(XS_Designer_Bed_Mix!$J87&lt;=XS_Designer!$BN$96,XS_Designer!BE$96,"")</f>
        <v/>
      </c>
      <c r="BD87" s="4" t="str">
        <f>IF(XS_Designer_Bed_Mix!$J87&lt;=XS_Designer!$BN$96,XS_Designer!BF$96,"")</f>
        <v/>
      </c>
      <c r="BE87" s="4" t="str">
        <f>IF(XS_Designer_Bed_Mix!$J87&lt;=XS_Designer!$BN$96,XS_Designer!BG$96,"")</f>
        <v/>
      </c>
      <c r="BF87" s="4" t="str">
        <f>IF(XS_Designer_Bed_Mix!$J87&lt;=XS_Designer!$BN$96,XS_Designer!BH$96,"")</f>
        <v/>
      </c>
      <c r="BG87" s="4" t="str">
        <f>IF(XS_Designer_Bed_Mix!$J87&lt;=XS_Designer!$BN$96,XS_Designer!BI$96,"")</f>
        <v/>
      </c>
      <c r="BH87" s="4" t="str">
        <f>IF(XS_Designer_Bed_Mix!$J87&lt;=XS_Designer!$BN$96,XS_Designer!BJ$96,"")</f>
        <v/>
      </c>
      <c r="BI87" s="4" t="str">
        <f>IF(XS_Designer_Bed_Mix!$J87&lt;=XS_Designer!$BN$97,XS_Designer!BA$97,"")</f>
        <v/>
      </c>
      <c r="BJ87" s="4" t="str">
        <f>IF(XS_Designer_Bed_Mix!$J87&lt;=XS_Designer!$BN$97,XS_Designer!BB$97,"")</f>
        <v/>
      </c>
      <c r="BK87" s="4" t="str">
        <f>IF(XS_Designer_Bed_Mix!$J87&lt;=XS_Designer!$BN$97,XS_Designer!BC$97,"")</f>
        <v/>
      </c>
      <c r="BL87" s="4" t="str">
        <f>IF(XS_Designer_Bed_Mix!$J87&lt;=XS_Designer!$BN$97,XS_Designer!BD$97,"")</f>
        <v/>
      </c>
      <c r="BM87" s="4" t="str">
        <f>IF(XS_Designer_Bed_Mix!$J87&lt;=XS_Designer!$BN$97,XS_Designer!BE$97,"")</f>
        <v/>
      </c>
      <c r="BN87" s="4" t="str">
        <f>IF(XS_Designer_Bed_Mix!$J87&lt;=XS_Designer!$BN$97,XS_Designer!BF$97,"")</f>
        <v/>
      </c>
      <c r="BO87" s="4" t="str">
        <f>IF(XS_Designer_Bed_Mix!$J87&lt;=XS_Designer!$BN$97,XS_Designer!BG$97,"")</f>
        <v/>
      </c>
      <c r="BP87" s="4" t="str">
        <f>IF(XS_Designer_Bed_Mix!$J87&lt;=XS_Designer!$BN$97,XS_Designer!BH$97,"")</f>
        <v/>
      </c>
      <c r="BQ87" s="4" t="str">
        <f>IF(XS_Designer_Bed_Mix!$J87&lt;=XS_Designer!$BN$97,XS_Designer!BI$97,"")</f>
        <v/>
      </c>
      <c r="BR87" s="4" t="str">
        <f>IF(XS_Designer_Bed_Mix!$J87&lt;=XS_Designer!$BN$97,XS_Designer!BJ$97,"")</f>
        <v/>
      </c>
      <c r="BS87" s="4" t="str">
        <f>IF(XS_Designer_Bed_Mix!$J87&lt;=XS_Designer!$BN$98,XS_Designer!BA$98,"")</f>
        <v/>
      </c>
      <c r="BT87" s="4" t="str">
        <f>IF(XS_Designer_Bed_Mix!$J87&lt;=XS_Designer!$BN$98,XS_Designer!BB$98,"")</f>
        <v/>
      </c>
      <c r="BU87" s="4" t="str">
        <f>IF(XS_Designer_Bed_Mix!$J87&lt;=XS_Designer!$BN$98,XS_Designer!BC$98,"")</f>
        <v/>
      </c>
      <c r="BV87" s="4" t="str">
        <f>IF(XS_Designer_Bed_Mix!$J87&lt;=XS_Designer!$BN$98,XS_Designer!BD$98,"")</f>
        <v/>
      </c>
      <c r="BW87" s="4" t="str">
        <f>IF(XS_Designer_Bed_Mix!$J87&lt;=XS_Designer!$BN$98,XS_Designer!BE$98,"")</f>
        <v/>
      </c>
      <c r="BX87" s="4" t="str">
        <f>IF(XS_Designer_Bed_Mix!$J87&lt;=XS_Designer!$BN$98,XS_Designer!BF$98,"")</f>
        <v/>
      </c>
      <c r="BY87" s="4" t="str">
        <f>IF(XS_Designer_Bed_Mix!$J87&lt;=XS_Designer!$BN$98,XS_Designer!BG$98,"")</f>
        <v/>
      </c>
      <c r="BZ87" s="4" t="str">
        <f>IF(XS_Designer_Bed_Mix!$J87&lt;=XS_Designer!$BN$98,XS_Designer!BH$98,"")</f>
        <v/>
      </c>
      <c r="CA87" s="4" t="str">
        <f>IF(XS_Designer_Bed_Mix!$J87&lt;=XS_Designer!$BN$98,XS_Designer!BI$98,"")</f>
        <v/>
      </c>
      <c r="CB87" s="4" t="str">
        <f>IF(XS_Designer_Bed_Mix!$J87&lt;=XS_Designer!$BN$98,XS_Designer!BJ$98,"")</f>
        <v/>
      </c>
      <c r="CC87" s="4" t="str">
        <f>IF(XS_Designer_Bed_Mix!$J87&lt;=XS_Designer!$BN$99,XS_Designer!BA$99,"")</f>
        <v/>
      </c>
      <c r="CD87" s="4" t="str">
        <f>IF(XS_Designer_Bed_Mix!$J87&lt;=XS_Designer!$BN$99,XS_Designer!BB$99,"")</f>
        <v/>
      </c>
      <c r="CE87" s="4" t="str">
        <f>IF(XS_Designer_Bed_Mix!$J87&lt;=XS_Designer!$BN$99,XS_Designer!BC$99,"")</f>
        <v/>
      </c>
      <c r="CF87" s="4" t="str">
        <f>IF(XS_Designer_Bed_Mix!$J87&lt;=XS_Designer!$BN$99,XS_Designer!BD$99,"")</f>
        <v/>
      </c>
      <c r="CG87" s="4" t="str">
        <f>IF(XS_Designer_Bed_Mix!$J87&lt;=XS_Designer!$BN$99,XS_Designer!BE$99,"")</f>
        <v/>
      </c>
      <c r="CH87" s="4" t="str">
        <f>IF(XS_Designer_Bed_Mix!$J87&lt;=XS_Designer!$BN$99,XS_Designer!BF$99,"")</f>
        <v/>
      </c>
      <c r="CI87" s="4" t="str">
        <f>IF(XS_Designer_Bed_Mix!$J87&lt;=XS_Designer!$BN$99,XS_Designer!BG$99,"")</f>
        <v/>
      </c>
      <c r="CJ87" s="4" t="str">
        <f>IF(XS_Designer_Bed_Mix!$J87&lt;=XS_Designer!$BN$99,XS_Designer!BH$99,"")</f>
        <v/>
      </c>
      <c r="CK87" s="4" t="str">
        <f>IF(XS_Designer_Bed_Mix!$J87&lt;=XS_Designer!$BN$99,XS_Designer!BI$99,"")</f>
        <v/>
      </c>
      <c r="CL87" s="4" t="str">
        <f>IF(XS_Designer_Bed_Mix!$J87&lt;=XS_Designer!$BN$99,XS_Designer!BJ$99,"")</f>
        <v/>
      </c>
      <c r="CM87" s="4" t="str">
        <f>IF(XS_Designer_Bed_Mix!$J87&lt;=XS_Designer!$BN$100,XS_Designer!BA$100,"")</f>
        <v/>
      </c>
      <c r="CN87" s="4" t="str">
        <f>IF(XS_Designer_Bed_Mix!$J87&lt;=XS_Designer!$BN$100,XS_Designer!BB$100,"")</f>
        <v/>
      </c>
      <c r="CO87" s="4" t="str">
        <f>IF(XS_Designer_Bed_Mix!$J87&lt;=XS_Designer!$BN$100,XS_Designer!BC$100,"")</f>
        <v/>
      </c>
      <c r="CP87" s="4" t="str">
        <f>IF(XS_Designer_Bed_Mix!$J87&lt;=XS_Designer!$BN$100,XS_Designer!BD$100,"")</f>
        <v/>
      </c>
      <c r="CQ87" s="4" t="str">
        <f>IF(XS_Designer_Bed_Mix!$J87&lt;=XS_Designer!$BN$100,XS_Designer!BE$100,"")</f>
        <v/>
      </c>
      <c r="CR87" s="4" t="str">
        <f>IF(XS_Designer_Bed_Mix!$J87&lt;=XS_Designer!$BN$100,XS_Designer!BF$100,"")</f>
        <v/>
      </c>
      <c r="CS87" s="4" t="str">
        <f>IF(XS_Designer_Bed_Mix!$J87&lt;=XS_Designer!$BN$100,XS_Designer!BG$100,"")</f>
        <v/>
      </c>
      <c r="CT87" s="4" t="str">
        <f>IF(XS_Designer_Bed_Mix!$J87&lt;=XS_Designer!$BN$100,XS_Designer!BH$100,"")</f>
        <v/>
      </c>
      <c r="CU87" s="4" t="str">
        <f>IF(XS_Designer_Bed_Mix!$J87&lt;=XS_Designer!$BN$100,XS_Designer!BI$100,"")</f>
        <v/>
      </c>
      <c r="CV87" s="4" t="str">
        <f>IF(XS_Designer_Bed_Mix!$J87&lt;=XS_Designer!$BN$100,XS_Designer!BJ$100,"")</f>
        <v/>
      </c>
      <c r="CW87" s="4" t="str">
        <f>IF(XS_Designer_Bed_Mix!$J87&lt;=XS_Designer!$BN$101,XS_Designer!BA$101,"")</f>
        <v/>
      </c>
      <c r="CX87" s="4" t="str">
        <f>IF(XS_Designer_Bed_Mix!$J87&lt;=XS_Designer!$BN$101,XS_Designer!BB$101,"")</f>
        <v/>
      </c>
      <c r="CY87" s="4" t="str">
        <f>IF(XS_Designer_Bed_Mix!$J87&lt;=XS_Designer!$BN$101,XS_Designer!BC$101,"")</f>
        <v/>
      </c>
      <c r="CZ87" s="4" t="str">
        <f>IF(XS_Designer_Bed_Mix!$J87&lt;=XS_Designer!$BN$101,XS_Designer!BD$101,"")</f>
        <v/>
      </c>
      <c r="DA87" s="4" t="str">
        <f>IF(XS_Designer_Bed_Mix!$J87&lt;=XS_Designer!$BN$101,XS_Designer!BE$101,"")</f>
        <v/>
      </c>
      <c r="DB87" s="4" t="str">
        <f>IF(XS_Designer_Bed_Mix!$J87&lt;=XS_Designer!$BN$101,XS_Designer!BF$101,"")</f>
        <v/>
      </c>
      <c r="DC87" s="4" t="str">
        <f>IF(XS_Designer_Bed_Mix!$J87&lt;=XS_Designer!$BN$101,XS_Designer!BG$101,"")</f>
        <v/>
      </c>
      <c r="DD87" s="4" t="str">
        <f>IF(XS_Designer_Bed_Mix!$J87&lt;=XS_Designer!$BN$101,XS_Designer!BH$101,"")</f>
        <v/>
      </c>
      <c r="DE87" s="4" t="str">
        <f>IF(XS_Designer_Bed_Mix!$J87&lt;=XS_Designer!$BN$101,XS_Designer!BI$101,"")</f>
        <v/>
      </c>
      <c r="DF87" s="4" t="str">
        <f>IF(XS_Designer_Bed_Mix!$J87&lt;=XS_Designer!$BN$101,XS_Designer!BJ$101,"")</f>
        <v/>
      </c>
      <c r="DG87" s="4" t="str">
        <f>IF(XS_Designer_Bed_Mix!$J87&lt;=XS_Designer!$BN$102,XS_Designer!BA$102,"")</f>
        <v/>
      </c>
      <c r="DH87" s="4" t="str">
        <f>IF(XS_Designer_Bed_Mix!$J87&lt;=XS_Designer!$BN$102,XS_Designer!BB$102,"")</f>
        <v/>
      </c>
      <c r="DI87" s="4" t="str">
        <f>IF(XS_Designer_Bed_Mix!$J87&lt;=XS_Designer!$BN$102,XS_Designer!BC$102,"")</f>
        <v/>
      </c>
      <c r="DJ87" s="4" t="str">
        <f>IF(XS_Designer_Bed_Mix!$J87&lt;=XS_Designer!$BN$102,XS_Designer!BD$102,"")</f>
        <v/>
      </c>
      <c r="DK87" s="4" t="str">
        <f>IF(XS_Designer_Bed_Mix!$J87&lt;=XS_Designer!$BN$102,XS_Designer!BE$102,"")</f>
        <v/>
      </c>
      <c r="DL87" s="4" t="str">
        <f>IF(XS_Designer_Bed_Mix!$J87&lt;=XS_Designer!$BN$102,XS_Designer!BF$102,"")</f>
        <v/>
      </c>
      <c r="DM87" s="4" t="str">
        <f>IF(XS_Designer_Bed_Mix!$J87&lt;=XS_Designer!$BN$102,XS_Designer!BG$102,"")</f>
        <v/>
      </c>
      <c r="DN87" s="4" t="str">
        <f>IF(XS_Designer_Bed_Mix!$J87&lt;=XS_Designer!$BN$102,XS_Designer!BH$102,"")</f>
        <v/>
      </c>
      <c r="DO87" s="4" t="str">
        <f>IF(XS_Designer_Bed_Mix!$J87&lt;=XS_Designer!$BN$102,XS_Designer!BI$102,"")</f>
        <v/>
      </c>
      <c r="DP87" s="4" t="str">
        <f>IF(XS_Designer_Bed_Mix!$J87&lt;=XS_Designer!$BN$102,XS_Designer!BJ$102,"")</f>
        <v/>
      </c>
    </row>
    <row r="88" spans="10:120">
      <c r="J88" s="3">
        <v>0.87</v>
      </c>
      <c r="K88" s="4" t="str">
        <f>IF(XS_Designer_Bed_Mix!$J88&lt;=XS_Designer!$BN$92,XS_Designer!BA$92,"")</f>
        <v/>
      </c>
      <c r="L88" s="4" t="str">
        <f>IF(XS_Designer_Bed_Mix!$J88&lt;=XS_Designer!$BN$92,XS_Designer!BB$92,"")</f>
        <v/>
      </c>
      <c r="M88" s="4" t="str">
        <f>IF(XS_Designer_Bed_Mix!$J88&lt;=XS_Designer!$BN$92,XS_Designer!BC$92,"")</f>
        <v/>
      </c>
      <c r="N88" s="4" t="str">
        <f>IF(XS_Designer_Bed_Mix!$J88&lt;=XS_Designer!$BN$92,XS_Designer!BD$92,"")</f>
        <v/>
      </c>
      <c r="O88" s="4" t="str">
        <f>IF(XS_Designer_Bed_Mix!$J88&lt;=XS_Designer!$BN$92,XS_Designer!BE$92,"")</f>
        <v/>
      </c>
      <c r="P88" s="4" t="str">
        <f>IF(XS_Designer_Bed_Mix!$J88&lt;=XS_Designer!$BN$92,XS_Designer!BF$92,"")</f>
        <v/>
      </c>
      <c r="Q88" s="4" t="str">
        <f>IF(XS_Designer_Bed_Mix!$J88&lt;=XS_Designer!$BN$92,XS_Designer!BG$92,"")</f>
        <v/>
      </c>
      <c r="R88" s="4" t="str">
        <f>IF(XS_Designer_Bed_Mix!$J88&lt;=XS_Designer!$BN$92,XS_Designer!BH$92,"")</f>
        <v/>
      </c>
      <c r="S88" s="4" t="str">
        <f>IF(XS_Designer_Bed_Mix!$J88&lt;=XS_Designer!$BN$92,XS_Designer!BI$92,"")</f>
        <v/>
      </c>
      <c r="T88" s="4" t="str">
        <f>IF(XS_Designer_Bed_Mix!$J88&lt;=XS_Designer!$BN$92,XS_Designer!BJ$92,"")</f>
        <v/>
      </c>
      <c r="U88" s="4" t="str">
        <f>IF(XS_Designer_Bed_Mix!$J88&lt;=XS_Designer!$BN$93,XS_Designer!BA$93,"")</f>
        <v/>
      </c>
      <c r="V88" s="4" t="str">
        <f>IF(XS_Designer_Bed_Mix!$J88&lt;=XS_Designer!$BN$93,XS_Designer!BB$93,"")</f>
        <v/>
      </c>
      <c r="W88" s="4" t="str">
        <f>IF(XS_Designer_Bed_Mix!$J88&lt;=XS_Designer!$BN$93,XS_Designer!BC$93,"")</f>
        <v/>
      </c>
      <c r="X88" s="4" t="str">
        <f>IF(XS_Designer_Bed_Mix!$J88&lt;=XS_Designer!$BN$93,XS_Designer!BD$93,"")</f>
        <v/>
      </c>
      <c r="Y88" s="4" t="str">
        <f>IF(XS_Designer_Bed_Mix!$J88&lt;=XS_Designer!$BN$93,XS_Designer!BE$93,"")</f>
        <v/>
      </c>
      <c r="Z88" s="4" t="str">
        <f>IF(XS_Designer_Bed_Mix!$J88&lt;=XS_Designer!$BN$93,XS_Designer!BF$93,"")</f>
        <v/>
      </c>
      <c r="AA88" s="4" t="str">
        <f>IF(XS_Designer_Bed_Mix!$J88&lt;=XS_Designer!$BN$93,XS_Designer!BG$93,"")</f>
        <v/>
      </c>
      <c r="AB88" s="4" t="str">
        <f>IF(XS_Designer_Bed_Mix!$J88&lt;=XS_Designer!$BN$93,XS_Designer!BH$93,"")</f>
        <v/>
      </c>
      <c r="AC88" s="4" t="str">
        <f>IF(XS_Designer_Bed_Mix!$J88&lt;=XS_Designer!$BN$93,XS_Designer!BI$93,"")</f>
        <v/>
      </c>
      <c r="AD88" s="4" t="str">
        <f>IF(XS_Designer_Bed_Mix!$J88&lt;=XS_Designer!$BN$93,XS_Designer!BJ$93,"")</f>
        <v/>
      </c>
      <c r="AE88" s="4" t="str">
        <f>IF(XS_Designer_Bed_Mix!$J88&lt;=XS_Designer!$BN$94,XS_Designer!BA$94,"")</f>
        <v/>
      </c>
      <c r="AF88" s="4" t="str">
        <f>IF(XS_Designer_Bed_Mix!$J88&lt;=XS_Designer!$BN$94,XS_Designer!BB$94,"")</f>
        <v/>
      </c>
      <c r="AG88" s="4" t="str">
        <f>IF(XS_Designer_Bed_Mix!$J88&lt;=XS_Designer!$BN$94,XS_Designer!BC$94,"")</f>
        <v/>
      </c>
      <c r="AH88" s="4" t="str">
        <f>IF(XS_Designer_Bed_Mix!$J88&lt;=XS_Designer!$BN$94,XS_Designer!BD$94,"")</f>
        <v/>
      </c>
      <c r="AI88" s="4" t="str">
        <f>IF(XS_Designer_Bed_Mix!$J88&lt;=XS_Designer!$BN$94,XS_Designer!BE$94,"")</f>
        <v/>
      </c>
      <c r="AJ88" s="4" t="str">
        <f>IF(XS_Designer_Bed_Mix!$J88&lt;=XS_Designer!$BN$94,XS_Designer!BF$94,"")</f>
        <v/>
      </c>
      <c r="AK88" s="4" t="str">
        <f>IF(XS_Designer_Bed_Mix!$J88&lt;=XS_Designer!$BN$94,XS_Designer!BG$94,"")</f>
        <v/>
      </c>
      <c r="AL88" s="4" t="str">
        <f>IF(XS_Designer_Bed_Mix!$J88&lt;=XS_Designer!$BN$94,XS_Designer!BH$94,"")</f>
        <v/>
      </c>
      <c r="AM88" s="4" t="str">
        <f>IF(XS_Designer_Bed_Mix!$J88&lt;=XS_Designer!$BN$94,XS_Designer!BI$94,"")</f>
        <v/>
      </c>
      <c r="AN88" s="4" t="str">
        <f>IF(XS_Designer_Bed_Mix!$J88&lt;=XS_Designer!$BN$94,XS_Designer!BJ$94,"")</f>
        <v/>
      </c>
      <c r="AO88" s="4" t="str">
        <f>IF(XS_Designer_Bed_Mix!$J88&lt;=XS_Designer!$BN$95,XS_Designer!BA$95,"")</f>
        <v/>
      </c>
      <c r="AP88" s="4" t="str">
        <f>IF(XS_Designer_Bed_Mix!$J88&lt;=XS_Designer!$BN$95,XS_Designer!BB$95,"")</f>
        <v/>
      </c>
      <c r="AQ88" s="4" t="str">
        <f>IF(XS_Designer_Bed_Mix!$J88&lt;=XS_Designer!$BN$95,XS_Designer!BC$95,"")</f>
        <v/>
      </c>
      <c r="AR88" s="4" t="str">
        <f>IF(XS_Designer_Bed_Mix!$J88&lt;=XS_Designer!$BN$95,XS_Designer!BD$95,"")</f>
        <v/>
      </c>
      <c r="AS88" s="4" t="str">
        <f>IF(XS_Designer_Bed_Mix!$J88&lt;=XS_Designer!$BN$95,XS_Designer!BE$95,"")</f>
        <v/>
      </c>
      <c r="AT88" s="4" t="str">
        <f>IF(XS_Designer_Bed_Mix!$J88&lt;=XS_Designer!$BN$95,XS_Designer!BF$95,"")</f>
        <v/>
      </c>
      <c r="AU88" s="4" t="str">
        <f>IF(XS_Designer_Bed_Mix!$J88&lt;=XS_Designer!$BN$95,XS_Designer!BG$95,"")</f>
        <v/>
      </c>
      <c r="AV88" s="4" t="str">
        <f>IF(XS_Designer_Bed_Mix!$J88&lt;=XS_Designer!$BN$95,XS_Designer!BH$95,"")</f>
        <v/>
      </c>
      <c r="AW88" s="4" t="str">
        <f>IF(XS_Designer_Bed_Mix!$J88&lt;=XS_Designer!$BN$95,XS_Designer!BI$95,"")</f>
        <v/>
      </c>
      <c r="AX88" s="4" t="str">
        <f>IF(XS_Designer_Bed_Mix!$J88&lt;=XS_Designer!$BN$95,XS_Designer!BJ$95,"")</f>
        <v/>
      </c>
      <c r="AY88" s="4" t="str">
        <f>IF(XS_Designer_Bed_Mix!$J88&lt;=XS_Designer!$BN$96,XS_Designer!BA$96,"")</f>
        <v/>
      </c>
      <c r="AZ88" s="4" t="str">
        <f>IF(XS_Designer_Bed_Mix!$J88&lt;=XS_Designer!$BN$96,XS_Designer!BB$96,"")</f>
        <v/>
      </c>
      <c r="BA88" s="4" t="str">
        <f>IF(XS_Designer_Bed_Mix!$J88&lt;=XS_Designer!$BN$96,XS_Designer!BC$96,"")</f>
        <v/>
      </c>
      <c r="BB88" s="4" t="str">
        <f>IF(XS_Designer_Bed_Mix!$J88&lt;=XS_Designer!$BN$96,XS_Designer!BD$96,"")</f>
        <v/>
      </c>
      <c r="BC88" s="4" t="str">
        <f>IF(XS_Designer_Bed_Mix!$J88&lt;=XS_Designer!$BN$96,XS_Designer!BE$96,"")</f>
        <v/>
      </c>
      <c r="BD88" s="4" t="str">
        <f>IF(XS_Designer_Bed_Mix!$J88&lt;=XS_Designer!$BN$96,XS_Designer!BF$96,"")</f>
        <v/>
      </c>
      <c r="BE88" s="4" t="str">
        <f>IF(XS_Designer_Bed_Mix!$J88&lt;=XS_Designer!$BN$96,XS_Designer!BG$96,"")</f>
        <v/>
      </c>
      <c r="BF88" s="4" t="str">
        <f>IF(XS_Designer_Bed_Mix!$J88&lt;=XS_Designer!$BN$96,XS_Designer!BH$96,"")</f>
        <v/>
      </c>
      <c r="BG88" s="4" t="str">
        <f>IF(XS_Designer_Bed_Mix!$J88&lt;=XS_Designer!$BN$96,XS_Designer!BI$96,"")</f>
        <v/>
      </c>
      <c r="BH88" s="4" t="str">
        <f>IF(XS_Designer_Bed_Mix!$J88&lt;=XS_Designer!$BN$96,XS_Designer!BJ$96,"")</f>
        <v/>
      </c>
      <c r="BI88" s="4" t="str">
        <f>IF(XS_Designer_Bed_Mix!$J88&lt;=XS_Designer!$BN$97,XS_Designer!BA$97,"")</f>
        <v/>
      </c>
      <c r="BJ88" s="4" t="str">
        <f>IF(XS_Designer_Bed_Mix!$J88&lt;=XS_Designer!$BN$97,XS_Designer!BB$97,"")</f>
        <v/>
      </c>
      <c r="BK88" s="4" t="str">
        <f>IF(XS_Designer_Bed_Mix!$J88&lt;=XS_Designer!$BN$97,XS_Designer!BC$97,"")</f>
        <v/>
      </c>
      <c r="BL88" s="4" t="str">
        <f>IF(XS_Designer_Bed_Mix!$J88&lt;=XS_Designer!$BN$97,XS_Designer!BD$97,"")</f>
        <v/>
      </c>
      <c r="BM88" s="4" t="str">
        <f>IF(XS_Designer_Bed_Mix!$J88&lt;=XS_Designer!$BN$97,XS_Designer!BE$97,"")</f>
        <v/>
      </c>
      <c r="BN88" s="4" t="str">
        <f>IF(XS_Designer_Bed_Mix!$J88&lt;=XS_Designer!$BN$97,XS_Designer!BF$97,"")</f>
        <v/>
      </c>
      <c r="BO88" s="4" t="str">
        <f>IF(XS_Designer_Bed_Mix!$J88&lt;=XS_Designer!$BN$97,XS_Designer!BG$97,"")</f>
        <v/>
      </c>
      <c r="BP88" s="4" t="str">
        <f>IF(XS_Designer_Bed_Mix!$J88&lt;=XS_Designer!$BN$97,XS_Designer!BH$97,"")</f>
        <v/>
      </c>
      <c r="BQ88" s="4" t="str">
        <f>IF(XS_Designer_Bed_Mix!$J88&lt;=XS_Designer!$BN$97,XS_Designer!BI$97,"")</f>
        <v/>
      </c>
      <c r="BR88" s="4" t="str">
        <f>IF(XS_Designer_Bed_Mix!$J88&lt;=XS_Designer!$BN$97,XS_Designer!BJ$97,"")</f>
        <v/>
      </c>
      <c r="BS88" s="4" t="str">
        <f>IF(XS_Designer_Bed_Mix!$J88&lt;=XS_Designer!$BN$98,XS_Designer!BA$98,"")</f>
        <v/>
      </c>
      <c r="BT88" s="4" t="str">
        <f>IF(XS_Designer_Bed_Mix!$J88&lt;=XS_Designer!$BN$98,XS_Designer!BB$98,"")</f>
        <v/>
      </c>
      <c r="BU88" s="4" t="str">
        <f>IF(XS_Designer_Bed_Mix!$J88&lt;=XS_Designer!$BN$98,XS_Designer!BC$98,"")</f>
        <v/>
      </c>
      <c r="BV88" s="4" t="str">
        <f>IF(XS_Designer_Bed_Mix!$J88&lt;=XS_Designer!$BN$98,XS_Designer!BD$98,"")</f>
        <v/>
      </c>
      <c r="BW88" s="4" t="str">
        <f>IF(XS_Designer_Bed_Mix!$J88&lt;=XS_Designer!$BN$98,XS_Designer!BE$98,"")</f>
        <v/>
      </c>
      <c r="BX88" s="4" t="str">
        <f>IF(XS_Designer_Bed_Mix!$J88&lt;=XS_Designer!$BN$98,XS_Designer!BF$98,"")</f>
        <v/>
      </c>
      <c r="BY88" s="4" t="str">
        <f>IF(XS_Designer_Bed_Mix!$J88&lt;=XS_Designer!$BN$98,XS_Designer!BG$98,"")</f>
        <v/>
      </c>
      <c r="BZ88" s="4" t="str">
        <f>IF(XS_Designer_Bed_Mix!$J88&lt;=XS_Designer!$BN$98,XS_Designer!BH$98,"")</f>
        <v/>
      </c>
      <c r="CA88" s="4" t="str">
        <f>IF(XS_Designer_Bed_Mix!$J88&lt;=XS_Designer!$BN$98,XS_Designer!BI$98,"")</f>
        <v/>
      </c>
      <c r="CB88" s="4" t="str">
        <f>IF(XS_Designer_Bed_Mix!$J88&lt;=XS_Designer!$BN$98,XS_Designer!BJ$98,"")</f>
        <v/>
      </c>
      <c r="CC88" s="4" t="str">
        <f>IF(XS_Designer_Bed_Mix!$J88&lt;=XS_Designer!$BN$99,XS_Designer!BA$99,"")</f>
        <v/>
      </c>
      <c r="CD88" s="4" t="str">
        <f>IF(XS_Designer_Bed_Mix!$J88&lt;=XS_Designer!$BN$99,XS_Designer!BB$99,"")</f>
        <v/>
      </c>
      <c r="CE88" s="4" t="str">
        <f>IF(XS_Designer_Bed_Mix!$J88&lt;=XS_Designer!$BN$99,XS_Designer!BC$99,"")</f>
        <v/>
      </c>
      <c r="CF88" s="4" t="str">
        <f>IF(XS_Designer_Bed_Mix!$J88&lt;=XS_Designer!$BN$99,XS_Designer!BD$99,"")</f>
        <v/>
      </c>
      <c r="CG88" s="4" t="str">
        <f>IF(XS_Designer_Bed_Mix!$J88&lt;=XS_Designer!$BN$99,XS_Designer!BE$99,"")</f>
        <v/>
      </c>
      <c r="CH88" s="4" t="str">
        <f>IF(XS_Designer_Bed_Mix!$J88&lt;=XS_Designer!$BN$99,XS_Designer!BF$99,"")</f>
        <v/>
      </c>
      <c r="CI88" s="4" t="str">
        <f>IF(XS_Designer_Bed_Mix!$J88&lt;=XS_Designer!$BN$99,XS_Designer!BG$99,"")</f>
        <v/>
      </c>
      <c r="CJ88" s="4" t="str">
        <f>IF(XS_Designer_Bed_Mix!$J88&lt;=XS_Designer!$BN$99,XS_Designer!BH$99,"")</f>
        <v/>
      </c>
      <c r="CK88" s="4" t="str">
        <f>IF(XS_Designer_Bed_Mix!$J88&lt;=XS_Designer!$BN$99,XS_Designer!BI$99,"")</f>
        <v/>
      </c>
      <c r="CL88" s="4" t="str">
        <f>IF(XS_Designer_Bed_Mix!$J88&lt;=XS_Designer!$BN$99,XS_Designer!BJ$99,"")</f>
        <v/>
      </c>
      <c r="CM88" s="4" t="str">
        <f>IF(XS_Designer_Bed_Mix!$J88&lt;=XS_Designer!$BN$100,XS_Designer!BA$100,"")</f>
        <v/>
      </c>
      <c r="CN88" s="4" t="str">
        <f>IF(XS_Designer_Bed_Mix!$J88&lt;=XS_Designer!$BN$100,XS_Designer!BB$100,"")</f>
        <v/>
      </c>
      <c r="CO88" s="4" t="str">
        <f>IF(XS_Designer_Bed_Mix!$J88&lt;=XS_Designer!$BN$100,XS_Designer!BC$100,"")</f>
        <v/>
      </c>
      <c r="CP88" s="4" t="str">
        <f>IF(XS_Designer_Bed_Mix!$J88&lt;=XS_Designer!$BN$100,XS_Designer!BD$100,"")</f>
        <v/>
      </c>
      <c r="CQ88" s="4" t="str">
        <f>IF(XS_Designer_Bed_Mix!$J88&lt;=XS_Designer!$BN$100,XS_Designer!BE$100,"")</f>
        <v/>
      </c>
      <c r="CR88" s="4" t="str">
        <f>IF(XS_Designer_Bed_Mix!$J88&lt;=XS_Designer!$BN$100,XS_Designer!BF$100,"")</f>
        <v/>
      </c>
      <c r="CS88" s="4" t="str">
        <f>IF(XS_Designer_Bed_Mix!$J88&lt;=XS_Designer!$BN$100,XS_Designer!BG$100,"")</f>
        <v/>
      </c>
      <c r="CT88" s="4" t="str">
        <f>IF(XS_Designer_Bed_Mix!$J88&lt;=XS_Designer!$BN$100,XS_Designer!BH$100,"")</f>
        <v/>
      </c>
      <c r="CU88" s="4" t="str">
        <f>IF(XS_Designer_Bed_Mix!$J88&lt;=XS_Designer!$BN$100,XS_Designer!BI$100,"")</f>
        <v/>
      </c>
      <c r="CV88" s="4" t="str">
        <f>IF(XS_Designer_Bed_Mix!$J88&lt;=XS_Designer!$BN$100,XS_Designer!BJ$100,"")</f>
        <v/>
      </c>
      <c r="CW88" s="4" t="str">
        <f>IF(XS_Designer_Bed_Mix!$J88&lt;=XS_Designer!$BN$101,XS_Designer!BA$101,"")</f>
        <v/>
      </c>
      <c r="CX88" s="4" t="str">
        <f>IF(XS_Designer_Bed_Mix!$J88&lt;=XS_Designer!$BN$101,XS_Designer!BB$101,"")</f>
        <v/>
      </c>
      <c r="CY88" s="4" t="str">
        <f>IF(XS_Designer_Bed_Mix!$J88&lt;=XS_Designer!$BN$101,XS_Designer!BC$101,"")</f>
        <v/>
      </c>
      <c r="CZ88" s="4" t="str">
        <f>IF(XS_Designer_Bed_Mix!$J88&lt;=XS_Designer!$BN$101,XS_Designer!BD$101,"")</f>
        <v/>
      </c>
      <c r="DA88" s="4" t="str">
        <f>IF(XS_Designer_Bed_Mix!$J88&lt;=XS_Designer!$BN$101,XS_Designer!BE$101,"")</f>
        <v/>
      </c>
      <c r="DB88" s="4" t="str">
        <f>IF(XS_Designer_Bed_Mix!$J88&lt;=XS_Designer!$BN$101,XS_Designer!BF$101,"")</f>
        <v/>
      </c>
      <c r="DC88" s="4" t="str">
        <f>IF(XS_Designer_Bed_Mix!$J88&lt;=XS_Designer!$BN$101,XS_Designer!BG$101,"")</f>
        <v/>
      </c>
      <c r="DD88" s="4" t="str">
        <f>IF(XS_Designer_Bed_Mix!$J88&lt;=XS_Designer!$BN$101,XS_Designer!BH$101,"")</f>
        <v/>
      </c>
      <c r="DE88" s="4" t="str">
        <f>IF(XS_Designer_Bed_Mix!$J88&lt;=XS_Designer!$BN$101,XS_Designer!BI$101,"")</f>
        <v/>
      </c>
      <c r="DF88" s="4" t="str">
        <f>IF(XS_Designer_Bed_Mix!$J88&lt;=XS_Designer!$BN$101,XS_Designer!BJ$101,"")</f>
        <v/>
      </c>
      <c r="DG88" s="4" t="str">
        <f>IF(XS_Designer_Bed_Mix!$J88&lt;=XS_Designer!$BN$102,XS_Designer!BA$102,"")</f>
        <v/>
      </c>
      <c r="DH88" s="4" t="str">
        <f>IF(XS_Designer_Bed_Mix!$J88&lt;=XS_Designer!$BN$102,XS_Designer!BB$102,"")</f>
        <v/>
      </c>
      <c r="DI88" s="4" t="str">
        <f>IF(XS_Designer_Bed_Mix!$J88&lt;=XS_Designer!$BN$102,XS_Designer!BC$102,"")</f>
        <v/>
      </c>
      <c r="DJ88" s="4" t="str">
        <f>IF(XS_Designer_Bed_Mix!$J88&lt;=XS_Designer!$BN$102,XS_Designer!BD$102,"")</f>
        <v/>
      </c>
      <c r="DK88" s="4" t="str">
        <f>IF(XS_Designer_Bed_Mix!$J88&lt;=XS_Designer!$BN$102,XS_Designer!BE$102,"")</f>
        <v/>
      </c>
      <c r="DL88" s="4" t="str">
        <f>IF(XS_Designer_Bed_Mix!$J88&lt;=XS_Designer!$BN$102,XS_Designer!BF$102,"")</f>
        <v/>
      </c>
      <c r="DM88" s="4" t="str">
        <f>IF(XS_Designer_Bed_Mix!$J88&lt;=XS_Designer!$BN$102,XS_Designer!BG$102,"")</f>
        <v/>
      </c>
      <c r="DN88" s="4" t="str">
        <f>IF(XS_Designer_Bed_Mix!$J88&lt;=XS_Designer!$BN$102,XS_Designer!BH$102,"")</f>
        <v/>
      </c>
      <c r="DO88" s="4" t="str">
        <f>IF(XS_Designer_Bed_Mix!$J88&lt;=XS_Designer!$BN$102,XS_Designer!BI$102,"")</f>
        <v/>
      </c>
      <c r="DP88" s="4" t="str">
        <f>IF(XS_Designer_Bed_Mix!$J88&lt;=XS_Designer!$BN$102,XS_Designer!BJ$102,"")</f>
        <v/>
      </c>
    </row>
    <row r="89" spans="10:120">
      <c r="J89" s="3">
        <v>0.88</v>
      </c>
      <c r="K89" s="4" t="str">
        <f>IF(XS_Designer_Bed_Mix!$J89&lt;=XS_Designer!$BN$92,XS_Designer!BA$92,"")</f>
        <v/>
      </c>
      <c r="L89" s="4" t="str">
        <f>IF(XS_Designer_Bed_Mix!$J89&lt;=XS_Designer!$BN$92,XS_Designer!BB$92,"")</f>
        <v/>
      </c>
      <c r="M89" s="4" t="str">
        <f>IF(XS_Designer_Bed_Mix!$J89&lt;=XS_Designer!$BN$92,XS_Designer!BC$92,"")</f>
        <v/>
      </c>
      <c r="N89" s="4" t="str">
        <f>IF(XS_Designer_Bed_Mix!$J89&lt;=XS_Designer!$BN$92,XS_Designer!BD$92,"")</f>
        <v/>
      </c>
      <c r="O89" s="4" t="str">
        <f>IF(XS_Designer_Bed_Mix!$J89&lt;=XS_Designer!$BN$92,XS_Designer!BE$92,"")</f>
        <v/>
      </c>
      <c r="P89" s="4" t="str">
        <f>IF(XS_Designer_Bed_Mix!$J89&lt;=XS_Designer!$BN$92,XS_Designer!BF$92,"")</f>
        <v/>
      </c>
      <c r="Q89" s="4" t="str">
        <f>IF(XS_Designer_Bed_Mix!$J89&lt;=XS_Designer!$BN$92,XS_Designer!BG$92,"")</f>
        <v/>
      </c>
      <c r="R89" s="4" t="str">
        <f>IF(XS_Designer_Bed_Mix!$J89&lt;=XS_Designer!$BN$92,XS_Designer!BH$92,"")</f>
        <v/>
      </c>
      <c r="S89" s="4" t="str">
        <f>IF(XS_Designer_Bed_Mix!$J89&lt;=XS_Designer!$BN$92,XS_Designer!BI$92,"")</f>
        <v/>
      </c>
      <c r="T89" s="4" t="str">
        <f>IF(XS_Designer_Bed_Mix!$J89&lt;=XS_Designer!$BN$92,XS_Designer!BJ$92,"")</f>
        <v/>
      </c>
      <c r="U89" s="4" t="str">
        <f>IF(XS_Designer_Bed_Mix!$J89&lt;=XS_Designer!$BN$93,XS_Designer!BA$93,"")</f>
        <v/>
      </c>
      <c r="V89" s="4" t="str">
        <f>IF(XS_Designer_Bed_Mix!$J89&lt;=XS_Designer!$BN$93,XS_Designer!BB$93,"")</f>
        <v/>
      </c>
      <c r="W89" s="4" t="str">
        <f>IF(XS_Designer_Bed_Mix!$J89&lt;=XS_Designer!$BN$93,XS_Designer!BC$93,"")</f>
        <v/>
      </c>
      <c r="X89" s="4" t="str">
        <f>IF(XS_Designer_Bed_Mix!$J89&lt;=XS_Designer!$BN$93,XS_Designer!BD$93,"")</f>
        <v/>
      </c>
      <c r="Y89" s="4" t="str">
        <f>IF(XS_Designer_Bed_Mix!$J89&lt;=XS_Designer!$BN$93,XS_Designer!BE$93,"")</f>
        <v/>
      </c>
      <c r="Z89" s="4" t="str">
        <f>IF(XS_Designer_Bed_Mix!$J89&lt;=XS_Designer!$BN$93,XS_Designer!BF$93,"")</f>
        <v/>
      </c>
      <c r="AA89" s="4" t="str">
        <f>IF(XS_Designer_Bed_Mix!$J89&lt;=XS_Designer!$BN$93,XS_Designer!BG$93,"")</f>
        <v/>
      </c>
      <c r="AB89" s="4" t="str">
        <f>IF(XS_Designer_Bed_Mix!$J89&lt;=XS_Designer!$BN$93,XS_Designer!BH$93,"")</f>
        <v/>
      </c>
      <c r="AC89" s="4" t="str">
        <f>IF(XS_Designer_Bed_Mix!$J89&lt;=XS_Designer!$BN$93,XS_Designer!BI$93,"")</f>
        <v/>
      </c>
      <c r="AD89" s="4" t="str">
        <f>IF(XS_Designer_Bed_Mix!$J89&lt;=XS_Designer!$BN$93,XS_Designer!BJ$93,"")</f>
        <v/>
      </c>
      <c r="AE89" s="4" t="str">
        <f>IF(XS_Designer_Bed_Mix!$J89&lt;=XS_Designer!$BN$94,XS_Designer!BA$94,"")</f>
        <v/>
      </c>
      <c r="AF89" s="4" t="str">
        <f>IF(XS_Designer_Bed_Mix!$J89&lt;=XS_Designer!$BN$94,XS_Designer!BB$94,"")</f>
        <v/>
      </c>
      <c r="AG89" s="4" t="str">
        <f>IF(XS_Designer_Bed_Mix!$J89&lt;=XS_Designer!$BN$94,XS_Designer!BC$94,"")</f>
        <v/>
      </c>
      <c r="AH89" s="4" t="str">
        <f>IF(XS_Designer_Bed_Mix!$J89&lt;=XS_Designer!$BN$94,XS_Designer!BD$94,"")</f>
        <v/>
      </c>
      <c r="AI89" s="4" t="str">
        <f>IF(XS_Designer_Bed_Mix!$J89&lt;=XS_Designer!$BN$94,XS_Designer!BE$94,"")</f>
        <v/>
      </c>
      <c r="AJ89" s="4" t="str">
        <f>IF(XS_Designer_Bed_Mix!$J89&lt;=XS_Designer!$BN$94,XS_Designer!BF$94,"")</f>
        <v/>
      </c>
      <c r="AK89" s="4" t="str">
        <f>IF(XS_Designer_Bed_Mix!$J89&lt;=XS_Designer!$BN$94,XS_Designer!BG$94,"")</f>
        <v/>
      </c>
      <c r="AL89" s="4" t="str">
        <f>IF(XS_Designer_Bed_Mix!$J89&lt;=XS_Designer!$BN$94,XS_Designer!BH$94,"")</f>
        <v/>
      </c>
      <c r="AM89" s="4" t="str">
        <f>IF(XS_Designer_Bed_Mix!$J89&lt;=XS_Designer!$BN$94,XS_Designer!BI$94,"")</f>
        <v/>
      </c>
      <c r="AN89" s="4" t="str">
        <f>IF(XS_Designer_Bed_Mix!$J89&lt;=XS_Designer!$BN$94,XS_Designer!BJ$94,"")</f>
        <v/>
      </c>
      <c r="AO89" s="4" t="str">
        <f>IF(XS_Designer_Bed_Mix!$J89&lt;=XS_Designer!$BN$95,XS_Designer!BA$95,"")</f>
        <v/>
      </c>
      <c r="AP89" s="4" t="str">
        <f>IF(XS_Designer_Bed_Mix!$J89&lt;=XS_Designer!$BN$95,XS_Designer!BB$95,"")</f>
        <v/>
      </c>
      <c r="AQ89" s="4" t="str">
        <f>IF(XS_Designer_Bed_Mix!$J89&lt;=XS_Designer!$BN$95,XS_Designer!BC$95,"")</f>
        <v/>
      </c>
      <c r="AR89" s="4" t="str">
        <f>IF(XS_Designer_Bed_Mix!$J89&lt;=XS_Designer!$BN$95,XS_Designer!BD$95,"")</f>
        <v/>
      </c>
      <c r="AS89" s="4" t="str">
        <f>IF(XS_Designer_Bed_Mix!$J89&lt;=XS_Designer!$BN$95,XS_Designer!BE$95,"")</f>
        <v/>
      </c>
      <c r="AT89" s="4" t="str">
        <f>IF(XS_Designer_Bed_Mix!$J89&lt;=XS_Designer!$BN$95,XS_Designer!BF$95,"")</f>
        <v/>
      </c>
      <c r="AU89" s="4" t="str">
        <f>IF(XS_Designer_Bed_Mix!$J89&lt;=XS_Designer!$BN$95,XS_Designer!BG$95,"")</f>
        <v/>
      </c>
      <c r="AV89" s="4" t="str">
        <f>IF(XS_Designer_Bed_Mix!$J89&lt;=XS_Designer!$BN$95,XS_Designer!BH$95,"")</f>
        <v/>
      </c>
      <c r="AW89" s="4" t="str">
        <f>IF(XS_Designer_Bed_Mix!$J89&lt;=XS_Designer!$BN$95,XS_Designer!BI$95,"")</f>
        <v/>
      </c>
      <c r="AX89" s="4" t="str">
        <f>IF(XS_Designer_Bed_Mix!$J89&lt;=XS_Designer!$BN$95,XS_Designer!BJ$95,"")</f>
        <v/>
      </c>
      <c r="AY89" s="4" t="str">
        <f>IF(XS_Designer_Bed_Mix!$J89&lt;=XS_Designer!$BN$96,XS_Designer!BA$96,"")</f>
        <v/>
      </c>
      <c r="AZ89" s="4" t="str">
        <f>IF(XS_Designer_Bed_Mix!$J89&lt;=XS_Designer!$BN$96,XS_Designer!BB$96,"")</f>
        <v/>
      </c>
      <c r="BA89" s="4" t="str">
        <f>IF(XS_Designer_Bed_Mix!$J89&lt;=XS_Designer!$BN$96,XS_Designer!BC$96,"")</f>
        <v/>
      </c>
      <c r="BB89" s="4" t="str">
        <f>IF(XS_Designer_Bed_Mix!$J89&lt;=XS_Designer!$BN$96,XS_Designer!BD$96,"")</f>
        <v/>
      </c>
      <c r="BC89" s="4" t="str">
        <f>IF(XS_Designer_Bed_Mix!$J89&lt;=XS_Designer!$BN$96,XS_Designer!BE$96,"")</f>
        <v/>
      </c>
      <c r="BD89" s="4" t="str">
        <f>IF(XS_Designer_Bed_Mix!$J89&lt;=XS_Designer!$BN$96,XS_Designer!BF$96,"")</f>
        <v/>
      </c>
      <c r="BE89" s="4" t="str">
        <f>IF(XS_Designer_Bed_Mix!$J89&lt;=XS_Designer!$BN$96,XS_Designer!BG$96,"")</f>
        <v/>
      </c>
      <c r="BF89" s="4" t="str">
        <f>IF(XS_Designer_Bed_Mix!$J89&lt;=XS_Designer!$BN$96,XS_Designer!BH$96,"")</f>
        <v/>
      </c>
      <c r="BG89" s="4" t="str">
        <f>IF(XS_Designer_Bed_Mix!$J89&lt;=XS_Designer!$BN$96,XS_Designer!BI$96,"")</f>
        <v/>
      </c>
      <c r="BH89" s="4" t="str">
        <f>IF(XS_Designer_Bed_Mix!$J89&lt;=XS_Designer!$BN$96,XS_Designer!BJ$96,"")</f>
        <v/>
      </c>
      <c r="BI89" s="4" t="str">
        <f>IF(XS_Designer_Bed_Mix!$J89&lt;=XS_Designer!$BN$97,XS_Designer!BA$97,"")</f>
        <v/>
      </c>
      <c r="BJ89" s="4" t="str">
        <f>IF(XS_Designer_Bed_Mix!$J89&lt;=XS_Designer!$BN$97,XS_Designer!BB$97,"")</f>
        <v/>
      </c>
      <c r="BK89" s="4" t="str">
        <f>IF(XS_Designer_Bed_Mix!$J89&lt;=XS_Designer!$BN$97,XS_Designer!BC$97,"")</f>
        <v/>
      </c>
      <c r="BL89" s="4" t="str">
        <f>IF(XS_Designer_Bed_Mix!$J89&lt;=XS_Designer!$BN$97,XS_Designer!BD$97,"")</f>
        <v/>
      </c>
      <c r="BM89" s="4" t="str">
        <f>IF(XS_Designer_Bed_Mix!$J89&lt;=XS_Designer!$BN$97,XS_Designer!BE$97,"")</f>
        <v/>
      </c>
      <c r="BN89" s="4" t="str">
        <f>IF(XS_Designer_Bed_Mix!$J89&lt;=XS_Designer!$BN$97,XS_Designer!BF$97,"")</f>
        <v/>
      </c>
      <c r="BO89" s="4" t="str">
        <f>IF(XS_Designer_Bed_Mix!$J89&lt;=XS_Designer!$BN$97,XS_Designer!BG$97,"")</f>
        <v/>
      </c>
      <c r="BP89" s="4" t="str">
        <f>IF(XS_Designer_Bed_Mix!$J89&lt;=XS_Designer!$BN$97,XS_Designer!BH$97,"")</f>
        <v/>
      </c>
      <c r="BQ89" s="4" t="str">
        <f>IF(XS_Designer_Bed_Mix!$J89&lt;=XS_Designer!$BN$97,XS_Designer!BI$97,"")</f>
        <v/>
      </c>
      <c r="BR89" s="4" t="str">
        <f>IF(XS_Designer_Bed_Mix!$J89&lt;=XS_Designer!$BN$97,XS_Designer!BJ$97,"")</f>
        <v/>
      </c>
      <c r="BS89" s="4" t="str">
        <f>IF(XS_Designer_Bed_Mix!$J89&lt;=XS_Designer!$BN$98,XS_Designer!BA$98,"")</f>
        <v/>
      </c>
      <c r="BT89" s="4" t="str">
        <f>IF(XS_Designer_Bed_Mix!$J89&lt;=XS_Designer!$BN$98,XS_Designer!BB$98,"")</f>
        <v/>
      </c>
      <c r="BU89" s="4" t="str">
        <f>IF(XS_Designer_Bed_Mix!$J89&lt;=XS_Designer!$BN$98,XS_Designer!BC$98,"")</f>
        <v/>
      </c>
      <c r="BV89" s="4" t="str">
        <f>IF(XS_Designer_Bed_Mix!$J89&lt;=XS_Designer!$BN$98,XS_Designer!BD$98,"")</f>
        <v/>
      </c>
      <c r="BW89" s="4" t="str">
        <f>IF(XS_Designer_Bed_Mix!$J89&lt;=XS_Designer!$BN$98,XS_Designer!BE$98,"")</f>
        <v/>
      </c>
      <c r="BX89" s="4" t="str">
        <f>IF(XS_Designer_Bed_Mix!$J89&lt;=XS_Designer!$BN$98,XS_Designer!BF$98,"")</f>
        <v/>
      </c>
      <c r="BY89" s="4" t="str">
        <f>IF(XS_Designer_Bed_Mix!$J89&lt;=XS_Designer!$BN$98,XS_Designer!BG$98,"")</f>
        <v/>
      </c>
      <c r="BZ89" s="4" t="str">
        <f>IF(XS_Designer_Bed_Mix!$J89&lt;=XS_Designer!$BN$98,XS_Designer!BH$98,"")</f>
        <v/>
      </c>
      <c r="CA89" s="4" t="str">
        <f>IF(XS_Designer_Bed_Mix!$J89&lt;=XS_Designer!$BN$98,XS_Designer!BI$98,"")</f>
        <v/>
      </c>
      <c r="CB89" s="4" t="str">
        <f>IF(XS_Designer_Bed_Mix!$J89&lt;=XS_Designer!$BN$98,XS_Designer!BJ$98,"")</f>
        <v/>
      </c>
      <c r="CC89" s="4" t="str">
        <f>IF(XS_Designer_Bed_Mix!$J89&lt;=XS_Designer!$BN$99,XS_Designer!BA$99,"")</f>
        <v/>
      </c>
      <c r="CD89" s="4" t="str">
        <f>IF(XS_Designer_Bed_Mix!$J89&lt;=XS_Designer!$BN$99,XS_Designer!BB$99,"")</f>
        <v/>
      </c>
      <c r="CE89" s="4" t="str">
        <f>IF(XS_Designer_Bed_Mix!$J89&lt;=XS_Designer!$BN$99,XS_Designer!BC$99,"")</f>
        <v/>
      </c>
      <c r="CF89" s="4" t="str">
        <f>IF(XS_Designer_Bed_Mix!$J89&lt;=XS_Designer!$BN$99,XS_Designer!BD$99,"")</f>
        <v/>
      </c>
      <c r="CG89" s="4" t="str">
        <f>IF(XS_Designer_Bed_Mix!$J89&lt;=XS_Designer!$BN$99,XS_Designer!BE$99,"")</f>
        <v/>
      </c>
      <c r="CH89" s="4" t="str">
        <f>IF(XS_Designer_Bed_Mix!$J89&lt;=XS_Designer!$BN$99,XS_Designer!BF$99,"")</f>
        <v/>
      </c>
      <c r="CI89" s="4" t="str">
        <f>IF(XS_Designer_Bed_Mix!$J89&lt;=XS_Designer!$BN$99,XS_Designer!BG$99,"")</f>
        <v/>
      </c>
      <c r="CJ89" s="4" t="str">
        <f>IF(XS_Designer_Bed_Mix!$J89&lt;=XS_Designer!$BN$99,XS_Designer!BH$99,"")</f>
        <v/>
      </c>
      <c r="CK89" s="4" t="str">
        <f>IF(XS_Designer_Bed_Mix!$J89&lt;=XS_Designer!$BN$99,XS_Designer!BI$99,"")</f>
        <v/>
      </c>
      <c r="CL89" s="4" t="str">
        <f>IF(XS_Designer_Bed_Mix!$J89&lt;=XS_Designer!$BN$99,XS_Designer!BJ$99,"")</f>
        <v/>
      </c>
      <c r="CM89" s="4" t="str">
        <f>IF(XS_Designer_Bed_Mix!$J89&lt;=XS_Designer!$BN$100,XS_Designer!BA$100,"")</f>
        <v/>
      </c>
      <c r="CN89" s="4" t="str">
        <f>IF(XS_Designer_Bed_Mix!$J89&lt;=XS_Designer!$BN$100,XS_Designer!BB$100,"")</f>
        <v/>
      </c>
      <c r="CO89" s="4" t="str">
        <f>IF(XS_Designer_Bed_Mix!$J89&lt;=XS_Designer!$BN$100,XS_Designer!BC$100,"")</f>
        <v/>
      </c>
      <c r="CP89" s="4" t="str">
        <f>IF(XS_Designer_Bed_Mix!$J89&lt;=XS_Designer!$BN$100,XS_Designer!BD$100,"")</f>
        <v/>
      </c>
      <c r="CQ89" s="4" t="str">
        <f>IF(XS_Designer_Bed_Mix!$J89&lt;=XS_Designer!$BN$100,XS_Designer!BE$100,"")</f>
        <v/>
      </c>
      <c r="CR89" s="4" t="str">
        <f>IF(XS_Designer_Bed_Mix!$J89&lt;=XS_Designer!$BN$100,XS_Designer!BF$100,"")</f>
        <v/>
      </c>
      <c r="CS89" s="4" t="str">
        <f>IF(XS_Designer_Bed_Mix!$J89&lt;=XS_Designer!$BN$100,XS_Designer!BG$100,"")</f>
        <v/>
      </c>
      <c r="CT89" s="4" t="str">
        <f>IF(XS_Designer_Bed_Mix!$J89&lt;=XS_Designer!$BN$100,XS_Designer!BH$100,"")</f>
        <v/>
      </c>
      <c r="CU89" s="4" t="str">
        <f>IF(XS_Designer_Bed_Mix!$J89&lt;=XS_Designer!$BN$100,XS_Designer!BI$100,"")</f>
        <v/>
      </c>
      <c r="CV89" s="4" t="str">
        <f>IF(XS_Designer_Bed_Mix!$J89&lt;=XS_Designer!$BN$100,XS_Designer!BJ$100,"")</f>
        <v/>
      </c>
      <c r="CW89" s="4" t="str">
        <f>IF(XS_Designer_Bed_Mix!$J89&lt;=XS_Designer!$BN$101,XS_Designer!BA$101,"")</f>
        <v/>
      </c>
      <c r="CX89" s="4" t="str">
        <f>IF(XS_Designer_Bed_Mix!$J89&lt;=XS_Designer!$BN$101,XS_Designer!BB$101,"")</f>
        <v/>
      </c>
      <c r="CY89" s="4" t="str">
        <f>IF(XS_Designer_Bed_Mix!$J89&lt;=XS_Designer!$BN$101,XS_Designer!BC$101,"")</f>
        <v/>
      </c>
      <c r="CZ89" s="4" t="str">
        <f>IF(XS_Designer_Bed_Mix!$J89&lt;=XS_Designer!$BN$101,XS_Designer!BD$101,"")</f>
        <v/>
      </c>
      <c r="DA89" s="4" t="str">
        <f>IF(XS_Designer_Bed_Mix!$J89&lt;=XS_Designer!$BN$101,XS_Designer!BE$101,"")</f>
        <v/>
      </c>
      <c r="DB89" s="4" t="str">
        <f>IF(XS_Designer_Bed_Mix!$J89&lt;=XS_Designer!$BN$101,XS_Designer!BF$101,"")</f>
        <v/>
      </c>
      <c r="DC89" s="4" t="str">
        <f>IF(XS_Designer_Bed_Mix!$J89&lt;=XS_Designer!$BN$101,XS_Designer!BG$101,"")</f>
        <v/>
      </c>
      <c r="DD89" s="4" t="str">
        <f>IF(XS_Designer_Bed_Mix!$J89&lt;=XS_Designer!$BN$101,XS_Designer!BH$101,"")</f>
        <v/>
      </c>
      <c r="DE89" s="4" t="str">
        <f>IF(XS_Designer_Bed_Mix!$J89&lt;=XS_Designer!$BN$101,XS_Designer!BI$101,"")</f>
        <v/>
      </c>
      <c r="DF89" s="4" t="str">
        <f>IF(XS_Designer_Bed_Mix!$J89&lt;=XS_Designer!$BN$101,XS_Designer!BJ$101,"")</f>
        <v/>
      </c>
      <c r="DG89" s="4" t="str">
        <f>IF(XS_Designer_Bed_Mix!$J89&lt;=XS_Designer!$BN$102,XS_Designer!BA$102,"")</f>
        <v/>
      </c>
      <c r="DH89" s="4" t="str">
        <f>IF(XS_Designer_Bed_Mix!$J89&lt;=XS_Designer!$BN$102,XS_Designer!BB$102,"")</f>
        <v/>
      </c>
      <c r="DI89" s="4" t="str">
        <f>IF(XS_Designer_Bed_Mix!$J89&lt;=XS_Designer!$BN$102,XS_Designer!BC$102,"")</f>
        <v/>
      </c>
      <c r="DJ89" s="4" t="str">
        <f>IF(XS_Designer_Bed_Mix!$J89&lt;=XS_Designer!$BN$102,XS_Designer!BD$102,"")</f>
        <v/>
      </c>
      <c r="DK89" s="4" t="str">
        <f>IF(XS_Designer_Bed_Mix!$J89&lt;=XS_Designer!$BN$102,XS_Designer!BE$102,"")</f>
        <v/>
      </c>
      <c r="DL89" s="4" t="str">
        <f>IF(XS_Designer_Bed_Mix!$J89&lt;=XS_Designer!$BN$102,XS_Designer!BF$102,"")</f>
        <v/>
      </c>
      <c r="DM89" s="4" t="str">
        <f>IF(XS_Designer_Bed_Mix!$J89&lt;=XS_Designer!$BN$102,XS_Designer!BG$102,"")</f>
        <v/>
      </c>
      <c r="DN89" s="4" t="str">
        <f>IF(XS_Designer_Bed_Mix!$J89&lt;=XS_Designer!$BN$102,XS_Designer!BH$102,"")</f>
        <v/>
      </c>
      <c r="DO89" s="4" t="str">
        <f>IF(XS_Designer_Bed_Mix!$J89&lt;=XS_Designer!$BN$102,XS_Designer!BI$102,"")</f>
        <v/>
      </c>
      <c r="DP89" s="4" t="str">
        <f>IF(XS_Designer_Bed_Mix!$J89&lt;=XS_Designer!$BN$102,XS_Designer!BJ$102,"")</f>
        <v/>
      </c>
    </row>
    <row r="90" spans="10:120">
      <c r="J90" s="3">
        <v>0.89</v>
      </c>
      <c r="K90" s="4" t="str">
        <f>IF(XS_Designer_Bed_Mix!$J90&lt;=XS_Designer!$BN$92,XS_Designer!BA$92,"")</f>
        <v/>
      </c>
      <c r="L90" s="4" t="str">
        <f>IF(XS_Designer_Bed_Mix!$J90&lt;=XS_Designer!$BN$92,XS_Designer!BB$92,"")</f>
        <v/>
      </c>
      <c r="M90" s="4" t="str">
        <f>IF(XS_Designer_Bed_Mix!$J90&lt;=XS_Designer!$BN$92,XS_Designer!BC$92,"")</f>
        <v/>
      </c>
      <c r="N90" s="4" t="str">
        <f>IF(XS_Designer_Bed_Mix!$J90&lt;=XS_Designer!$BN$92,XS_Designer!BD$92,"")</f>
        <v/>
      </c>
      <c r="O90" s="4" t="str">
        <f>IF(XS_Designer_Bed_Mix!$J90&lt;=XS_Designer!$BN$92,XS_Designer!BE$92,"")</f>
        <v/>
      </c>
      <c r="P90" s="4" t="str">
        <f>IF(XS_Designer_Bed_Mix!$J90&lt;=XS_Designer!$BN$92,XS_Designer!BF$92,"")</f>
        <v/>
      </c>
      <c r="Q90" s="4" t="str">
        <f>IF(XS_Designer_Bed_Mix!$J90&lt;=XS_Designer!$BN$92,XS_Designer!BG$92,"")</f>
        <v/>
      </c>
      <c r="R90" s="4" t="str">
        <f>IF(XS_Designer_Bed_Mix!$J90&lt;=XS_Designer!$BN$92,XS_Designer!BH$92,"")</f>
        <v/>
      </c>
      <c r="S90" s="4" t="str">
        <f>IF(XS_Designer_Bed_Mix!$J90&lt;=XS_Designer!$BN$92,XS_Designer!BI$92,"")</f>
        <v/>
      </c>
      <c r="T90" s="4" t="str">
        <f>IF(XS_Designer_Bed_Mix!$J90&lt;=XS_Designer!$BN$92,XS_Designer!BJ$92,"")</f>
        <v/>
      </c>
      <c r="U90" s="4" t="str">
        <f>IF(XS_Designer_Bed_Mix!$J90&lt;=XS_Designer!$BN$93,XS_Designer!BA$93,"")</f>
        <v/>
      </c>
      <c r="V90" s="4" t="str">
        <f>IF(XS_Designer_Bed_Mix!$J90&lt;=XS_Designer!$BN$93,XS_Designer!BB$93,"")</f>
        <v/>
      </c>
      <c r="W90" s="4" t="str">
        <f>IF(XS_Designer_Bed_Mix!$J90&lt;=XS_Designer!$BN$93,XS_Designer!BC$93,"")</f>
        <v/>
      </c>
      <c r="X90" s="4" t="str">
        <f>IF(XS_Designer_Bed_Mix!$J90&lt;=XS_Designer!$BN$93,XS_Designer!BD$93,"")</f>
        <v/>
      </c>
      <c r="Y90" s="4" t="str">
        <f>IF(XS_Designer_Bed_Mix!$J90&lt;=XS_Designer!$BN$93,XS_Designer!BE$93,"")</f>
        <v/>
      </c>
      <c r="Z90" s="4" t="str">
        <f>IF(XS_Designer_Bed_Mix!$J90&lt;=XS_Designer!$BN$93,XS_Designer!BF$93,"")</f>
        <v/>
      </c>
      <c r="AA90" s="4" t="str">
        <f>IF(XS_Designer_Bed_Mix!$J90&lt;=XS_Designer!$BN$93,XS_Designer!BG$93,"")</f>
        <v/>
      </c>
      <c r="AB90" s="4" t="str">
        <f>IF(XS_Designer_Bed_Mix!$J90&lt;=XS_Designer!$BN$93,XS_Designer!BH$93,"")</f>
        <v/>
      </c>
      <c r="AC90" s="4" t="str">
        <f>IF(XS_Designer_Bed_Mix!$J90&lt;=XS_Designer!$BN$93,XS_Designer!BI$93,"")</f>
        <v/>
      </c>
      <c r="AD90" s="4" t="str">
        <f>IF(XS_Designer_Bed_Mix!$J90&lt;=XS_Designer!$BN$93,XS_Designer!BJ$93,"")</f>
        <v/>
      </c>
      <c r="AE90" s="4" t="str">
        <f>IF(XS_Designer_Bed_Mix!$J90&lt;=XS_Designer!$BN$94,XS_Designer!BA$94,"")</f>
        <v/>
      </c>
      <c r="AF90" s="4" t="str">
        <f>IF(XS_Designer_Bed_Mix!$J90&lt;=XS_Designer!$BN$94,XS_Designer!BB$94,"")</f>
        <v/>
      </c>
      <c r="AG90" s="4" t="str">
        <f>IF(XS_Designer_Bed_Mix!$J90&lt;=XS_Designer!$BN$94,XS_Designer!BC$94,"")</f>
        <v/>
      </c>
      <c r="AH90" s="4" t="str">
        <f>IF(XS_Designer_Bed_Mix!$J90&lt;=XS_Designer!$BN$94,XS_Designer!BD$94,"")</f>
        <v/>
      </c>
      <c r="AI90" s="4" t="str">
        <f>IF(XS_Designer_Bed_Mix!$J90&lt;=XS_Designer!$BN$94,XS_Designer!BE$94,"")</f>
        <v/>
      </c>
      <c r="AJ90" s="4" t="str">
        <f>IF(XS_Designer_Bed_Mix!$J90&lt;=XS_Designer!$BN$94,XS_Designer!BF$94,"")</f>
        <v/>
      </c>
      <c r="AK90" s="4" t="str">
        <f>IF(XS_Designer_Bed_Mix!$J90&lt;=XS_Designer!$BN$94,XS_Designer!BG$94,"")</f>
        <v/>
      </c>
      <c r="AL90" s="4" t="str">
        <f>IF(XS_Designer_Bed_Mix!$J90&lt;=XS_Designer!$BN$94,XS_Designer!BH$94,"")</f>
        <v/>
      </c>
      <c r="AM90" s="4" t="str">
        <f>IF(XS_Designer_Bed_Mix!$J90&lt;=XS_Designer!$BN$94,XS_Designer!BI$94,"")</f>
        <v/>
      </c>
      <c r="AN90" s="4" t="str">
        <f>IF(XS_Designer_Bed_Mix!$J90&lt;=XS_Designer!$BN$94,XS_Designer!BJ$94,"")</f>
        <v/>
      </c>
      <c r="AO90" s="4" t="str">
        <f>IF(XS_Designer_Bed_Mix!$J90&lt;=XS_Designer!$BN$95,XS_Designer!BA$95,"")</f>
        <v/>
      </c>
      <c r="AP90" s="4" t="str">
        <f>IF(XS_Designer_Bed_Mix!$J90&lt;=XS_Designer!$BN$95,XS_Designer!BB$95,"")</f>
        <v/>
      </c>
      <c r="AQ90" s="4" t="str">
        <f>IF(XS_Designer_Bed_Mix!$J90&lt;=XS_Designer!$BN$95,XS_Designer!BC$95,"")</f>
        <v/>
      </c>
      <c r="AR90" s="4" t="str">
        <f>IF(XS_Designer_Bed_Mix!$J90&lt;=XS_Designer!$BN$95,XS_Designer!BD$95,"")</f>
        <v/>
      </c>
      <c r="AS90" s="4" t="str">
        <f>IF(XS_Designer_Bed_Mix!$J90&lt;=XS_Designer!$BN$95,XS_Designer!BE$95,"")</f>
        <v/>
      </c>
      <c r="AT90" s="4" t="str">
        <f>IF(XS_Designer_Bed_Mix!$J90&lt;=XS_Designer!$BN$95,XS_Designer!BF$95,"")</f>
        <v/>
      </c>
      <c r="AU90" s="4" t="str">
        <f>IF(XS_Designer_Bed_Mix!$J90&lt;=XS_Designer!$BN$95,XS_Designer!BG$95,"")</f>
        <v/>
      </c>
      <c r="AV90" s="4" t="str">
        <f>IF(XS_Designer_Bed_Mix!$J90&lt;=XS_Designer!$BN$95,XS_Designer!BH$95,"")</f>
        <v/>
      </c>
      <c r="AW90" s="4" t="str">
        <f>IF(XS_Designer_Bed_Mix!$J90&lt;=XS_Designer!$BN$95,XS_Designer!BI$95,"")</f>
        <v/>
      </c>
      <c r="AX90" s="4" t="str">
        <f>IF(XS_Designer_Bed_Mix!$J90&lt;=XS_Designer!$BN$95,XS_Designer!BJ$95,"")</f>
        <v/>
      </c>
      <c r="AY90" s="4" t="str">
        <f>IF(XS_Designer_Bed_Mix!$J90&lt;=XS_Designer!$BN$96,XS_Designer!BA$96,"")</f>
        <v/>
      </c>
      <c r="AZ90" s="4" t="str">
        <f>IF(XS_Designer_Bed_Mix!$J90&lt;=XS_Designer!$BN$96,XS_Designer!BB$96,"")</f>
        <v/>
      </c>
      <c r="BA90" s="4" t="str">
        <f>IF(XS_Designer_Bed_Mix!$J90&lt;=XS_Designer!$BN$96,XS_Designer!BC$96,"")</f>
        <v/>
      </c>
      <c r="BB90" s="4" t="str">
        <f>IF(XS_Designer_Bed_Mix!$J90&lt;=XS_Designer!$BN$96,XS_Designer!BD$96,"")</f>
        <v/>
      </c>
      <c r="BC90" s="4" t="str">
        <f>IF(XS_Designer_Bed_Mix!$J90&lt;=XS_Designer!$BN$96,XS_Designer!BE$96,"")</f>
        <v/>
      </c>
      <c r="BD90" s="4" t="str">
        <f>IF(XS_Designer_Bed_Mix!$J90&lt;=XS_Designer!$BN$96,XS_Designer!BF$96,"")</f>
        <v/>
      </c>
      <c r="BE90" s="4" t="str">
        <f>IF(XS_Designer_Bed_Mix!$J90&lt;=XS_Designer!$BN$96,XS_Designer!BG$96,"")</f>
        <v/>
      </c>
      <c r="BF90" s="4" t="str">
        <f>IF(XS_Designer_Bed_Mix!$J90&lt;=XS_Designer!$BN$96,XS_Designer!BH$96,"")</f>
        <v/>
      </c>
      <c r="BG90" s="4" t="str">
        <f>IF(XS_Designer_Bed_Mix!$J90&lt;=XS_Designer!$BN$96,XS_Designer!BI$96,"")</f>
        <v/>
      </c>
      <c r="BH90" s="4" t="str">
        <f>IF(XS_Designer_Bed_Mix!$J90&lt;=XS_Designer!$BN$96,XS_Designer!BJ$96,"")</f>
        <v/>
      </c>
      <c r="BI90" s="4" t="str">
        <f>IF(XS_Designer_Bed_Mix!$J90&lt;=XS_Designer!$BN$97,XS_Designer!BA$97,"")</f>
        <v/>
      </c>
      <c r="BJ90" s="4" t="str">
        <f>IF(XS_Designer_Bed_Mix!$J90&lt;=XS_Designer!$BN$97,XS_Designer!BB$97,"")</f>
        <v/>
      </c>
      <c r="BK90" s="4" t="str">
        <f>IF(XS_Designer_Bed_Mix!$J90&lt;=XS_Designer!$BN$97,XS_Designer!BC$97,"")</f>
        <v/>
      </c>
      <c r="BL90" s="4" t="str">
        <f>IF(XS_Designer_Bed_Mix!$J90&lt;=XS_Designer!$BN$97,XS_Designer!BD$97,"")</f>
        <v/>
      </c>
      <c r="BM90" s="4" t="str">
        <f>IF(XS_Designer_Bed_Mix!$J90&lt;=XS_Designer!$BN$97,XS_Designer!BE$97,"")</f>
        <v/>
      </c>
      <c r="BN90" s="4" t="str">
        <f>IF(XS_Designer_Bed_Mix!$J90&lt;=XS_Designer!$BN$97,XS_Designer!BF$97,"")</f>
        <v/>
      </c>
      <c r="BO90" s="4" t="str">
        <f>IF(XS_Designer_Bed_Mix!$J90&lt;=XS_Designer!$BN$97,XS_Designer!BG$97,"")</f>
        <v/>
      </c>
      <c r="BP90" s="4" t="str">
        <f>IF(XS_Designer_Bed_Mix!$J90&lt;=XS_Designer!$BN$97,XS_Designer!BH$97,"")</f>
        <v/>
      </c>
      <c r="BQ90" s="4" t="str">
        <f>IF(XS_Designer_Bed_Mix!$J90&lt;=XS_Designer!$BN$97,XS_Designer!BI$97,"")</f>
        <v/>
      </c>
      <c r="BR90" s="4" t="str">
        <f>IF(XS_Designer_Bed_Mix!$J90&lt;=XS_Designer!$BN$97,XS_Designer!BJ$97,"")</f>
        <v/>
      </c>
      <c r="BS90" s="4" t="str">
        <f>IF(XS_Designer_Bed_Mix!$J90&lt;=XS_Designer!$BN$98,XS_Designer!BA$98,"")</f>
        <v/>
      </c>
      <c r="BT90" s="4" t="str">
        <f>IF(XS_Designer_Bed_Mix!$J90&lt;=XS_Designer!$BN$98,XS_Designer!BB$98,"")</f>
        <v/>
      </c>
      <c r="BU90" s="4" t="str">
        <f>IF(XS_Designer_Bed_Mix!$J90&lt;=XS_Designer!$BN$98,XS_Designer!BC$98,"")</f>
        <v/>
      </c>
      <c r="BV90" s="4" t="str">
        <f>IF(XS_Designer_Bed_Mix!$J90&lt;=XS_Designer!$BN$98,XS_Designer!BD$98,"")</f>
        <v/>
      </c>
      <c r="BW90" s="4" t="str">
        <f>IF(XS_Designer_Bed_Mix!$J90&lt;=XS_Designer!$BN$98,XS_Designer!BE$98,"")</f>
        <v/>
      </c>
      <c r="BX90" s="4" t="str">
        <f>IF(XS_Designer_Bed_Mix!$J90&lt;=XS_Designer!$BN$98,XS_Designer!BF$98,"")</f>
        <v/>
      </c>
      <c r="BY90" s="4" t="str">
        <f>IF(XS_Designer_Bed_Mix!$J90&lt;=XS_Designer!$BN$98,XS_Designer!BG$98,"")</f>
        <v/>
      </c>
      <c r="BZ90" s="4" t="str">
        <f>IF(XS_Designer_Bed_Mix!$J90&lt;=XS_Designer!$BN$98,XS_Designer!BH$98,"")</f>
        <v/>
      </c>
      <c r="CA90" s="4" t="str">
        <f>IF(XS_Designer_Bed_Mix!$J90&lt;=XS_Designer!$BN$98,XS_Designer!BI$98,"")</f>
        <v/>
      </c>
      <c r="CB90" s="4" t="str">
        <f>IF(XS_Designer_Bed_Mix!$J90&lt;=XS_Designer!$BN$98,XS_Designer!BJ$98,"")</f>
        <v/>
      </c>
      <c r="CC90" s="4" t="str">
        <f>IF(XS_Designer_Bed_Mix!$J90&lt;=XS_Designer!$BN$99,XS_Designer!BA$99,"")</f>
        <v/>
      </c>
      <c r="CD90" s="4" t="str">
        <f>IF(XS_Designer_Bed_Mix!$J90&lt;=XS_Designer!$BN$99,XS_Designer!BB$99,"")</f>
        <v/>
      </c>
      <c r="CE90" s="4" t="str">
        <f>IF(XS_Designer_Bed_Mix!$J90&lt;=XS_Designer!$BN$99,XS_Designer!BC$99,"")</f>
        <v/>
      </c>
      <c r="CF90" s="4" t="str">
        <f>IF(XS_Designer_Bed_Mix!$J90&lt;=XS_Designer!$BN$99,XS_Designer!BD$99,"")</f>
        <v/>
      </c>
      <c r="CG90" s="4" t="str">
        <f>IF(XS_Designer_Bed_Mix!$J90&lt;=XS_Designer!$BN$99,XS_Designer!BE$99,"")</f>
        <v/>
      </c>
      <c r="CH90" s="4" t="str">
        <f>IF(XS_Designer_Bed_Mix!$J90&lt;=XS_Designer!$BN$99,XS_Designer!BF$99,"")</f>
        <v/>
      </c>
      <c r="CI90" s="4" t="str">
        <f>IF(XS_Designer_Bed_Mix!$J90&lt;=XS_Designer!$BN$99,XS_Designer!BG$99,"")</f>
        <v/>
      </c>
      <c r="CJ90" s="4" t="str">
        <f>IF(XS_Designer_Bed_Mix!$J90&lt;=XS_Designer!$BN$99,XS_Designer!BH$99,"")</f>
        <v/>
      </c>
      <c r="CK90" s="4" t="str">
        <f>IF(XS_Designer_Bed_Mix!$J90&lt;=XS_Designer!$BN$99,XS_Designer!BI$99,"")</f>
        <v/>
      </c>
      <c r="CL90" s="4" t="str">
        <f>IF(XS_Designer_Bed_Mix!$J90&lt;=XS_Designer!$BN$99,XS_Designer!BJ$99,"")</f>
        <v/>
      </c>
      <c r="CM90" s="4" t="str">
        <f>IF(XS_Designer_Bed_Mix!$J90&lt;=XS_Designer!$BN$100,XS_Designer!BA$100,"")</f>
        <v/>
      </c>
      <c r="CN90" s="4" t="str">
        <f>IF(XS_Designer_Bed_Mix!$J90&lt;=XS_Designer!$BN$100,XS_Designer!BB$100,"")</f>
        <v/>
      </c>
      <c r="CO90" s="4" t="str">
        <f>IF(XS_Designer_Bed_Mix!$J90&lt;=XS_Designer!$BN$100,XS_Designer!BC$100,"")</f>
        <v/>
      </c>
      <c r="CP90" s="4" t="str">
        <f>IF(XS_Designer_Bed_Mix!$J90&lt;=XS_Designer!$BN$100,XS_Designer!BD$100,"")</f>
        <v/>
      </c>
      <c r="CQ90" s="4" t="str">
        <f>IF(XS_Designer_Bed_Mix!$J90&lt;=XS_Designer!$BN$100,XS_Designer!BE$100,"")</f>
        <v/>
      </c>
      <c r="CR90" s="4" t="str">
        <f>IF(XS_Designer_Bed_Mix!$J90&lt;=XS_Designer!$BN$100,XS_Designer!BF$100,"")</f>
        <v/>
      </c>
      <c r="CS90" s="4" t="str">
        <f>IF(XS_Designer_Bed_Mix!$J90&lt;=XS_Designer!$BN$100,XS_Designer!BG$100,"")</f>
        <v/>
      </c>
      <c r="CT90" s="4" t="str">
        <f>IF(XS_Designer_Bed_Mix!$J90&lt;=XS_Designer!$BN$100,XS_Designer!BH$100,"")</f>
        <v/>
      </c>
      <c r="CU90" s="4" t="str">
        <f>IF(XS_Designer_Bed_Mix!$J90&lt;=XS_Designer!$BN$100,XS_Designer!BI$100,"")</f>
        <v/>
      </c>
      <c r="CV90" s="4" t="str">
        <f>IF(XS_Designer_Bed_Mix!$J90&lt;=XS_Designer!$BN$100,XS_Designer!BJ$100,"")</f>
        <v/>
      </c>
      <c r="CW90" s="4" t="str">
        <f>IF(XS_Designer_Bed_Mix!$J90&lt;=XS_Designer!$BN$101,XS_Designer!BA$101,"")</f>
        <v/>
      </c>
      <c r="CX90" s="4" t="str">
        <f>IF(XS_Designer_Bed_Mix!$J90&lt;=XS_Designer!$BN$101,XS_Designer!BB$101,"")</f>
        <v/>
      </c>
      <c r="CY90" s="4" t="str">
        <f>IF(XS_Designer_Bed_Mix!$J90&lt;=XS_Designer!$BN$101,XS_Designer!BC$101,"")</f>
        <v/>
      </c>
      <c r="CZ90" s="4" t="str">
        <f>IF(XS_Designer_Bed_Mix!$J90&lt;=XS_Designer!$BN$101,XS_Designer!BD$101,"")</f>
        <v/>
      </c>
      <c r="DA90" s="4" t="str">
        <f>IF(XS_Designer_Bed_Mix!$J90&lt;=XS_Designer!$BN$101,XS_Designer!BE$101,"")</f>
        <v/>
      </c>
      <c r="DB90" s="4" t="str">
        <f>IF(XS_Designer_Bed_Mix!$J90&lt;=XS_Designer!$BN$101,XS_Designer!BF$101,"")</f>
        <v/>
      </c>
      <c r="DC90" s="4" t="str">
        <f>IF(XS_Designer_Bed_Mix!$J90&lt;=XS_Designer!$BN$101,XS_Designer!BG$101,"")</f>
        <v/>
      </c>
      <c r="DD90" s="4" t="str">
        <f>IF(XS_Designer_Bed_Mix!$J90&lt;=XS_Designer!$BN$101,XS_Designer!BH$101,"")</f>
        <v/>
      </c>
      <c r="DE90" s="4" t="str">
        <f>IF(XS_Designer_Bed_Mix!$J90&lt;=XS_Designer!$BN$101,XS_Designer!BI$101,"")</f>
        <v/>
      </c>
      <c r="DF90" s="4" t="str">
        <f>IF(XS_Designer_Bed_Mix!$J90&lt;=XS_Designer!$BN$101,XS_Designer!BJ$101,"")</f>
        <v/>
      </c>
      <c r="DG90" s="4" t="str">
        <f>IF(XS_Designer_Bed_Mix!$J90&lt;=XS_Designer!$BN$102,XS_Designer!BA$102,"")</f>
        <v/>
      </c>
      <c r="DH90" s="4" t="str">
        <f>IF(XS_Designer_Bed_Mix!$J90&lt;=XS_Designer!$BN$102,XS_Designer!BB$102,"")</f>
        <v/>
      </c>
      <c r="DI90" s="4" t="str">
        <f>IF(XS_Designer_Bed_Mix!$J90&lt;=XS_Designer!$BN$102,XS_Designer!BC$102,"")</f>
        <v/>
      </c>
      <c r="DJ90" s="4" t="str">
        <f>IF(XS_Designer_Bed_Mix!$J90&lt;=XS_Designer!$BN$102,XS_Designer!BD$102,"")</f>
        <v/>
      </c>
      <c r="DK90" s="4" t="str">
        <f>IF(XS_Designer_Bed_Mix!$J90&lt;=XS_Designer!$BN$102,XS_Designer!BE$102,"")</f>
        <v/>
      </c>
      <c r="DL90" s="4" t="str">
        <f>IF(XS_Designer_Bed_Mix!$J90&lt;=XS_Designer!$BN$102,XS_Designer!BF$102,"")</f>
        <v/>
      </c>
      <c r="DM90" s="4" t="str">
        <f>IF(XS_Designer_Bed_Mix!$J90&lt;=XS_Designer!$BN$102,XS_Designer!BG$102,"")</f>
        <v/>
      </c>
      <c r="DN90" s="4" t="str">
        <f>IF(XS_Designer_Bed_Mix!$J90&lt;=XS_Designer!$BN$102,XS_Designer!BH$102,"")</f>
        <v/>
      </c>
      <c r="DO90" s="4" t="str">
        <f>IF(XS_Designer_Bed_Mix!$J90&lt;=XS_Designer!$BN$102,XS_Designer!BI$102,"")</f>
        <v/>
      </c>
      <c r="DP90" s="4" t="str">
        <f>IF(XS_Designer_Bed_Mix!$J90&lt;=XS_Designer!$BN$102,XS_Designer!BJ$102,"")</f>
        <v/>
      </c>
    </row>
    <row r="91" spans="10:120">
      <c r="J91" s="3">
        <v>0.9</v>
      </c>
      <c r="K91" s="4" t="str">
        <f>IF(XS_Designer_Bed_Mix!$J91&lt;=XS_Designer!$BN$92,XS_Designer!BA$92,"")</f>
        <v/>
      </c>
      <c r="L91" s="4" t="str">
        <f>IF(XS_Designer_Bed_Mix!$J91&lt;=XS_Designer!$BN$92,XS_Designer!BB$92,"")</f>
        <v/>
      </c>
      <c r="M91" s="4" t="str">
        <f>IF(XS_Designer_Bed_Mix!$J91&lt;=XS_Designer!$BN$92,XS_Designer!BC$92,"")</f>
        <v/>
      </c>
      <c r="N91" s="4" t="str">
        <f>IF(XS_Designer_Bed_Mix!$J91&lt;=XS_Designer!$BN$92,XS_Designer!BD$92,"")</f>
        <v/>
      </c>
      <c r="O91" s="4" t="str">
        <f>IF(XS_Designer_Bed_Mix!$J91&lt;=XS_Designer!$BN$92,XS_Designer!BE$92,"")</f>
        <v/>
      </c>
      <c r="P91" s="4" t="str">
        <f>IF(XS_Designer_Bed_Mix!$J91&lt;=XS_Designer!$BN$92,XS_Designer!BF$92,"")</f>
        <v/>
      </c>
      <c r="Q91" s="4" t="str">
        <f>IF(XS_Designer_Bed_Mix!$J91&lt;=XS_Designer!$BN$92,XS_Designer!BG$92,"")</f>
        <v/>
      </c>
      <c r="R91" s="4" t="str">
        <f>IF(XS_Designer_Bed_Mix!$J91&lt;=XS_Designer!$BN$92,XS_Designer!BH$92,"")</f>
        <v/>
      </c>
      <c r="S91" s="4" t="str">
        <f>IF(XS_Designer_Bed_Mix!$J91&lt;=XS_Designer!$BN$92,XS_Designer!BI$92,"")</f>
        <v/>
      </c>
      <c r="T91" s="4" t="str">
        <f>IF(XS_Designer_Bed_Mix!$J91&lt;=XS_Designer!$BN$92,XS_Designer!BJ$92,"")</f>
        <v/>
      </c>
      <c r="U91" s="4" t="str">
        <f>IF(XS_Designer_Bed_Mix!$J91&lt;=XS_Designer!$BN$93,XS_Designer!BA$93,"")</f>
        <v/>
      </c>
      <c r="V91" s="4" t="str">
        <f>IF(XS_Designer_Bed_Mix!$J91&lt;=XS_Designer!$BN$93,XS_Designer!BB$93,"")</f>
        <v/>
      </c>
      <c r="W91" s="4" t="str">
        <f>IF(XS_Designer_Bed_Mix!$J91&lt;=XS_Designer!$BN$93,XS_Designer!BC$93,"")</f>
        <v/>
      </c>
      <c r="X91" s="4" t="str">
        <f>IF(XS_Designer_Bed_Mix!$J91&lt;=XS_Designer!$BN$93,XS_Designer!BD$93,"")</f>
        <v/>
      </c>
      <c r="Y91" s="4" t="str">
        <f>IF(XS_Designer_Bed_Mix!$J91&lt;=XS_Designer!$BN$93,XS_Designer!BE$93,"")</f>
        <v/>
      </c>
      <c r="Z91" s="4" t="str">
        <f>IF(XS_Designer_Bed_Mix!$J91&lt;=XS_Designer!$BN$93,XS_Designer!BF$93,"")</f>
        <v/>
      </c>
      <c r="AA91" s="4" t="str">
        <f>IF(XS_Designer_Bed_Mix!$J91&lt;=XS_Designer!$BN$93,XS_Designer!BG$93,"")</f>
        <v/>
      </c>
      <c r="AB91" s="4" t="str">
        <f>IF(XS_Designer_Bed_Mix!$J91&lt;=XS_Designer!$BN$93,XS_Designer!BH$93,"")</f>
        <v/>
      </c>
      <c r="AC91" s="4" t="str">
        <f>IF(XS_Designer_Bed_Mix!$J91&lt;=XS_Designer!$BN$93,XS_Designer!BI$93,"")</f>
        <v/>
      </c>
      <c r="AD91" s="4" t="str">
        <f>IF(XS_Designer_Bed_Mix!$J91&lt;=XS_Designer!$BN$93,XS_Designer!BJ$93,"")</f>
        <v/>
      </c>
      <c r="AE91" s="4" t="str">
        <f>IF(XS_Designer_Bed_Mix!$J91&lt;=XS_Designer!$BN$94,XS_Designer!BA$94,"")</f>
        <v/>
      </c>
      <c r="AF91" s="4" t="str">
        <f>IF(XS_Designer_Bed_Mix!$J91&lt;=XS_Designer!$BN$94,XS_Designer!BB$94,"")</f>
        <v/>
      </c>
      <c r="AG91" s="4" t="str">
        <f>IF(XS_Designer_Bed_Mix!$J91&lt;=XS_Designer!$BN$94,XS_Designer!BC$94,"")</f>
        <v/>
      </c>
      <c r="AH91" s="4" t="str">
        <f>IF(XS_Designer_Bed_Mix!$J91&lt;=XS_Designer!$BN$94,XS_Designer!BD$94,"")</f>
        <v/>
      </c>
      <c r="AI91" s="4" t="str">
        <f>IF(XS_Designer_Bed_Mix!$J91&lt;=XS_Designer!$BN$94,XS_Designer!BE$94,"")</f>
        <v/>
      </c>
      <c r="AJ91" s="4" t="str">
        <f>IF(XS_Designer_Bed_Mix!$J91&lt;=XS_Designer!$BN$94,XS_Designer!BF$94,"")</f>
        <v/>
      </c>
      <c r="AK91" s="4" t="str">
        <f>IF(XS_Designer_Bed_Mix!$J91&lt;=XS_Designer!$BN$94,XS_Designer!BG$94,"")</f>
        <v/>
      </c>
      <c r="AL91" s="4" t="str">
        <f>IF(XS_Designer_Bed_Mix!$J91&lt;=XS_Designer!$BN$94,XS_Designer!BH$94,"")</f>
        <v/>
      </c>
      <c r="AM91" s="4" t="str">
        <f>IF(XS_Designer_Bed_Mix!$J91&lt;=XS_Designer!$BN$94,XS_Designer!BI$94,"")</f>
        <v/>
      </c>
      <c r="AN91" s="4" t="str">
        <f>IF(XS_Designer_Bed_Mix!$J91&lt;=XS_Designer!$BN$94,XS_Designer!BJ$94,"")</f>
        <v/>
      </c>
      <c r="AO91" s="4" t="str">
        <f>IF(XS_Designer_Bed_Mix!$J91&lt;=XS_Designer!$BN$95,XS_Designer!BA$95,"")</f>
        <v/>
      </c>
      <c r="AP91" s="4" t="str">
        <f>IF(XS_Designer_Bed_Mix!$J91&lt;=XS_Designer!$BN$95,XS_Designer!BB$95,"")</f>
        <v/>
      </c>
      <c r="AQ91" s="4" t="str">
        <f>IF(XS_Designer_Bed_Mix!$J91&lt;=XS_Designer!$BN$95,XS_Designer!BC$95,"")</f>
        <v/>
      </c>
      <c r="AR91" s="4" t="str">
        <f>IF(XS_Designer_Bed_Mix!$J91&lt;=XS_Designer!$BN$95,XS_Designer!BD$95,"")</f>
        <v/>
      </c>
      <c r="AS91" s="4" t="str">
        <f>IF(XS_Designer_Bed_Mix!$J91&lt;=XS_Designer!$BN$95,XS_Designer!BE$95,"")</f>
        <v/>
      </c>
      <c r="AT91" s="4" t="str">
        <f>IF(XS_Designer_Bed_Mix!$J91&lt;=XS_Designer!$BN$95,XS_Designer!BF$95,"")</f>
        <v/>
      </c>
      <c r="AU91" s="4" t="str">
        <f>IF(XS_Designer_Bed_Mix!$J91&lt;=XS_Designer!$BN$95,XS_Designer!BG$95,"")</f>
        <v/>
      </c>
      <c r="AV91" s="4" t="str">
        <f>IF(XS_Designer_Bed_Mix!$J91&lt;=XS_Designer!$BN$95,XS_Designer!BH$95,"")</f>
        <v/>
      </c>
      <c r="AW91" s="4" t="str">
        <f>IF(XS_Designer_Bed_Mix!$J91&lt;=XS_Designer!$BN$95,XS_Designer!BI$95,"")</f>
        <v/>
      </c>
      <c r="AX91" s="4" t="str">
        <f>IF(XS_Designer_Bed_Mix!$J91&lt;=XS_Designer!$BN$95,XS_Designer!BJ$95,"")</f>
        <v/>
      </c>
      <c r="AY91" s="4" t="str">
        <f>IF(XS_Designer_Bed_Mix!$J91&lt;=XS_Designer!$BN$96,XS_Designer!BA$96,"")</f>
        <v/>
      </c>
      <c r="AZ91" s="4" t="str">
        <f>IF(XS_Designer_Bed_Mix!$J91&lt;=XS_Designer!$BN$96,XS_Designer!BB$96,"")</f>
        <v/>
      </c>
      <c r="BA91" s="4" t="str">
        <f>IF(XS_Designer_Bed_Mix!$J91&lt;=XS_Designer!$BN$96,XS_Designer!BC$96,"")</f>
        <v/>
      </c>
      <c r="BB91" s="4" t="str">
        <f>IF(XS_Designer_Bed_Mix!$J91&lt;=XS_Designer!$BN$96,XS_Designer!BD$96,"")</f>
        <v/>
      </c>
      <c r="BC91" s="4" t="str">
        <f>IF(XS_Designer_Bed_Mix!$J91&lt;=XS_Designer!$BN$96,XS_Designer!BE$96,"")</f>
        <v/>
      </c>
      <c r="BD91" s="4" t="str">
        <f>IF(XS_Designer_Bed_Mix!$J91&lt;=XS_Designer!$BN$96,XS_Designer!BF$96,"")</f>
        <v/>
      </c>
      <c r="BE91" s="4" t="str">
        <f>IF(XS_Designer_Bed_Mix!$J91&lt;=XS_Designer!$BN$96,XS_Designer!BG$96,"")</f>
        <v/>
      </c>
      <c r="BF91" s="4" t="str">
        <f>IF(XS_Designer_Bed_Mix!$J91&lt;=XS_Designer!$BN$96,XS_Designer!BH$96,"")</f>
        <v/>
      </c>
      <c r="BG91" s="4" t="str">
        <f>IF(XS_Designer_Bed_Mix!$J91&lt;=XS_Designer!$BN$96,XS_Designer!BI$96,"")</f>
        <v/>
      </c>
      <c r="BH91" s="4" t="str">
        <f>IF(XS_Designer_Bed_Mix!$J91&lt;=XS_Designer!$BN$96,XS_Designer!BJ$96,"")</f>
        <v/>
      </c>
      <c r="BI91" s="4" t="str">
        <f>IF(XS_Designer_Bed_Mix!$J91&lt;=XS_Designer!$BN$97,XS_Designer!BA$97,"")</f>
        <v/>
      </c>
      <c r="BJ91" s="4" t="str">
        <f>IF(XS_Designer_Bed_Mix!$J91&lt;=XS_Designer!$BN$97,XS_Designer!BB$97,"")</f>
        <v/>
      </c>
      <c r="BK91" s="4" t="str">
        <f>IF(XS_Designer_Bed_Mix!$J91&lt;=XS_Designer!$BN$97,XS_Designer!BC$97,"")</f>
        <v/>
      </c>
      <c r="BL91" s="4" t="str">
        <f>IF(XS_Designer_Bed_Mix!$J91&lt;=XS_Designer!$BN$97,XS_Designer!BD$97,"")</f>
        <v/>
      </c>
      <c r="BM91" s="4" t="str">
        <f>IF(XS_Designer_Bed_Mix!$J91&lt;=XS_Designer!$BN$97,XS_Designer!BE$97,"")</f>
        <v/>
      </c>
      <c r="BN91" s="4" t="str">
        <f>IF(XS_Designer_Bed_Mix!$J91&lt;=XS_Designer!$BN$97,XS_Designer!BF$97,"")</f>
        <v/>
      </c>
      <c r="BO91" s="4" t="str">
        <f>IF(XS_Designer_Bed_Mix!$J91&lt;=XS_Designer!$BN$97,XS_Designer!BG$97,"")</f>
        <v/>
      </c>
      <c r="BP91" s="4" t="str">
        <f>IF(XS_Designer_Bed_Mix!$J91&lt;=XS_Designer!$BN$97,XS_Designer!BH$97,"")</f>
        <v/>
      </c>
      <c r="BQ91" s="4" t="str">
        <f>IF(XS_Designer_Bed_Mix!$J91&lt;=XS_Designer!$BN$97,XS_Designer!BI$97,"")</f>
        <v/>
      </c>
      <c r="BR91" s="4" t="str">
        <f>IF(XS_Designer_Bed_Mix!$J91&lt;=XS_Designer!$BN$97,XS_Designer!BJ$97,"")</f>
        <v/>
      </c>
      <c r="BS91" s="4" t="str">
        <f>IF(XS_Designer_Bed_Mix!$J91&lt;=XS_Designer!$BN$98,XS_Designer!BA$98,"")</f>
        <v/>
      </c>
      <c r="BT91" s="4" t="str">
        <f>IF(XS_Designer_Bed_Mix!$J91&lt;=XS_Designer!$BN$98,XS_Designer!BB$98,"")</f>
        <v/>
      </c>
      <c r="BU91" s="4" t="str">
        <f>IF(XS_Designer_Bed_Mix!$J91&lt;=XS_Designer!$BN$98,XS_Designer!BC$98,"")</f>
        <v/>
      </c>
      <c r="BV91" s="4" t="str">
        <f>IF(XS_Designer_Bed_Mix!$J91&lt;=XS_Designer!$BN$98,XS_Designer!BD$98,"")</f>
        <v/>
      </c>
      <c r="BW91" s="4" t="str">
        <f>IF(XS_Designer_Bed_Mix!$J91&lt;=XS_Designer!$BN$98,XS_Designer!BE$98,"")</f>
        <v/>
      </c>
      <c r="BX91" s="4" t="str">
        <f>IF(XS_Designer_Bed_Mix!$J91&lt;=XS_Designer!$BN$98,XS_Designer!BF$98,"")</f>
        <v/>
      </c>
      <c r="BY91" s="4" t="str">
        <f>IF(XS_Designer_Bed_Mix!$J91&lt;=XS_Designer!$BN$98,XS_Designer!BG$98,"")</f>
        <v/>
      </c>
      <c r="BZ91" s="4" t="str">
        <f>IF(XS_Designer_Bed_Mix!$J91&lt;=XS_Designer!$BN$98,XS_Designer!BH$98,"")</f>
        <v/>
      </c>
      <c r="CA91" s="4" t="str">
        <f>IF(XS_Designer_Bed_Mix!$J91&lt;=XS_Designer!$BN$98,XS_Designer!BI$98,"")</f>
        <v/>
      </c>
      <c r="CB91" s="4" t="str">
        <f>IF(XS_Designer_Bed_Mix!$J91&lt;=XS_Designer!$BN$98,XS_Designer!BJ$98,"")</f>
        <v/>
      </c>
      <c r="CC91" s="4" t="str">
        <f>IF(XS_Designer_Bed_Mix!$J91&lt;=XS_Designer!$BN$99,XS_Designer!BA$99,"")</f>
        <v/>
      </c>
      <c r="CD91" s="4" t="str">
        <f>IF(XS_Designer_Bed_Mix!$J91&lt;=XS_Designer!$BN$99,XS_Designer!BB$99,"")</f>
        <v/>
      </c>
      <c r="CE91" s="4" t="str">
        <f>IF(XS_Designer_Bed_Mix!$J91&lt;=XS_Designer!$BN$99,XS_Designer!BC$99,"")</f>
        <v/>
      </c>
      <c r="CF91" s="4" t="str">
        <f>IF(XS_Designer_Bed_Mix!$J91&lt;=XS_Designer!$BN$99,XS_Designer!BD$99,"")</f>
        <v/>
      </c>
      <c r="CG91" s="4" t="str">
        <f>IF(XS_Designer_Bed_Mix!$J91&lt;=XS_Designer!$BN$99,XS_Designer!BE$99,"")</f>
        <v/>
      </c>
      <c r="CH91" s="4" t="str">
        <f>IF(XS_Designer_Bed_Mix!$J91&lt;=XS_Designer!$BN$99,XS_Designer!BF$99,"")</f>
        <v/>
      </c>
      <c r="CI91" s="4" t="str">
        <f>IF(XS_Designer_Bed_Mix!$J91&lt;=XS_Designer!$BN$99,XS_Designer!BG$99,"")</f>
        <v/>
      </c>
      <c r="CJ91" s="4" t="str">
        <f>IF(XS_Designer_Bed_Mix!$J91&lt;=XS_Designer!$BN$99,XS_Designer!BH$99,"")</f>
        <v/>
      </c>
      <c r="CK91" s="4" t="str">
        <f>IF(XS_Designer_Bed_Mix!$J91&lt;=XS_Designer!$BN$99,XS_Designer!BI$99,"")</f>
        <v/>
      </c>
      <c r="CL91" s="4" t="str">
        <f>IF(XS_Designer_Bed_Mix!$J91&lt;=XS_Designer!$BN$99,XS_Designer!BJ$99,"")</f>
        <v/>
      </c>
      <c r="CM91" s="4" t="str">
        <f>IF(XS_Designer_Bed_Mix!$J91&lt;=XS_Designer!$BN$100,XS_Designer!BA$100,"")</f>
        <v/>
      </c>
      <c r="CN91" s="4" t="str">
        <f>IF(XS_Designer_Bed_Mix!$J91&lt;=XS_Designer!$BN$100,XS_Designer!BB$100,"")</f>
        <v/>
      </c>
      <c r="CO91" s="4" t="str">
        <f>IF(XS_Designer_Bed_Mix!$J91&lt;=XS_Designer!$BN$100,XS_Designer!BC$100,"")</f>
        <v/>
      </c>
      <c r="CP91" s="4" t="str">
        <f>IF(XS_Designer_Bed_Mix!$J91&lt;=XS_Designer!$BN$100,XS_Designer!BD$100,"")</f>
        <v/>
      </c>
      <c r="CQ91" s="4" t="str">
        <f>IF(XS_Designer_Bed_Mix!$J91&lt;=XS_Designer!$BN$100,XS_Designer!BE$100,"")</f>
        <v/>
      </c>
      <c r="CR91" s="4" t="str">
        <f>IF(XS_Designer_Bed_Mix!$J91&lt;=XS_Designer!$BN$100,XS_Designer!BF$100,"")</f>
        <v/>
      </c>
      <c r="CS91" s="4" t="str">
        <f>IF(XS_Designer_Bed_Mix!$J91&lt;=XS_Designer!$BN$100,XS_Designer!BG$100,"")</f>
        <v/>
      </c>
      <c r="CT91" s="4" t="str">
        <f>IF(XS_Designer_Bed_Mix!$J91&lt;=XS_Designer!$BN$100,XS_Designer!BH$100,"")</f>
        <v/>
      </c>
      <c r="CU91" s="4" t="str">
        <f>IF(XS_Designer_Bed_Mix!$J91&lt;=XS_Designer!$BN$100,XS_Designer!BI$100,"")</f>
        <v/>
      </c>
      <c r="CV91" s="4" t="str">
        <f>IF(XS_Designer_Bed_Mix!$J91&lt;=XS_Designer!$BN$100,XS_Designer!BJ$100,"")</f>
        <v/>
      </c>
      <c r="CW91" s="4" t="str">
        <f>IF(XS_Designer_Bed_Mix!$J91&lt;=XS_Designer!$BN$101,XS_Designer!BA$101,"")</f>
        <v/>
      </c>
      <c r="CX91" s="4" t="str">
        <f>IF(XS_Designer_Bed_Mix!$J91&lt;=XS_Designer!$BN$101,XS_Designer!BB$101,"")</f>
        <v/>
      </c>
      <c r="CY91" s="4" t="str">
        <f>IF(XS_Designer_Bed_Mix!$J91&lt;=XS_Designer!$BN$101,XS_Designer!BC$101,"")</f>
        <v/>
      </c>
      <c r="CZ91" s="4" t="str">
        <f>IF(XS_Designer_Bed_Mix!$J91&lt;=XS_Designer!$BN$101,XS_Designer!BD$101,"")</f>
        <v/>
      </c>
      <c r="DA91" s="4" t="str">
        <f>IF(XS_Designer_Bed_Mix!$J91&lt;=XS_Designer!$BN$101,XS_Designer!BE$101,"")</f>
        <v/>
      </c>
      <c r="DB91" s="4" t="str">
        <f>IF(XS_Designer_Bed_Mix!$J91&lt;=XS_Designer!$BN$101,XS_Designer!BF$101,"")</f>
        <v/>
      </c>
      <c r="DC91" s="4" t="str">
        <f>IF(XS_Designer_Bed_Mix!$J91&lt;=XS_Designer!$BN$101,XS_Designer!BG$101,"")</f>
        <v/>
      </c>
      <c r="DD91" s="4" t="str">
        <f>IF(XS_Designer_Bed_Mix!$J91&lt;=XS_Designer!$BN$101,XS_Designer!BH$101,"")</f>
        <v/>
      </c>
      <c r="DE91" s="4" t="str">
        <f>IF(XS_Designer_Bed_Mix!$J91&lt;=XS_Designer!$BN$101,XS_Designer!BI$101,"")</f>
        <v/>
      </c>
      <c r="DF91" s="4" t="str">
        <f>IF(XS_Designer_Bed_Mix!$J91&lt;=XS_Designer!$BN$101,XS_Designer!BJ$101,"")</f>
        <v/>
      </c>
      <c r="DG91" s="4" t="str">
        <f>IF(XS_Designer_Bed_Mix!$J91&lt;=XS_Designer!$BN$102,XS_Designer!BA$102,"")</f>
        <v/>
      </c>
      <c r="DH91" s="4" t="str">
        <f>IF(XS_Designer_Bed_Mix!$J91&lt;=XS_Designer!$BN$102,XS_Designer!BB$102,"")</f>
        <v/>
      </c>
      <c r="DI91" s="4" t="str">
        <f>IF(XS_Designer_Bed_Mix!$J91&lt;=XS_Designer!$BN$102,XS_Designer!BC$102,"")</f>
        <v/>
      </c>
      <c r="DJ91" s="4" t="str">
        <f>IF(XS_Designer_Bed_Mix!$J91&lt;=XS_Designer!$BN$102,XS_Designer!BD$102,"")</f>
        <v/>
      </c>
      <c r="DK91" s="4" t="str">
        <f>IF(XS_Designer_Bed_Mix!$J91&lt;=XS_Designer!$BN$102,XS_Designer!BE$102,"")</f>
        <v/>
      </c>
      <c r="DL91" s="4" t="str">
        <f>IF(XS_Designer_Bed_Mix!$J91&lt;=XS_Designer!$BN$102,XS_Designer!BF$102,"")</f>
        <v/>
      </c>
      <c r="DM91" s="4" t="str">
        <f>IF(XS_Designer_Bed_Mix!$J91&lt;=XS_Designer!$BN$102,XS_Designer!BG$102,"")</f>
        <v/>
      </c>
      <c r="DN91" s="4" t="str">
        <f>IF(XS_Designer_Bed_Mix!$J91&lt;=XS_Designer!$BN$102,XS_Designer!BH$102,"")</f>
        <v/>
      </c>
      <c r="DO91" s="4" t="str">
        <f>IF(XS_Designer_Bed_Mix!$J91&lt;=XS_Designer!$BN$102,XS_Designer!BI$102,"")</f>
        <v/>
      </c>
      <c r="DP91" s="4" t="str">
        <f>IF(XS_Designer_Bed_Mix!$J91&lt;=XS_Designer!$BN$102,XS_Designer!BJ$102,"")</f>
        <v/>
      </c>
    </row>
    <row r="92" spans="10:120">
      <c r="J92" s="3">
        <v>0.91</v>
      </c>
      <c r="K92" s="4" t="str">
        <f>IF(XS_Designer_Bed_Mix!$J92&lt;=XS_Designer!$BN$92,XS_Designer!BA$92,"")</f>
        <v/>
      </c>
      <c r="L92" s="4" t="str">
        <f>IF(XS_Designer_Bed_Mix!$J92&lt;=XS_Designer!$BN$92,XS_Designer!BB$92,"")</f>
        <v/>
      </c>
      <c r="M92" s="4" t="str">
        <f>IF(XS_Designer_Bed_Mix!$J92&lt;=XS_Designer!$BN$92,XS_Designer!BC$92,"")</f>
        <v/>
      </c>
      <c r="N92" s="4" t="str">
        <f>IF(XS_Designer_Bed_Mix!$J92&lt;=XS_Designer!$BN$92,XS_Designer!BD$92,"")</f>
        <v/>
      </c>
      <c r="O92" s="4" t="str">
        <f>IF(XS_Designer_Bed_Mix!$J92&lt;=XS_Designer!$BN$92,XS_Designer!BE$92,"")</f>
        <v/>
      </c>
      <c r="P92" s="4" t="str">
        <f>IF(XS_Designer_Bed_Mix!$J92&lt;=XS_Designer!$BN$92,XS_Designer!BF$92,"")</f>
        <v/>
      </c>
      <c r="Q92" s="4" t="str">
        <f>IF(XS_Designer_Bed_Mix!$J92&lt;=XS_Designer!$BN$92,XS_Designer!BG$92,"")</f>
        <v/>
      </c>
      <c r="R92" s="4" t="str">
        <f>IF(XS_Designer_Bed_Mix!$J92&lt;=XS_Designer!$BN$92,XS_Designer!BH$92,"")</f>
        <v/>
      </c>
      <c r="S92" s="4" t="str">
        <f>IF(XS_Designer_Bed_Mix!$J92&lt;=XS_Designer!$BN$92,XS_Designer!BI$92,"")</f>
        <v/>
      </c>
      <c r="T92" s="4" t="str">
        <f>IF(XS_Designer_Bed_Mix!$J92&lt;=XS_Designer!$BN$92,XS_Designer!BJ$92,"")</f>
        <v/>
      </c>
      <c r="U92" s="4" t="str">
        <f>IF(XS_Designer_Bed_Mix!$J92&lt;=XS_Designer!$BN$93,XS_Designer!BA$93,"")</f>
        <v/>
      </c>
      <c r="V92" s="4" t="str">
        <f>IF(XS_Designer_Bed_Mix!$J92&lt;=XS_Designer!$BN$93,XS_Designer!BB$93,"")</f>
        <v/>
      </c>
      <c r="W92" s="4" t="str">
        <f>IF(XS_Designer_Bed_Mix!$J92&lt;=XS_Designer!$BN$93,XS_Designer!BC$93,"")</f>
        <v/>
      </c>
      <c r="X92" s="4" t="str">
        <f>IF(XS_Designer_Bed_Mix!$J92&lt;=XS_Designer!$BN$93,XS_Designer!BD$93,"")</f>
        <v/>
      </c>
      <c r="Y92" s="4" t="str">
        <f>IF(XS_Designer_Bed_Mix!$J92&lt;=XS_Designer!$BN$93,XS_Designer!BE$93,"")</f>
        <v/>
      </c>
      <c r="Z92" s="4" t="str">
        <f>IF(XS_Designer_Bed_Mix!$J92&lt;=XS_Designer!$BN$93,XS_Designer!BF$93,"")</f>
        <v/>
      </c>
      <c r="AA92" s="4" t="str">
        <f>IF(XS_Designer_Bed_Mix!$J92&lt;=XS_Designer!$BN$93,XS_Designer!BG$93,"")</f>
        <v/>
      </c>
      <c r="AB92" s="4" t="str">
        <f>IF(XS_Designer_Bed_Mix!$J92&lt;=XS_Designer!$BN$93,XS_Designer!BH$93,"")</f>
        <v/>
      </c>
      <c r="AC92" s="4" t="str">
        <f>IF(XS_Designer_Bed_Mix!$J92&lt;=XS_Designer!$BN$93,XS_Designer!BI$93,"")</f>
        <v/>
      </c>
      <c r="AD92" s="4" t="str">
        <f>IF(XS_Designer_Bed_Mix!$J92&lt;=XS_Designer!$BN$93,XS_Designer!BJ$93,"")</f>
        <v/>
      </c>
      <c r="AE92" s="4" t="str">
        <f>IF(XS_Designer_Bed_Mix!$J92&lt;=XS_Designer!$BN$94,XS_Designer!BA$94,"")</f>
        <v/>
      </c>
      <c r="AF92" s="4" t="str">
        <f>IF(XS_Designer_Bed_Mix!$J92&lt;=XS_Designer!$BN$94,XS_Designer!BB$94,"")</f>
        <v/>
      </c>
      <c r="AG92" s="4" t="str">
        <f>IF(XS_Designer_Bed_Mix!$J92&lt;=XS_Designer!$BN$94,XS_Designer!BC$94,"")</f>
        <v/>
      </c>
      <c r="AH92" s="4" t="str">
        <f>IF(XS_Designer_Bed_Mix!$J92&lt;=XS_Designer!$BN$94,XS_Designer!BD$94,"")</f>
        <v/>
      </c>
      <c r="AI92" s="4" t="str">
        <f>IF(XS_Designer_Bed_Mix!$J92&lt;=XS_Designer!$BN$94,XS_Designer!BE$94,"")</f>
        <v/>
      </c>
      <c r="AJ92" s="4" t="str">
        <f>IF(XS_Designer_Bed_Mix!$J92&lt;=XS_Designer!$BN$94,XS_Designer!BF$94,"")</f>
        <v/>
      </c>
      <c r="AK92" s="4" t="str">
        <f>IF(XS_Designer_Bed_Mix!$J92&lt;=XS_Designer!$BN$94,XS_Designer!BG$94,"")</f>
        <v/>
      </c>
      <c r="AL92" s="4" t="str">
        <f>IF(XS_Designer_Bed_Mix!$J92&lt;=XS_Designer!$BN$94,XS_Designer!BH$94,"")</f>
        <v/>
      </c>
      <c r="AM92" s="4" t="str">
        <f>IF(XS_Designer_Bed_Mix!$J92&lt;=XS_Designer!$BN$94,XS_Designer!BI$94,"")</f>
        <v/>
      </c>
      <c r="AN92" s="4" t="str">
        <f>IF(XS_Designer_Bed_Mix!$J92&lt;=XS_Designer!$BN$94,XS_Designer!BJ$94,"")</f>
        <v/>
      </c>
      <c r="AO92" s="4" t="str">
        <f>IF(XS_Designer_Bed_Mix!$J92&lt;=XS_Designer!$BN$95,XS_Designer!BA$95,"")</f>
        <v/>
      </c>
      <c r="AP92" s="4" t="str">
        <f>IF(XS_Designer_Bed_Mix!$J92&lt;=XS_Designer!$BN$95,XS_Designer!BB$95,"")</f>
        <v/>
      </c>
      <c r="AQ92" s="4" t="str">
        <f>IF(XS_Designer_Bed_Mix!$J92&lt;=XS_Designer!$BN$95,XS_Designer!BC$95,"")</f>
        <v/>
      </c>
      <c r="AR92" s="4" t="str">
        <f>IF(XS_Designer_Bed_Mix!$J92&lt;=XS_Designer!$BN$95,XS_Designer!BD$95,"")</f>
        <v/>
      </c>
      <c r="AS92" s="4" t="str">
        <f>IF(XS_Designer_Bed_Mix!$J92&lt;=XS_Designer!$BN$95,XS_Designer!BE$95,"")</f>
        <v/>
      </c>
      <c r="AT92" s="4" t="str">
        <f>IF(XS_Designer_Bed_Mix!$J92&lt;=XS_Designer!$BN$95,XS_Designer!BF$95,"")</f>
        <v/>
      </c>
      <c r="AU92" s="4" t="str">
        <f>IF(XS_Designer_Bed_Mix!$J92&lt;=XS_Designer!$BN$95,XS_Designer!BG$95,"")</f>
        <v/>
      </c>
      <c r="AV92" s="4" t="str">
        <f>IF(XS_Designer_Bed_Mix!$J92&lt;=XS_Designer!$BN$95,XS_Designer!BH$95,"")</f>
        <v/>
      </c>
      <c r="AW92" s="4" t="str">
        <f>IF(XS_Designer_Bed_Mix!$J92&lt;=XS_Designer!$BN$95,XS_Designer!BI$95,"")</f>
        <v/>
      </c>
      <c r="AX92" s="4" t="str">
        <f>IF(XS_Designer_Bed_Mix!$J92&lt;=XS_Designer!$BN$95,XS_Designer!BJ$95,"")</f>
        <v/>
      </c>
      <c r="AY92" s="4" t="str">
        <f>IF(XS_Designer_Bed_Mix!$J92&lt;=XS_Designer!$BN$96,XS_Designer!BA$96,"")</f>
        <v/>
      </c>
      <c r="AZ92" s="4" t="str">
        <f>IF(XS_Designer_Bed_Mix!$J92&lt;=XS_Designer!$BN$96,XS_Designer!BB$96,"")</f>
        <v/>
      </c>
      <c r="BA92" s="4" t="str">
        <f>IF(XS_Designer_Bed_Mix!$J92&lt;=XS_Designer!$BN$96,XS_Designer!BC$96,"")</f>
        <v/>
      </c>
      <c r="BB92" s="4" t="str">
        <f>IF(XS_Designer_Bed_Mix!$J92&lt;=XS_Designer!$BN$96,XS_Designer!BD$96,"")</f>
        <v/>
      </c>
      <c r="BC92" s="4" t="str">
        <f>IF(XS_Designer_Bed_Mix!$J92&lt;=XS_Designer!$BN$96,XS_Designer!BE$96,"")</f>
        <v/>
      </c>
      <c r="BD92" s="4" t="str">
        <f>IF(XS_Designer_Bed_Mix!$J92&lt;=XS_Designer!$BN$96,XS_Designer!BF$96,"")</f>
        <v/>
      </c>
      <c r="BE92" s="4" t="str">
        <f>IF(XS_Designer_Bed_Mix!$J92&lt;=XS_Designer!$BN$96,XS_Designer!BG$96,"")</f>
        <v/>
      </c>
      <c r="BF92" s="4" t="str">
        <f>IF(XS_Designer_Bed_Mix!$J92&lt;=XS_Designer!$BN$96,XS_Designer!BH$96,"")</f>
        <v/>
      </c>
      <c r="BG92" s="4" t="str">
        <f>IF(XS_Designer_Bed_Mix!$J92&lt;=XS_Designer!$BN$96,XS_Designer!BI$96,"")</f>
        <v/>
      </c>
      <c r="BH92" s="4" t="str">
        <f>IF(XS_Designer_Bed_Mix!$J92&lt;=XS_Designer!$BN$96,XS_Designer!BJ$96,"")</f>
        <v/>
      </c>
      <c r="BI92" s="4" t="str">
        <f>IF(XS_Designer_Bed_Mix!$J92&lt;=XS_Designer!$BN$97,XS_Designer!BA$97,"")</f>
        <v/>
      </c>
      <c r="BJ92" s="4" t="str">
        <f>IF(XS_Designer_Bed_Mix!$J92&lt;=XS_Designer!$BN$97,XS_Designer!BB$97,"")</f>
        <v/>
      </c>
      <c r="BK92" s="4" t="str">
        <f>IF(XS_Designer_Bed_Mix!$J92&lt;=XS_Designer!$BN$97,XS_Designer!BC$97,"")</f>
        <v/>
      </c>
      <c r="BL92" s="4" t="str">
        <f>IF(XS_Designer_Bed_Mix!$J92&lt;=XS_Designer!$BN$97,XS_Designer!BD$97,"")</f>
        <v/>
      </c>
      <c r="BM92" s="4" t="str">
        <f>IF(XS_Designer_Bed_Mix!$J92&lt;=XS_Designer!$BN$97,XS_Designer!BE$97,"")</f>
        <v/>
      </c>
      <c r="BN92" s="4" t="str">
        <f>IF(XS_Designer_Bed_Mix!$J92&lt;=XS_Designer!$BN$97,XS_Designer!BF$97,"")</f>
        <v/>
      </c>
      <c r="BO92" s="4" t="str">
        <f>IF(XS_Designer_Bed_Mix!$J92&lt;=XS_Designer!$BN$97,XS_Designer!BG$97,"")</f>
        <v/>
      </c>
      <c r="BP92" s="4" t="str">
        <f>IF(XS_Designer_Bed_Mix!$J92&lt;=XS_Designer!$BN$97,XS_Designer!BH$97,"")</f>
        <v/>
      </c>
      <c r="BQ92" s="4" t="str">
        <f>IF(XS_Designer_Bed_Mix!$J92&lt;=XS_Designer!$BN$97,XS_Designer!BI$97,"")</f>
        <v/>
      </c>
      <c r="BR92" s="4" t="str">
        <f>IF(XS_Designer_Bed_Mix!$J92&lt;=XS_Designer!$BN$97,XS_Designer!BJ$97,"")</f>
        <v/>
      </c>
      <c r="BS92" s="4" t="str">
        <f>IF(XS_Designer_Bed_Mix!$J92&lt;=XS_Designer!$BN$98,XS_Designer!BA$98,"")</f>
        <v/>
      </c>
      <c r="BT92" s="4" t="str">
        <f>IF(XS_Designer_Bed_Mix!$J92&lt;=XS_Designer!$BN$98,XS_Designer!BB$98,"")</f>
        <v/>
      </c>
      <c r="BU92" s="4" t="str">
        <f>IF(XS_Designer_Bed_Mix!$J92&lt;=XS_Designer!$BN$98,XS_Designer!BC$98,"")</f>
        <v/>
      </c>
      <c r="BV92" s="4" t="str">
        <f>IF(XS_Designer_Bed_Mix!$J92&lt;=XS_Designer!$BN$98,XS_Designer!BD$98,"")</f>
        <v/>
      </c>
      <c r="BW92" s="4" t="str">
        <f>IF(XS_Designer_Bed_Mix!$J92&lt;=XS_Designer!$BN$98,XS_Designer!BE$98,"")</f>
        <v/>
      </c>
      <c r="BX92" s="4" t="str">
        <f>IF(XS_Designer_Bed_Mix!$J92&lt;=XS_Designer!$BN$98,XS_Designer!BF$98,"")</f>
        <v/>
      </c>
      <c r="BY92" s="4" t="str">
        <f>IF(XS_Designer_Bed_Mix!$J92&lt;=XS_Designer!$BN$98,XS_Designer!BG$98,"")</f>
        <v/>
      </c>
      <c r="BZ92" s="4" t="str">
        <f>IF(XS_Designer_Bed_Mix!$J92&lt;=XS_Designer!$BN$98,XS_Designer!BH$98,"")</f>
        <v/>
      </c>
      <c r="CA92" s="4" t="str">
        <f>IF(XS_Designer_Bed_Mix!$J92&lt;=XS_Designer!$BN$98,XS_Designer!BI$98,"")</f>
        <v/>
      </c>
      <c r="CB92" s="4" t="str">
        <f>IF(XS_Designer_Bed_Mix!$J92&lt;=XS_Designer!$BN$98,XS_Designer!BJ$98,"")</f>
        <v/>
      </c>
      <c r="CC92" s="4" t="str">
        <f>IF(XS_Designer_Bed_Mix!$J92&lt;=XS_Designer!$BN$99,XS_Designer!BA$99,"")</f>
        <v/>
      </c>
      <c r="CD92" s="4" t="str">
        <f>IF(XS_Designer_Bed_Mix!$J92&lt;=XS_Designer!$BN$99,XS_Designer!BB$99,"")</f>
        <v/>
      </c>
      <c r="CE92" s="4" t="str">
        <f>IF(XS_Designer_Bed_Mix!$J92&lt;=XS_Designer!$BN$99,XS_Designer!BC$99,"")</f>
        <v/>
      </c>
      <c r="CF92" s="4" t="str">
        <f>IF(XS_Designer_Bed_Mix!$J92&lt;=XS_Designer!$BN$99,XS_Designer!BD$99,"")</f>
        <v/>
      </c>
      <c r="CG92" s="4" t="str">
        <f>IF(XS_Designer_Bed_Mix!$J92&lt;=XS_Designer!$BN$99,XS_Designer!BE$99,"")</f>
        <v/>
      </c>
      <c r="CH92" s="4" t="str">
        <f>IF(XS_Designer_Bed_Mix!$J92&lt;=XS_Designer!$BN$99,XS_Designer!BF$99,"")</f>
        <v/>
      </c>
      <c r="CI92" s="4" t="str">
        <f>IF(XS_Designer_Bed_Mix!$J92&lt;=XS_Designer!$BN$99,XS_Designer!BG$99,"")</f>
        <v/>
      </c>
      <c r="CJ92" s="4" t="str">
        <f>IF(XS_Designer_Bed_Mix!$J92&lt;=XS_Designer!$BN$99,XS_Designer!BH$99,"")</f>
        <v/>
      </c>
      <c r="CK92" s="4" t="str">
        <f>IF(XS_Designer_Bed_Mix!$J92&lt;=XS_Designer!$BN$99,XS_Designer!BI$99,"")</f>
        <v/>
      </c>
      <c r="CL92" s="4" t="str">
        <f>IF(XS_Designer_Bed_Mix!$J92&lt;=XS_Designer!$BN$99,XS_Designer!BJ$99,"")</f>
        <v/>
      </c>
      <c r="CM92" s="4" t="str">
        <f>IF(XS_Designer_Bed_Mix!$J92&lt;=XS_Designer!$BN$100,XS_Designer!BA$100,"")</f>
        <v/>
      </c>
      <c r="CN92" s="4" t="str">
        <f>IF(XS_Designer_Bed_Mix!$J92&lt;=XS_Designer!$BN$100,XS_Designer!BB$100,"")</f>
        <v/>
      </c>
      <c r="CO92" s="4" t="str">
        <f>IF(XS_Designer_Bed_Mix!$J92&lt;=XS_Designer!$BN$100,XS_Designer!BC$100,"")</f>
        <v/>
      </c>
      <c r="CP92" s="4" t="str">
        <f>IF(XS_Designer_Bed_Mix!$J92&lt;=XS_Designer!$BN$100,XS_Designer!BD$100,"")</f>
        <v/>
      </c>
      <c r="CQ92" s="4" t="str">
        <f>IF(XS_Designer_Bed_Mix!$J92&lt;=XS_Designer!$BN$100,XS_Designer!BE$100,"")</f>
        <v/>
      </c>
      <c r="CR92" s="4" t="str">
        <f>IF(XS_Designer_Bed_Mix!$J92&lt;=XS_Designer!$BN$100,XS_Designer!BF$100,"")</f>
        <v/>
      </c>
      <c r="CS92" s="4" t="str">
        <f>IF(XS_Designer_Bed_Mix!$J92&lt;=XS_Designer!$BN$100,XS_Designer!BG$100,"")</f>
        <v/>
      </c>
      <c r="CT92" s="4" t="str">
        <f>IF(XS_Designer_Bed_Mix!$J92&lt;=XS_Designer!$BN$100,XS_Designer!BH$100,"")</f>
        <v/>
      </c>
      <c r="CU92" s="4" t="str">
        <f>IF(XS_Designer_Bed_Mix!$J92&lt;=XS_Designer!$BN$100,XS_Designer!BI$100,"")</f>
        <v/>
      </c>
      <c r="CV92" s="4" t="str">
        <f>IF(XS_Designer_Bed_Mix!$J92&lt;=XS_Designer!$BN$100,XS_Designer!BJ$100,"")</f>
        <v/>
      </c>
      <c r="CW92" s="4" t="str">
        <f>IF(XS_Designer_Bed_Mix!$J92&lt;=XS_Designer!$BN$101,XS_Designer!BA$101,"")</f>
        <v/>
      </c>
      <c r="CX92" s="4" t="str">
        <f>IF(XS_Designer_Bed_Mix!$J92&lt;=XS_Designer!$BN$101,XS_Designer!BB$101,"")</f>
        <v/>
      </c>
      <c r="CY92" s="4" t="str">
        <f>IF(XS_Designer_Bed_Mix!$J92&lt;=XS_Designer!$BN$101,XS_Designer!BC$101,"")</f>
        <v/>
      </c>
      <c r="CZ92" s="4" t="str">
        <f>IF(XS_Designer_Bed_Mix!$J92&lt;=XS_Designer!$BN$101,XS_Designer!BD$101,"")</f>
        <v/>
      </c>
      <c r="DA92" s="4" t="str">
        <f>IF(XS_Designer_Bed_Mix!$J92&lt;=XS_Designer!$BN$101,XS_Designer!BE$101,"")</f>
        <v/>
      </c>
      <c r="DB92" s="4" t="str">
        <f>IF(XS_Designer_Bed_Mix!$J92&lt;=XS_Designer!$BN$101,XS_Designer!BF$101,"")</f>
        <v/>
      </c>
      <c r="DC92" s="4" t="str">
        <f>IF(XS_Designer_Bed_Mix!$J92&lt;=XS_Designer!$BN$101,XS_Designer!BG$101,"")</f>
        <v/>
      </c>
      <c r="DD92" s="4" t="str">
        <f>IF(XS_Designer_Bed_Mix!$J92&lt;=XS_Designer!$BN$101,XS_Designer!BH$101,"")</f>
        <v/>
      </c>
      <c r="DE92" s="4" t="str">
        <f>IF(XS_Designer_Bed_Mix!$J92&lt;=XS_Designer!$BN$101,XS_Designer!BI$101,"")</f>
        <v/>
      </c>
      <c r="DF92" s="4" t="str">
        <f>IF(XS_Designer_Bed_Mix!$J92&lt;=XS_Designer!$BN$101,XS_Designer!BJ$101,"")</f>
        <v/>
      </c>
      <c r="DG92" s="4" t="str">
        <f>IF(XS_Designer_Bed_Mix!$J92&lt;=XS_Designer!$BN$102,XS_Designer!BA$102,"")</f>
        <v/>
      </c>
      <c r="DH92" s="4" t="str">
        <f>IF(XS_Designer_Bed_Mix!$J92&lt;=XS_Designer!$BN$102,XS_Designer!BB$102,"")</f>
        <v/>
      </c>
      <c r="DI92" s="4" t="str">
        <f>IF(XS_Designer_Bed_Mix!$J92&lt;=XS_Designer!$BN$102,XS_Designer!BC$102,"")</f>
        <v/>
      </c>
      <c r="DJ92" s="4" t="str">
        <f>IF(XS_Designer_Bed_Mix!$J92&lt;=XS_Designer!$BN$102,XS_Designer!BD$102,"")</f>
        <v/>
      </c>
      <c r="DK92" s="4" t="str">
        <f>IF(XS_Designer_Bed_Mix!$J92&lt;=XS_Designer!$BN$102,XS_Designer!BE$102,"")</f>
        <v/>
      </c>
      <c r="DL92" s="4" t="str">
        <f>IF(XS_Designer_Bed_Mix!$J92&lt;=XS_Designer!$BN$102,XS_Designer!BF$102,"")</f>
        <v/>
      </c>
      <c r="DM92" s="4" t="str">
        <f>IF(XS_Designer_Bed_Mix!$J92&lt;=XS_Designer!$BN$102,XS_Designer!BG$102,"")</f>
        <v/>
      </c>
      <c r="DN92" s="4" t="str">
        <f>IF(XS_Designer_Bed_Mix!$J92&lt;=XS_Designer!$BN$102,XS_Designer!BH$102,"")</f>
        <v/>
      </c>
      <c r="DO92" s="4" t="str">
        <f>IF(XS_Designer_Bed_Mix!$J92&lt;=XS_Designer!$BN$102,XS_Designer!BI$102,"")</f>
        <v/>
      </c>
      <c r="DP92" s="4" t="str">
        <f>IF(XS_Designer_Bed_Mix!$J92&lt;=XS_Designer!$BN$102,XS_Designer!BJ$102,"")</f>
        <v/>
      </c>
    </row>
    <row r="93" spans="10:120">
      <c r="J93" s="3">
        <v>0.92</v>
      </c>
      <c r="K93" s="4" t="str">
        <f>IF(XS_Designer_Bed_Mix!$J93&lt;=XS_Designer!$BN$92,XS_Designer!BA$92,"")</f>
        <v/>
      </c>
      <c r="L93" s="4" t="str">
        <f>IF(XS_Designer_Bed_Mix!$J93&lt;=XS_Designer!$BN$92,XS_Designer!BB$92,"")</f>
        <v/>
      </c>
      <c r="M93" s="4" t="str">
        <f>IF(XS_Designer_Bed_Mix!$J93&lt;=XS_Designer!$BN$92,XS_Designer!BC$92,"")</f>
        <v/>
      </c>
      <c r="N93" s="4" t="str">
        <f>IF(XS_Designer_Bed_Mix!$J93&lt;=XS_Designer!$BN$92,XS_Designer!BD$92,"")</f>
        <v/>
      </c>
      <c r="O93" s="4" t="str">
        <f>IF(XS_Designer_Bed_Mix!$J93&lt;=XS_Designer!$BN$92,XS_Designer!BE$92,"")</f>
        <v/>
      </c>
      <c r="P93" s="4" t="str">
        <f>IF(XS_Designer_Bed_Mix!$J93&lt;=XS_Designer!$BN$92,XS_Designer!BF$92,"")</f>
        <v/>
      </c>
      <c r="Q93" s="4" t="str">
        <f>IF(XS_Designer_Bed_Mix!$J93&lt;=XS_Designer!$BN$92,XS_Designer!BG$92,"")</f>
        <v/>
      </c>
      <c r="R93" s="4" t="str">
        <f>IF(XS_Designer_Bed_Mix!$J93&lt;=XS_Designer!$BN$92,XS_Designer!BH$92,"")</f>
        <v/>
      </c>
      <c r="S93" s="4" t="str">
        <f>IF(XS_Designer_Bed_Mix!$J93&lt;=XS_Designer!$BN$92,XS_Designer!BI$92,"")</f>
        <v/>
      </c>
      <c r="T93" s="4" t="str">
        <f>IF(XS_Designer_Bed_Mix!$J93&lt;=XS_Designer!$BN$92,XS_Designer!BJ$92,"")</f>
        <v/>
      </c>
      <c r="U93" s="4" t="str">
        <f>IF(XS_Designer_Bed_Mix!$J93&lt;=XS_Designer!$BN$93,XS_Designer!BA$93,"")</f>
        <v/>
      </c>
      <c r="V93" s="4" t="str">
        <f>IF(XS_Designer_Bed_Mix!$J93&lt;=XS_Designer!$BN$93,XS_Designer!BB$93,"")</f>
        <v/>
      </c>
      <c r="W93" s="4" t="str">
        <f>IF(XS_Designer_Bed_Mix!$J93&lt;=XS_Designer!$BN$93,XS_Designer!BC$93,"")</f>
        <v/>
      </c>
      <c r="X93" s="4" t="str">
        <f>IF(XS_Designer_Bed_Mix!$J93&lt;=XS_Designer!$BN$93,XS_Designer!BD$93,"")</f>
        <v/>
      </c>
      <c r="Y93" s="4" t="str">
        <f>IF(XS_Designer_Bed_Mix!$J93&lt;=XS_Designer!$BN$93,XS_Designer!BE$93,"")</f>
        <v/>
      </c>
      <c r="Z93" s="4" t="str">
        <f>IF(XS_Designer_Bed_Mix!$J93&lt;=XS_Designer!$BN$93,XS_Designer!BF$93,"")</f>
        <v/>
      </c>
      <c r="AA93" s="4" t="str">
        <f>IF(XS_Designer_Bed_Mix!$J93&lt;=XS_Designer!$BN$93,XS_Designer!BG$93,"")</f>
        <v/>
      </c>
      <c r="AB93" s="4" t="str">
        <f>IF(XS_Designer_Bed_Mix!$J93&lt;=XS_Designer!$BN$93,XS_Designer!BH$93,"")</f>
        <v/>
      </c>
      <c r="AC93" s="4" t="str">
        <f>IF(XS_Designer_Bed_Mix!$J93&lt;=XS_Designer!$BN$93,XS_Designer!BI$93,"")</f>
        <v/>
      </c>
      <c r="AD93" s="4" t="str">
        <f>IF(XS_Designer_Bed_Mix!$J93&lt;=XS_Designer!$BN$93,XS_Designer!BJ$93,"")</f>
        <v/>
      </c>
      <c r="AE93" s="4" t="str">
        <f>IF(XS_Designer_Bed_Mix!$J93&lt;=XS_Designer!$BN$94,XS_Designer!BA$94,"")</f>
        <v/>
      </c>
      <c r="AF93" s="4" t="str">
        <f>IF(XS_Designer_Bed_Mix!$J93&lt;=XS_Designer!$BN$94,XS_Designer!BB$94,"")</f>
        <v/>
      </c>
      <c r="AG93" s="4" t="str">
        <f>IF(XS_Designer_Bed_Mix!$J93&lt;=XS_Designer!$BN$94,XS_Designer!BC$94,"")</f>
        <v/>
      </c>
      <c r="AH93" s="4" t="str">
        <f>IF(XS_Designer_Bed_Mix!$J93&lt;=XS_Designer!$BN$94,XS_Designer!BD$94,"")</f>
        <v/>
      </c>
      <c r="AI93" s="4" t="str">
        <f>IF(XS_Designer_Bed_Mix!$J93&lt;=XS_Designer!$BN$94,XS_Designer!BE$94,"")</f>
        <v/>
      </c>
      <c r="AJ93" s="4" t="str">
        <f>IF(XS_Designer_Bed_Mix!$J93&lt;=XS_Designer!$BN$94,XS_Designer!BF$94,"")</f>
        <v/>
      </c>
      <c r="AK93" s="4" t="str">
        <f>IF(XS_Designer_Bed_Mix!$J93&lt;=XS_Designer!$BN$94,XS_Designer!BG$94,"")</f>
        <v/>
      </c>
      <c r="AL93" s="4" t="str">
        <f>IF(XS_Designer_Bed_Mix!$J93&lt;=XS_Designer!$BN$94,XS_Designer!BH$94,"")</f>
        <v/>
      </c>
      <c r="AM93" s="4" t="str">
        <f>IF(XS_Designer_Bed_Mix!$J93&lt;=XS_Designer!$BN$94,XS_Designer!BI$94,"")</f>
        <v/>
      </c>
      <c r="AN93" s="4" t="str">
        <f>IF(XS_Designer_Bed_Mix!$J93&lt;=XS_Designer!$BN$94,XS_Designer!BJ$94,"")</f>
        <v/>
      </c>
      <c r="AO93" s="4" t="str">
        <f>IF(XS_Designer_Bed_Mix!$J93&lt;=XS_Designer!$BN$95,XS_Designer!BA$95,"")</f>
        <v/>
      </c>
      <c r="AP93" s="4" t="str">
        <f>IF(XS_Designer_Bed_Mix!$J93&lt;=XS_Designer!$BN$95,XS_Designer!BB$95,"")</f>
        <v/>
      </c>
      <c r="AQ93" s="4" t="str">
        <f>IF(XS_Designer_Bed_Mix!$J93&lt;=XS_Designer!$BN$95,XS_Designer!BC$95,"")</f>
        <v/>
      </c>
      <c r="AR93" s="4" t="str">
        <f>IF(XS_Designer_Bed_Mix!$J93&lt;=XS_Designer!$BN$95,XS_Designer!BD$95,"")</f>
        <v/>
      </c>
      <c r="AS93" s="4" t="str">
        <f>IF(XS_Designer_Bed_Mix!$J93&lt;=XS_Designer!$BN$95,XS_Designer!BE$95,"")</f>
        <v/>
      </c>
      <c r="AT93" s="4" t="str">
        <f>IF(XS_Designer_Bed_Mix!$J93&lt;=XS_Designer!$BN$95,XS_Designer!BF$95,"")</f>
        <v/>
      </c>
      <c r="AU93" s="4" t="str">
        <f>IF(XS_Designer_Bed_Mix!$J93&lt;=XS_Designer!$BN$95,XS_Designer!BG$95,"")</f>
        <v/>
      </c>
      <c r="AV93" s="4" t="str">
        <f>IF(XS_Designer_Bed_Mix!$J93&lt;=XS_Designer!$BN$95,XS_Designer!BH$95,"")</f>
        <v/>
      </c>
      <c r="AW93" s="4" t="str">
        <f>IF(XS_Designer_Bed_Mix!$J93&lt;=XS_Designer!$BN$95,XS_Designer!BI$95,"")</f>
        <v/>
      </c>
      <c r="AX93" s="4" t="str">
        <f>IF(XS_Designer_Bed_Mix!$J93&lt;=XS_Designer!$BN$95,XS_Designer!BJ$95,"")</f>
        <v/>
      </c>
      <c r="AY93" s="4" t="str">
        <f>IF(XS_Designer_Bed_Mix!$J93&lt;=XS_Designer!$BN$96,XS_Designer!BA$96,"")</f>
        <v/>
      </c>
      <c r="AZ93" s="4" t="str">
        <f>IF(XS_Designer_Bed_Mix!$J93&lt;=XS_Designer!$BN$96,XS_Designer!BB$96,"")</f>
        <v/>
      </c>
      <c r="BA93" s="4" t="str">
        <f>IF(XS_Designer_Bed_Mix!$J93&lt;=XS_Designer!$BN$96,XS_Designer!BC$96,"")</f>
        <v/>
      </c>
      <c r="BB93" s="4" t="str">
        <f>IF(XS_Designer_Bed_Mix!$J93&lt;=XS_Designer!$BN$96,XS_Designer!BD$96,"")</f>
        <v/>
      </c>
      <c r="BC93" s="4" t="str">
        <f>IF(XS_Designer_Bed_Mix!$J93&lt;=XS_Designer!$BN$96,XS_Designer!BE$96,"")</f>
        <v/>
      </c>
      <c r="BD93" s="4" t="str">
        <f>IF(XS_Designer_Bed_Mix!$J93&lt;=XS_Designer!$BN$96,XS_Designer!BF$96,"")</f>
        <v/>
      </c>
      <c r="BE93" s="4" t="str">
        <f>IF(XS_Designer_Bed_Mix!$J93&lt;=XS_Designer!$BN$96,XS_Designer!BG$96,"")</f>
        <v/>
      </c>
      <c r="BF93" s="4" t="str">
        <f>IF(XS_Designer_Bed_Mix!$J93&lt;=XS_Designer!$BN$96,XS_Designer!BH$96,"")</f>
        <v/>
      </c>
      <c r="BG93" s="4" t="str">
        <f>IF(XS_Designer_Bed_Mix!$J93&lt;=XS_Designer!$BN$96,XS_Designer!BI$96,"")</f>
        <v/>
      </c>
      <c r="BH93" s="4" t="str">
        <f>IF(XS_Designer_Bed_Mix!$J93&lt;=XS_Designer!$BN$96,XS_Designer!BJ$96,"")</f>
        <v/>
      </c>
      <c r="BI93" s="4" t="str">
        <f>IF(XS_Designer_Bed_Mix!$J93&lt;=XS_Designer!$BN$97,XS_Designer!BA$97,"")</f>
        <v/>
      </c>
      <c r="BJ93" s="4" t="str">
        <f>IF(XS_Designer_Bed_Mix!$J93&lt;=XS_Designer!$BN$97,XS_Designer!BB$97,"")</f>
        <v/>
      </c>
      <c r="BK93" s="4" t="str">
        <f>IF(XS_Designer_Bed_Mix!$J93&lt;=XS_Designer!$BN$97,XS_Designer!BC$97,"")</f>
        <v/>
      </c>
      <c r="BL93" s="4" t="str">
        <f>IF(XS_Designer_Bed_Mix!$J93&lt;=XS_Designer!$BN$97,XS_Designer!BD$97,"")</f>
        <v/>
      </c>
      <c r="BM93" s="4" t="str">
        <f>IF(XS_Designer_Bed_Mix!$J93&lt;=XS_Designer!$BN$97,XS_Designer!BE$97,"")</f>
        <v/>
      </c>
      <c r="BN93" s="4" t="str">
        <f>IF(XS_Designer_Bed_Mix!$J93&lt;=XS_Designer!$BN$97,XS_Designer!BF$97,"")</f>
        <v/>
      </c>
      <c r="BO93" s="4" t="str">
        <f>IF(XS_Designer_Bed_Mix!$J93&lt;=XS_Designer!$BN$97,XS_Designer!BG$97,"")</f>
        <v/>
      </c>
      <c r="BP93" s="4" t="str">
        <f>IF(XS_Designer_Bed_Mix!$J93&lt;=XS_Designer!$BN$97,XS_Designer!BH$97,"")</f>
        <v/>
      </c>
      <c r="BQ93" s="4" t="str">
        <f>IF(XS_Designer_Bed_Mix!$J93&lt;=XS_Designer!$BN$97,XS_Designer!BI$97,"")</f>
        <v/>
      </c>
      <c r="BR93" s="4" t="str">
        <f>IF(XS_Designer_Bed_Mix!$J93&lt;=XS_Designer!$BN$97,XS_Designer!BJ$97,"")</f>
        <v/>
      </c>
      <c r="BS93" s="4" t="str">
        <f>IF(XS_Designer_Bed_Mix!$J93&lt;=XS_Designer!$BN$98,XS_Designer!BA$98,"")</f>
        <v/>
      </c>
      <c r="BT93" s="4" t="str">
        <f>IF(XS_Designer_Bed_Mix!$J93&lt;=XS_Designer!$BN$98,XS_Designer!BB$98,"")</f>
        <v/>
      </c>
      <c r="BU93" s="4" t="str">
        <f>IF(XS_Designer_Bed_Mix!$J93&lt;=XS_Designer!$BN$98,XS_Designer!BC$98,"")</f>
        <v/>
      </c>
      <c r="BV93" s="4" t="str">
        <f>IF(XS_Designer_Bed_Mix!$J93&lt;=XS_Designer!$BN$98,XS_Designer!BD$98,"")</f>
        <v/>
      </c>
      <c r="BW93" s="4" t="str">
        <f>IF(XS_Designer_Bed_Mix!$J93&lt;=XS_Designer!$BN$98,XS_Designer!BE$98,"")</f>
        <v/>
      </c>
      <c r="BX93" s="4" t="str">
        <f>IF(XS_Designer_Bed_Mix!$J93&lt;=XS_Designer!$BN$98,XS_Designer!BF$98,"")</f>
        <v/>
      </c>
      <c r="BY93" s="4" t="str">
        <f>IF(XS_Designer_Bed_Mix!$J93&lt;=XS_Designer!$BN$98,XS_Designer!BG$98,"")</f>
        <v/>
      </c>
      <c r="BZ93" s="4" t="str">
        <f>IF(XS_Designer_Bed_Mix!$J93&lt;=XS_Designer!$BN$98,XS_Designer!BH$98,"")</f>
        <v/>
      </c>
      <c r="CA93" s="4" t="str">
        <f>IF(XS_Designer_Bed_Mix!$J93&lt;=XS_Designer!$BN$98,XS_Designer!BI$98,"")</f>
        <v/>
      </c>
      <c r="CB93" s="4" t="str">
        <f>IF(XS_Designer_Bed_Mix!$J93&lt;=XS_Designer!$BN$98,XS_Designer!BJ$98,"")</f>
        <v/>
      </c>
      <c r="CC93" s="4" t="str">
        <f>IF(XS_Designer_Bed_Mix!$J93&lt;=XS_Designer!$BN$99,XS_Designer!BA$99,"")</f>
        <v/>
      </c>
      <c r="CD93" s="4" t="str">
        <f>IF(XS_Designer_Bed_Mix!$J93&lt;=XS_Designer!$BN$99,XS_Designer!BB$99,"")</f>
        <v/>
      </c>
      <c r="CE93" s="4" t="str">
        <f>IF(XS_Designer_Bed_Mix!$J93&lt;=XS_Designer!$BN$99,XS_Designer!BC$99,"")</f>
        <v/>
      </c>
      <c r="CF93" s="4" t="str">
        <f>IF(XS_Designer_Bed_Mix!$J93&lt;=XS_Designer!$BN$99,XS_Designer!BD$99,"")</f>
        <v/>
      </c>
      <c r="CG93" s="4" t="str">
        <f>IF(XS_Designer_Bed_Mix!$J93&lt;=XS_Designer!$BN$99,XS_Designer!BE$99,"")</f>
        <v/>
      </c>
      <c r="CH93" s="4" t="str">
        <f>IF(XS_Designer_Bed_Mix!$J93&lt;=XS_Designer!$BN$99,XS_Designer!BF$99,"")</f>
        <v/>
      </c>
      <c r="CI93" s="4" t="str">
        <f>IF(XS_Designer_Bed_Mix!$J93&lt;=XS_Designer!$BN$99,XS_Designer!BG$99,"")</f>
        <v/>
      </c>
      <c r="CJ93" s="4" t="str">
        <f>IF(XS_Designer_Bed_Mix!$J93&lt;=XS_Designer!$BN$99,XS_Designer!BH$99,"")</f>
        <v/>
      </c>
      <c r="CK93" s="4" t="str">
        <f>IF(XS_Designer_Bed_Mix!$J93&lt;=XS_Designer!$BN$99,XS_Designer!BI$99,"")</f>
        <v/>
      </c>
      <c r="CL93" s="4" t="str">
        <f>IF(XS_Designer_Bed_Mix!$J93&lt;=XS_Designer!$BN$99,XS_Designer!BJ$99,"")</f>
        <v/>
      </c>
      <c r="CM93" s="4" t="str">
        <f>IF(XS_Designer_Bed_Mix!$J93&lt;=XS_Designer!$BN$100,XS_Designer!BA$100,"")</f>
        <v/>
      </c>
      <c r="CN93" s="4" t="str">
        <f>IF(XS_Designer_Bed_Mix!$J93&lt;=XS_Designer!$BN$100,XS_Designer!BB$100,"")</f>
        <v/>
      </c>
      <c r="CO93" s="4" t="str">
        <f>IF(XS_Designer_Bed_Mix!$J93&lt;=XS_Designer!$BN$100,XS_Designer!BC$100,"")</f>
        <v/>
      </c>
      <c r="CP93" s="4" t="str">
        <f>IF(XS_Designer_Bed_Mix!$J93&lt;=XS_Designer!$BN$100,XS_Designer!BD$100,"")</f>
        <v/>
      </c>
      <c r="CQ93" s="4" t="str">
        <f>IF(XS_Designer_Bed_Mix!$J93&lt;=XS_Designer!$BN$100,XS_Designer!BE$100,"")</f>
        <v/>
      </c>
      <c r="CR93" s="4" t="str">
        <f>IF(XS_Designer_Bed_Mix!$J93&lt;=XS_Designer!$BN$100,XS_Designer!BF$100,"")</f>
        <v/>
      </c>
      <c r="CS93" s="4" t="str">
        <f>IF(XS_Designer_Bed_Mix!$J93&lt;=XS_Designer!$BN$100,XS_Designer!BG$100,"")</f>
        <v/>
      </c>
      <c r="CT93" s="4" t="str">
        <f>IF(XS_Designer_Bed_Mix!$J93&lt;=XS_Designer!$BN$100,XS_Designer!BH$100,"")</f>
        <v/>
      </c>
      <c r="CU93" s="4" t="str">
        <f>IF(XS_Designer_Bed_Mix!$J93&lt;=XS_Designer!$BN$100,XS_Designer!BI$100,"")</f>
        <v/>
      </c>
      <c r="CV93" s="4" t="str">
        <f>IF(XS_Designer_Bed_Mix!$J93&lt;=XS_Designer!$BN$100,XS_Designer!BJ$100,"")</f>
        <v/>
      </c>
      <c r="CW93" s="4" t="str">
        <f>IF(XS_Designer_Bed_Mix!$J93&lt;=XS_Designer!$BN$101,XS_Designer!BA$101,"")</f>
        <v/>
      </c>
      <c r="CX93" s="4" t="str">
        <f>IF(XS_Designer_Bed_Mix!$J93&lt;=XS_Designer!$BN$101,XS_Designer!BB$101,"")</f>
        <v/>
      </c>
      <c r="CY93" s="4" t="str">
        <f>IF(XS_Designer_Bed_Mix!$J93&lt;=XS_Designer!$BN$101,XS_Designer!BC$101,"")</f>
        <v/>
      </c>
      <c r="CZ93" s="4" t="str">
        <f>IF(XS_Designer_Bed_Mix!$J93&lt;=XS_Designer!$BN$101,XS_Designer!BD$101,"")</f>
        <v/>
      </c>
      <c r="DA93" s="4" t="str">
        <f>IF(XS_Designer_Bed_Mix!$J93&lt;=XS_Designer!$BN$101,XS_Designer!BE$101,"")</f>
        <v/>
      </c>
      <c r="DB93" s="4" t="str">
        <f>IF(XS_Designer_Bed_Mix!$J93&lt;=XS_Designer!$BN$101,XS_Designer!BF$101,"")</f>
        <v/>
      </c>
      <c r="DC93" s="4" t="str">
        <f>IF(XS_Designer_Bed_Mix!$J93&lt;=XS_Designer!$BN$101,XS_Designer!BG$101,"")</f>
        <v/>
      </c>
      <c r="DD93" s="4" t="str">
        <f>IF(XS_Designer_Bed_Mix!$J93&lt;=XS_Designer!$BN$101,XS_Designer!BH$101,"")</f>
        <v/>
      </c>
      <c r="DE93" s="4" t="str">
        <f>IF(XS_Designer_Bed_Mix!$J93&lt;=XS_Designer!$BN$101,XS_Designer!BI$101,"")</f>
        <v/>
      </c>
      <c r="DF93" s="4" t="str">
        <f>IF(XS_Designer_Bed_Mix!$J93&lt;=XS_Designer!$BN$101,XS_Designer!BJ$101,"")</f>
        <v/>
      </c>
      <c r="DG93" s="4" t="str">
        <f>IF(XS_Designer_Bed_Mix!$J93&lt;=XS_Designer!$BN$102,XS_Designer!BA$102,"")</f>
        <v/>
      </c>
      <c r="DH93" s="4" t="str">
        <f>IF(XS_Designer_Bed_Mix!$J93&lt;=XS_Designer!$BN$102,XS_Designer!BB$102,"")</f>
        <v/>
      </c>
      <c r="DI93" s="4" t="str">
        <f>IF(XS_Designer_Bed_Mix!$J93&lt;=XS_Designer!$BN$102,XS_Designer!BC$102,"")</f>
        <v/>
      </c>
      <c r="DJ93" s="4" t="str">
        <f>IF(XS_Designer_Bed_Mix!$J93&lt;=XS_Designer!$BN$102,XS_Designer!BD$102,"")</f>
        <v/>
      </c>
      <c r="DK93" s="4" t="str">
        <f>IF(XS_Designer_Bed_Mix!$J93&lt;=XS_Designer!$BN$102,XS_Designer!BE$102,"")</f>
        <v/>
      </c>
      <c r="DL93" s="4" t="str">
        <f>IF(XS_Designer_Bed_Mix!$J93&lt;=XS_Designer!$BN$102,XS_Designer!BF$102,"")</f>
        <v/>
      </c>
      <c r="DM93" s="4" t="str">
        <f>IF(XS_Designer_Bed_Mix!$J93&lt;=XS_Designer!$BN$102,XS_Designer!BG$102,"")</f>
        <v/>
      </c>
      <c r="DN93" s="4" t="str">
        <f>IF(XS_Designer_Bed_Mix!$J93&lt;=XS_Designer!$BN$102,XS_Designer!BH$102,"")</f>
        <v/>
      </c>
      <c r="DO93" s="4" t="str">
        <f>IF(XS_Designer_Bed_Mix!$J93&lt;=XS_Designer!$BN$102,XS_Designer!BI$102,"")</f>
        <v/>
      </c>
      <c r="DP93" s="4" t="str">
        <f>IF(XS_Designer_Bed_Mix!$J93&lt;=XS_Designer!$BN$102,XS_Designer!BJ$102,"")</f>
        <v/>
      </c>
    </row>
    <row r="94" spans="10:120">
      <c r="J94" s="3">
        <v>0.93</v>
      </c>
      <c r="K94" s="4" t="str">
        <f>IF(XS_Designer_Bed_Mix!$J94&lt;=XS_Designer!$BN$92,XS_Designer!BA$92,"")</f>
        <v/>
      </c>
      <c r="L94" s="4" t="str">
        <f>IF(XS_Designer_Bed_Mix!$J94&lt;=XS_Designer!$BN$92,XS_Designer!BB$92,"")</f>
        <v/>
      </c>
      <c r="M94" s="4" t="str">
        <f>IF(XS_Designer_Bed_Mix!$J94&lt;=XS_Designer!$BN$92,XS_Designer!BC$92,"")</f>
        <v/>
      </c>
      <c r="N94" s="4" t="str">
        <f>IF(XS_Designer_Bed_Mix!$J94&lt;=XS_Designer!$BN$92,XS_Designer!BD$92,"")</f>
        <v/>
      </c>
      <c r="O94" s="4" t="str">
        <f>IF(XS_Designer_Bed_Mix!$J94&lt;=XS_Designer!$BN$92,XS_Designer!BE$92,"")</f>
        <v/>
      </c>
      <c r="P94" s="4" t="str">
        <f>IF(XS_Designer_Bed_Mix!$J94&lt;=XS_Designer!$BN$92,XS_Designer!BF$92,"")</f>
        <v/>
      </c>
      <c r="Q94" s="4" t="str">
        <f>IF(XS_Designer_Bed_Mix!$J94&lt;=XS_Designer!$BN$92,XS_Designer!BG$92,"")</f>
        <v/>
      </c>
      <c r="R94" s="4" t="str">
        <f>IF(XS_Designer_Bed_Mix!$J94&lt;=XS_Designer!$BN$92,XS_Designer!BH$92,"")</f>
        <v/>
      </c>
      <c r="S94" s="4" t="str">
        <f>IF(XS_Designer_Bed_Mix!$J94&lt;=XS_Designer!$BN$92,XS_Designer!BI$92,"")</f>
        <v/>
      </c>
      <c r="T94" s="4" t="str">
        <f>IF(XS_Designer_Bed_Mix!$J94&lt;=XS_Designer!$BN$92,XS_Designer!BJ$92,"")</f>
        <v/>
      </c>
      <c r="U94" s="4" t="str">
        <f>IF(XS_Designer_Bed_Mix!$J94&lt;=XS_Designer!$BN$93,XS_Designer!BA$93,"")</f>
        <v/>
      </c>
      <c r="V94" s="4" t="str">
        <f>IF(XS_Designer_Bed_Mix!$J94&lt;=XS_Designer!$BN$93,XS_Designer!BB$93,"")</f>
        <v/>
      </c>
      <c r="W94" s="4" t="str">
        <f>IF(XS_Designer_Bed_Mix!$J94&lt;=XS_Designer!$BN$93,XS_Designer!BC$93,"")</f>
        <v/>
      </c>
      <c r="X94" s="4" t="str">
        <f>IF(XS_Designer_Bed_Mix!$J94&lt;=XS_Designer!$BN$93,XS_Designer!BD$93,"")</f>
        <v/>
      </c>
      <c r="Y94" s="4" t="str">
        <f>IF(XS_Designer_Bed_Mix!$J94&lt;=XS_Designer!$BN$93,XS_Designer!BE$93,"")</f>
        <v/>
      </c>
      <c r="Z94" s="4" t="str">
        <f>IF(XS_Designer_Bed_Mix!$J94&lt;=XS_Designer!$BN$93,XS_Designer!BF$93,"")</f>
        <v/>
      </c>
      <c r="AA94" s="4" t="str">
        <f>IF(XS_Designer_Bed_Mix!$J94&lt;=XS_Designer!$BN$93,XS_Designer!BG$93,"")</f>
        <v/>
      </c>
      <c r="AB94" s="4" t="str">
        <f>IF(XS_Designer_Bed_Mix!$J94&lt;=XS_Designer!$BN$93,XS_Designer!BH$93,"")</f>
        <v/>
      </c>
      <c r="AC94" s="4" t="str">
        <f>IF(XS_Designer_Bed_Mix!$J94&lt;=XS_Designer!$BN$93,XS_Designer!BI$93,"")</f>
        <v/>
      </c>
      <c r="AD94" s="4" t="str">
        <f>IF(XS_Designer_Bed_Mix!$J94&lt;=XS_Designer!$BN$93,XS_Designer!BJ$93,"")</f>
        <v/>
      </c>
      <c r="AE94" s="4" t="str">
        <f>IF(XS_Designer_Bed_Mix!$J94&lt;=XS_Designer!$BN$94,XS_Designer!BA$94,"")</f>
        <v/>
      </c>
      <c r="AF94" s="4" t="str">
        <f>IF(XS_Designer_Bed_Mix!$J94&lt;=XS_Designer!$BN$94,XS_Designer!BB$94,"")</f>
        <v/>
      </c>
      <c r="AG94" s="4" t="str">
        <f>IF(XS_Designer_Bed_Mix!$J94&lt;=XS_Designer!$BN$94,XS_Designer!BC$94,"")</f>
        <v/>
      </c>
      <c r="AH94" s="4" t="str">
        <f>IF(XS_Designer_Bed_Mix!$J94&lt;=XS_Designer!$BN$94,XS_Designer!BD$94,"")</f>
        <v/>
      </c>
      <c r="AI94" s="4" t="str">
        <f>IF(XS_Designer_Bed_Mix!$J94&lt;=XS_Designer!$BN$94,XS_Designer!BE$94,"")</f>
        <v/>
      </c>
      <c r="AJ94" s="4" t="str">
        <f>IF(XS_Designer_Bed_Mix!$J94&lt;=XS_Designer!$BN$94,XS_Designer!BF$94,"")</f>
        <v/>
      </c>
      <c r="AK94" s="4" t="str">
        <f>IF(XS_Designer_Bed_Mix!$J94&lt;=XS_Designer!$BN$94,XS_Designer!BG$94,"")</f>
        <v/>
      </c>
      <c r="AL94" s="4" t="str">
        <f>IF(XS_Designer_Bed_Mix!$J94&lt;=XS_Designer!$BN$94,XS_Designer!BH$94,"")</f>
        <v/>
      </c>
      <c r="AM94" s="4" t="str">
        <f>IF(XS_Designer_Bed_Mix!$J94&lt;=XS_Designer!$BN$94,XS_Designer!BI$94,"")</f>
        <v/>
      </c>
      <c r="AN94" s="4" t="str">
        <f>IF(XS_Designer_Bed_Mix!$J94&lt;=XS_Designer!$BN$94,XS_Designer!BJ$94,"")</f>
        <v/>
      </c>
      <c r="AO94" s="4" t="str">
        <f>IF(XS_Designer_Bed_Mix!$J94&lt;=XS_Designer!$BN$95,XS_Designer!BA$95,"")</f>
        <v/>
      </c>
      <c r="AP94" s="4" t="str">
        <f>IF(XS_Designer_Bed_Mix!$J94&lt;=XS_Designer!$BN$95,XS_Designer!BB$95,"")</f>
        <v/>
      </c>
      <c r="AQ94" s="4" t="str">
        <f>IF(XS_Designer_Bed_Mix!$J94&lt;=XS_Designer!$BN$95,XS_Designer!BC$95,"")</f>
        <v/>
      </c>
      <c r="AR94" s="4" t="str">
        <f>IF(XS_Designer_Bed_Mix!$J94&lt;=XS_Designer!$BN$95,XS_Designer!BD$95,"")</f>
        <v/>
      </c>
      <c r="AS94" s="4" t="str">
        <f>IF(XS_Designer_Bed_Mix!$J94&lt;=XS_Designer!$BN$95,XS_Designer!BE$95,"")</f>
        <v/>
      </c>
      <c r="AT94" s="4" t="str">
        <f>IF(XS_Designer_Bed_Mix!$J94&lt;=XS_Designer!$BN$95,XS_Designer!BF$95,"")</f>
        <v/>
      </c>
      <c r="AU94" s="4" t="str">
        <f>IF(XS_Designer_Bed_Mix!$J94&lt;=XS_Designer!$BN$95,XS_Designer!BG$95,"")</f>
        <v/>
      </c>
      <c r="AV94" s="4" t="str">
        <f>IF(XS_Designer_Bed_Mix!$J94&lt;=XS_Designer!$BN$95,XS_Designer!BH$95,"")</f>
        <v/>
      </c>
      <c r="AW94" s="4" t="str">
        <f>IF(XS_Designer_Bed_Mix!$J94&lt;=XS_Designer!$BN$95,XS_Designer!BI$95,"")</f>
        <v/>
      </c>
      <c r="AX94" s="4" t="str">
        <f>IF(XS_Designer_Bed_Mix!$J94&lt;=XS_Designer!$BN$95,XS_Designer!BJ$95,"")</f>
        <v/>
      </c>
      <c r="AY94" s="4" t="str">
        <f>IF(XS_Designer_Bed_Mix!$J94&lt;=XS_Designer!$BN$96,XS_Designer!BA$96,"")</f>
        <v/>
      </c>
      <c r="AZ94" s="4" t="str">
        <f>IF(XS_Designer_Bed_Mix!$J94&lt;=XS_Designer!$BN$96,XS_Designer!BB$96,"")</f>
        <v/>
      </c>
      <c r="BA94" s="4" t="str">
        <f>IF(XS_Designer_Bed_Mix!$J94&lt;=XS_Designer!$BN$96,XS_Designer!BC$96,"")</f>
        <v/>
      </c>
      <c r="BB94" s="4" t="str">
        <f>IF(XS_Designer_Bed_Mix!$J94&lt;=XS_Designer!$BN$96,XS_Designer!BD$96,"")</f>
        <v/>
      </c>
      <c r="BC94" s="4" t="str">
        <f>IF(XS_Designer_Bed_Mix!$J94&lt;=XS_Designer!$BN$96,XS_Designer!BE$96,"")</f>
        <v/>
      </c>
      <c r="BD94" s="4" t="str">
        <f>IF(XS_Designer_Bed_Mix!$J94&lt;=XS_Designer!$BN$96,XS_Designer!BF$96,"")</f>
        <v/>
      </c>
      <c r="BE94" s="4" t="str">
        <f>IF(XS_Designer_Bed_Mix!$J94&lt;=XS_Designer!$BN$96,XS_Designer!BG$96,"")</f>
        <v/>
      </c>
      <c r="BF94" s="4" t="str">
        <f>IF(XS_Designer_Bed_Mix!$J94&lt;=XS_Designer!$BN$96,XS_Designer!BH$96,"")</f>
        <v/>
      </c>
      <c r="BG94" s="4" t="str">
        <f>IF(XS_Designer_Bed_Mix!$J94&lt;=XS_Designer!$BN$96,XS_Designer!BI$96,"")</f>
        <v/>
      </c>
      <c r="BH94" s="4" t="str">
        <f>IF(XS_Designer_Bed_Mix!$J94&lt;=XS_Designer!$BN$96,XS_Designer!BJ$96,"")</f>
        <v/>
      </c>
      <c r="BI94" s="4" t="str">
        <f>IF(XS_Designer_Bed_Mix!$J94&lt;=XS_Designer!$BN$97,XS_Designer!BA$97,"")</f>
        <v/>
      </c>
      <c r="BJ94" s="4" t="str">
        <f>IF(XS_Designer_Bed_Mix!$J94&lt;=XS_Designer!$BN$97,XS_Designer!BB$97,"")</f>
        <v/>
      </c>
      <c r="BK94" s="4" t="str">
        <f>IF(XS_Designer_Bed_Mix!$J94&lt;=XS_Designer!$BN$97,XS_Designer!BC$97,"")</f>
        <v/>
      </c>
      <c r="BL94" s="4" t="str">
        <f>IF(XS_Designer_Bed_Mix!$J94&lt;=XS_Designer!$BN$97,XS_Designer!BD$97,"")</f>
        <v/>
      </c>
      <c r="BM94" s="4" t="str">
        <f>IF(XS_Designer_Bed_Mix!$J94&lt;=XS_Designer!$BN$97,XS_Designer!BE$97,"")</f>
        <v/>
      </c>
      <c r="BN94" s="4" t="str">
        <f>IF(XS_Designer_Bed_Mix!$J94&lt;=XS_Designer!$BN$97,XS_Designer!BF$97,"")</f>
        <v/>
      </c>
      <c r="BO94" s="4" t="str">
        <f>IF(XS_Designer_Bed_Mix!$J94&lt;=XS_Designer!$BN$97,XS_Designer!BG$97,"")</f>
        <v/>
      </c>
      <c r="BP94" s="4" t="str">
        <f>IF(XS_Designer_Bed_Mix!$J94&lt;=XS_Designer!$BN$97,XS_Designer!BH$97,"")</f>
        <v/>
      </c>
      <c r="BQ94" s="4" t="str">
        <f>IF(XS_Designer_Bed_Mix!$J94&lt;=XS_Designer!$BN$97,XS_Designer!BI$97,"")</f>
        <v/>
      </c>
      <c r="BR94" s="4" t="str">
        <f>IF(XS_Designer_Bed_Mix!$J94&lt;=XS_Designer!$BN$97,XS_Designer!BJ$97,"")</f>
        <v/>
      </c>
      <c r="BS94" s="4" t="str">
        <f>IF(XS_Designer_Bed_Mix!$J94&lt;=XS_Designer!$BN$98,XS_Designer!BA$98,"")</f>
        <v/>
      </c>
      <c r="BT94" s="4" t="str">
        <f>IF(XS_Designer_Bed_Mix!$J94&lt;=XS_Designer!$BN$98,XS_Designer!BB$98,"")</f>
        <v/>
      </c>
      <c r="BU94" s="4" t="str">
        <f>IF(XS_Designer_Bed_Mix!$J94&lt;=XS_Designer!$BN$98,XS_Designer!BC$98,"")</f>
        <v/>
      </c>
      <c r="BV94" s="4" t="str">
        <f>IF(XS_Designer_Bed_Mix!$J94&lt;=XS_Designer!$BN$98,XS_Designer!BD$98,"")</f>
        <v/>
      </c>
      <c r="BW94" s="4" t="str">
        <f>IF(XS_Designer_Bed_Mix!$J94&lt;=XS_Designer!$BN$98,XS_Designer!BE$98,"")</f>
        <v/>
      </c>
      <c r="BX94" s="4" t="str">
        <f>IF(XS_Designer_Bed_Mix!$J94&lt;=XS_Designer!$BN$98,XS_Designer!BF$98,"")</f>
        <v/>
      </c>
      <c r="BY94" s="4" t="str">
        <f>IF(XS_Designer_Bed_Mix!$J94&lt;=XS_Designer!$BN$98,XS_Designer!BG$98,"")</f>
        <v/>
      </c>
      <c r="BZ94" s="4" t="str">
        <f>IF(XS_Designer_Bed_Mix!$J94&lt;=XS_Designer!$BN$98,XS_Designer!BH$98,"")</f>
        <v/>
      </c>
      <c r="CA94" s="4" t="str">
        <f>IF(XS_Designer_Bed_Mix!$J94&lt;=XS_Designer!$BN$98,XS_Designer!BI$98,"")</f>
        <v/>
      </c>
      <c r="CB94" s="4" t="str">
        <f>IF(XS_Designer_Bed_Mix!$J94&lt;=XS_Designer!$BN$98,XS_Designer!BJ$98,"")</f>
        <v/>
      </c>
      <c r="CC94" s="4" t="str">
        <f>IF(XS_Designer_Bed_Mix!$J94&lt;=XS_Designer!$BN$99,XS_Designer!BA$99,"")</f>
        <v/>
      </c>
      <c r="CD94" s="4" t="str">
        <f>IF(XS_Designer_Bed_Mix!$J94&lt;=XS_Designer!$BN$99,XS_Designer!BB$99,"")</f>
        <v/>
      </c>
      <c r="CE94" s="4" t="str">
        <f>IF(XS_Designer_Bed_Mix!$J94&lt;=XS_Designer!$BN$99,XS_Designer!BC$99,"")</f>
        <v/>
      </c>
      <c r="CF94" s="4" t="str">
        <f>IF(XS_Designer_Bed_Mix!$J94&lt;=XS_Designer!$BN$99,XS_Designer!BD$99,"")</f>
        <v/>
      </c>
      <c r="CG94" s="4" t="str">
        <f>IF(XS_Designer_Bed_Mix!$J94&lt;=XS_Designer!$BN$99,XS_Designer!BE$99,"")</f>
        <v/>
      </c>
      <c r="CH94" s="4" t="str">
        <f>IF(XS_Designer_Bed_Mix!$J94&lt;=XS_Designer!$BN$99,XS_Designer!BF$99,"")</f>
        <v/>
      </c>
      <c r="CI94" s="4" t="str">
        <f>IF(XS_Designer_Bed_Mix!$J94&lt;=XS_Designer!$BN$99,XS_Designer!BG$99,"")</f>
        <v/>
      </c>
      <c r="CJ94" s="4" t="str">
        <f>IF(XS_Designer_Bed_Mix!$J94&lt;=XS_Designer!$BN$99,XS_Designer!BH$99,"")</f>
        <v/>
      </c>
      <c r="CK94" s="4" t="str">
        <f>IF(XS_Designer_Bed_Mix!$J94&lt;=XS_Designer!$BN$99,XS_Designer!BI$99,"")</f>
        <v/>
      </c>
      <c r="CL94" s="4" t="str">
        <f>IF(XS_Designer_Bed_Mix!$J94&lt;=XS_Designer!$BN$99,XS_Designer!BJ$99,"")</f>
        <v/>
      </c>
      <c r="CM94" s="4" t="str">
        <f>IF(XS_Designer_Bed_Mix!$J94&lt;=XS_Designer!$BN$100,XS_Designer!BA$100,"")</f>
        <v/>
      </c>
      <c r="CN94" s="4" t="str">
        <f>IF(XS_Designer_Bed_Mix!$J94&lt;=XS_Designer!$BN$100,XS_Designer!BB$100,"")</f>
        <v/>
      </c>
      <c r="CO94" s="4" t="str">
        <f>IF(XS_Designer_Bed_Mix!$J94&lt;=XS_Designer!$BN$100,XS_Designer!BC$100,"")</f>
        <v/>
      </c>
      <c r="CP94" s="4" t="str">
        <f>IF(XS_Designer_Bed_Mix!$J94&lt;=XS_Designer!$BN$100,XS_Designer!BD$100,"")</f>
        <v/>
      </c>
      <c r="CQ94" s="4" t="str">
        <f>IF(XS_Designer_Bed_Mix!$J94&lt;=XS_Designer!$BN$100,XS_Designer!BE$100,"")</f>
        <v/>
      </c>
      <c r="CR94" s="4" t="str">
        <f>IF(XS_Designer_Bed_Mix!$J94&lt;=XS_Designer!$BN$100,XS_Designer!BF$100,"")</f>
        <v/>
      </c>
      <c r="CS94" s="4" t="str">
        <f>IF(XS_Designer_Bed_Mix!$J94&lt;=XS_Designer!$BN$100,XS_Designer!BG$100,"")</f>
        <v/>
      </c>
      <c r="CT94" s="4" t="str">
        <f>IF(XS_Designer_Bed_Mix!$J94&lt;=XS_Designer!$BN$100,XS_Designer!BH$100,"")</f>
        <v/>
      </c>
      <c r="CU94" s="4" t="str">
        <f>IF(XS_Designer_Bed_Mix!$J94&lt;=XS_Designer!$BN$100,XS_Designer!BI$100,"")</f>
        <v/>
      </c>
      <c r="CV94" s="4" t="str">
        <f>IF(XS_Designer_Bed_Mix!$J94&lt;=XS_Designer!$BN$100,XS_Designer!BJ$100,"")</f>
        <v/>
      </c>
      <c r="CW94" s="4" t="str">
        <f>IF(XS_Designer_Bed_Mix!$J94&lt;=XS_Designer!$BN$101,XS_Designer!BA$101,"")</f>
        <v/>
      </c>
      <c r="CX94" s="4" t="str">
        <f>IF(XS_Designer_Bed_Mix!$J94&lt;=XS_Designer!$BN$101,XS_Designer!BB$101,"")</f>
        <v/>
      </c>
      <c r="CY94" s="4" t="str">
        <f>IF(XS_Designer_Bed_Mix!$J94&lt;=XS_Designer!$BN$101,XS_Designer!BC$101,"")</f>
        <v/>
      </c>
      <c r="CZ94" s="4" t="str">
        <f>IF(XS_Designer_Bed_Mix!$J94&lt;=XS_Designer!$BN$101,XS_Designer!BD$101,"")</f>
        <v/>
      </c>
      <c r="DA94" s="4" t="str">
        <f>IF(XS_Designer_Bed_Mix!$J94&lt;=XS_Designer!$BN$101,XS_Designer!BE$101,"")</f>
        <v/>
      </c>
      <c r="DB94" s="4" t="str">
        <f>IF(XS_Designer_Bed_Mix!$J94&lt;=XS_Designer!$BN$101,XS_Designer!BF$101,"")</f>
        <v/>
      </c>
      <c r="DC94" s="4" t="str">
        <f>IF(XS_Designer_Bed_Mix!$J94&lt;=XS_Designer!$BN$101,XS_Designer!BG$101,"")</f>
        <v/>
      </c>
      <c r="DD94" s="4" t="str">
        <f>IF(XS_Designer_Bed_Mix!$J94&lt;=XS_Designer!$BN$101,XS_Designer!BH$101,"")</f>
        <v/>
      </c>
      <c r="DE94" s="4" t="str">
        <f>IF(XS_Designer_Bed_Mix!$J94&lt;=XS_Designer!$BN$101,XS_Designer!BI$101,"")</f>
        <v/>
      </c>
      <c r="DF94" s="4" t="str">
        <f>IF(XS_Designer_Bed_Mix!$J94&lt;=XS_Designer!$BN$101,XS_Designer!BJ$101,"")</f>
        <v/>
      </c>
      <c r="DG94" s="4" t="str">
        <f>IF(XS_Designer_Bed_Mix!$J94&lt;=XS_Designer!$BN$102,XS_Designer!BA$102,"")</f>
        <v/>
      </c>
      <c r="DH94" s="4" t="str">
        <f>IF(XS_Designer_Bed_Mix!$J94&lt;=XS_Designer!$BN$102,XS_Designer!BB$102,"")</f>
        <v/>
      </c>
      <c r="DI94" s="4" t="str">
        <f>IF(XS_Designer_Bed_Mix!$J94&lt;=XS_Designer!$BN$102,XS_Designer!BC$102,"")</f>
        <v/>
      </c>
      <c r="DJ94" s="4" t="str">
        <f>IF(XS_Designer_Bed_Mix!$J94&lt;=XS_Designer!$BN$102,XS_Designer!BD$102,"")</f>
        <v/>
      </c>
      <c r="DK94" s="4" t="str">
        <f>IF(XS_Designer_Bed_Mix!$J94&lt;=XS_Designer!$BN$102,XS_Designer!BE$102,"")</f>
        <v/>
      </c>
      <c r="DL94" s="4" t="str">
        <f>IF(XS_Designer_Bed_Mix!$J94&lt;=XS_Designer!$BN$102,XS_Designer!BF$102,"")</f>
        <v/>
      </c>
      <c r="DM94" s="4" t="str">
        <f>IF(XS_Designer_Bed_Mix!$J94&lt;=XS_Designer!$BN$102,XS_Designer!BG$102,"")</f>
        <v/>
      </c>
      <c r="DN94" s="4" t="str">
        <f>IF(XS_Designer_Bed_Mix!$J94&lt;=XS_Designer!$BN$102,XS_Designer!BH$102,"")</f>
        <v/>
      </c>
      <c r="DO94" s="4" t="str">
        <f>IF(XS_Designer_Bed_Mix!$J94&lt;=XS_Designer!$BN$102,XS_Designer!BI$102,"")</f>
        <v/>
      </c>
      <c r="DP94" s="4" t="str">
        <f>IF(XS_Designer_Bed_Mix!$J94&lt;=XS_Designer!$BN$102,XS_Designer!BJ$102,"")</f>
        <v/>
      </c>
    </row>
    <row r="95" spans="10:120">
      <c r="J95" s="3">
        <v>0.94</v>
      </c>
      <c r="K95" s="4" t="str">
        <f>IF(XS_Designer_Bed_Mix!$J95&lt;=XS_Designer!$BN$92,XS_Designer!BA$92,"")</f>
        <v/>
      </c>
      <c r="L95" s="4" t="str">
        <f>IF(XS_Designer_Bed_Mix!$J95&lt;=XS_Designer!$BN$92,XS_Designer!BB$92,"")</f>
        <v/>
      </c>
      <c r="M95" s="4" t="str">
        <f>IF(XS_Designer_Bed_Mix!$J95&lt;=XS_Designer!$BN$92,XS_Designer!BC$92,"")</f>
        <v/>
      </c>
      <c r="N95" s="4" t="str">
        <f>IF(XS_Designer_Bed_Mix!$J95&lt;=XS_Designer!$BN$92,XS_Designer!BD$92,"")</f>
        <v/>
      </c>
      <c r="O95" s="4" t="str">
        <f>IF(XS_Designer_Bed_Mix!$J95&lt;=XS_Designer!$BN$92,XS_Designer!BE$92,"")</f>
        <v/>
      </c>
      <c r="P95" s="4" t="str">
        <f>IF(XS_Designer_Bed_Mix!$J95&lt;=XS_Designer!$BN$92,XS_Designer!BF$92,"")</f>
        <v/>
      </c>
      <c r="Q95" s="4" t="str">
        <f>IF(XS_Designer_Bed_Mix!$J95&lt;=XS_Designer!$BN$92,XS_Designer!BG$92,"")</f>
        <v/>
      </c>
      <c r="R95" s="4" t="str">
        <f>IF(XS_Designer_Bed_Mix!$J95&lt;=XS_Designer!$BN$92,XS_Designer!BH$92,"")</f>
        <v/>
      </c>
      <c r="S95" s="4" t="str">
        <f>IF(XS_Designer_Bed_Mix!$J95&lt;=XS_Designer!$BN$92,XS_Designer!BI$92,"")</f>
        <v/>
      </c>
      <c r="T95" s="4" t="str">
        <f>IF(XS_Designer_Bed_Mix!$J95&lt;=XS_Designer!$BN$92,XS_Designer!BJ$92,"")</f>
        <v/>
      </c>
      <c r="U95" s="4" t="str">
        <f>IF(XS_Designer_Bed_Mix!$J95&lt;=XS_Designer!$BN$93,XS_Designer!BA$93,"")</f>
        <v/>
      </c>
      <c r="V95" s="4" t="str">
        <f>IF(XS_Designer_Bed_Mix!$J95&lt;=XS_Designer!$BN$93,XS_Designer!BB$93,"")</f>
        <v/>
      </c>
      <c r="W95" s="4" t="str">
        <f>IF(XS_Designer_Bed_Mix!$J95&lt;=XS_Designer!$BN$93,XS_Designer!BC$93,"")</f>
        <v/>
      </c>
      <c r="X95" s="4" t="str">
        <f>IF(XS_Designer_Bed_Mix!$J95&lt;=XS_Designer!$BN$93,XS_Designer!BD$93,"")</f>
        <v/>
      </c>
      <c r="Y95" s="4" t="str">
        <f>IF(XS_Designer_Bed_Mix!$J95&lt;=XS_Designer!$BN$93,XS_Designer!BE$93,"")</f>
        <v/>
      </c>
      <c r="Z95" s="4" t="str">
        <f>IF(XS_Designer_Bed_Mix!$J95&lt;=XS_Designer!$BN$93,XS_Designer!BF$93,"")</f>
        <v/>
      </c>
      <c r="AA95" s="4" t="str">
        <f>IF(XS_Designer_Bed_Mix!$J95&lt;=XS_Designer!$BN$93,XS_Designer!BG$93,"")</f>
        <v/>
      </c>
      <c r="AB95" s="4" t="str">
        <f>IF(XS_Designer_Bed_Mix!$J95&lt;=XS_Designer!$BN$93,XS_Designer!BH$93,"")</f>
        <v/>
      </c>
      <c r="AC95" s="4" t="str">
        <f>IF(XS_Designer_Bed_Mix!$J95&lt;=XS_Designer!$BN$93,XS_Designer!BI$93,"")</f>
        <v/>
      </c>
      <c r="AD95" s="4" t="str">
        <f>IF(XS_Designer_Bed_Mix!$J95&lt;=XS_Designer!$BN$93,XS_Designer!BJ$93,"")</f>
        <v/>
      </c>
      <c r="AE95" s="4" t="str">
        <f>IF(XS_Designer_Bed_Mix!$J95&lt;=XS_Designer!$BN$94,XS_Designer!BA$94,"")</f>
        <v/>
      </c>
      <c r="AF95" s="4" t="str">
        <f>IF(XS_Designer_Bed_Mix!$J95&lt;=XS_Designer!$BN$94,XS_Designer!BB$94,"")</f>
        <v/>
      </c>
      <c r="AG95" s="4" t="str">
        <f>IF(XS_Designer_Bed_Mix!$J95&lt;=XS_Designer!$BN$94,XS_Designer!BC$94,"")</f>
        <v/>
      </c>
      <c r="AH95" s="4" t="str">
        <f>IF(XS_Designer_Bed_Mix!$J95&lt;=XS_Designer!$BN$94,XS_Designer!BD$94,"")</f>
        <v/>
      </c>
      <c r="AI95" s="4" t="str">
        <f>IF(XS_Designer_Bed_Mix!$J95&lt;=XS_Designer!$BN$94,XS_Designer!BE$94,"")</f>
        <v/>
      </c>
      <c r="AJ95" s="4" t="str">
        <f>IF(XS_Designer_Bed_Mix!$J95&lt;=XS_Designer!$BN$94,XS_Designer!BF$94,"")</f>
        <v/>
      </c>
      <c r="AK95" s="4" t="str">
        <f>IF(XS_Designer_Bed_Mix!$J95&lt;=XS_Designer!$BN$94,XS_Designer!BG$94,"")</f>
        <v/>
      </c>
      <c r="AL95" s="4" t="str">
        <f>IF(XS_Designer_Bed_Mix!$J95&lt;=XS_Designer!$BN$94,XS_Designer!BH$94,"")</f>
        <v/>
      </c>
      <c r="AM95" s="4" t="str">
        <f>IF(XS_Designer_Bed_Mix!$J95&lt;=XS_Designer!$BN$94,XS_Designer!BI$94,"")</f>
        <v/>
      </c>
      <c r="AN95" s="4" t="str">
        <f>IF(XS_Designer_Bed_Mix!$J95&lt;=XS_Designer!$BN$94,XS_Designer!BJ$94,"")</f>
        <v/>
      </c>
      <c r="AO95" s="4" t="str">
        <f>IF(XS_Designer_Bed_Mix!$J95&lt;=XS_Designer!$BN$95,XS_Designer!BA$95,"")</f>
        <v/>
      </c>
      <c r="AP95" s="4" t="str">
        <f>IF(XS_Designer_Bed_Mix!$J95&lt;=XS_Designer!$BN$95,XS_Designer!BB$95,"")</f>
        <v/>
      </c>
      <c r="AQ95" s="4" t="str">
        <f>IF(XS_Designer_Bed_Mix!$J95&lt;=XS_Designer!$BN$95,XS_Designer!BC$95,"")</f>
        <v/>
      </c>
      <c r="AR95" s="4" t="str">
        <f>IF(XS_Designer_Bed_Mix!$J95&lt;=XS_Designer!$BN$95,XS_Designer!BD$95,"")</f>
        <v/>
      </c>
      <c r="AS95" s="4" t="str">
        <f>IF(XS_Designer_Bed_Mix!$J95&lt;=XS_Designer!$BN$95,XS_Designer!BE$95,"")</f>
        <v/>
      </c>
      <c r="AT95" s="4" t="str">
        <f>IF(XS_Designer_Bed_Mix!$J95&lt;=XS_Designer!$BN$95,XS_Designer!BF$95,"")</f>
        <v/>
      </c>
      <c r="AU95" s="4" t="str">
        <f>IF(XS_Designer_Bed_Mix!$J95&lt;=XS_Designer!$BN$95,XS_Designer!BG$95,"")</f>
        <v/>
      </c>
      <c r="AV95" s="4" t="str">
        <f>IF(XS_Designer_Bed_Mix!$J95&lt;=XS_Designer!$BN$95,XS_Designer!BH$95,"")</f>
        <v/>
      </c>
      <c r="AW95" s="4" t="str">
        <f>IF(XS_Designer_Bed_Mix!$J95&lt;=XS_Designer!$BN$95,XS_Designer!BI$95,"")</f>
        <v/>
      </c>
      <c r="AX95" s="4" t="str">
        <f>IF(XS_Designer_Bed_Mix!$J95&lt;=XS_Designer!$BN$95,XS_Designer!BJ$95,"")</f>
        <v/>
      </c>
      <c r="AY95" s="4" t="str">
        <f>IF(XS_Designer_Bed_Mix!$J95&lt;=XS_Designer!$BN$96,XS_Designer!BA$96,"")</f>
        <v/>
      </c>
      <c r="AZ95" s="4" t="str">
        <f>IF(XS_Designer_Bed_Mix!$J95&lt;=XS_Designer!$BN$96,XS_Designer!BB$96,"")</f>
        <v/>
      </c>
      <c r="BA95" s="4" t="str">
        <f>IF(XS_Designer_Bed_Mix!$J95&lt;=XS_Designer!$BN$96,XS_Designer!BC$96,"")</f>
        <v/>
      </c>
      <c r="BB95" s="4" t="str">
        <f>IF(XS_Designer_Bed_Mix!$J95&lt;=XS_Designer!$BN$96,XS_Designer!BD$96,"")</f>
        <v/>
      </c>
      <c r="BC95" s="4" t="str">
        <f>IF(XS_Designer_Bed_Mix!$J95&lt;=XS_Designer!$BN$96,XS_Designer!BE$96,"")</f>
        <v/>
      </c>
      <c r="BD95" s="4" t="str">
        <f>IF(XS_Designer_Bed_Mix!$J95&lt;=XS_Designer!$BN$96,XS_Designer!BF$96,"")</f>
        <v/>
      </c>
      <c r="BE95" s="4" t="str">
        <f>IF(XS_Designer_Bed_Mix!$J95&lt;=XS_Designer!$BN$96,XS_Designer!BG$96,"")</f>
        <v/>
      </c>
      <c r="BF95" s="4" t="str">
        <f>IF(XS_Designer_Bed_Mix!$J95&lt;=XS_Designer!$BN$96,XS_Designer!BH$96,"")</f>
        <v/>
      </c>
      <c r="BG95" s="4" t="str">
        <f>IF(XS_Designer_Bed_Mix!$J95&lt;=XS_Designer!$BN$96,XS_Designer!BI$96,"")</f>
        <v/>
      </c>
      <c r="BH95" s="4" t="str">
        <f>IF(XS_Designer_Bed_Mix!$J95&lt;=XS_Designer!$BN$96,XS_Designer!BJ$96,"")</f>
        <v/>
      </c>
      <c r="BI95" s="4" t="str">
        <f>IF(XS_Designer_Bed_Mix!$J95&lt;=XS_Designer!$BN$97,XS_Designer!BA$97,"")</f>
        <v/>
      </c>
      <c r="BJ95" s="4" t="str">
        <f>IF(XS_Designer_Bed_Mix!$J95&lt;=XS_Designer!$BN$97,XS_Designer!BB$97,"")</f>
        <v/>
      </c>
      <c r="BK95" s="4" t="str">
        <f>IF(XS_Designer_Bed_Mix!$J95&lt;=XS_Designer!$BN$97,XS_Designer!BC$97,"")</f>
        <v/>
      </c>
      <c r="BL95" s="4" t="str">
        <f>IF(XS_Designer_Bed_Mix!$J95&lt;=XS_Designer!$BN$97,XS_Designer!BD$97,"")</f>
        <v/>
      </c>
      <c r="BM95" s="4" t="str">
        <f>IF(XS_Designer_Bed_Mix!$J95&lt;=XS_Designer!$BN$97,XS_Designer!BE$97,"")</f>
        <v/>
      </c>
      <c r="BN95" s="4" t="str">
        <f>IF(XS_Designer_Bed_Mix!$J95&lt;=XS_Designer!$BN$97,XS_Designer!BF$97,"")</f>
        <v/>
      </c>
      <c r="BO95" s="4" t="str">
        <f>IF(XS_Designer_Bed_Mix!$J95&lt;=XS_Designer!$BN$97,XS_Designer!BG$97,"")</f>
        <v/>
      </c>
      <c r="BP95" s="4" t="str">
        <f>IF(XS_Designer_Bed_Mix!$J95&lt;=XS_Designer!$BN$97,XS_Designer!BH$97,"")</f>
        <v/>
      </c>
      <c r="BQ95" s="4" t="str">
        <f>IF(XS_Designer_Bed_Mix!$J95&lt;=XS_Designer!$BN$97,XS_Designer!BI$97,"")</f>
        <v/>
      </c>
      <c r="BR95" s="4" t="str">
        <f>IF(XS_Designer_Bed_Mix!$J95&lt;=XS_Designer!$BN$97,XS_Designer!BJ$97,"")</f>
        <v/>
      </c>
      <c r="BS95" s="4" t="str">
        <f>IF(XS_Designer_Bed_Mix!$J95&lt;=XS_Designer!$BN$98,XS_Designer!BA$98,"")</f>
        <v/>
      </c>
      <c r="BT95" s="4" t="str">
        <f>IF(XS_Designer_Bed_Mix!$J95&lt;=XS_Designer!$BN$98,XS_Designer!BB$98,"")</f>
        <v/>
      </c>
      <c r="BU95" s="4" t="str">
        <f>IF(XS_Designer_Bed_Mix!$J95&lt;=XS_Designer!$BN$98,XS_Designer!BC$98,"")</f>
        <v/>
      </c>
      <c r="BV95" s="4" t="str">
        <f>IF(XS_Designer_Bed_Mix!$J95&lt;=XS_Designer!$BN$98,XS_Designer!BD$98,"")</f>
        <v/>
      </c>
      <c r="BW95" s="4" t="str">
        <f>IF(XS_Designer_Bed_Mix!$J95&lt;=XS_Designer!$BN$98,XS_Designer!BE$98,"")</f>
        <v/>
      </c>
      <c r="BX95" s="4" t="str">
        <f>IF(XS_Designer_Bed_Mix!$J95&lt;=XS_Designer!$BN$98,XS_Designer!BF$98,"")</f>
        <v/>
      </c>
      <c r="BY95" s="4" t="str">
        <f>IF(XS_Designer_Bed_Mix!$J95&lt;=XS_Designer!$BN$98,XS_Designer!BG$98,"")</f>
        <v/>
      </c>
      <c r="BZ95" s="4" t="str">
        <f>IF(XS_Designer_Bed_Mix!$J95&lt;=XS_Designer!$BN$98,XS_Designer!BH$98,"")</f>
        <v/>
      </c>
      <c r="CA95" s="4" t="str">
        <f>IF(XS_Designer_Bed_Mix!$J95&lt;=XS_Designer!$BN$98,XS_Designer!BI$98,"")</f>
        <v/>
      </c>
      <c r="CB95" s="4" t="str">
        <f>IF(XS_Designer_Bed_Mix!$J95&lt;=XS_Designer!$BN$98,XS_Designer!BJ$98,"")</f>
        <v/>
      </c>
      <c r="CC95" s="4" t="str">
        <f>IF(XS_Designer_Bed_Mix!$J95&lt;=XS_Designer!$BN$99,XS_Designer!BA$99,"")</f>
        <v/>
      </c>
      <c r="CD95" s="4" t="str">
        <f>IF(XS_Designer_Bed_Mix!$J95&lt;=XS_Designer!$BN$99,XS_Designer!BB$99,"")</f>
        <v/>
      </c>
      <c r="CE95" s="4" t="str">
        <f>IF(XS_Designer_Bed_Mix!$J95&lt;=XS_Designer!$BN$99,XS_Designer!BC$99,"")</f>
        <v/>
      </c>
      <c r="CF95" s="4" t="str">
        <f>IF(XS_Designer_Bed_Mix!$J95&lt;=XS_Designer!$BN$99,XS_Designer!BD$99,"")</f>
        <v/>
      </c>
      <c r="CG95" s="4" t="str">
        <f>IF(XS_Designer_Bed_Mix!$J95&lt;=XS_Designer!$BN$99,XS_Designer!BE$99,"")</f>
        <v/>
      </c>
      <c r="CH95" s="4" t="str">
        <f>IF(XS_Designer_Bed_Mix!$J95&lt;=XS_Designer!$BN$99,XS_Designer!BF$99,"")</f>
        <v/>
      </c>
      <c r="CI95" s="4" t="str">
        <f>IF(XS_Designer_Bed_Mix!$J95&lt;=XS_Designer!$BN$99,XS_Designer!BG$99,"")</f>
        <v/>
      </c>
      <c r="CJ95" s="4" t="str">
        <f>IF(XS_Designer_Bed_Mix!$J95&lt;=XS_Designer!$BN$99,XS_Designer!BH$99,"")</f>
        <v/>
      </c>
      <c r="CK95" s="4" t="str">
        <f>IF(XS_Designer_Bed_Mix!$J95&lt;=XS_Designer!$BN$99,XS_Designer!BI$99,"")</f>
        <v/>
      </c>
      <c r="CL95" s="4" t="str">
        <f>IF(XS_Designer_Bed_Mix!$J95&lt;=XS_Designer!$BN$99,XS_Designer!BJ$99,"")</f>
        <v/>
      </c>
      <c r="CM95" s="4" t="str">
        <f>IF(XS_Designer_Bed_Mix!$J95&lt;=XS_Designer!$BN$100,XS_Designer!BA$100,"")</f>
        <v/>
      </c>
      <c r="CN95" s="4" t="str">
        <f>IF(XS_Designer_Bed_Mix!$J95&lt;=XS_Designer!$BN$100,XS_Designer!BB$100,"")</f>
        <v/>
      </c>
      <c r="CO95" s="4" t="str">
        <f>IF(XS_Designer_Bed_Mix!$J95&lt;=XS_Designer!$BN$100,XS_Designer!BC$100,"")</f>
        <v/>
      </c>
      <c r="CP95" s="4" t="str">
        <f>IF(XS_Designer_Bed_Mix!$J95&lt;=XS_Designer!$BN$100,XS_Designer!BD$100,"")</f>
        <v/>
      </c>
      <c r="CQ95" s="4" t="str">
        <f>IF(XS_Designer_Bed_Mix!$J95&lt;=XS_Designer!$BN$100,XS_Designer!BE$100,"")</f>
        <v/>
      </c>
      <c r="CR95" s="4" t="str">
        <f>IF(XS_Designer_Bed_Mix!$J95&lt;=XS_Designer!$BN$100,XS_Designer!BF$100,"")</f>
        <v/>
      </c>
      <c r="CS95" s="4" t="str">
        <f>IF(XS_Designer_Bed_Mix!$J95&lt;=XS_Designer!$BN$100,XS_Designer!BG$100,"")</f>
        <v/>
      </c>
      <c r="CT95" s="4" t="str">
        <f>IF(XS_Designer_Bed_Mix!$J95&lt;=XS_Designer!$BN$100,XS_Designer!BH$100,"")</f>
        <v/>
      </c>
      <c r="CU95" s="4" t="str">
        <f>IF(XS_Designer_Bed_Mix!$J95&lt;=XS_Designer!$BN$100,XS_Designer!BI$100,"")</f>
        <v/>
      </c>
      <c r="CV95" s="4" t="str">
        <f>IF(XS_Designer_Bed_Mix!$J95&lt;=XS_Designer!$BN$100,XS_Designer!BJ$100,"")</f>
        <v/>
      </c>
      <c r="CW95" s="4" t="str">
        <f>IF(XS_Designer_Bed_Mix!$J95&lt;=XS_Designer!$BN$101,XS_Designer!BA$101,"")</f>
        <v/>
      </c>
      <c r="CX95" s="4" t="str">
        <f>IF(XS_Designer_Bed_Mix!$J95&lt;=XS_Designer!$BN$101,XS_Designer!BB$101,"")</f>
        <v/>
      </c>
      <c r="CY95" s="4" t="str">
        <f>IF(XS_Designer_Bed_Mix!$J95&lt;=XS_Designer!$BN$101,XS_Designer!BC$101,"")</f>
        <v/>
      </c>
      <c r="CZ95" s="4" t="str">
        <f>IF(XS_Designer_Bed_Mix!$J95&lt;=XS_Designer!$BN$101,XS_Designer!BD$101,"")</f>
        <v/>
      </c>
      <c r="DA95" s="4" t="str">
        <f>IF(XS_Designer_Bed_Mix!$J95&lt;=XS_Designer!$BN$101,XS_Designer!BE$101,"")</f>
        <v/>
      </c>
      <c r="DB95" s="4" t="str">
        <f>IF(XS_Designer_Bed_Mix!$J95&lt;=XS_Designer!$BN$101,XS_Designer!BF$101,"")</f>
        <v/>
      </c>
      <c r="DC95" s="4" t="str">
        <f>IF(XS_Designer_Bed_Mix!$J95&lt;=XS_Designer!$BN$101,XS_Designer!BG$101,"")</f>
        <v/>
      </c>
      <c r="DD95" s="4" t="str">
        <f>IF(XS_Designer_Bed_Mix!$J95&lt;=XS_Designer!$BN$101,XS_Designer!BH$101,"")</f>
        <v/>
      </c>
      <c r="DE95" s="4" t="str">
        <f>IF(XS_Designer_Bed_Mix!$J95&lt;=XS_Designer!$BN$101,XS_Designer!BI$101,"")</f>
        <v/>
      </c>
      <c r="DF95" s="4" t="str">
        <f>IF(XS_Designer_Bed_Mix!$J95&lt;=XS_Designer!$BN$101,XS_Designer!BJ$101,"")</f>
        <v/>
      </c>
      <c r="DG95" s="4" t="str">
        <f>IF(XS_Designer_Bed_Mix!$J95&lt;=XS_Designer!$BN$102,XS_Designer!BA$102,"")</f>
        <v/>
      </c>
      <c r="DH95" s="4" t="str">
        <f>IF(XS_Designer_Bed_Mix!$J95&lt;=XS_Designer!$BN$102,XS_Designer!BB$102,"")</f>
        <v/>
      </c>
      <c r="DI95" s="4" t="str">
        <f>IF(XS_Designer_Bed_Mix!$J95&lt;=XS_Designer!$BN$102,XS_Designer!BC$102,"")</f>
        <v/>
      </c>
      <c r="DJ95" s="4" t="str">
        <f>IF(XS_Designer_Bed_Mix!$J95&lt;=XS_Designer!$BN$102,XS_Designer!BD$102,"")</f>
        <v/>
      </c>
      <c r="DK95" s="4" t="str">
        <f>IF(XS_Designer_Bed_Mix!$J95&lt;=XS_Designer!$BN$102,XS_Designer!BE$102,"")</f>
        <v/>
      </c>
      <c r="DL95" s="4" t="str">
        <f>IF(XS_Designer_Bed_Mix!$J95&lt;=XS_Designer!$BN$102,XS_Designer!BF$102,"")</f>
        <v/>
      </c>
      <c r="DM95" s="4" t="str">
        <f>IF(XS_Designer_Bed_Mix!$J95&lt;=XS_Designer!$BN$102,XS_Designer!BG$102,"")</f>
        <v/>
      </c>
      <c r="DN95" s="4" t="str">
        <f>IF(XS_Designer_Bed_Mix!$J95&lt;=XS_Designer!$BN$102,XS_Designer!BH$102,"")</f>
        <v/>
      </c>
      <c r="DO95" s="4" t="str">
        <f>IF(XS_Designer_Bed_Mix!$J95&lt;=XS_Designer!$BN$102,XS_Designer!BI$102,"")</f>
        <v/>
      </c>
      <c r="DP95" s="4" t="str">
        <f>IF(XS_Designer_Bed_Mix!$J95&lt;=XS_Designer!$BN$102,XS_Designer!BJ$102,"")</f>
        <v/>
      </c>
    </row>
    <row r="96" spans="10:120">
      <c r="J96" s="3">
        <v>0.95</v>
      </c>
      <c r="K96" s="4" t="str">
        <f>IF(XS_Designer_Bed_Mix!$J96&lt;=XS_Designer!$BN$92,XS_Designer!BA$92,"")</f>
        <v/>
      </c>
      <c r="L96" s="4" t="str">
        <f>IF(XS_Designer_Bed_Mix!$J96&lt;=XS_Designer!$BN$92,XS_Designer!BB$92,"")</f>
        <v/>
      </c>
      <c r="M96" s="4" t="str">
        <f>IF(XS_Designer_Bed_Mix!$J96&lt;=XS_Designer!$BN$92,XS_Designer!BC$92,"")</f>
        <v/>
      </c>
      <c r="N96" s="4" t="str">
        <f>IF(XS_Designer_Bed_Mix!$J96&lt;=XS_Designer!$BN$92,XS_Designer!BD$92,"")</f>
        <v/>
      </c>
      <c r="O96" s="4" t="str">
        <f>IF(XS_Designer_Bed_Mix!$J96&lt;=XS_Designer!$BN$92,XS_Designer!BE$92,"")</f>
        <v/>
      </c>
      <c r="P96" s="4" t="str">
        <f>IF(XS_Designer_Bed_Mix!$J96&lt;=XS_Designer!$BN$92,XS_Designer!BF$92,"")</f>
        <v/>
      </c>
      <c r="Q96" s="4" t="str">
        <f>IF(XS_Designer_Bed_Mix!$J96&lt;=XS_Designer!$BN$92,XS_Designer!BG$92,"")</f>
        <v/>
      </c>
      <c r="R96" s="4" t="str">
        <f>IF(XS_Designer_Bed_Mix!$J96&lt;=XS_Designer!$BN$92,XS_Designer!BH$92,"")</f>
        <v/>
      </c>
      <c r="S96" s="4" t="str">
        <f>IF(XS_Designer_Bed_Mix!$J96&lt;=XS_Designer!$BN$92,XS_Designer!BI$92,"")</f>
        <v/>
      </c>
      <c r="T96" s="4" t="str">
        <f>IF(XS_Designer_Bed_Mix!$J96&lt;=XS_Designer!$BN$92,XS_Designer!BJ$92,"")</f>
        <v/>
      </c>
      <c r="U96" s="4" t="str">
        <f>IF(XS_Designer_Bed_Mix!$J96&lt;=XS_Designer!$BN$93,XS_Designer!BA$93,"")</f>
        <v/>
      </c>
      <c r="V96" s="4" t="str">
        <f>IF(XS_Designer_Bed_Mix!$J96&lt;=XS_Designer!$BN$93,XS_Designer!BB$93,"")</f>
        <v/>
      </c>
      <c r="W96" s="4" t="str">
        <f>IF(XS_Designer_Bed_Mix!$J96&lt;=XS_Designer!$BN$93,XS_Designer!BC$93,"")</f>
        <v/>
      </c>
      <c r="X96" s="4" t="str">
        <f>IF(XS_Designer_Bed_Mix!$J96&lt;=XS_Designer!$BN$93,XS_Designer!BD$93,"")</f>
        <v/>
      </c>
      <c r="Y96" s="4" t="str">
        <f>IF(XS_Designer_Bed_Mix!$J96&lt;=XS_Designer!$BN$93,XS_Designer!BE$93,"")</f>
        <v/>
      </c>
      <c r="Z96" s="4" t="str">
        <f>IF(XS_Designer_Bed_Mix!$J96&lt;=XS_Designer!$BN$93,XS_Designer!BF$93,"")</f>
        <v/>
      </c>
      <c r="AA96" s="4" t="str">
        <f>IF(XS_Designer_Bed_Mix!$J96&lt;=XS_Designer!$BN$93,XS_Designer!BG$93,"")</f>
        <v/>
      </c>
      <c r="AB96" s="4" t="str">
        <f>IF(XS_Designer_Bed_Mix!$J96&lt;=XS_Designer!$BN$93,XS_Designer!BH$93,"")</f>
        <v/>
      </c>
      <c r="AC96" s="4" t="str">
        <f>IF(XS_Designer_Bed_Mix!$J96&lt;=XS_Designer!$BN$93,XS_Designer!BI$93,"")</f>
        <v/>
      </c>
      <c r="AD96" s="4" t="str">
        <f>IF(XS_Designer_Bed_Mix!$J96&lt;=XS_Designer!$BN$93,XS_Designer!BJ$93,"")</f>
        <v/>
      </c>
      <c r="AE96" s="4" t="str">
        <f>IF(XS_Designer_Bed_Mix!$J96&lt;=XS_Designer!$BN$94,XS_Designer!BA$94,"")</f>
        <v/>
      </c>
      <c r="AF96" s="4" t="str">
        <f>IF(XS_Designer_Bed_Mix!$J96&lt;=XS_Designer!$BN$94,XS_Designer!BB$94,"")</f>
        <v/>
      </c>
      <c r="AG96" s="4" t="str">
        <f>IF(XS_Designer_Bed_Mix!$J96&lt;=XS_Designer!$BN$94,XS_Designer!BC$94,"")</f>
        <v/>
      </c>
      <c r="AH96" s="4" t="str">
        <f>IF(XS_Designer_Bed_Mix!$J96&lt;=XS_Designer!$BN$94,XS_Designer!BD$94,"")</f>
        <v/>
      </c>
      <c r="AI96" s="4" t="str">
        <f>IF(XS_Designer_Bed_Mix!$J96&lt;=XS_Designer!$BN$94,XS_Designer!BE$94,"")</f>
        <v/>
      </c>
      <c r="AJ96" s="4" t="str">
        <f>IF(XS_Designer_Bed_Mix!$J96&lt;=XS_Designer!$BN$94,XS_Designer!BF$94,"")</f>
        <v/>
      </c>
      <c r="AK96" s="4" t="str">
        <f>IF(XS_Designer_Bed_Mix!$J96&lt;=XS_Designer!$BN$94,XS_Designer!BG$94,"")</f>
        <v/>
      </c>
      <c r="AL96" s="4" t="str">
        <f>IF(XS_Designer_Bed_Mix!$J96&lt;=XS_Designer!$BN$94,XS_Designer!BH$94,"")</f>
        <v/>
      </c>
      <c r="AM96" s="4" t="str">
        <f>IF(XS_Designer_Bed_Mix!$J96&lt;=XS_Designer!$BN$94,XS_Designer!BI$94,"")</f>
        <v/>
      </c>
      <c r="AN96" s="4" t="str">
        <f>IF(XS_Designer_Bed_Mix!$J96&lt;=XS_Designer!$BN$94,XS_Designer!BJ$94,"")</f>
        <v/>
      </c>
      <c r="AO96" s="4" t="str">
        <f>IF(XS_Designer_Bed_Mix!$J96&lt;=XS_Designer!$BN$95,XS_Designer!BA$95,"")</f>
        <v/>
      </c>
      <c r="AP96" s="4" t="str">
        <f>IF(XS_Designer_Bed_Mix!$J96&lt;=XS_Designer!$BN$95,XS_Designer!BB$95,"")</f>
        <v/>
      </c>
      <c r="AQ96" s="4" t="str">
        <f>IF(XS_Designer_Bed_Mix!$J96&lt;=XS_Designer!$BN$95,XS_Designer!BC$95,"")</f>
        <v/>
      </c>
      <c r="AR96" s="4" t="str">
        <f>IF(XS_Designer_Bed_Mix!$J96&lt;=XS_Designer!$BN$95,XS_Designer!BD$95,"")</f>
        <v/>
      </c>
      <c r="AS96" s="4" t="str">
        <f>IF(XS_Designer_Bed_Mix!$J96&lt;=XS_Designer!$BN$95,XS_Designer!BE$95,"")</f>
        <v/>
      </c>
      <c r="AT96" s="4" t="str">
        <f>IF(XS_Designer_Bed_Mix!$J96&lt;=XS_Designer!$BN$95,XS_Designer!BF$95,"")</f>
        <v/>
      </c>
      <c r="AU96" s="4" t="str">
        <f>IF(XS_Designer_Bed_Mix!$J96&lt;=XS_Designer!$BN$95,XS_Designer!BG$95,"")</f>
        <v/>
      </c>
      <c r="AV96" s="4" t="str">
        <f>IF(XS_Designer_Bed_Mix!$J96&lt;=XS_Designer!$BN$95,XS_Designer!BH$95,"")</f>
        <v/>
      </c>
      <c r="AW96" s="4" t="str">
        <f>IF(XS_Designer_Bed_Mix!$J96&lt;=XS_Designer!$BN$95,XS_Designer!BI$95,"")</f>
        <v/>
      </c>
      <c r="AX96" s="4" t="str">
        <f>IF(XS_Designer_Bed_Mix!$J96&lt;=XS_Designer!$BN$95,XS_Designer!BJ$95,"")</f>
        <v/>
      </c>
      <c r="AY96" s="4" t="str">
        <f>IF(XS_Designer_Bed_Mix!$J96&lt;=XS_Designer!$BN$96,XS_Designer!BA$96,"")</f>
        <v/>
      </c>
      <c r="AZ96" s="4" t="str">
        <f>IF(XS_Designer_Bed_Mix!$J96&lt;=XS_Designer!$BN$96,XS_Designer!BB$96,"")</f>
        <v/>
      </c>
      <c r="BA96" s="4" t="str">
        <f>IF(XS_Designer_Bed_Mix!$J96&lt;=XS_Designer!$BN$96,XS_Designer!BC$96,"")</f>
        <v/>
      </c>
      <c r="BB96" s="4" t="str">
        <f>IF(XS_Designer_Bed_Mix!$J96&lt;=XS_Designer!$BN$96,XS_Designer!BD$96,"")</f>
        <v/>
      </c>
      <c r="BC96" s="4" t="str">
        <f>IF(XS_Designer_Bed_Mix!$J96&lt;=XS_Designer!$BN$96,XS_Designer!BE$96,"")</f>
        <v/>
      </c>
      <c r="BD96" s="4" t="str">
        <f>IF(XS_Designer_Bed_Mix!$J96&lt;=XS_Designer!$BN$96,XS_Designer!BF$96,"")</f>
        <v/>
      </c>
      <c r="BE96" s="4" t="str">
        <f>IF(XS_Designer_Bed_Mix!$J96&lt;=XS_Designer!$BN$96,XS_Designer!BG$96,"")</f>
        <v/>
      </c>
      <c r="BF96" s="4" t="str">
        <f>IF(XS_Designer_Bed_Mix!$J96&lt;=XS_Designer!$BN$96,XS_Designer!BH$96,"")</f>
        <v/>
      </c>
      <c r="BG96" s="4" t="str">
        <f>IF(XS_Designer_Bed_Mix!$J96&lt;=XS_Designer!$BN$96,XS_Designer!BI$96,"")</f>
        <v/>
      </c>
      <c r="BH96" s="4" t="str">
        <f>IF(XS_Designer_Bed_Mix!$J96&lt;=XS_Designer!$BN$96,XS_Designer!BJ$96,"")</f>
        <v/>
      </c>
      <c r="BI96" s="4" t="str">
        <f>IF(XS_Designer_Bed_Mix!$J96&lt;=XS_Designer!$BN$97,XS_Designer!BA$97,"")</f>
        <v/>
      </c>
      <c r="BJ96" s="4" t="str">
        <f>IF(XS_Designer_Bed_Mix!$J96&lt;=XS_Designer!$BN$97,XS_Designer!BB$97,"")</f>
        <v/>
      </c>
      <c r="BK96" s="4" t="str">
        <f>IF(XS_Designer_Bed_Mix!$J96&lt;=XS_Designer!$BN$97,XS_Designer!BC$97,"")</f>
        <v/>
      </c>
      <c r="BL96" s="4" t="str">
        <f>IF(XS_Designer_Bed_Mix!$J96&lt;=XS_Designer!$BN$97,XS_Designer!BD$97,"")</f>
        <v/>
      </c>
      <c r="BM96" s="4" t="str">
        <f>IF(XS_Designer_Bed_Mix!$J96&lt;=XS_Designer!$BN$97,XS_Designer!BE$97,"")</f>
        <v/>
      </c>
      <c r="BN96" s="4" t="str">
        <f>IF(XS_Designer_Bed_Mix!$J96&lt;=XS_Designer!$BN$97,XS_Designer!BF$97,"")</f>
        <v/>
      </c>
      <c r="BO96" s="4" t="str">
        <f>IF(XS_Designer_Bed_Mix!$J96&lt;=XS_Designer!$BN$97,XS_Designer!BG$97,"")</f>
        <v/>
      </c>
      <c r="BP96" s="4" t="str">
        <f>IF(XS_Designer_Bed_Mix!$J96&lt;=XS_Designer!$BN$97,XS_Designer!BH$97,"")</f>
        <v/>
      </c>
      <c r="BQ96" s="4" t="str">
        <f>IF(XS_Designer_Bed_Mix!$J96&lt;=XS_Designer!$BN$97,XS_Designer!BI$97,"")</f>
        <v/>
      </c>
      <c r="BR96" s="4" t="str">
        <f>IF(XS_Designer_Bed_Mix!$J96&lt;=XS_Designer!$BN$97,XS_Designer!BJ$97,"")</f>
        <v/>
      </c>
      <c r="BS96" s="4" t="str">
        <f>IF(XS_Designer_Bed_Mix!$J96&lt;=XS_Designer!$BN$98,XS_Designer!BA$98,"")</f>
        <v/>
      </c>
      <c r="BT96" s="4" t="str">
        <f>IF(XS_Designer_Bed_Mix!$J96&lt;=XS_Designer!$BN$98,XS_Designer!BB$98,"")</f>
        <v/>
      </c>
      <c r="BU96" s="4" t="str">
        <f>IF(XS_Designer_Bed_Mix!$J96&lt;=XS_Designer!$BN$98,XS_Designer!BC$98,"")</f>
        <v/>
      </c>
      <c r="BV96" s="4" t="str">
        <f>IF(XS_Designer_Bed_Mix!$J96&lt;=XS_Designer!$BN$98,XS_Designer!BD$98,"")</f>
        <v/>
      </c>
      <c r="BW96" s="4" t="str">
        <f>IF(XS_Designer_Bed_Mix!$J96&lt;=XS_Designer!$BN$98,XS_Designer!BE$98,"")</f>
        <v/>
      </c>
      <c r="BX96" s="4" t="str">
        <f>IF(XS_Designer_Bed_Mix!$J96&lt;=XS_Designer!$BN$98,XS_Designer!BF$98,"")</f>
        <v/>
      </c>
      <c r="BY96" s="4" t="str">
        <f>IF(XS_Designer_Bed_Mix!$J96&lt;=XS_Designer!$BN$98,XS_Designer!BG$98,"")</f>
        <v/>
      </c>
      <c r="BZ96" s="4" t="str">
        <f>IF(XS_Designer_Bed_Mix!$J96&lt;=XS_Designer!$BN$98,XS_Designer!BH$98,"")</f>
        <v/>
      </c>
      <c r="CA96" s="4" t="str">
        <f>IF(XS_Designer_Bed_Mix!$J96&lt;=XS_Designer!$BN$98,XS_Designer!BI$98,"")</f>
        <v/>
      </c>
      <c r="CB96" s="4" t="str">
        <f>IF(XS_Designer_Bed_Mix!$J96&lt;=XS_Designer!$BN$98,XS_Designer!BJ$98,"")</f>
        <v/>
      </c>
      <c r="CC96" s="4" t="str">
        <f>IF(XS_Designer_Bed_Mix!$J96&lt;=XS_Designer!$BN$99,XS_Designer!BA$99,"")</f>
        <v/>
      </c>
      <c r="CD96" s="4" t="str">
        <f>IF(XS_Designer_Bed_Mix!$J96&lt;=XS_Designer!$BN$99,XS_Designer!BB$99,"")</f>
        <v/>
      </c>
      <c r="CE96" s="4" t="str">
        <f>IF(XS_Designer_Bed_Mix!$J96&lt;=XS_Designer!$BN$99,XS_Designer!BC$99,"")</f>
        <v/>
      </c>
      <c r="CF96" s="4" t="str">
        <f>IF(XS_Designer_Bed_Mix!$J96&lt;=XS_Designer!$BN$99,XS_Designer!BD$99,"")</f>
        <v/>
      </c>
      <c r="CG96" s="4" t="str">
        <f>IF(XS_Designer_Bed_Mix!$J96&lt;=XS_Designer!$BN$99,XS_Designer!BE$99,"")</f>
        <v/>
      </c>
      <c r="CH96" s="4" t="str">
        <f>IF(XS_Designer_Bed_Mix!$J96&lt;=XS_Designer!$BN$99,XS_Designer!BF$99,"")</f>
        <v/>
      </c>
      <c r="CI96" s="4" t="str">
        <f>IF(XS_Designer_Bed_Mix!$J96&lt;=XS_Designer!$BN$99,XS_Designer!BG$99,"")</f>
        <v/>
      </c>
      <c r="CJ96" s="4" t="str">
        <f>IF(XS_Designer_Bed_Mix!$J96&lt;=XS_Designer!$BN$99,XS_Designer!BH$99,"")</f>
        <v/>
      </c>
      <c r="CK96" s="4" t="str">
        <f>IF(XS_Designer_Bed_Mix!$J96&lt;=XS_Designer!$BN$99,XS_Designer!BI$99,"")</f>
        <v/>
      </c>
      <c r="CL96" s="4" t="str">
        <f>IF(XS_Designer_Bed_Mix!$J96&lt;=XS_Designer!$BN$99,XS_Designer!BJ$99,"")</f>
        <v/>
      </c>
      <c r="CM96" s="4" t="str">
        <f>IF(XS_Designer_Bed_Mix!$J96&lt;=XS_Designer!$BN$100,XS_Designer!BA$100,"")</f>
        <v/>
      </c>
      <c r="CN96" s="4" t="str">
        <f>IF(XS_Designer_Bed_Mix!$J96&lt;=XS_Designer!$BN$100,XS_Designer!BB$100,"")</f>
        <v/>
      </c>
      <c r="CO96" s="4" t="str">
        <f>IF(XS_Designer_Bed_Mix!$J96&lt;=XS_Designer!$BN$100,XS_Designer!BC$100,"")</f>
        <v/>
      </c>
      <c r="CP96" s="4" t="str">
        <f>IF(XS_Designer_Bed_Mix!$J96&lt;=XS_Designer!$BN$100,XS_Designer!BD$100,"")</f>
        <v/>
      </c>
      <c r="CQ96" s="4" t="str">
        <f>IF(XS_Designer_Bed_Mix!$J96&lt;=XS_Designer!$BN$100,XS_Designer!BE$100,"")</f>
        <v/>
      </c>
      <c r="CR96" s="4" t="str">
        <f>IF(XS_Designer_Bed_Mix!$J96&lt;=XS_Designer!$BN$100,XS_Designer!BF$100,"")</f>
        <v/>
      </c>
      <c r="CS96" s="4" t="str">
        <f>IF(XS_Designer_Bed_Mix!$J96&lt;=XS_Designer!$BN$100,XS_Designer!BG$100,"")</f>
        <v/>
      </c>
      <c r="CT96" s="4" t="str">
        <f>IF(XS_Designer_Bed_Mix!$J96&lt;=XS_Designer!$BN$100,XS_Designer!BH$100,"")</f>
        <v/>
      </c>
      <c r="CU96" s="4" t="str">
        <f>IF(XS_Designer_Bed_Mix!$J96&lt;=XS_Designer!$BN$100,XS_Designer!BI$100,"")</f>
        <v/>
      </c>
      <c r="CV96" s="4" t="str">
        <f>IF(XS_Designer_Bed_Mix!$J96&lt;=XS_Designer!$BN$100,XS_Designer!BJ$100,"")</f>
        <v/>
      </c>
      <c r="CW96" s="4" t="str">
        <f>IF(XS_Designer_Bed_Mix!$J96&lt;=XS_Designer!$BN$101,XS_Designer!BA$101,"")</f>
        <v/>
      </c>
      <c r="CX96" s="4" t="str">
        <f>IF(XS_Designer_Bed_Mix!$J96&lt;=XS_Designer!$BN$101,XS_Designer!BB$101,"")</f>
        <v/>
      </c>
      <c r="CY96" s="4" t="str">
        <f>IF(XS_Designer_Bed_Mix!$J96&lt;=XS_Designer!$BN$101,XS_Designer!BC$101,"")</f>
        <v/>
      </c>
      <c r="CZ96" s="4" t="str">
        <f>IF(XS_Designer_Bed_Mix!$J96&lt;=XS_Designer!$BN$101,XS_Designer!BD$101,"")</f>
        <v/>
      </c>
      <c r="DA96" s="4" t="str">
        <f>IF(XS_Designer_Bed_Mix!$J96&lt;=XS_Designer!$BN$101,XS_Designer!BE$101,"")</f>
        <v/>
      </c>
      <c r="DB96" s="4" t="str">
        <f>IF(XS_Designer_Bed_Mix!$J96&lt;=XS_Designer!$BN$101,XS_Designer!BF$101,"")</f>
        <v/>
      </c>
      <c r="DC96" s="4" t="str">
        <f>IF(XS_Designer_Bed_Mix!$J96&lt;=XS_Designer!$BN$101,XS_Designer!BG$101,"")</f>
        <v/>
      </c>
      <c r="DD96" s="4" t="str">
        <f>IF(XS_Designer_Bed_Mix!$J96&lt;=XS_Designer!$BN$101,XS_Designer!BH$101,"")</f>
        <v/>
      </c>
      <c r="DE96" s="4" t="str">
        <f>IF(XS_Designer_Bed_Mix!$J96&lt;=XS_Designer!$BN$101,XS_Designer!BI$101,"")</f>
        <v/>
      </c>
      <c r="DF96" s="4" t="str">
        <f>IF(XS_Designer_Bed_Mix!$J96&lt;=XS_Designer!$BN$101,XS_Designer!BJ$101,"")</f>
        <v/>
      </c>
      <c r="DG96" s="4" t="str">
        <f>IF(XS_Designer_Bed_Mix!$J96&lt;=XS_Designer!$BN$102,XS_Designer!BA$102,"")</f>
        <v/>
      </c>
      <c r="DH96" s="4" t="str">
        <f>IF(XS_Designer_Bed_Mix!$J96&lt;=XS_Designer!$BN$102,XS_Designer!BB$102,"")</f>
        <v/>
      </c>
      <c r="DI96" s="4" t="str">
        <f>IF(XS_Designer_Bed_Mix!$J96&lt;=XS_Designer!$BN$102,XS_Designer!BC$102,"")</f>
        <v/>
      </c>
      <c r="DJ96" s="4" t="str">
        <f>IF(XS_Designer_Bed_Mix!$J96&lt;=XS_Designer!$BN$102,XS_Designer!BD$102,"")</f>
        <v/>
      </c>
      <c r="DK96" s="4" t="str">
        <f>IF(XS_Designer_Bed_Mix!$J96&lt;=XS_Designer!$BN$102,XS_Designer!BE$102,"")</f>
        <v/>
      </c>
      <c r="DL96" s="4" t="str">
        <f>IF(XS_Designer_Bed_Mix!$J96&lt;=XS_Designer!$BN$102,XS_Designer!BF$102,"")</f>
        <v/>
      </c>
      <c r="DM96" s="4" t="str">
        <f>IF(XS_Designer_Bed_Mix!$J96&lt;=XS_Designer!$BN$102,XS_Designer!BG$102,"")</f>
        <v/>
      </c>
      <c r="DN96" s="4" t="str">
        <f>IF(XS_Designer_Bed_Mix!$J96&lt;=XS_Designer!$BN$102,XS_Designer!BH$102,"")</f>
        <v/>
      </c>
      <c r="DO96" s="4" t="str">
        <f>IF(XS_Designer_Bed_Mix!$J96&lt;=XS_Designer!$BN$102,XS_Designer!BI$102,"")</f>
        <v/>
      </c>
      <c r="DP96" s="4" t="str">
        <f>IF(XS_Designer_Bed_Mix!$J96&lt;=XS_Designer!$BN$102,XS_Designer!BJ$102,"")</f>
        <v/>
      </c>
    </row>
    <row r="97" spans="10:120">
      <c r="J97" s="3">
        <v>0.96</v>
      </c>
      <c r="K97" s="4" t="str">
        <f>IF(XS_Designer_Bed_Mix!$J97&lt;=XS_Designer!$BN$92,XS_Designer!BA$92,"")</f>
        <v/>
      </c>
      <c r="L97" s="4" t="str">
        <f>IF(XS_Designer_Bed_Mix!$J97&lt;=XS_Designer!$BN$92,XS_Designer!BB$92,"")</f>
        <v/>
      </c>
      <c r="M97" s="4" t="str">
        <f>IF(XS_Designer_Bed_Mix!$J97&lt;=XS_Designer!$BN$92,XS_Designer!BC$92,"")</f>
        <v/>
      </c>
      <c r="N97" s="4" t="str">
        <f>IF(XS_Designer_Bed_Mix!$J97&lt;=XS_Designer!$BN$92,XS_Designer!BD$92,"")</f>
        <v/>
      </c>
      <c r="O97" s="4" t="str">
        <f>IF(XS_Designer_Bed_Mix!$J97&lt;=XS_Designer!$BN$92,XS_Designer!BE$92,"")</f>
        <v/>
      </c>
      <c r="P97" s="4" t="str">
        <f>IF(XS_Designer_Bed_Mix!$J97&lt;=XS_Designer!$BN$92,XS_Designer!BF$92,"")</f>
        <v/>
      </c>
      <c r="Q97" s="4" t="str">
        <f>IF(XS_Designer_Bed_Mix!$J97&lt;=XS_Designer!$BN$92,XS_Designer!BG$92,"")</f>
        <v/>
      </c>
      <c r="R97" s="4" t="str">
        <f>IF(XS_Designer_Bed_Mix!$J97&lt;=XS_Designer!$BN$92,XS_Designer!BH$92,"")</f>
        <v/>
      </c>
      <c r="S97" s="4" t="str">
        <f>IF(XS_Designer_Bed_Mix!$J97&lt;=XS_Designer!$BN$92,XS_Designer!BI$92,"")</f>
        <v/>
      </c>
      <c r="T97" s="4" t="str">
        <f>IF(XS_Designer_Bed_Mix!$J97&lt;=XS_Designer!$BN$92,XS_Designer!BJ$92,"")</f>
        <v/>
      </c>
      <c r="U97" s="4" t="str">
        <f>IF(XS_Designer_Bed_Mix!$J97&lt;=XS_Designer!$BN$93,XS_Designer!BA$93,"")</f>
        <v/>
      </c>
      <c r="V97" s="4" t="str">
        <f>IF(XS_Designer_Bed_Mix!$J97&lt;=XS_Designer!$BN$93,XS_Designer!BB$93,"")</f>
        <v/>
      </c>
      <c r="W97" s="4" t="str">
        <f>IF(XS_Designer_Bed_Mix!$J97&lt;=XS_Designer!$BN$93,XS_Designer!BC$93,"")</f>
        <v/>
      </c>
      <c r="X97" s="4" t="str">
        <f>IF(XS_Designer_Bed_Mix!$J97&lt;=XS_Designer!$BN$93,XS_Designer!BD$93,"")</f>
        <v/>
      </c>
      <c r="Y97" s="4" t="str">
        <f>IF(XS_Designer_Bed_Mix!$J97&lt;=XS_Designer!$BN$93,XS_Designer!BE$93,"")</f>
        <v/>
      </c>
      <c r="Z97" s="4" t="str">
        <f>IF(XS_Designer_Bed_Mix!$J97&lt;=XS_Designer!$BN$93,XS_Designer!BF$93,"")</f>
        <v/>
      </c>
      <c r="AA97" s="4" t="str">
        <f>IF(XS_Designer_Bed_Mix!$J97&lt;=XS_Designer!$BN$93,XS_Designer!BG$93,"")</f>
        <v/>
      </c>
      <c r="AB97" s="4" t="str">
        <f>IF(XS_Designer_Bed_Mix!$J97&lt;=XS_Designer!$BN$93,XS_Designer!BH$93,"")</f>
        <v/>
      </c>
      <c r="AC97" s="4" t="str">
        <f>IF(XS_Designer_Bed_Mix!$J97&lt;=XS_Designer!$BN$93,XS_Designer!BI$93,"")</f>
        <v/>
      </c>
      <c r="AD97" s="4" t="str">
        <f>IF(XS_Designer_Bed_Mix!$J97&lt;=XS_Designer!$BN$93,XS_Designer!BJ$93,"")</f>
        <v/>
      </c>
      <c r="AE97" s="4" t="str">
        <f>IF(XS_Designer_Bed_Mix!$J97&lt;=XS_Designer!$BN$94,XS_Designer!BA$94,"")</f>
        <v/>
      </c>
      <c r="AF97" s="4" t="str">
        <f>IF(XS_Designer_Bed_Mix!$J97&lt;=XS_Designer!$BN$94,XS_Designer!BB$94,"")</f>
        <v/>
      </c>
      <c r="AG97" s="4" t="str">
        <f>IF(XS_Designer_Bed_Mix!$J97&lt;=XS_Designer!$BN$94,XS_Designer!BC$94,"")</f>
        <v/>
      </c>
      <c r="AH97" s="4" t="str">
        <f>IF(XS_Designer_Bed_Mix!$J97&lt;=XS_Designer!$BN$94,XS_Designer!BD$94,"")</f>
        <v/>
      </c>
      <c r="AI97" s="4" t="str">
        <f>IF(XS_Designer_Bed_Mix!$J97&lt;=XS_Designer!$BN$94,XS_Designer!BE$94,"")</f>
        <v/>
      </c>
      <c r="AJ97" s="4" t="str">
        <f>IF(XS_Designer_Bed_Mix!$J97&lt;=XS_Designer!$BN$94,XS_Designer!BF$94,"")</f>
        <v/>
      </c>
      <c r="AK97" s="4" t="str">
        <f>IF(XS_Designer_Bed_Mix!$J97&lt;=XS_Designer!$BN$94,XS_Designer!BG$94,"")</f>
        <v/>
      </c>
      <c r="AL97" s="4" t="str">
        <f>IF(XS_Designer_Bed_Mix!$J97&lt;=XS_Designer!$BN$94,XS_Designer!BH$94,"")</f>
        <v/>
      </c>
      <c r="AM97" s="4" t="str">
        <f>IF(XS_Designer_Bed_Mix!$J97&lt;=XS_Designer!$BN$94,XS_Designer!BI$94,"")</f>
        <v/>
      </c>
      <c r="AN97" s="4" t="str">
        <f>IF(XS_Designer_Bed_Mix!$J97&lt;=XS_Designer!$BN$94,XS_Designer!BJ$94,"")</f>
        <v/>
      </c>
      <c r="AO97" s="4" t="str">
        <f>IF(XS_Designer_Bed_Mix!$J97&lt;=XS_Designer!$BN$95,XS_Designer!BA$95,"")</f>
        <v/>
      </c>
      <c r="AP97" s="4" t="str">
        <f>IF(XS_Designer_Bed_Mix!$J97&lt;=XS_Designer!$BN$95,XS_Designer!BB$95,"")</f>
        <v/>
      </c>
      <c r="AQ97" s="4" t="str">
        <f>IF(XS_Designer_Bed_Mix!$J97&lt;=XS_Designer!$BN$95,XS_Designer!BC$95,"")</f>
        <v/>
      </c>
      <c r="AR97" s="4" t="str">
        <f>IF(XS_Designer_Bed_Mix!$J97&lt;=XS_Designer!$BN$95,XS_Designer!BD$95,"")</f>
        <v/>
      </c>
      <c r="AS97" s="4" t="str">
        <f>IF(XS_Designer_Bed_Mix!$J97&lt;=XS_Designer!$BN$95,XS_Designer!BE$95,"")</f>
        <v/>
      </c>
      <c r="AT97" s="4" t="str">
        <f>IF(XS_Designer_Bed_Mix!$J97&lt;=XS_Designer!$BN$95,XS_Designer!BF$95,"")</f>
        <v/>
      </c>
      <c r="AU97" s="4" t="str">
        <f>IF(XS_Designer_Bed_Mix!$J97&lt;=XS_Designer!$BN$95,XS_Designer!BG$95,"")</f>
        <v/>
      </c>
      <c r="AV97" s="4" t="str">
        <f>IF(XS_Designer_Bed_Mix!$J97&lt;=XS_Designer!$BN$95,XS_Designer!BH$95,"")</f>
        <v/>
      </c>
      <c r="AW97" s="4" t="str">
        <f>IF(XS_Designer_Bed_Mix!$J97&lt;=XS_Designer!$BN$95,XS_Designer!BI$95,"")</f>
        <v/>
      </c>
      <c r="AX97" s="4" t="str">
        <f>IF(XS_Designer_Bed_Mix!$J97&lt;=XS_Designer!$BN$95,XS_Designer!BJ$95,"")</f>
        <v/>
      </c>
      <c r="AY97" s="4" t="str">
        <f>IF(XS_Designer_Bed_Mix!$J97&lt;=XS_Designer!$BN$96,XS_Designer!BA$96,"")</f>
        <v/>
      </c>
      <c r="AZ97" s="4" t="str">
        <f>IF(XS_Designer_Bed_Mix!$J97&lt;=XS_Designer!$BN$96,XS_Designer!BB$96,"")</f>
        <v/>
      </c>
      <c r="BA97" s="4" t="str">
        <f>IF(XS_Designer_Bed_Mix!$J97&lt;=XS_Designer!$BN$96,XS_Designer!BC$96,"")</f>
        <v/>
      </c>
      <c r="BB97" s="4" t="str">
        <f>IF(XS_Designer_Bed_Mix!$J97&lt;=XS_Designer!$BN$96,XS_Designer!BD$96,"")</f>
        <v/>
      </c>
      <c r="BC97" s="4" t="str">
        <f>IF(XS_Designer_Bed_Mix!$J97&lt;=XS_Designer!$BN$96,XS_Designer!BE$96,"")</f>
        <v/>
      </c>
      <c r="BD97" s="4" t="str">
        <f>IF(XS_Designer_Bed_Mix!$J97&lt;=XS_Designer!$BN$96,XS_Designer!BF$96,"")</f>
        <v/>
      </c>
      <c r="BE97" s="4" t="str">
        <f>IF(XS_Designer_Bed_Mix!$J97&lt;=XS_Designer!$BN$96,XS_Designer!BG$96,"")</f>
        <v/>
      </c>
      <c r="BF97" s="4" t="str">
        <f>IF(XS_Designer_Bed_Mix!$J97&lt;=XS_Designer!$BN$96,XS_Designer!BH$96,"")</f>
        <v/>
      </c>
      <c r="BG97" s="4" t="str">
        <f>IF(XS_Designer_Bed_Mix!$J97&lt;=XS_Designer!$BN$96,XS_Designer!BI$96,"")</f>
        <v/>
      </c>
      <c r="BH97" s="4" t="str">
        <f>IF(XS_Designer_Bed_Mix!$J97&lt;=XS_Designer!$BN$96,XS_Designer!BJ$96,"")</f>
        <v/>
      </c>
      <c r="BI97" s="4" t="str">
        <f>IF(XS_Designer_Bed_Mix!$J97&lt;=XS_Designer!$BN$97,XS_Designer!BA$97,"")</f>
        <v/>
      </c>
      <c r="BJ97" s="4" t="str">
        <f>IF(XS_Designer_Bed_Mix!$J97&lt;=XS_Designer!$BN$97,XS_Designer!BB$97,"")</f>
        <v/>
      </c>
      <c r="BK97" s="4" t="str">
        <f>IF(XS_Designer_Bed_Mix!$J97&lt;=XS_Designer!$BN$97,XS_Designer!BC$97,"")</f>
        <v/>
      </c>
      <c r="BL97" s="4" t="str">
        <f>IF(XS_Designer_Bed_Mix!$J97&lt;=XS_Designer!$BN$97,XS_Designer!BD$97,"")</f>
        <v/>
      </c>
      <c r="BM97" s="4" t="str">
        <f>IF(XS_Designer_Bed_Mix!$J97&lt;=XS_Designer!$BN$97,XS_Designer!BE$97,"")</f>
        <v/>
      </c>
      <c r="BN97" s="4" t="str">
        <f>IF(XS_Designer_Bed_Mix!$J97&lt;=XS_Designer!$BN$97,XS_Designer!BF$97,"")</f>
        <v/>
      </c>
      <c r="BO97" s="4" t="str">
        <f>IF(XS_Designer_Bed_Mix!$J97&lt;=XS_Designer!$BN$97,XS_Designer!BG$97,"")</f>
        <v/>
      </c>
      <c r="BP97" s="4" t="str">
        <f>IF(XS_Designer_Bed_Mix!$J97&lt;=XS_Designer!$BN$97,XS_Designer!BH$97,"")</f>
        <v/>
      </c>
      <c r="BQ97" s="4" t="str">
        <f>IF(XS_Designer_Bed_Mix!$J97&lt;=XS_Designer!$BN$97,XS_Designer!BI$97,"")</f>
        <v/>
      </c>
      <c r="BR97" s="4" t="str">
        <f>IF(XS_Designer_Bed_Mix!$J97&lt;=XS_Designer!$BN$97,XS_Designer!BJ$97,"")</f>
        <v/>
      </c>
      <c r="BS97" s="4" t="str">
        <f>IF(XS_Designer_Bed_Mix!$J97&lt;=XS_Designer!$BN$98,XS_Designer!BA$98,"")</f>
        <v/>
      </c>
      <c r="BT97" s="4" t="str">
        <f>IF(XS_Designer_Bed_Mix!$J97&lt;=XS_Designer!$BN$98,XS_Designer!BB$98,"")</f>
        <v/>
      </c>
      <c r="BU97" s="4" t="str">
        <f>IF(XS_Designer_Bed_Mix!$J97&lt;=XS_Designer!$BN$98,XS_Designer!BC$98,"")</f>
        <v/>
      </c>
      <c r="BV97" s="4" t="str">
        <f>IF(XS_Designer_Bed_Mix!$J97&lt;=XS_Designer!$BN$98,XS_Designer!BD$98,"")</f>
        <v/>
      </c>
      <c r="BW97" s="4" t="str">
        <f>IF(XS_Designer_Bed_Mix!$J97&lt;=XS_Designer!$BN$98,XS_Designer!BE$98,"")</f>
        <v/>
      </c>
      <c r="BX97" s="4" t="str">
        <f>IF(XS_Designer_Bed_Mix!$J97&lt;=XS_Designer!$BN$98,XS_Designer!BF$98,"")</f>
        <v/>
      </c>
      <c r="BY97" s="4" t="str">
        <f>IF(XS_Designer_Bed_Mix!$J97&lt;=XS_Designer!$BN$98,XS_Designer!BG$98,"")</f>
        <v/>
      </c>
      <c r="BZ97" s="4" t="str">
        <f>IF(XS_Designer_Bed_Mix!$J97&lt;=XS_Designer!$BN$98,XS_Designer!BH$98,"")</f>
        <v/>
      </c>
      <c r="CA97" s="4" t="str">
        <f>IF(XS_Designer_Bed_Mix!$J97&lt;=XS_Designer!$BN$98,XS_Designer!BI$98,"")</f>
        <v/>
      </c>
      <c r="CB97" s="4" t="str">
        <f>IF(XS_Designer_Bed_Mix!$J97&lt;=XS_Designer!$BN$98,XS_Designer!BJ$98,"")</f>
        <v/>
      </c>
      <c r="CC97" s="4" t="str">
        <f>IF(XS_Designer_Bed_Mix!$J97&lt;=XS_Designer!$BN$99,XS_Designer!BA$99,"")</f>
        <v/>
      </c>
      <c r="CD97" s="4" t="str">
        <f>IF(XS_Designer_Bed_Mix!$J97&lt;=XS_Designer!$BN$99,XS_Designer!BB$99,"")</f>
        <v/>
      </c>
      <c r="CE97" s="4" t="str">
        <f>IF(XS_Designer_Bed_Mix!$J97&lt;=XS_Designer!$BN$99,XS_Designer!BC$99,"")</f>
        <v/>
      </c>
      <c r="CF97" s="4" t="str">
        <f>IF(XS_Designer_Bed_Mix!$J97&lt;=XS_Designer!$BN$99,XS_Designer!BD$99,"")</f>
        <v/>
      </c>
      <c r="CG97" s="4" t="str">
        <f>IF(XS_Designer_Bed_Mix!$J97&lt;=XS_Designer!$BN$99,XS_Designer!BE$99,"")</f>
        <v/>
      </c>
      <c r="CH97" s="4" t="str">
        <f>IF(XS_Designer_Bed_Mix!$J97&lt;=XS_Designer!$BN$99,XS_Designer!BF$99,"")</f>
        <v/>
      </c>
      <c r="CI97" s="4" t="str">
        <f>IF(XS_Designer_Bed_Mix!$J97&lt;=XS_Designer!$BN$99,XS_Designer!BG$99,"")</f>
        <v/>
      </c>
      <c r="CJ97" s="4" t="str">
        <f>IF(XS_Designer_Bed_Mix!$J97&lt;=XS_Designer!$BN$99,XS_Designer!BH$99,"")</f>
        <v/>
      </c>
      <c r="CK97" s="4" t="str">
        <f>IF(XS_Designer_Bed_Mix!$J97&lt;=XS_Designer!$BN$99,XS_Designer!BI$99,"")</f>
        <v/>
      </c>
      <c r="CL97" s="4" t="str">
        <f>IF(XS_Designer_Bed_Mix!$J97&lt;=XS_Designer!$BN$99,XS_Designer!BJ$99,"")</f>
        <v/>
      </c>
      <c r="CM97" s="4" t="str">
        <f>IF(XS_Designer_Bed_Mix!$J97&lt;=XS_Designer!$BN$100,XS_Designer!BA$100,"")</f>
        <v/>
      </c>
      <c r="CN97" s="4" t="str">
        <f>IF(XS_Designer_Bed_Mix!$J97&lt;=XS_Designer!$BN$100,XS_Designer!BB$100,"")</f>
        <v/>
      </c>
      <c r="CO97" s="4" t="str">
        <f>IF(XS_Designer_Bed_Mix!$J97&lt;=XS_Designer!$BN$100,XS_Designer!BC$100,"")</f>
        <v/>
      </c>
      <c r="CP97" s="4" t="str">
        <f>IF(XS_Designer_Bed_Mix!$J97&lt;=XS_Designer!$BN$100,XS_Designer!BD$100,"")</f>
        <v/>
      </c>
      <c r="CQ97" s="4" t="str">
        <f>IF(XS_Designer_Bed_Mix!$J97&lt;=XS_Designer!$BN$100,XS_Designer!BE$100,"")</f>
        <v/>
      </c>
      <c r="CR97" s="4" t="str">
        <f>IF(XS_Designer_Bed_Mix!$J97&lt;=XS_Designer!$BN$100,XS_Designer!BF$100,"")</f>
        <v/>
      </c>
      <c r="CS97" s="4" t="str">
        <f>IF(XS_Designer_Bed_Mix!$J97&lt;=XS_Designer!$BN$100,XS_Designer!BG$100,"")</f>
        <v/>
      </c>
      <c r="CT97" s="4" t="str">
        <f>IF(XS_Designer_Bed_Mix!$J97&lt;=XS_Designer!$BN$100,XS_Designer!BH$100,"")</f>
        <v/>
      </c>
      <c r="CU97" s="4" t="str">
        <f>IF(XS_Designer_Bed_Mix!$J97&lt;=XS_Designer!$BN$100,XS_Designer!BI$100,"")</f>
        <v/>
      </c>
      <c r="CV97" s="4" t="str">
        <f>IF(XS_Designer_Bed_Mix!$J97&lt;=XS_Designer!$BN$100,XS_Designer!BJ$100,"")</f>
        <v/>
      </c>
      <c r="CW97" s="4" t="str">
        <f>IF(XS_Designer_Bed_Mix!$J97&lt;=XS_Designer!$BN$101,XS_Designer!BA$101,"")</f>
        <v/>
      </c>
      <c r="CX97" s="4" t="str">
        <f>IF(XS_Designer_Bed_Mix!$J97&lt;=XS_Designer!$BN$101,XS_Designer!BB$101,"")</f>
        <v/>
      </c>
      <c r="CY97" s="4" t="str">
        <f>IF(XS_Designer_Bed_Mix!$J97&lt;=XS_Designer!$BN$101,XS_Designer!BC$101,"")</f>
        <v/>
      </c>
      <c r="CZ97" s="4" t="str">
        <f>IF(XS_Designer_Bed_Mix!$J97&lt;=XS_Designer!$BN$101,XS_Designer!BD$101,"")</f>
        <v/>
      </c>
      <c r="DA97" s="4" t="str">
        <f>IF(XS_Designer_Bed_Mix!$J97&lt;=XS_Designer!$BN$101,XS_Designer!BE$101,"")</f>
        <v/>
      </c>
      <c r="DB97" s="4" t="str">
        <f>IF(XS_Designer_Bed_Mix!$J97&lt;=XS_Designer!$BN$101,XS_Designer!BF$101,"")</f>
        <v/>
      </c>
      <c r="DC97" s="4" t="str">
        <f>IF(XS_Designer_Bed_Mix!$J97&lt;=XS_Designer!$BN$101,XS_Designer!BG$101,"")</f>
        <v/>
      </c>
      <c r="DD97" s="4" t="str">
        <f>IF(XS_Designer_Bed_Mix!$J97&lt;=XS_Designer!$BN$101,XS_Designer!BH$101,"")</f>
        <v/>
      </c>
      <c r="DE97" s="4" t="str">
        <f>IF(XS_Designer_Bed_Mix!$J97&lt;=XS_Designer!$BN$101,XS_Designer!BI$101,"")</f>
        <v/>
      </c>
      <c r="DF97" s="4" t="str">
        <f>IF(XS_Designer_Bed_Mix!$J97&lt;=XS_Designer!$BN$101,XS_Designer!BJ$101,"")</f>
        <v/>
      </c>
      <c r="DG97" s="4" t="str">
        <f>IF(XS_Designer_Bed_Mix!$J97&lt;=XS_Designer!$BN$102,XS_Designer!BA$102,"")</f>
        <v/>
      </c>
      <c r="DH97" s="4" t="str">
        <f>IF(XS_Designer_Bed_Mix!$J97&lt;=XS_Designer!$BN$102,XS_Designer!BB$102,"")</f>
        <v/>
      </c>
      <c r="DI97" s="4" t="str">
        <f>IF(XS_Designer_Bed_Mix!$J97&lt;=XS_Designer!$BN$102,XS_Designer!BC$102,"")</f>
        <v/>
      </c>
      <c r="DJ97" s="4" t="str">
        <f>IF(XS_Designer_Bed_Mix!$J97&lt;=XS_Designer!$BN$102,XS_Designer!BD$102,"")</f>
        <v/>
      </c>
      <c r="DK97" s="4" t="str">
        <f>IF(XS_Designer_Bed_Mix!$J97&lt;=XS_Designer!$BN$102,XS_Designer!BE$102,"")</f>
        <v/>
      </c>
      <c r="DL97" s="4" t="str">
        <f>IF(XS_Designer_Bed_Mix!$J97&lt;=XS_Designer!$BN$102,XS_Designer!BF$102,"")</f>
        <v/>
      </c>
      <c r="DM97" s="4" t="str">
        <f>IF(XS_Designer_Bed_Mix!$J97&lt;=XS_Designer!$BN$102,XS_Designer!BG$102,"")</f>
        <v/>
      </c>
      <c r="DN97" s="4" t="str">
        <f>IF(XS_Designer_Bed_Mix!$J97&lt;=XS_Designer!$BN$102,XS_Designer!BH$102,"")</f>
        <v/>
      </c>
      <c r="DO97" s="4" t="str">
        <f>IF(XS_Designer_Bed_Mix!$J97&lt;=XS_Designer!$BN$102,XS_Designer!BI$102,"")</f>
        <v/>
      </c>
      <c r="DP97" s="4" t="str">
        <f>IF(XS_Designer_Bed_Mix!$J97&lt;=XS_Designer!$BN$102,XS_Designer!BJ$102,"")</f>
        <v/>
      </c>
    </row>
    <row r="98" spans="10:120">
      <c r="J98" s="3">
        <v>0.97</v>
      </c>
      <c r="K98" s="4" t="str">
        <f>IF(XS_Designer_Bed_Mix!$J98&lt;=XS_Designer!$BN$92,XS_Designer!BA$92,"")</f>
        <v/>
      </c>
      <c r="L98" s="4" t="str">
        <f>IF(XS_Designer_Bed_Mix!$J98&lt;=XS_Designer!$BN$92,XS_Designer!BB$92,"")</f>
        <v/>
      </c>
      <c r="M98" s="4" t="str">
        <f>IF(XS_Designer_Bed_Mix!$J98&lt;=XS_Designer!$BN$92,XS_Designer!BC$92,"")</f>
        <v/>
      </c>
      <c r="N98" s="4" t="str">
        <f>IF(XS_Designer_Bed_Mix!$J98&lt;=XS_Designer!$BN$92,XS_Designer!BD$92,"")</f>
        <v/>
      </c>
      <c r="O98" s="4" t="str">
        <f>IF(XS_Designer_Bed_Mix!$J98&lt;=XS_Designer!$BN$92,XS_Designer!BE$92,"")</f>
        <v/>
      </c>
      <c r="P98" s="4" t="str">
        <f>IF(XS_Designer_Bed_Mix!$J98&lt;=XS_Designer!$BN$92,XS_Designer!BF$92,"")</f>
        <v/>
      </c>
      <c r="Q98" s="4" t="str">
        <f>IF(XS_Designer_Bed_Mix!$J98&lt;=XS_Designer!$BN$92,XS_Designer!BG$92,"")</f>
        <v/>
      </c>
      <c r="R98" s="4" t="str">
        <f>IF(XS_Designer_Bed_Mix!$J98&lt;=XS_Designer!$BN$92,XS_Designer!BH$92,"")</f>
        <v/>
      </c>
      <c r="S98" s="4" t="str">
        <f>IF(XS_Designer_Bed_Mix!$J98&lt;=XS_Designer!$BN$92,XS_Designer!BI$92,"")</f>
        <v/>
      </c>
      <c r="T98" s="4" t="str">
        <f>IF(XS_Designer_Bed_Mix!$J98&lt;=XS_Designer!$BN$92,XS_Designer!BJ$92,"")</f>
        <v/>
      </c>
      <c r="U98" s="4" t="str">
        <f>IF(XS_Designer_Bed_Mix!$J98&lt;=XS_Designer!$BN$93,XS_Designer!BA$93,"")</f>
        <v/>
      </c>
      <c r="V98" s="4" t="str">
        <f>IF(XS_Designer_Bed_Mix!$J98&lt;=XS_Designer!$BN$93,XS_Designer!BB$93,"")</f>
        <v/>
      </c>
      <c r="W98" s="4" t="str">
        <f>IF(XS_Designer_Bed_Mix!$J98&lt;=XS_Designer!$BN$93,XS_Designer!BC$93,"")</f>
        <v/>
      </c>
      <c r="X98" s="4" t="str">
        <f>IF(XS_Designer_Bed_Mix!$J98&lt;=XS_Designer!$BN$93,XS_Designer!BD$93,"")</f>
        <v/>
      </c>
      <c r="Y98" s="4" t="str">
        <f>IF(XS_Designer_Bed_Mix!$J98&lt;=XS_Designer!$BN$93,XS_Designer!BE$93,"")</f>
        <v/>
      </c>
      <c r="Z98" s="4" t="str">
        <f>IF(XS_Designer_Bed_Mix!$J98&lt;=XS_Designer!$BN$93,XS_Designer!BF$93,"")</f>
        <v/>
      </c>
      <c r="AA98" s="4" t="str">
        <f>IF(XS_Designer_Bed_Mix!$J98&lt;=XS_Designer!$BN$93,XS_Designer!BG$93,"")</f>
        <v/>
      </c>
      <c r="AB98" s="4" t="str">
        <f>IF(XS_Designer_Bed_Mix!$J98&lt;=XS_Designer!$BN$93,XS_Designer!BH$93,"")</f>
        <v/>
      </c>
      <c r="AC98" s="4" t="str">
        <f>IF(XS_Designer_Bed_Mix!$J98&lt;=XS_Designer!$BN$93,XS_Designer!BI$93,"")</f>
        <v/>
      </c>
      <c r="AD98" s="4" t="str">
        <f>IF(XS_Designer_Bed_Mix!$J98&lt;=XS_Designer!$BN$93,XS_Designer!BJ$93,"")</f>
        <v/>
      </c>
      <c r="AE98" s="4" t="str">
        <f>IF(XS_Designer_Bed_Mix!$J98&lt;=XS_Designer!$BN$94,XS_Designer!BA$94,"")</f>
        <v/>
      </c>
      <c r="AF98" s="4" t="str">
        <f>IF(XS_Designer_Bed_Mix!$J98&lt;=XS_Designer!$BN$94,XS_Designer!BB$94,"")</f>
        <v/>
      </c>
      <c r="AG98" s="4" t="str">
        <f>IF(XS_Designer_Bed_Mix!$J98&lt;=XS_Designer!$BN$94,XS_Designer!BC$94,"")</f>
        <v/>
      </c>
      <c r="AH98" s="4" t="str">
        <f>IF(XS_Designer_Bed_Mix!$J98&lt;=XS_Designer!$BN$94,XS_Designer!BD$94,"")</f>
        <v/>
      </c>
      <c r="AI98" s="4" t="str">
        <f>IF(XS_Designer_Bed_Mix!$J98&lt;=XS_Designer!$BN$94,XS_Designer!BE$94,"")</f>
        <v/>
      </c>
      <c r="AJ98" s="4" t="str">
        <f>IF(XS_Designer_Bed_Mix!$J98&lt;=XS_Designer!$BN$94,XS_Designer!BF$94,"")</f>
        <v/>
      </c>
      <c r="AK98" s="4" t="str">
        <f>IF(XS_Designer_Bed_Mix!$J98&lt;=XS_Designer!$BN$94,XS_Designer!BG$94,"")</f>
        <v/>
      </c>
      <c r="AL98" s="4" t="str">
        <f>IF(XS_Designer_Bed_Mix!$J98&lt;=XS_Designer!$BN$94,XS_Designer!BH$94,"")</f>
        <v/>
      </c>
      <c r="AM98" s="4" t="str">
        <f>IF(XS_Designer_Bed_Mix!$J98&lt;=XS_Designer!$BN$94,XS_Designer!BI$94,"")</f>
        <v/>
      </c>
      <c r="AN98" s="4" t="str">
        <f>IF(XS_Designer_Bed_Mix!$J98&lt;=XS_Designer!$BN$94,XS_Designer!BJ$94,"")</f>
        <v/>
      </c>
      <c r="AO98" s="4" t="str">
        <f>IF(XS_Designer_Bed_Mix!$J98&lt;=XS_Designer!$BN$95,XS_Designer!BA$95,"")</f>
        <v/>
      </c>
      <c r="AP98" s="4" t="str">
        <f>IF(XS_Designer_Bed_Mix!$J98&lt;=XS_Designer!$BN$95,XS_Designer!BB$95,"")</f>
        <v/>
      </c>
      <c r="AQ98" s="4" t="str">
        <f>IF(XS_Designer_Bed_Mix!$J98&lt;=XS_Designer!$BN$95,XS_Designer!BC$95,"")</f>
        <v/>
      </c>
      <c r="AR98" s="4" t="str">
        <f>IF(XS_Designer_Bed_Mix!$J98&lt;=XS_Designer!$BN$95,XS_Designer!BD$95,"")</f>
        <v/>
      </c>
      <c r="AS98" s="4" t="str">
        <f>IF(XS_Designer_Bed_Mix!$J98&lt;=XS_Designer!$BN$95,XS_Designer!BE$95,"")</f>
        <v/>
      </c>
      <c r="AT98" s="4" t="str">
        <f>IF(XS_Designer_Bed_Mix!$J98&lt;=XS_Designer!$BN$95,XS_Designer!BF$95,"")</f>
        <v/>
      </c>
      <c r="AU98" s="4" t="str">
        <f>IF(XS_Designer_Bed_Mix!$J98&lt;=XS_Designer!$BN$95,XS_Designer!BG$95,"")</f>
        <v/>
      </c>
      <c r="AV98" s="4" t="str">
        <f>IF(XS_Designer_Bed_Mix!$J98&lt;=XS_Designer!$BN$95,XS_Designer!BH$95,"")</f>
        <v/>
      </c>
      <c r="AW98" s="4" t="str">
        <f>IF(XS_Designer_Bed_Mix!$J98&lt;=XS_Designer!$BN$95,XS_Designer!BI$95,"")</f>
        <v/>
      </c>
      <c r="AX98" s="4" t="str">
        <f>IF(XS_Designer_Bed_Mix!$J98&lt;=XS_Designer!$BN$95,XS_Designer!BJ$95,"")</f>
        <v/>
      </c>
      <c r="AY98" s="4" t="str">
        <f>IF(XS_Designer_Bed_Mix!$J98&lt;=XS_Designer!$BN$96,XS_Designer!BA$96,"")</f>
        <v/>
      </c>
      <c r="AZ98" s="4" t="str">
        <f>IF(XS_Designer_Bed_Mix!$J98&lt;=XS_Designer!$BN$96,XS_Designer!BB$96,"")</f>
        <v/>
      </c>
      <c r="BA98" s="4" t="str">
        <f>IF(XS_Designer_Bed_Mix!$J98&lt;=XS_Designer!$BN$96,XS_Designer!BC$96,"")</f>
        <v/>
      </c>
      <c r="BB98" s="4" t="str">
        <f>IF(XS_Designer_Bed_Mix!$J98&lt;=XS_Designer!$BN$96,XS_Designer!BD$96,"")</f>
        <v/>
      </c>
      <c r="BC98" s="4" t="str">
        <f>IF(XS_Designer_Bed_Mix!$J98&lt;=XS_Designer!$BN$96,XS_Designer!BE$96,"")</f>
        <v/>
      </c>
      <c r="BD98" s="4" t="str">
        <f>IF(XS_Designer_Bed_Mix!$J98&lt;=XS_Designer!$BN$96,XS_Designer!BF$96,"")</f>
        <v/>
      </c>
      <c r="BE98" s="4" t="str">
        <f>IF(XS_Designer_Bed_Mix!$J98&lt;=XS_Designer!$BN$96,XS_Designer!BG$96,"")</f>
        <v/>
      </c>
      <c r="BF98" s="4" t="str">
        <f>IF(XS_Designer_Bed_Mix!$J98&lt;=XS_Designer!$BN$96,XS_Designer!BH$96,"")</f>
        <v/>
      </c>
      <c r="BG98" s="4" t="str">
        <f>IF(XS_Designer_Bed_Mix!$J98&lt;=XS_Designer!$BN$96,XS_Designer!BI$96,"")</f>
        <v/>
      </c>
      <c r="BH98" s="4" t="str">
        <f>IF(XS_Designer_Bed_Mix!$J98&lt;=XS_Designer!$BN$96,XS_Designer!BJ$96,"")</f>
        <v/>
      </c>
      <c r="BI98" s="4" t="str">
        <f>IF(XS_Designer_Bed_Mix!$J98&lt;=XS_Designer!$BN$97,XS_Designer!BA$97,"")</f>
        <v/>
      </c>
      <c r="BJ98" s="4" t="str">
        <f>IF(XS_Designer_Bed_Mix!$J98&lt;=XS_Designer!$BN$97,XS_Designer!BB$97,"")</f>
        <v/>
      </c>
      <c r="BK98" s="4" t="str">
        <f>IF(XS_Designer_Bed_Mix!$J98&lt;=XS_Designer!$BN$97,XS_Designer!BC$97,"")</f>
        <v/>
      </c>
      <c r="BL98" s="4" t="str">
        <f>IF(XS_Designer_Bed_Mix!$J98&lt;=XS_Designer!$BN$97,XS_Designer!BD$97,"")</f>
        <v/>
      </c>
      <c r="BM98" s="4" t="str">
        <f>IF(XS_Designer_Bed_Mix!$J98&lt;=XS_Designer!$BN$97,XS_Designer!BE$97,"")</f>
        <v/>
      </c>
      <c r="BN98" s="4" t="str">
        <f>IF(XS_Designer_Bed_Mix!$J98&lt;=XS_Designer!$BN$97,XS_Designer!BF$97,"")</f>
        <v/>
      </c>
      <c r="BO98" s="4" t="str">
        <f>IF(XS_Designer_Bed_Mix!$J98&lt;=XS_Designer!$BN$97,XS_Designer!BG$97,"")</f>
        <v/>
      </c>
      <c r="BP98" s="4" t="str">
        <f>IF(XS_Designer_Bed_Mix!$J98&lt;=XS_Designer!$BN$97,XS_Designer!BH$97,"")</f>
        <v/>
      </c>
      <c r="BQ98" s="4" t="str">
        <f>IF(XS_Designer_Bed_Mix!$J98&lt;=XS_Designer!$BN$97,XS_Designer!BI$97,"")</f>
        <v/>
      </c>
      <c r="BR98" s="4" t="str">
        <f>IF(XS_Designer_Bed_Mix!$J98&lt;=XS_Designer!$BN$97,XS_Designer!BJ$97,"")</f>
        <v/>
      </c>
      <c r="BS98" s="4" t="str">
        <f>IF(XS_Designer_Bed_Mix!$J98&lt;=XS_Designer!$BN$98,XS_Designer!BA$98,"")</f>
        <v/>
      </c>
      <c r="BT98" s="4" t="str">
        <f>IF(XS_Designer_Bed_Mix!$J98&lt;=XS_Designer!$BN$98,XS_Designer!BB$98,"")</f>
        <v/>
      </c>
      <c r="BU98" s="4" t="str">
        <f>IF(XS_Designer_Bed_Mix!$J98&lt;=XS_Designer!$BN$98,XS_Designer!BC$98,"")</f>
        <v/>
      </c>
      <c r="BV98" s="4" t="str">
        <f>IF(XS_Designer_Bed_Mix!$J98&lt;=XS_Designer!$BN$98,XS_Designer!BD$98,"")</f>
        <v/>
      </c>
      <c r="BW98" s="4" t="str">
        <f>IF(XS_Designer_Bed_Mix!$J98&lt;=XS_Designer!$BN$98,XS_Designer!BE$98,"")</f>
        <v/>
      </c>
      <c r="BX98" s="4" t="str">
        <f>IF(XS_Designer_Bed_Mix!$J98&lt;=XS_Designer!$BN$98,XS_Designer!BF$98,"")</f>
        <v/>
      </c>
      <c r="BY98" s="4" t="str">
        <f>IF(XS_Designer_Bed_Mix!$J98&lt;=XS_Designer!$BN$98,XS_Designer!BG$98,"")</f>
        <v/>
      </c>
      <c r="BZ98" s="4" t="str">
        <f>IF(XS_Designer_Bed_Mix!$J98&lt;=XS_Designer!$BN$98,XS_Designer!BH$98,"")</f>
        <v/>
      </c>
      <c r="CA98" s="4" t="str">
        <f>IF(XS_Designer_Bed_Mix!$J98&lt;=XS_Designer!$BN$98,XS_Designer!BI$98,"")</f>
        <v/>
      </c>
      <c r="CB98" s="4" t="str">
        <f>IF(XS_Designer_Bed_Mix!$J98&lt;=XS_Designer!$BN$98,XS_Designer!BJ$98,"")</f>
        <v/>
      </c>
      <c r="CC98" s="4" t="str">
        <f>IF(XS_Designer_Bed_Mix!$J98&lt;=XS_Designer!$BN$99,XS_Designer!BA$99,"")</f>
        <v/>
      </c>
      <c r="CD98" s="4" t="str">
        <f>IF(XS_Designer_Bed_Mix!$J98&lt;=XS_Designer!$BN$99,XS_Designer!BB$99,"")</f>
        <v/>
      </c>
      <c r="CE98" s="4" t="str">
        <f>IF(XS_Designer_Bed_Mix!$J98&lt;=XS_Designer!$BN$99,XS_Designer!BC$99,"")</f>
        <v/>
      </c>
      <c r="CF98" s="4" t="str">
        <f>IF(XS_Designer_Bed_Mix!$J98&lt;=XS_Designer!$BN$99,XS_Designer!BD$99,"")</f>
        <v/>
      </c>
      <c r="CG98" s="4" t="str">
        <f>IF(XS_Designer_Bed_Mix!$J98&lt;=XS_Designer!$BN$99,XS_Designer!BE$99,"")</f>
        <v/>
      </c>
      <c r="CH98" s="4" t="str">
        <f>IF(XS_Designer_Bed_Mix!$J98&lt;=XS_Designer!$BN$99,XS_Designer!BF$99,"")</f>
        <v/>
      </c>
      <c r="CI98" s="4" t="str">
        <f>IF(XS_Designer_Bed_Mix!$J98&lt;=XS_Designer!$BN$99,XS_Designer!BG$99,"")</f>
        <v/>
      </c>
      <c r="CJ98" s="4" t="str">
        <f>IF(XS_Designer_Bed_Mix!$J98&lt;=XS_Designer!$BN$99,XS_Designer!BH$99,"")</f>
        <v/>
      </c>
      <c r="CK98" s="4" t="str">
        <f>IF(XS_Designer_Bed_Mix!$J98&lt;=XS_Designer!$BN$99,XS_Designer!BI$99,"")</f>
        <v/>
      </c>
      <c r="CL98" s="4" t="str">
        <f>IF(XS_Designer_Bed_Mix!$J98&lt;=XS_Designer!$BN$99,XS_Designer!BJ$99,"")</f>
        <v/>
      </c>
      <c r="CM98" s="4" t="str">
        <f>IF(XS_Designer_Bed_Mix!$J98&lt;=XS_Designer!$BN$100,XS_Designer!BA$100,"")</f>
        <v/>
      </c>
      <c r="CN98" s="4" t="str">
        <f>IF(XS_Designer_Bed_Mix!$J98&lt;=XS_Designer!$BN$100,XS_Designer!BB$100,"")</f>
        <v/>
      </c>
      <c r="CO98" s="4" t="str">
        <f>IF(XS_Designer_Bed_Mix!$J98&lt;=XS_Designer!$BN$100,XS_Designer!BC$100,"")</f>
        <v/>
      </c>
      <c r="CP98" s="4" t="str">
        <f>IF(XS_Designer_Bed_Mix!$J98&lt;=XS_Designer!$BN$100,XS_Designer!BD$100,"")</f>
        <v/>
      </c>
      <c r="CQ98" s="4" t="str">
        <f>IF(XS_Designer_Bed_Mix!$J98&lt;=XS_Designer!$BN$100,XS_Designer!BE$100,"")</f>
        <v/>
      </c>
      <c r="CR98" s="4" t="str">
        <f>IF(XS_Designer_Bed_Mix!$J98&lt;=XS_Designer!$BN$100,XS_Designer!BF$100,"")</f>
        <v/>
      </c>
      <c r="CS98" s="4" t="str">
        <f>IF(XS_Designer_Bed_Mix!$J98&lt;=XS_Designer!$BN$100,XS_Designer!BG$100,"")</f>
        <v/>
      </c>
      <c r="CT98" s="4" t="str">
        <f>IF(XS_Designer_Bed_Mix!$J98&lt;=XS_Designer!$BN$100,XS_Designer!BH$100,"")</f>
        <v/>
      </c>
      <c r="CU98" s="4" t="str">
        <f>IF(XS_Designer_Bed_Mix!$J98&lt;=XS_Designer!$BN$100,XS_Designer!BI$100,"")</f>
        <v/>
      </c>
      <c r="CV98" s="4" t="str">
        <f>IF(XS_Designer_Bed_Mix!$J98&lt;=XS_Designer!$BN$100,XS_Designer!BJ$100,"")</f>
        <v/>
      </c>
      <c r="CW98" s="4" t="str">
        <f>IF(XS_Designer_Bed_Mix!$J98&lt;=XS_Designer!$BN$101,XS_Designer!BA$101,"")</f>
        <v/>
      </c>
      <c r="CX98" s="4" t="str">
        <f>IF(XS_Designer_Bed_Mix!$J98&lt;=XS_Designer!$BN$101,XS_Designer!BB$101,"")</f>
        <v/>
      </c>
      <c r="CY98" s="4" t="str">
        <f>IF(XS_Designer_Bed_Mix!$J98&lt;=XS_Designer!$BN$101,XS_Designer!BC$101,"")</f>
        <v/>
      </c>
      <c r="CZ98" s="4" t="str">
        <f>IF(XS_Designer_Bed_Mix!$J98&lt;=XS_Designer!$BN$101,XS_Designer!BD$101,"")</f>
        <v/>
      </c>
      <c r="DA98" s="4" t="str">
        <f>IF(XS_Designer_Bed_Mix!$J98&lt;=XS_Designer!$BN$101,XS_Designer!BE$101,"")</f>
        <v/>
      </c>
      <c r="DB98" s="4" t="str">
        <f>IF(XS_Designer_Bed_Mix!$J98&lt;=XS_Designer!$BN$101,XS_Designer!BF$101,"")</f>
        <v/>
      </c>
      <c r="DC98" s="4" t="str">
        <f>IF(XS_Designer_Bed_Mix!$J98&lt;=XS_Designer!$BN$101,XS_Designer!BG$101,"")</f>
        <v/>
      </c>
      <c r="DD98" s="4" t="str">
        <f>IF(XS_Designer_Bed_Mix!$J98&lt;=XS_Designer!$BN$101,XS_Designer!BH$101,"")</f>
        <v/>
      </c>
      <c r="DE98" s="4" t="str">
        <f>IF(XS_Designer_Bed_Mix!$J98&lt;=XS_Designer!$BN$101,XS_Designer!BI$101,"")</f>
        <v/>
      </c>
      <c r="DF98" s="4" t="str">
        <f>IF(XS_Designer_Bed_Mix!$J98&lt;=XS_Designer!$BN$101,XS_Designer!BJ$101,"")</f>
        <v/>
      </c>
      <c r="DG98" s="4" t="str">
        <f>IF(XS_Designer_Bed_Mix!$J98&lt;=XS_Designer!$BN$102,XS_Designer!BA$102,"")</f>
        <v/>
      </c>
      <c r="DH98" s="4" t="str">
        <f>IF(XS_Designer_Bed_Mix!$J98&lt;=XS_Designer!$BN$102,XS_Designer!BB$102,"")</f>
        <v/>
      </c>
      <c r="DI98" s="4" t="str">
        <f>IF(XS_Designer_Bed_Mix!$J98&lt;=XS_Designer!$BN$102,XS_Designer!BC$102,"")</f>
        <v/>
      </c>
      <c r="DJ98" s="4" t="str">
        <f>IF(XS_Designer_Bed_Mix!$J98&lt;=XS_Designer!$BN$102,XS_Designer!BD$102,"")</f>
        <v/>
      </c>
      <c r="DK98" s="4" t="str">
        <f>IF(XS_Designer_Bed_Mix!$J98&lt;=XS_Designer!$BN$102,XS_Designer!BE$102,"")</f>
        <v/>
      </c>
      <c r="DL98" s="4" t="str">
        <f>IF(XS_Designer_Bed_Mix!$J98&lt;=XS_Designer!$BN$102,XS_Designer!BF$102,"")</f>
        <v/>
      </c>
      <c r="DM98" s="4" t="str">
        <f>IF(XS_Designer_Bed_Mix!$J98&lt;=XS_Designer!$BN$102,XS_Designer!BG$102,"")</f>
        <v/>
      </c>
      <c r="DN98" s="4" t="str">
        <f>IF(XS_Designer_Bed_Mix!$J98&lt;=XS_Designer!$BN$102,XS_Designer!BH$102,"")</f>
        <v/>
      </c>
      <c r="DO98" s="4" t="str">
        <f>IF(XS_Designer_Bed_Mix!$J98&lt;=XS_Designer!$BN$102,XS_Designer!BI$102,"")</f>
        <v/>
      </c>
      <c r="DP98" s="4" t="str">
        <f>IF(XS_Designer_Bed_Mix!$J98&lt;=XS_Designer!$BN$102,XS_Designer!BJ$102,"")</f>
        <v/>
      </c>
    </row>
    <row r="99" spans="10:120">
      <c r="J99" s="3">
        <v>0.98</v>
      </c>
      <c r="K99" s="4" t="str">
        <f>IF(XS_Designer_Bed_Mix!$J99&lt;=XS_Designer!$BN$92,XS_Designer!BA$92,"")</f>
        <v/>
      </c>
      <c r="L99" s="4" t="str">
        <f>IF(XS_Designer_Bed_Mix!$J99&lt;=XS_Designer!$BN$92,XS_Designer!BB$92,"")</f>
        <v/>
      </c>
      <c r="M99" s="4" t="str">
        <f>IF(XS_Designer_Bed_Mix!$J99&lt;=XS_Designer!$BN$92,XS_Designer!BC$92,"")</f>
        <v/>
      </c>
      <c r="N99" s="4" t="str">
        <f>IF(XS_Designer_Bed_Mix!$J99&lt;=XS_Designer!$BN$92,XS_Designer!BD$92,"")</f>
        <v/>
      </c>
      <c r="O99" s="4" t="str">
        <f>IF(XS_Designer_Bed_Mix!$J99&lt;=XS_Designer!$BN$92,XS_Designer!BE$92,"")</f>
        <v/>
      </c>
      <c r="P99" s="4" t="str">
        <f>IF(XS_Designer_Bed_Mix!$J99&lt;=XS_Designer!$BN$92,XS_Designer!BF$92,"")</f>
        <v/>
      </c>
      <c r="Q99" s="4" t="str">
        <f>IF(XS_Designer_Bed_Mix!$J99&lt;=XS_Designer!$BN$92,XS_Designer!BG$92,"")</f>
        <v/>
      </c>
      <c r="R99" s="4" t="str">
        <f>IF(XS_Designer_Bed_Mix!$J99&lt;=XS_Designer!$BN$92,XS_Designer!BH$92,"")</f>
        <v/>
      </c>
      <c r="S99" s="4" t="str">
        <f>IF(XS_Designer_Bed_Mix!$J99&lt;=XS_Designer!$BN$92,XS_Designer!BI$92,"")</f>
        <v/>
      </c>
      <c r="T99" s="4" t="str">
        <f>IF(XS_Designer_Bed_Mix!$J99&lt;=XS_Designer!$BN$92,XS_Designer!BJ$92,"")</f>
        <v/>
      </c>
      <c r="U99" s="4" t="str">
        <f>IF(XS_Designer_Bed_Mix!$J99&lt;=XS_Designer!$BN$93,XS_Designer!BA$93,"")</f>
        <v/>
      </c>
      <c r="V99" s="4" t="str">
        <f>IF(XS_Designer_Bed_Mix!$J99&lt;=XS_Designer!$BN$93,XS_Designer!BB$93,"")</f>
        <v/>
      </c>
      <c r="W99" s="4" t="str">
        <f>IF(XS_Designer_Bed_Mix!$J99&lt;=XS_Designer!$BN$93,XS_Designer!BC$93,"")</f>
        <v/>
      </c>
      <c r="X99" s="4" t="str">
        <f>IF(XS_Designer_Bed_Mix!$J99&lt;=XS_Designer!$BN$93,XS_Designer!BD$93,"")</f>
        <v/>
      </c>
      <c r="Y99" s="4" t="str">
        <f>IF(XS_Designer_Bed_Mix!$J99&lt;=XS_Designer!$BN$93,XS_Designer!BE$93,"")</f>
        <v/>
      </c>
      <c r="Z99" s="4" t="str">
        <f>IF(XS_Designer_Bed_Mix!$J99&lt;=XS_Designer!$BN$93,XS_Designer!BF$93,"")</f>
        <v/>
      </c>
      <c r="AA99" s="4" t="str">
        <f>IF(XS_Designer_Bed_Mix!$J99&lt;=XS_Designer!$BN$93,XS_Designer!BG$93,"")</f>
        <v/>
      </c>
      <c r="AB99" s="4" t="str">
        <f>IF(XS_Designer_Bed_Mix!$J99&lt;=XS_Designer!$BN$93,XS_Designer!BH$93,"")</f>
        <v/>
      </c>
      <c r="AC99" s="4" t="str">
        <f>IF(XS_Designer_Bed_Mix!$J99&lt;=XS_Designer!$BN$93,XS_Designer!BI$93,"")</f>
        <v/>
      </c>
      <c r="AD99" s="4" t="str">
        <f>IF(XS_Designer_Bed_Mix!$J99&lt;=XS_Designer!$BN$93,XS_Designer!BJ$93,"")</f>
        <v/>
      </c>
      <c r="AE99" s="4" t="str">
        <f>IF(XS_Designer_Bed_Mix!$J99&lt;=XS_Designer!$BN$94,XS_Designer!BA$94,"")</f>
        <v/>
      </c>
      <c r="AF99" s="4" t="str">
        <f>IF(XS_Designer_Bed_Mix!$J99&lt;=XS_Designer!$BN$94,XS_Designer!BB$94,"")</f>
        <v/>
      </c>
      <c r="AG99" s="4" t="str">
        <f>IF(XS_Designer_Bed_Mix!$J99&lt;=XS_Designer!$BN$94,XS_Designer!BC$94,"")</f>
        <v/>
      </c>
      <c r="AH99" s="4" t="str">
        <f>IF(XS_Designer_Bed_Mix!$J99&lt;=XS_Designer!$BN$94,XS_Designer!BD$94,"")</f>
        <v/>
      </c>
      <c r="AI99" s="4" t="str">
        <f>IF(XS_Designer_Bed_Mix!$J99&lt;=XS_Designer!$BN$94,XS_Designer!BE$94,"")</f>
        <v/>
      </c>
      <c r="AJ99" s="4" t="str">
        <f>IF(XS_Designer_Bed_Mix!$J99&lt;=XS_Designer!$BN$94,XS_Designer!BF$94,"")</f>
        <v/>
      </c>
      <c r="AK99" s="4" t="str">
        <f>IF(XS_Designer_Bed_Mix!$J99&lt;=XS_Designer!$BN$94,XS_Designer!BG$94,"")</f>
        <v/>
      </c>
      <c r="AL99" s="4" t="str">
        <f>IF(XS_Designer_Bed_Mix!$J99&lt;=XS_Designer!$BN$94,XS_Designer!BH$94,"")</f>
        <v/>
      </c>
      <c r="AM99" s="4" t="str">
        <f>IF(XS_Designer_Bed_Mix!$J99&lt;=XS_Designer!$BN$94,XS_Designer!BI$94,"")</f>
        <v/>
      </c>
      <c r="AN99" s="4" t="str">
        <f>IF(XS_Designer_Bed_Mix!$J99&lt;=XS_Designer!$BN$94,XS_Designer!BJ$94,"")</f>
        <v/>
      </c>
      <c r="AO99" s="4" t="str">
        <f>IF(XS_Designer_Bed_Mix!$J99&lt;=XS_Designer!$BN$95,XS_Designer!BA$95,"")</f>
        <v/>
      </c>
      <c r="AP99" s="4" t="str">
        <f>IF(XS_Designer_Bed_Mix!$J99&lt;=XS_Designer!$BN$95,XS_Designer!BB$95,"")</f>
        <v/>
      </c>
      <c r="AQ99" s="4" t="str">
        <f>IF(XS_Designer_Bed_Mix!$J99&lt;=XS_Designer!$BN$95,XS_Designer!BC$95,"")</f>
        <v/>
      </c>
      <c r="AR99" s="4" t="str">
        <f>IF(XS_Designer_Bed_Mix!$J99&lt;=XS_Designer!$BN$95,XS_Designer!BD$95,"")</f>
        <v/>
      </c>
      <c r="AS99" s="4" t="str">
        <f>IF(XS_Designer_Bed_Mix!$J99&lt;=XS_Designer!$BN$95,XS_Designer!BE$95,"")</f>
        <v/>
      </c>
      <c r="AT99" s="4" t="str">
        <f>IF(XS_Designer_Bed_Mix!$J99&lt;=XS_Designer!$BN$95,XS_Designer!BF$95,"")</f>
        <v/>
      </c>
      <c r="AU99" s="4" t="str">
        <f>IF(XS_Designer_Bed_Mix!$J99&lt;=XS_Designer!$BN$95,XS_Designer!BG$95,"")</f>
        <v/>
      </c>
      <c r="AV99" s="4" t="str">
        <f>IF(XS_Designer_Bed_Mix!$J99&lt;=XS_Designer!$BN$95,XS_Designer!BH$95,"")</f>
        <v/>
      </c>
      <c r="AW99" s="4" t="str">
        <f>IF(XS_Designer_Bed_Mix!$J99&lt;=XS_Designer!$BN$95,XS_Designer!BI$95,"")</f>
        <v/>
      </c>
      <c r="AX99" s="4" t="str">
        <f>IF(XS_Designer_Bed_Mix!$J99&lt;=XS_Designer!$BN$95,XS_Designer!BJ$95,"")</f>
        <v/>
      </c>
      <c r="AY99" s="4" t="str">
        <f>IF(XS_Designer_Bed_Mix!$J99&lt;=XS_Designer!$BN$96,XS_Designer!BA$96,"")</f>
        <v/>
      </c>
      <c r="AZ99" s="4" t="str">
        <f>IF(XS_Designer_Bed_Mix!$J99&lt;=XS_Designer!$BN$96,XS_Designer!BB$96,"")</f>
        <v/>
      </c>
      <c r="BA99" s="4" t="str">
        <f>IF(XS_Designer_Bed_Mix!$J99&lt;=XS_Designer!$BN$96,XS_Designer!BC$96,"")</f>
        <v/>
      </c>
      <c r="BB99" s="4" t="str">
        <f>IF(XS_Designer_Bed_Mix!$J99&lt;=XS_Designer!$BN$96,XS_Designer!BD$96,"")</f>
        <v/>
      </c>
      <c r="BC99" s="4" t="str">
        <f>IF(XS_Designer_Bed_Mix!$J99&lt;=XS_Designer!$BN$96,XS_Designer!BE$96,"")</f>
        <v/>
      </c>
      <c r="BD99" s="4" t="str">
        <f>IF(XS_Designer_Bed_Mix!$J99&lt;=XS_Designer!$BN$96,XS_Designer!BF$96,"")</f>
        <v/>
      </c>
      <c r="BE99" s="4" t="str">
        <f>IF(XS_Designer_Bed_Mix!$J99&lt;=XS_Designer!$BN$96,XS_Designer!BG$96,"")</f>
        <v/>
      </c>
      <c r="BF99" s="4" t="str">
        <f>IF(XS_Designer_Bed_Mix!$J99&lt;=XS_Designer!$BN$96,XS_Designer!BH$96,"")</f>
        <v/>
      </c>
      <c r="BG99" s="4" t="str">
        <f>IF(XS_Designer_Bed_Mix!$J99&lt;=XS_Designer!$BN$96,XS_Designer!BI$96,"")</f>
        <v/>
      </c>
      <c r="BH99" s="4" t="str">
        <f>IF(XS_Designer_Bed_Mix!$J99&lt;=XS_Designer!$BN$96,XS_Designer!BJ$96,"")</f>
        <v/>
      </c>
      <c r="BI99" s="4" t="str">
        <f>IF(XS_Designer_Bed_Mix!$J99&lt;=XS_Designer!$BN$97,XS_Designer!BA$97,"")</f>
        <v/>
      </c>
      <c r="BJ99" s="4" t="str">
        <f>IF(XS_Designer_Bed_Mix!$J99&lt;=XS_Designer!$BN$97,XS_Designer!BB$97,"")</f>
        <v/>
      </c>
      <c r="BK99" s="4" t="str">
        <f>IF(XS_Designer_Bed_Mix!$J99&lt;=XS_Designer!$BN$97,XS_Designer!BC$97,"")</f>
        <v/>
      </c>
      <c r="BL99" s="4" t="str">
        <f>IF(XS_Designer_Bed_Mix!$J99&lt;=XS_Designer!$BN$97,XS_Designer!BD$97,"")</f>
        <v/>
      </c>
      <c r="BM99" s="4" t="str">
        <f>IF(XS_Designer_Bed_Mix!$J99&lt;=XS_Designer!$BN$97,XS_Designer!BE$97,"")</f>
        <v/>
      </c>
      <c r="BN99" s="4" t="str">
        <f>IF(XS_Designer_Bed_Mix!$J99&lt;=XS_Designer!$BN$97,XS_Designer!BF$97,"")</f>
        <v/>
      </c>
      <c r="BO99" s="4" t="str">
        <f>IF(XS_Designer_Bed_Mix!$J99&lt;=XS_Designer!$BN$97,XS_Designer!BG$97,"")</f>
        <v/>
      </c>
      <c r="BP99" s="4" t="str">
        <f>IF(XS_Designer_Bed_Mix!$J99&lt;=XS_Designer!$BN$97,XS_Designer!BH$97,"")</f>
        <v/>
      </c>
      <c r="BQ99" s="4" t="str">
        <f>IF(XS_Designer_Bed_Mix!$J99&lt;=XS_Designer!$BN$97,XS_Designer!BI$97,"")</f>
        <v/>
      </c>
      <c r="BR99" s="4" t="str">
        <f>IF(XS_Designer_Bed_Mix!$J99&lt;=XS_Designer!$BN$97,XS_Designer!BJ$97,"")</f>
        <v/>
      </c>
      <c r="BS99" s="4" t="str">
        <f>IF(XS_Designer_Bed_Mix!$J99&lt;=XS_Designer!$BN$98,XS_Designer!BA$98,"")</f>
        <v/>
      </c>
      <c r="BT99" s="4" t="str">
        <f>IF(XS_Designer_Bed_Mix!$J99&lt;=XS_Designer!$BN$98,XS_Designer!BB$98,"")</f>
        <v/>
      </c>
      <c r="BU99" s="4" t="str">
        <f>IF(XS_Designer_Bed_Mix!$J99&lt;=XS_Designer!$BN$98,XS_Designer!BC$98,"")</f>
        <v/>
      </c>
      <c r="BV99" s="4" t="str">
        <f>IF(XS_Designer_Bed_Mix!$J99&lt;=XS_Designer!$BN$98,XS_Designer!BD$98,"")</f>
        <v/>
      </c>
      <c r="BW99" s="4" t="str">
        <f>IF(XS_Designer_Bed_Mix!$J99&lt;=XS_Designer!$BN$98,XS_Designer!BE$98,"")</f>
        <v/>
      </c>
      <c r="BX99" s="4" t="str">
        <f>IF(XS_Designer_Bed_Mix!$J99&lt;=XS_Designer!$BN$98,XS_Designer!BF$98,"")</f>
        <v/>
      </c>
      <c r="BY99" s="4" t="str">
        <f>IF(XS_Designer_Bed_Mix!$J99&lt;=XS_Designer!$BN$98,XS_Designer!BG$98,"")</f>
        <v/>
      </c>
      <c r="BZ99" s="4" t="str">
        <f>IF(XS_Designer_Bed_Mix!$J99&lt;=XS_Designer!$BN$98,XS_Designer!BH$98,"")</f>
        <v/>
      </c>
      <c r="CA99" s="4" t="str">
        <f>IF(XS_Designer_Bed_Mix!$J99&lt;=XS_Designer!$BN$98,XS_Designer!BI$98,"")</f>
        <v/>
      </c>
      <c r="CB99" s="4" t="str">
        <f>IF(XS_Designer_Bed_Mix!$J99&lt;=XS_Designer!$BN$98,XS_Designer!BJ$98,"")</f>
        <v/>
      </c>
      <c r="CC99" s="4" t="str">
        <f>IF(XS_Designer_Bed_Mix!$J99&lt;=XS_Designer!$BN$99,XS_Designer!BA$99,"")</f>
        <v/>
      </c>
      <c r="CD99" s="4" t="str">
        <f>IF(XS_Designer_Bed_Mix!$J99&lt;=XS_Designer!$BN$99,XS_Designer!BB$99,"")</f>
        <v/>
      </c>
      <c r="CE99" s="4" t="str">
        <f>IF(XS_Designer_Bed_Mix!$J99&lt;=XS_Designer!$BN$99,XS_Designer!BC$99,"")</f>
        <v/>
      </c>
      <c r="CF99" s="4" t="str">
        <f>IF(XS_Designer_Bed_Mix!$J99&lt;=XS_Designer!$BN$99,XS_Designer!BD$99,"")</f>
        <v/>
      </c>
      <c r="CG99" s="4" t="str">
        <f>IF(XS_Designer_Bed_Mix!$J99&lt;=XS_Designer!$BN$99,XS_Designer!BE$99,"")</f>
        <v/>
      </c>
      <c r="CH99" s="4" t="str">
        <f>IF(XS_Designer_Bed_Mix!$J99&lt;=XS_Designer!$BN$99,XS_Designer!BF$99,"")</f>
        <v/>
      </c>
      <c r="CI99" s="4" t="str">
        <f>IF(XS_Designer_Bed_Mix!$J99&lt;=XS_Designer!$BN$99,XS_Designer!BG$99,"")</f>
        <v/>
      </c>
      <c r="CJ99" s="4" t="str">
        <f>IF(XS_Designer_Bed_Mix!$J99&lt;=XS_Designer!$BN$99,XS_Designer!BH$99,"")</f>
        <v/>
      </c>
      <c r="CK99" s="4" t="str">
        <f>IF(XS_Designer_Bed_Mix!$J99&lt;=XS_Designer!$BN$99,XS_Designer!BI$99,"")</f>
        <v/>
      </c>
      <c r="CL99" s="4" t="str">
        <f>IF(XS_Designer_Bed_Mix!$J99&lt;=XS_Designer!$BN$99,XS_Designer!BJ$99,"")</f>
        <v/>
      </c>
      <c r="CM99" s="4" t="str">
        <f>IF(XS_Designer_Bed_Mix!$J99&lt;=XS_Designer!$BN$100,XS_Designer!BA$100,"")</f>
        <v/>
      </c>
      <c r="CN99" s="4" t="str">
        <f>IF(XS_Designer_Bed_Mix!$J99&lt;=XS_Designer!$BN$100,XS_Designer!BB$100,"")</f>
        <v/>
      </c>
      <c r="CO99" s="4" t="str">
        <f>IF(XS_Designer_Bed_Mix!$J99&lt;=XS_Designer!$BN$100,XS_Designer!BC$100,"")</f>
        <v/>
      </c>
      <c r="CP99" s="4" t="str">
        <f>IF(XS_Designer_Bed_Mix!$J99&lt;=XS_Designer!$BN$100,XS_Designer!BD$100,"")</f>
        <v/>
      </c>
      <c r="CQ99" s="4" t="str">
        <f>IF(XS_Designer_Bed_Mix!$J99&lt;=XS_Designer!$BN$100,XS_Designer!BE$100,"")</f>
        <v/>
      </c>
      <c r="CR99" s="4" t="str">
        <f>IF(XS_Designer_Bed_Mix!$J99&lt;=XS_Designer!$BN$100,XS_Designer!BF$100,"")</f>
        <v/>
      </c>
      <c r="CS99" s="4" t="str">
        <f>IF(XS_Designer_Bed_Mix!$J99&lt;=XS_Designer!$BN$100,XS_Designer!BG$100,"")</f>
        <v/>
      </c>
      <c r="CT99" s="4" t="str">
        <f>IF(XS_Designer_Bed_Mix!$J99&lt;=XS_Designer!$BN$100,XS_Designer!BH$100,"")</f>
        <v/>
      </c>
      <c r="CU99" s="4" t="str">
        <f>IF(XS_Designer_Bed_Mix!$J99&lt;=XS_Designer!$BN$100,XS_Designer!BI$100,"")</f>
        <v/>
      </c>
      <c r="CV99" s="4" t="str">
        <f>IF(XS_Designer_Bed_Mix!$J99&lt;=XS_Designer!$BN$100,XS_Designer!BJ$100,"")</f>
        <v/>
      </c>
      <c r="CW99" s="4" t="str">
        <f>IF(XS_Designer_Bed_Mix!$J99&lt;=XS_Designer!$BN$101,XS_Designer!BA$101,"")</f>
        <v/>
      </c>
      <c r="CX99" s="4" t="str">
        <f>IF(XS_Designer_Bed_Mix!$J99&lt;=XS_Designer!$BN$101,XS_Designer!BB$101,"")</f>
        <v/>
      </c>
      <c r="CY99" s="4" t="str">
        <f>IF(XS_Designer_Bed_Mix!$J99&lt;=XS_Designer!$BN$101,XS_Designer!BC$101,"")</f>
        <v/>
      </c>
      <c r="CZ99" s="4" t="str">
        <f>IF(XS_Designer_Bed_Mix!$J99&lt;=XS_Designer!$BN$101,XS_Designer!BD$101,"")</f>
        <v/>
      </c>
      <c r="DA99" s="4" t="str">
        <f>IF(XS_Designer_Bed_Mix!$J99&lt;=XS_Designer!$BN$101,XS_Designer!BE$101,"")</f>
        <v/>
      </c>
      <c r="DB99" s="4" t="str">
        <f>IF(XS_Designer_Bed_Mix!$J99&lt;=XS_Designer!$BN$101,XS_Designer!BF$101,"")</f>
        <v/>
      </c>
      <c r="DC99" s="4" t="str">
        <f>IF(XS_Designer_Bed_Mix!$J99&lt;=XS_Designer!$BN$101,XS_Designer!BG$101,"")</f>
        <v/>
      </c>
      <c r="DD99" s="4" t="str">
        <f>IF(XS_Designer_Bed_Mix!$J99&lt;=XS_Designer!$BN$101,XS_Designer!BH$101,"")</f>
        <v/>
      </c>
      <c r="DE99" s="4" t="str">
        <f>IF(XS_Designer_Bed_Mix!$J99&lt;=XS_Designer!$BN$101,XS_Designer!BI$101,"")</f>
        <v/>
      </c>
      <c r="DF99" s="4" t="str">
        <f>IF(XS_Designer_Bed_Mix!$J99&lt;=XS_Designer!$BN$101,XS_Designer!BJ$101,"")</f>
        <v/>
      </c>
      <c r="DG99" s="4" t="str">
        <f>IF(XS_Designer_Bed_Mix!$J99&lt;=XS_Designer!$BN$102,XS_Designer!BA$102,"")</f>
        <v/>
      </c>
      <c r="DH99" s="4" t="str">
        <f>IF(XS_Designer_Bed_Mix!$J99&lt;=XS_Designer!$BN$102,XS_Designer!BB$102,"")</f>
        <v/>
      </c>
      <c r="DI99" s="4" t="str">
        <f>IF(XS_Designer_Bed_Mix!$J99&lt;=XS_Designer!$BN$102,XS_Designer!BC$102,"")</f>
        <v/>
      </c>
      <c r="DJ99" s="4" t="str">
        <f>IF(XS_Designer_Bed_Mix!$J99&lt;=XS_Designer!$BN$102,XS_Designer!BD$102,"")</f>
        <v/>
      </c>
      <c r="DK99" s="4" t="str">
        <f>IF(XS_Designer_Bed_Mix!$J99&lt;=XS_Designer!$BN$102,XS_Designer!BE$102,"")</f>
        <v/>
      </c>
      <c r="DL99" s="4" t="str">
        <f>IF(XS_Designer_Bed_Mix!$J99&lt;=XS_Designer!$BN$102,XS_Designer!BF$102,"")</f>
        <v/>
      </c>
      <c r="DM99" s="4" t="str">
        <f>IF(XS_Designer_Bed_Mix!$J99&lt;=XS_Designer!$BN$102,XS_Designer!BG$102,"")</f>
        <v/>
      </c>
      <c r="DN99" s="4" t="str">
        <f>IF(XS_Designer_Bed_Mix!$J99&lt;=XS_Designer!$BN$102,XS_Designer!BH$102,"")</f>
        <v/>
      </c>
      <c r="DO99" s="4" t="str">
        <f>IF(XS_Designer_Bed_Mix!$J99&lt;=XS_Designer!$BN$102,XS_Designer!BI$102,"")</f>
        <v/>
      </c>
      <c r="DP99" s="4" t="str">
        <f>IF(XS_Designer_Bed_Mix!$J99&lt;=XS_Designer!$BN$102,XS_Designer!BJ$102,"")</f>
        <v/>
      </c>
    </row>
    <row r="100" spans="10:120">
      <c r="J100" s="3">
        <v>0.99</v>
      </c>
      <c r="K100" s="4" t="str">
        <f>IF(XS_Designer_Bed_Mix!$J100&lt;=XS_Designer!$BN$92,XS_Designer!BA$92,"")</f>
        <v/>
      </c>
      <c r="L100" s="4" t="str">
        <f>IF(XS_Designer_Bed_Mix!$J100&lt;=XS_Designer!$BN$92,XS_Designer!BB$92,"")</f>
        <v/>
      </c>
      <c r="M100" s="4" t="str">
        <f>IF(XS_Designer_Bed_Mix!$J100&lt;=XS_Designer!$BN$92,XS_Designer!BC$92,"")</f>
        <v/>
      </c>
      <c r="N100" s="4" t="str">
        <f>IF(XS_Designer_Bed_Mix!$J100&lt;=XS_Designer!$BN$92,XS_Designer!BD$92,"")</f>
        <v/>
      </c>
      <c r="O100" s="4" t="str">
        <f>IF(XS_Designer_Bed_Mix!$J100&lt;=XS_Designer!$BN$92,XS_Designer!BE$92,"")</f>
        <v/>
      </c>
      <c r="P100" s="4" t="str">
        <f>IF(XS_Designer_Bed_Mix!$J100&lt;=XS_Designer!$BN$92,XS_Designer!BF$92,"")</f>
        <v/>
      </c>
      <c r="Q100" s="4" t="str">
        <f>IF(XS_Designer_Bed_Mix!$J100&lt;=XS_Designer!$BN$92,XS_Designer!BG$92,"")</f>
        <v/>
      </c>
      <c r="R100" s="4" t="str">
        <f>IF(XS_Designer_Bed_Mix!$J100&lt;=XS_Designer!$BN$92,XS_Designer!BH$92,"")</f>
        <v/>
      </c>
      <c r="S100" s="4" t="str">
        <f>IF(XS_Designer_Bed_Mix!$J100&lt;=XS_Designer!$BN$92,XS_Designer!BI$92,"")</f>
        <v/>
      </c>
      <c r="T100" s="4" t="str">
        <f>IF(XS_Designer_Bed_Mix!$J100&lt;=XS_Designer!$BN$92,XS_Designer!BJ$92,"")</f>
        <v/>
      </c>
      <c r="U100" s="4" t="str">
        <f>IF(XS_Designer_Bed_Mix!$J100&lt;=XS_Designer!$BN$93,XS_Designer!BA$93,"")</f>
        <v/>
      </c>
      <c r="V100" s="4" t="str">
        <f>IF(XS_Designer_Bed_Mix!$J100&lt;=XS_Designer!$BN$93,XS_Designer!BB$93,"")</f>
        <v/>
      </c>
      <c r="W100" s="4" t="str">
        <f>IF(XS_Designer_Bed_Mix!$J100&lt;=XS_Designer!$BN$93,XS_Designer!BC$93,"")</f>
        <v/>
      </c>
      <c r="X100" s="4" t="str">
        <f>IF(XS_Designer_Bed_Mix!$J100&lt;=XS_Designer!$BN$93,XS_Designer!BD$93,"")</f>
        <v/>
      </c>
      <c r="Y100" s="4" t="str">
        <f>IF(XS_Designer_Bed_Mix!$J100&lt;=XS_Designer!$BN$93,XS_Designer!BE$93,"")</f>
        <v/>
      </c>
      <c r="Z100" s="4" t="str">
        <f>IF(XS_Designer_Bed_Mix!$J100&lt;=XS_Designer!$BN$93,XS_Designer!BF$93,"")</f>
        <v/>
      </c>
      <c r="AA100" s="4" t="str">
        <f>IF(XS_Designer_Bed_Mix!$J100&lt;=XS_Designer!$BN$93,XS_Designer!BG$93,"")</f>
        <v/>
      </c>
      <c r="AB100" s="4" t="str">
        <f>IF(XS_Designer_Bed_Mix!$J100&lt;=XS_Designer!$BN$93,XS_Designer!BH$93,"")</f>
        <v/>
      </c>
      <c r="AC100" s="4" t="str">
        <f>IF(XS_Designer_Bed_Mix!$J100&lt;=XS_Designer!$BN$93,XS_Designer!BI$93,"")</f>
        <v/>
      </c>
      <c r="AD100" s="4" t="str">
        <f>IF(XS_Designer_Bed_Mix!$J100&lt;=XS_Designer!$BN$93,XS_Designer!BJ$93,"")</f>
        <v/>
      </c>
      <c r="AE100" s="4" t="str">
        <f>IF(XS_Designer_Bed_Mix!$J100&lt;=XS_Designer!$BN$94,XS_Designer!BA$94,"")</f>
        <v/>
      </c>
      <c r="AF100" s="4" t="str">
        <f>IF(XS_Designer_Bed_Mix!$J100&lt;=XS_Designer!$BN$94,XS_Designer!BB$94,"")</f>
        <v/>
      </c>
      <c r="AG100" s="4" t="str">
        <f>IF(XS_Designer_Bed_Mix!$J100&lt;=XS_Designer!$BN$94,XS_Designer!BC$94,"")</f>
        <v/>
      </c>
      <c r="AH100" s="4" t="str">
        <f>IF(XS_Designer_Bed_Mix!$J100&lt;=XS_Designer!$BN$94,XS_Designer!BD$94,"")</f>
        <v/>
      </c>
      <c r="AI100" s="4" t="str">
        <f>IF(XS_Designer_Bed_Mix!$J100&lt;=XS_Designer!$BN$94,XS_Designer!BE$94,"")</f>
        <v/>
      </c>
      <c r="AJ100" s="4" t="str">
        <f>IF(XS_Designer_Bed_Mix!$J100&lt;=XS_Designer!$BN$94,XS_Designer!BF$94,"")</f>
        <v/>
      </c>
      <c r="AK100" s="4" t="str">
        <f>IF(XS_Designer_Bed_Mix!$J100&lt;=XS_Designer!$BN$94,XS_Designer!BG$94,"")</f>
        <v/>
      </c>
      <c r="AL100" s="4" t="str">
        <f>IF(XS_Designer_Bed_Mix!$J100&lt;=XS_Designer!$BN$94,XS_Designer!BH$94,"")</f>
        <v/>
      </c>
      <c r="AM100" s="4" t="str">
        <f>IF(XS_Designer_Bed_Mix!$J100&lt;=XS_Designer!$BN$94,XS_Designer!BI$94,"")</f>
        <v/>
      </c>
      <c r="AN100" s="4" t="str">
        <f>IF(XS_Designer_Bed_Mix!$J100&lt;=XS_Designer!$BN$94,XS_Designer!BJ$94,"")</f>
        <v/>
      </c>
      <c r="AO100" s="4" t="str">
        <f>IF(XS_Designer_Bed_Mix!$J100&lt;=XS_Designer!$BN$95,XS_Designer!BA$95,"")</f>
        <v/>
      </c>
      <c r="AP100" s="4" t="str">
        <f>IF(XS_Designer_Bed_Mix!$J100&lt;=XS_Designer!$BN$95,XS_Designer!BB$95,"")</f>
        <v/>
      </c>
      <c r="AQ100" s="4" t="str">
        <f>IF(XS_Designer_Bed_Mix!$J100&lt;=XS_Designer!$BN$95,XS_Designer!BC$95,"")</f>
        <v/>
      </c>
      <c r="AR100" s="4" t="str">
        <f>IF(XS_Designer_Bed_Mix!$J100&lt;=XS_Designer!$BN$95,XS_Designer!BD$95,"")</f>
        <v/>
      </c>
      <c r="AS100" s="4" t="str">
        <f>IF(XS_Designer_Bed_Mix!$J100&lt;=XS_Designer!$BN$95,XS_Designer!BE$95,"")</f>
        <v/>
      </c>
      <c r="AT100" s="4" t="str">
        <f>IF(XS_Designer_Bed_Mix!$J100&lt;=XS_Designer!$BN$95,XS_Designer!BF$95,"")</f>
        <v/>
      </c>
      <c r="AU100" s="4" t="str">
        <f>IF(XS_Designer_Bed_Mix!$J100&lt;=XS_Designer!$BN$95,XS_Designer!BG$95,"")</f>
        <v/>
      </c>
      <c r="AV100" s="4" t="str">
        <f>IF(XS_Designer_Bed_Mix!$J100&lt;=XS_Designer!$BN$95,XS_Designer!BH$95,"")</f>
        <v/>
      </c>
      <c r="AW100" s="4" t="str">
        <f>IF(XS_Designer_Bed_Mix!$J100&lt;=XS_Designer!$BN$95,XS_Designer!BI$95,"")</f>
        <v/>
      </c>
      <c r="AX100" s="4" t="str">
        <f>IF(XS_Designer_Bed_Mix!$J100&lt;=XS_Designer!$BN$95,XS_Designer!BJ$95,"")</f>
        <v/>
      </c>
      <c r="AY100" s="4" t="str">
        <f>IF(XS_Designer_Bed_Mix!$J100&lt;=XS_Designer!$BN$96,XS_Designer!BA$96,"")</f>
        <v/>
      </c>
      <c r="AZ100" s="4" t="str">
        <f>IF(XS_Designer_Bed_Mix!$J100&lt;=XS_Designer!$BN$96,XS_Designer!BB$96,"")</f>
        <v/>
      </c>
      <c r="BA100" s="4" t="str">
        <f>IF(XS_Designer_Bed_Mix!$J100&lt;=XS_Designer!$BN$96,XS_Designer!BC$96,"")</f>
        <v/>
      </c>
      <c r="BB100" s="4" t="str">
        <f>IF(XS_Designer_Bed_Mix!$J100&lt;=XS_Designer!$BN$96,XS_Designer!BD$96,"")</f>
        <v/>
      </c>
      <c r="BC100" s="4" t="str">
        <f>IF(XS_Designer_Bed_Mix!$J100&lt;=XS_Designer!$BN$96,XS_Designer!BE$96,"")</f>
        <v/>
      </c>
      <c r="BD100" s="4" t="str">
        <f>IF(XS_Designer_Bed_Mix!$J100&lt;=XS_Designer!$BN$96,XS_Designer!BF$96,"")</f>
        <v/>
      </c>
      <c r="BE100" s="4" t="str">
        <f>IF(XS_Designer_Bed_Mix!$J100&lt;=XS_Designer!$BN$96,XS_Designer!BG$96,"")</f>
        <v/>
      </c>
      <c r="BF100" s="4" t="str">
        <f>IF(XS_Designer_Bed_Mix!$J100&lt;=XS_Designer!$BN$96,XS_Designer!BH$96,"")</f>
        <v/>
      </c>
      <c r="BG100" s="4" t="str">
        <f>IF(XS_Designer_Bed_Mix!$J100&lt;=XS_Designer!$BN$96,XS_Designer!BI$96,"")</f>
        <v/>
      </c>
      <c r="BH100" s="4" t="str">
        <f>IF(XS_Designer_Bed_Mix!$J100&lt;=XS_Designer!$BN$96,XS_Designer!BJ$96,"")</f>
        <v/>
      </c>
      <c r="BI100" s="4" t="str">
        <f>IF(XS_Designer_Bed_Mix!$J100&lt;=XS_Designer!$BN$97,XS_Designer!BA$97,"")</f>
        <v/>
      </c>
      <c r="BJ100" s="4" t="str">
        <f>IF(XS_Designer_Bed_Mix!$J100&lt;=XS_Designer!$BN$97,XS_Designer!BB$97,"")</f>
        <v/>
      </c>
      <c r="BK100" s="4" t="str">
        <f>IF(XS_Designer_Bed_Mix!$J100&lt;=XS_Designer!$BN$97,XS_Designer!BC$97,"")</f>
        <v/>
      </c>
      <c r="BL100" s="4" t="str">
        <f>IF(XS_Designer_Bed_Mix!$J100&lt;=XS_Designer!$BN$97,XS_Designer!BD$97,"")</f>
        <v/>
      </c>
      <c r="BM100" s="4" t="str">
        <f>IF(XS_Designer_Bed_Mix!$J100&lt;=XS_Designer!$BN$97,XS_Designer!BE$97,"")</f>
        <v/>
      </c>
      <c r="BN100" s="4" t="str">
        <f>IF(XS_Designer_Bed_Mix!$J100&lt;=XS_Designer!$BN$97,XS_Designer!BF$97,"")</f>
        <v/>
      </c>
      <c r="BO100" s="4" t="str">
        <f>IF(XS_Designer_Bed_Mix!$J100&lt;=XS_Designer!$BN$97,XS_Designer!BG$97,"")</f>
        <v/>
      </c>
      <c r="BP100" s="4" t="str">
        <f>IF(XS_Designer_Bed_Mix!$J100&lt;=XS_Designer!$BN$97,XS_Designer!BH$97,"")</f>
        <v/>
      </c>
      <c r="BQ100" s="4" t="str">
        <f>IF(XS_Designer_Bed_Mix!$J100&lt;=XS_Designer!$BN$97,XS_Designer!BI$97,"")</f>
        <v/>
      </c>
      <c r="BR100" s="4" t="str">
        <f>IF(XS_Designer_Bed_Mix!$J100&lt;=XS_Designer!$BN$97,XS_Designer!BJ$97,"")</f>
        <v/>
      </c>
      <c r="BS100" s="4" t="str">
        <f>IF(XS_Designer_Bed_Mix!$J100&lt;=XS_Designer!$BN$98,XS_Designer!BA$98,"")</f>
        <v/>
      </c>
      <c r="BT100" s="4" t="str">
        <f>IF(XS_Designer_Bed_Mix!$J100&lt;=XS_Designer!$BN$98,XS_Designer!BB$98,"")</f>
        <v/>
      </c>
      <c r="BU100" s="4" t="str">
        <f>IF(XS_Designer_Bed_Mix!$J100&lt;=XS_Designer!$BN$98,XS_Designer!BC$98,"")</f>
        <v/>
      </c>
      <c r="BV100" s="4" t="str">
        <f>IF(XS_Designer_Bed_Mix!$J100&lt;=XS_Designer!$BN$98,XS_Designer!BD$98,"")</f>
        <v/>
      </c>
      <c r="BW100" s="4" t="str">
        <f>IF(XS_Designer_Bed_Mix!$J100&lt;=XS_Designer!$BN$98,XS_Designer!BE$98,"")</f>
        <v/>
      </c>
      <c r="BX100" s="4" t="str">
        <f>IF(XS_Designer_Bed_Mix!$J100&lt;=XS_Designer!$BN$98,XS_Designer!BF$98,"")</f>
        <v/>
      </c>
      <c r="BY100" s="4" t="str">
        <f>IF(XS_Designer_Bed_Mix!$J100&lt;=XS_Designer!$BN$98,XS_Designer!BG$98,"")</f>
        <v/>
      </c>
      <c r="BZ100" s="4" t="str">
        <f>IF(XS_Designer_Bed_Mix!$J100&lt;=XS_Designer!$BN$98,XS_Designer!BH$98,"")</f>
        <v/>
      </c>
      <c r="CA100" s="4" t="str">
        <f>IF(XS_Designer_Bed_Mix!$J100&lt;=XS_Designer!$BN$98,XS_Designer!BI$98,"")</f>
        <v/>
      </c>
      <c r="CB100" s="4" t="str">
        <f>IF(XS_Designer_Bed_Mix!$J100&lt;=XS_Designer!$BN$98,XS_Designer!BJ$98,"")</f>
        <v/>
      </c>
      <c r="CC100" s="4" t="str">
        <f>IF(XS_Designer_Bed_Mix!$J100&lt;=XS_Designer!$BN$99,XS_Designer!BA$99,"")</f>
        <v/>
      </c>
      <c r="CD100" s="4" t="str">
        <f>IF(XS_Designer_Bed_Mix!$J100&lt;=XS_Designer!$BN$99,XS_Designer!BB$99,"")</f>
        <v/>
      </c>
      <c r="CE100" s="4" t="str">
        <f>IF(XS_Designer_Bed_Mix!$J100&lt;=XS_Designer!$BN$99,XS_Designer!BC$99,"")</f>
        <v/>
      </c>
      <c r="CF100" s="4" t="str">
        <f>IF(XS_Designer_Bed_Mix!$J100&lt;=XS_Designer!$BN$99,XS_Designer!BD$99,"")</f>
        <v/>
      </c>
      <c r="CG100" s="4" t="str">
        <f>IF(XS_Designer_Bed_Mix!$J100&lt;=XS_Designer!$BN$99,XS_Designer!BE$99,"")</f>
        <v/>
      </c>
      <c r="CH100" s="4" t="str">
        <f>IF(XS_Designer_Bed_Mix!$J100&lt;=XS_Designer!$BN$99,XS_Designer!BF$99,"")</f>
        <v/>
      </c>
      <c r="CI100" s="4" t="str">
        <f>IF(XS_Designer_Bed_Mix!$J100&lt;=XS_Designer!$BN$99,XS_Designer!BG$99,"")</f>
        <v/>
      </c>
      <c r="CJ100" s="4" t="str">
        <f>IF(XS_Designer_Bed_Mix!$J100&lt;=XS_Designer!$BN$99,XS_Designer!BH$99,"")</f>
        <v/>
      </c>
      <c r="CK100" s="4" t="str">
        <f>IF(XS_Designer_Bed_Mix!$J100&lt;=XS_Designer!$BN$99,XS_Designer!BI$99,"")</f>
        <v/>
      </c>
      <c r="CL100" s="4" t="str">
        <f>IF(XS_Designer_Bed_Mix!$J100&lt;=XS_Designer!$BN$99,XS_Designer!BJ$99,"")</f>
        <v/>
      </c>
      <c r="CM100" s="4" t="str">
        <f>IF(XS_Designer_Bed_Mix!$J100&lt;=XS_Designer!$BN$100,XS_Designer!BA$100,"")</f>
        <v/>
      </c>
      <c r="CN100" s="4" t="str">
        <f>IF(XS_Designer_Bed_Mix!$J100&lt;=XS_Designer!$BN$100,XS_Designer!BB$100,"")</f>
        <v/>
      </c>
      <c r="CO100" s="4" t="str">
        <f>IF(XS_Designer_Bed_Mix!$J100&lt;=XS_Designer!$BN$100,XS_Designer!BC$100,"")</f>
        <v/>
      </c>
      <c r="CP100" s="4" t="str">
        <f>IF(XS_Designer_Bed_Mix!$J100&lt;=XS_Designer!$BN$100,XS_Designer!BD$100,"")</f>
        <v/>
      </c>
      <c r="CQ100" s="4" t="str">
        <f>IF(XS_Designer_Bed_Mix!$J100&lt;=XS_Designer!$BN$100,XS_Designer!BE$100,"")</f>
        <v/>
      </c>
      <c r="CR100" s="4" t="str">
        <f>IF(XS_Designer_Bed_Mix!$J100&lt;=XS_Designer!$BN$100,XS_Designer!BF$100,"")</f>
        <v/>
      </c>
      <c r="CS100" s="4" t="str">
        <f>IF(XS_Designer_Bed_Mix!$J100&lt;=XS_Designer!$BN$100,XS_Designer!BG$100,"")</f>
        <v/>
      </c>
      <c r="CT100" s="4" t="str">
        <f>IF(XS_Designer_Bed_Mix!$J100&lt;=XS_Designer!$BN$100,XS_Designer!BH$100,"")</f>
        <v/>
      </c>
      <c r="CU100" s="4" t="str">
        <f>IF(XS_Designer_Bed_Mix!$J100&lt;=XS_Designer!$BN$100,XS_Designer!BI$100,"")</f>
        <v/>
      </c>
      <c r="CV100" s="4" t="str">
        <f>IF(XS_Designer_Bed_Mix!$J100&lt;=XS_Designer!$BN$100,XS_Designer!BJ$100,"")</f>
        <v/>
      </c>
      <c r="CW100" s="4" t="str">
        <f>IF(XS_Designer_Bed_Mix!$J100&lt;=XS_Designer!$BN$101,XS_Designer!BA$101,"")</f>
        <v/>
      </c>
      <c r="CX100" s="4" t="str">
        <f>IF(XS_Designer_Bed_Mix!$J100&lt;=XS_Designer!$BN$101,XS_Designer!BB$101,"")</f>
        <v/>
      </c>
      <c r="CY100" s="4" t="str">
        <f>IF(XS_Designer_Bed_Mix!$J100&lt;=XS_Designer!$BN$101,XS_Designer!BC$101,"")</f>
        <v/>
      </c>
      <c r="CZ100" s="4" t="str">
        <f>IF(XS_Designer_Bed_Mix!$J100&lt;=XS_Designer!$BN$101,XS_Designer!BD$101,"")</f>
        <v/>
      </c>
      <c r="DA100" s="4" t="str">
        <f>IF(XS_Designer_Bed_Mix!$J100&lt;=XS_Designer!$BN$101,XS_Designer!BE$101,"")</f>
        <v/>
      </c>
      <c r="DB100" s="4" t="str">
        <f>IF(XS_Designer_Bed_Mix!$J100&lt;=XS_Designer!$BN$101,XS_Designer!BF$101,"")</f>
        <v/>
      </c>
      <c r="DC100" s="4" t="str">
        <f>IF(XS_Designer_Bed_Mix!$J100&lt;=XS_Designer!$BN$101,XS_Designer!BG$101,"")</f>
        <v/>
      </c>
      <c r="DD100" s="4" t="str">
        <f>IF(XS_Designer_Bed_Mix!$J100&lt;=XS_Designer!$BN$101,XS_Designer!BH$101,"")</f>
        <v/>
      </c>
      <c r="DE100" s="4" t="str">
        <f>IF(XS_Designer_Bed_Mix!$J100&lt;=XS_Designer!$BN$101,XS_Designer!BI$101,"")</f>
        <v/>
      </c>
      <c r="DF100" s="4" t="str">
        <f>IF(XS_Designer_Bed_Mix!$J100&lt;=XS_Designer!$BN$101,XS_Designer!BJ$101,"")</f>
        <v/>
      </c>
      <c r="DG100" s="4" t="str">
        <f>IF(XS_Designer_Bed_Mix!$J100&lt;=XS_Designer!$BN$102,XS_Designer!BA$102,"")</f>
        <v/>
      </c>
      <c r="DH100" s="4" t="str">
        <f>IF(XS_Designer_Bed_Mix!$J100&lt;=XS_Designer!$BN$102,XS_Designer!BB$102,"")</f>
        <v/>
      </c>
      <c r="DI100" s="4" t="str">
        <f>IF(XS_Designer_Bed_Mix!$J100&lt;=XS_Designer!$BN$102,XS_Designer!BC$102,"")</f>
        <v/>
      </c>
      <c r="DJ100" s="4" t="str">
        <f>IF(XS_Designer_Bed_Mix!$J100&lt;=XS_Designer!$BN$102,XS_Designer!BD$102,"")</f>
        <v/>
      </c>
      <c r="DK100" s="4" t="str">
        <f>IF(XS_Designer_Bed_Mix!$J100&lt;=XS_Designer!$BN$102,XS_Designer!BE$102,"")</f>
        <v/>
      </c>
      <c r="DL100" s="4" t="str">
        <f>IF(XS_Designer_Bed_Mix!$J100&lt;=XS_Designer!$BN$102,XS_Designer!BF$102,"")</f>
        <v/>
      </c>
      <c r="DM100" s="4" t="str">
        <f>IF(XS_Designer_Bed_Mix!$J100&lt;=XS_Designer!$BN$102,XS_Designer!BG$102,"")</f>
        <v/>
      </c>
      <c r="DN100" s="4" t="str">
        <f>IF(XS_Designer_Bed_Mix!$J100&lt;=XS_Designer!$BN$102,XS_Designer!BH$102,"")</f>
        <v/>
      </c>
      <c r="DO100" s="4" t="str">
        <f>IF(XS_Designer_Bed_Mix!$J100&lt;=XS_Designer!$BN$102,XS_Designer!BI$102,"")</f>
        <v/>
      </c>
      <c r="DP100" s="4" t="str">
        <f>IF(XS_Designer_Bed_Mix!$J100&lt;=XS_Designer!$BN$102,XS_Designer!BJ$102,"")</f>
        <v/>
      </c>
    </row>
    <row r="101" spans="10:120">
      <c r="J101" s="3">
        <v>1</v>
      </c>
      <c r="K101" s="4" t="str">
        <f>IF(XS_Designer_Bed_Mix!$J101&lt;=XS_Designer!$BN$92,XS_Designer!BA$92,"")</f>
        <v/>
      </c>
      <c r="L101" s="4" t="str">
        <f>IF(XS_Designer_Bed_Mix!$J101&lt;=XS_Designer!$BN$92,XS_Designer!BB$92,"")</f>
        <v/>
      </c>
      <c r="M101" s="4" t="str">
        <f>IF(XS_Designer_Bed_Mix!$J101&lt;=XS_Designer!$BN$92,XS_Designer!BC$92,"")</f>
        <v/>
      </c>
      <c r="N101" s="4" t="str">
        <f>IF(XS_Designer_Bed_Mix!$J101&lt;=XS_Designer!$BN$92,XS_Designer!BD$92,"")</f>
        <v/>
      </c>
      <c r="O101" s="4" t="str">
        <f>IF(XS_Designer_Bed_Mix!$J101&lt;=XS_Designer!$BN$92,XS_Designer!BE$92,"")</f>
        <v/>
      </c>
      <c r="P101" s="4" t="str">
        <f>IF(XS_Designer_Bed_Mix!$J101&lt;=XS_Designer!$BN$92,XS_Designer!BF$92,"")</f>
        <v/>
      </c>
      <c r="Q101" s="4" t="str">
        <f>IF(XS_Designer_Bed_Mix!$J101&lt;=XS_Designer!$BN$92,XS_Designer!BG$92,"")</f>
        <v/>
      </c>
      <c r="R101" s="4" t="str">
        <f>IF(XS_Designer_Bed_Mix!$J101&lt;=XS_Designer!$BN$92,XS_Designer!BH$92,"")</f>
        <v/>
      </c>
      <c r="S101" s="4" t="str">
        <f>IF(XS_Designer_Bed_Mix!$J101&lt;=XS_Designer!$BN$92,XS_Designer!BI$92,"")</f>
        <v/>
      </c>
      <c r="T101" s="4" t="str">
        <f>IF(XS_Designer_Bed_Mix!$J101&lt;=XS_Designer!$BN$92,XS_Designer!BJ$92,"")</f>
        <v/>
      </c>
      <c r="U101" s="4" t="str">
        <f>IF(XS_Designer_Bed_Mix!$J101&lt;=XS_Designer!$BN$93,XS_Designer!BA$93,"")</f>
        <v/>
      </c>
      <c r="V101" s="4" t="str">
        <f>IF(XS_Designer_Bed_Mix!$J101&lt;=XS_Designer!$BN$93,XS_Designer!BB$93,"")</f>
        <v/>
      </c>
      <c r="W101" s="4" t="str">
        <f>IF(XS_Designer_Bed_Mix!$J101&lt;=XS_Designer!$BN$93,XS_Designer!BC$93,"")</f>
        <v/>
      </c>
      <c r="X101" s="4" t="str">
        <f>IF(XS_Designer_Bed_Mix!$J101&lt;=XS_Designer!$BN$93,XS_Designer!BD$93,"")</f>
        <v/>
      </c>
      <c r="Y101" s="4" t="str">
        <f>IF(XS_Designer_Bed_Mix!$J101&lt;=XS_Designer!$BN$93,XS_Designer!BE$93,"")</f>
        <v/>
      </c>
      <c r="Z101" s="4" t="str">
        <f>IF(XS_Designer_Bed_Mix!$J101&lt;=XS_Designer!$BN$93,XS_Designer!BF$93,"")</f>
        <v/>
      </c>
      <c r="AA101" s="4" t="str">
        <f>IF(XS_Designer_Bed_Mix!$J101&lt;=XS_Designer!$BN$93,XS_Designer!BG$93,"")</f>
        <v/>
      </c>
      <c r="AB101" s="4" t="str">
        <f>IF(XS_Designer_Bed_Mix!$J101&lt;=XS_Designer!$BN$93,XS_Designer!BH$93,"")</f>
        <v/>
      </c>
      <c r="AC101" s="4" t="str">
        <f>IF(XS_Designer_Bed_Mix!$J101&lt;=XS_Designer!$BN$93,XS_Designer!BI$93,"")</f>
        <v/>
      </c>
      <c r="AD101" s="4" t="str">
        <f>IF(XS_Designer_Bed_Mix!$J101&lt;=XS_Designer!$BN$93,XS_Designer!BJ$93,"")</f>
        <v/>
      </c>
      <c r="AE101" s="4" t="str">
        <f>IF(XS_Designer_Bed_Mix!$J101&lt;=XS_Designer!$BN$94,XS_Designer!BA$94,"")</f>
        <v/>
      </c>
      <c r="AF101" s="4" t="str">
        <f>IF(XS_Designer_Bed_Mix!$J101&lt;=XS_Designer!$BN$94,XS_Designer!BB$94,"")</f>
        <v/>
      </c>
      <c r="AG101" s="4" t="str">
        <f>IF(XS_Designer_Bed_Mix!$J101&lt;=XS_Designer!$BN$94,XS_Designer!BC$94,"")</f>
        <v/>
      </c>
      <c r="AH101" s="4" t="str">
        <f>IF(XS_Designer_Bed_Mix!$J101&lt;=XS_Designer!$BN$94,XS_Designer!BD$94,"")</f>
        <v/>
      </c>
      <c r="AI101" s="4" t="str">
        <f>IF(XS_Designer_Bed_Mix!$J101&lt;=XS_Designer!$BN$94,XS_Designer!BE$94,"")</f>
        <v/>
      </c>
      <c r="AJ101" s="4" t="str">
        <f>IF(XS_Designer_Bed_Mix!$J101&lt;=XS_Designer!$BN$94,XS_Designer!BF$94,"")</f>
        <v/>
      </c>
      <c r="AK101" s="4" t="str">
        <f>IF(XS_Designer_Bed_Mix!$J101&lt;=XS_Designer!$BN$94,XS_Designer!BG$94,"")</f>
        <v/>
      </c>
      <c r="AL101" s="4" t="str">
        <f>IF(XS_Designer_Bed_Mix!$J101&lt;=XS_Designer!$BN$94,XS_Designer!BH$94,"")</f>
        <v/>
      </c>
      <c r="AM101" s="4" t="str">
        <f>IF(XS_Designer_Bed_Mix!$J101&lt;=XS_Designer!$BN$94,XS_Designer!BI$94,"")</f>
        <v/>
      </c>
      <c r="AN101" s="4" t="str">
        <f>IF(XS_Designer_Bed_Mix!$J101&lt;=XS_Designer!$BN$94,XS_Designer!BJ$94,"")</f>
        <v/>
      </c>
      <c r="AO101" s="4" t="str">
        <f>IF(XS_Designer_Bed_Mix!$J101&lt;=XS_Designer!$BN$95,XS_Designer!BA$95,"")</f>
        <v/>
      </c>
      <c r="AP101" s="4" t="str">
        <f>IF(XS_Designer_Bed_Mix!$J101&lt;=XS_Designer!$BN$95,XS_Designer!BB$95,"")</f>
        <v/>
      </c>
      <c r="AQ101" s="4" t="str">
        <f>IF(XS_Designer_Bed_Mix!$J101&lt;=XS_Designer!$BN$95,XS_Designer!BC$95,"")</f>
        <v/>
      </c>
      <c r="AR101" s="4" t="str">
        <f>IF(XS_Designer_Bed_Mix!$J101&lt;=XS_Designer!$BN$95,XS_Designer!BD$95,"")</f>
        <v/>
      </c>
      <c r="AS101" s="4" t="str">
        <f>IF(XS_Designer_Bed_Mix!$J101&lt;=XS_Designer!$BN$95,XS_Designer!BE$95,"")</f>
        <v/>
      </c>
      <c r="AT101" s="4" t="str">
        <f>IF(XS_Designer_Bed_Mix!$J101&lt;=XS_Designer!$BN$95,XS_Designer!BF$95,"")</f>
        <v/>
      </c>
      <c r="AU101" s="4" t="str">
        <f>IF(XS_Designer_Bed_Mix!$J101&lt;=XS_Designer!$BN$95,XS_Designer!BG$95,"")</f>
        <v/>
      </c>
      <c r="AV101" s="4" t="str">
        <f>IF(XS_Designer_Bed_Mix!$J101&lt;=XS_Designer!$BN$95,XS_Designer!BH$95,"")</f>
        <v/>
      </c>
      <c r="AW101" s="4" t="str">
        <f>IF(XS_Designer_Bed_Mix!$J101&lt;=XS_Designer!$BN$95,XS_Designer!BI$95,"")</f>
        <v/>
      </c>
      <c r="AX101" s="4" t="str">
        <f>IF(XS_Designer_Bed_Mix!$J101&lt;=XS_Designer!$BN$95,XS_Designer!BJ$95,"")</f>
        <v/>
      </c>
      <c r="AY101" s="4" t="str">
        <f>IF(XS_Designer_Bed_Mix!$J101&lt;=XS_Designer!$BN$96,XS_Designer!BA$96,"")</f>
        <v/>
      </c>
      <c r="AZ101" s="4" t="str">
        <f>IF(XS_Designer_Bed_Mix!$J101&lt;=XS_Designer!$BN$96,XS_Designer!BB$96,"")</f>
        <v/>
      </c>
      <c r="BA101" s="4" t="str">
        <f>IF(XS_Designer_Bed_Mix!$J101&lt;=XS_Designer!$BN$96,XS_Designer!BC$96,"")</f>
        <v/>
      </c>
      <c r="BB101" s="4" t="str">
        <f>IF(XS_Designer_Bed_Mix!$J101&lt;=XS_Designer!$BN$96,XS_Designer!BD$96,"")</f>
        <v/>
      </c>
      <c r="BC101" s="4" t="str">
        <f>IF(XS_Designer_Bed_Mix!$J101&lt;=XS_Designer!$BN$96,XS_Designer!BE$96,"")</f>
        <v/>
      </c>
      <c r="BD101" s="4" t="str">
        <f>IF(XS_Designer_Bed_Mix!$J101&lt;=XS_Designer!$BN$96,XS_Designer!BF$96,"")</f>
        <v/>
      </c>
      <c r="BE101" s="4" t="str">
        <f>IF(XS_Designer_Bed_Mix!$J101&lt;=XS_Designer!$BN$96,XS_Designer!BG$96,"")</f>
        <v/>
      </c>
      <c r="BF101" s="4" t="str">
        <f>IF(XS_Designer_Bed_Mix!$J101&lt;=XS_Designer!$BN$96,XS_Designer!BH$96,"")</f>
        <v/>
      </c>
      <c r="BG101" s="4" t="str">
        <f>IF(XS_Designer_Bed_Mix!$J101&lt;=XS_Designer!$BN$96,XS_Designer!BI$96,"")</f>
        <v/>
      </c>
      <c r="BH101" s="4" t="str">
        <f>IF(XS_Designer_Bed_Mix!$J101&lt;=XS_Designer!$BN$96,XS_Designer!BJ$96,"")</f>
        <v/>
      </c>
      <c r="BI101" s="4" t="str">
        <f>IF(XS_Designer_Bed_Mix!$J101&lt;=XS_Designer!$BN$97,XS_Designer!BA$97,"")</f>
        <v/>
      </c>
      <c r="BJ101" s="4" t="str">
        <f>IF(XS_Designer_Bed_Mix!$J101&lt;=XS_Designer!$BN$97,XS_Designer!BB$97,"")</f>
        <v/>
      </c>
      <c r="BK101" s="4" t="str">
        <f>IF(XS_Designer_Bed_Mix!$J101&lt;=XS_Designer!$BN$97,XS_Designer!BC$97,"")</f>
        <v/>
      </c>
      <c r="BL101" s="4" t="str">
        <f>IF(XS_Designer_Bed_Mix!$J101&lt;=XS_Designer!$BN$97,XS_Designer!BD$97,"")</f>
        <v/>
      </c>
      <c r="BM101" s="4" t="str">
        <f>IF(XS_Designer_Bed_Mix!$J101&lt;=XS_Designer!$BN$97,XS_Designer!BE$97,"")</f>
        <v/>
      </c>
      <c r="BN101" s="4" t="str">
        <f>IF(XS_Designer_Bed_Mix!$J101&lt;=XS_Designer!$BN$97,XS_Designer!BF$97,"")</f>
        <v/>
      </c>
      <c r="BO101" s="4" t="str">
        <f>IF(XS_Designer_Bed_Mix!$J101&lt;=XS_Designer!$BN$97,XS_Designer!BG$97,"")</f>
        <v/>
      </c>
      <c r="BP101" s="4" t="str">
        <f>IF(XS_Designer_Bed_Mix!$J101&lt;=XS_Designer!$BN$97,XS_Designer!BH$97,"")</f>
        <v/>
      </c>
      <c r="BQ101" s="4" t="str">
        <f>IF(XS_Designer_Bed_Mix!$J101&lt;=XS_Designer!$BN$97,XS_Designer!BI$97,"")</f>
        <v/>
      </c>
      <c r="BR101" s="4" t="str">
        <f>IF(XS_Designer_Bed_Mix!$J101&lt;=XS_Designer!$BN$97,XS_Designer!BJ$97,"")</f>
        <v/>
      </c>
      <c r="BS101" s="4" t="str">
        <f>IF(XS_Designer_Bed_Mix!$J101&lt;=XS_Designer!$BN$98,XS_Designer!BA$98,"")</f>
        <v/>
      </c>
      <c r="BT101" s="4" t="str">
        <f>IF(XS_Designer_Bed_Mix!$J101&lt;=XS_Designer!$BN$98,XS_Designer!BB$98,"")</f>
        <v/>
      </c>
      <c r="BU101" s="4" t="str">
        <f>IF(XS_Designer_Bed_Mix!$J101&lt;=XS_Designer!$BN$98,XS_Designer!BC$98,"")</f>
        <v/>
      </c>
      <c r="BV101" s="4" t="str">
        <f>IF(XS_Designer_Bed_Mix!$J101&lt;=XS_Designer!$BN$98,XS_Designer!BD$98,"")</f>
        <v/>
      </c>
      <c r="BW101" s="4" t="str">
        <f>IF(XS_Designer_Bed_Mix!$J101&lt;=XS_Designer!$BN$98,XS_Designer!BE$98,"")</f>
        <v/>
      </c>
      <c r="BX101" s="4" t="str">
        <f>IF(XS_Designer_Bed_Mix!$J101&lt;=XS_Designer!$BN$98,XS_Designer!BF$98,"")</f>
        <v/>
      </c>
      <c r="BY101" s="4" t="str">
        <f>IF(XS_Designer_Bed_Mix!$J101&lt;=XS_Designer!$BN$98,XS_Designer!BG$98,"")</f>
        <v/>
      </c>
      <c r="BZ101" s="4" t="str">
        <f>IF(XS_Designer_Bed_Mix!$J101&lt;=XS_Designer!$BN$98,XS_Designer!BH$98,"")</f>
        <v/>
      </c>
      <c r="CA101" s="4" t="str">
        <f>IF(XS_Designer_Bed_Mix!$J101&lt;=XS_Designer!$BN$98,XS_Designer!BI$98,"")</f>
        <v/>
      </c>
      <c r="CB101" s="4" t="str">
        <f>IF(XS_Designer_Bed_Mix!$J101&lt;=XS_Designer!$BN$98,XS_Designer!BJ$98,"")</f>
        <v/>
      </c>
      <c r="CC101" s="4" t="str">
        <f>IF(XS_Designer_Bed_Mix!$J101&lt;=XS_Designer!$BN$99,XS_Designer!BA$99,"")</f>
        <v/>
      </c>
      <c r="CD101" s="4" t="str">
        <f>IF(XS_Designer_Bed_Mix!$J101&lt;=XS_Designer!$BN$99,XS_Designer!BB$99,"")</f>
        <v/>
      </c>
      <c r="CE101" s="4" t="str">
        <f>IF(XS_Designer_Bed_Mix!$J101&lt;=XS_Designer!$BN$99,XS_Designer!BC$99,"")</f>
        <v/>
      </c>
      <c r="CF101" s="4" t="str">
        <f>IF(XS_Designer_Bed_Mix!$J101&lt;=XS_Designer!$BN$99,XS_Designer!BD$99,"")</f>
        <v/>
      </c>
      <c r="CG101" s="4" t="str">
        <f>IF(XS_Designer_Bed_Mix!$J101&lt;=XS_Designer!$BN$99,XS_Designer!BE$99,"")</f>
        <v/>
      </c>
      <c r="CH101" s="4" t="str">
        <f>IF(XS_Designer_Bed_Mix!$J101&lt;=XS_Designer!$BN$99,XS_Designer!BF$99,"")</f>
        <v/>
      </c>
      <c r="CI101" s="4" t="str">
        <f>IF(XS_Designer_Bed_Mix!$J101&lt;=XS_Designer!$BN$99,XS_Designer!BG$99,"")</f>
        <v/>
      </c>
      <c r="CJ101" s="4" t="str">
        <f>IF(XS_Designer_Bed_Mix!$J101&lt;=XS_Designer!$BN$99,XS_Designer!BH$99,"")</f>
        <v/>
      </c>
      <c r="CK101" s="4" t="str">
        <f>IF(XS_Designer_Bed_Mix!$J101&lt;=XS_Designer!$BN$99,XS_Designer!BI$99,"")</f>
        <v/>
      </c>
      <c r="CL101" s="4" t="str">
        <f>IF(XS_Designer_Bed_Mix!$J101&lt;=XS_Designer!$BN$99,XS_Designer!BJ$99,"")</f>
        <v/>
      </c>
      <c r="CM101" s="4" t="str">
        <f>IF(XS_Designer_Bed_Mix!$J101&lt;=XS_Designer!$BN$100,XS_Designer!BA$100,"")</f>
        <v/>
      </c>
      <c r="CN101" s="4" t="str">
        <f>IF(XS_Designer_Bed_Mix!$J101&lt;=XS_Designer!$BN$100,XS_Designer!BB$100,"")</f>
        <v/>
      </c>
      <c r="CO101" s="4" t="str">
        <f>IF(XS_Designer_Bed_Mix!$J101&lt;=XS_Designer!$BN$100,XS_Designer!BC$100,"")</f>
        <v/>
      </c>
      <c r="CP101" s="4" t="str">
        <f>IF(XS_Designer_Bed_Mix!$J101&lt;=XS_Designer!$BN$100,XS_Designer!BD$100,"")</f>
        <v/>
      </c>
      <c r="CQ101" s="4" t="str">
        <f>IF(XS_Designer_Bed_Mix!$J101&lt;=XS_Designer!$BN$100,XS_Designer!BE$100,"")</f>
        <v/>
      </c>
      <c r="CR101" s="4" t="str">
        <f>IF(XS_Designer_Bed_Mix!$J101&lt;=XS_Designer!$BN$100,XS_Designer!BF$100,"")</f>
        <v/>
      </c>
      <c r="CS101" s="4" t="str">
        <f>IF(XS_Designer_Bed_Mix!$J101&lt;=XS_Designer!$BN$100,XS_Designer!BG$100,"")</f>
        <v/>
      </c>
      <c r="CT101" s="4" t="str">
        <f>IF(XS_Designer_Bed_Mix!$J101&lt;=XS_Designer!$BN$100,XS_Designer!BH$100,"")</f>
        <v/>
      </c>
      <c r="CU101" s="4" t="str">
        <f>IF(XS_Designer_Bed_Mix!$J101&lt;=XS_Designer!$BN$100,XS_Designer!BI$100,"")</f>
        <v/>
      </c>
      <c r="CV101" s="4" t="str">
        <f>IF(XS_Designer_Bed_Mix!$J101&lt;=XS_Designer!$BN$100,XS_Designer!BJ$100,"")</f>
        <v/>
      </c>
      <c r="CW101" s="4" t="str">
        <f>IF(XS_Designer_Bed_Mix!$J101&lt;=XS_Designer!$BN$101,XS_Designer!BA$101,"")</f>
        <v/>
      </c>
      <c r="CX101" s="4" t="str">
        <f>IF(XS_Designer_Bed_Mix!$J101&lt;=XS_Designer!$BN$101,XS_Designer!BB$101,"")</f>
        <v/>
      </c>
      <c r="CY101" s="4" t="str">
        <f>IF(XS_Designer_Bed_Mix!$J101&lt;=XS_Designer!$BN$101,XS_Designer!BC$101,"")</f>
        <v/>
      </c>
      <c r="CZ101" s="4" t="str">
        <f>IF(XS_Designer_Bed_Mix!$J101&lt;=XS_Designer!$BN$101,XS_Designer!BD$101,"")</f>
        <v/>
      </c>
      <c r="DA101" s="4" t="str">
        <f>IF(XS_Designer_Bed_Mix!$J101&lt;=XS_Designer!$BN$101,XS_Designer!BE$101,"")</f>
        <v/>
      </c>
      <c r="DB101" s="4" t="str">
        <f>IF(XS_Designer_Bed_Mix!$J101&lt;=XS_Designer!$BN$101,XS_Designer!BF$101,"")</f>
        <v/>
      </c>
      <c r="DC101" s="4" t="str">
        <f>IF(XS_Designer_Bed_Mix!$J101&lt;=XS_Designer!$BN$101,XS_Designer!BG$101,"")</f>
        <v/>
      </c>
      <c r="DD101" s="4" t="str">
        <f>IF(XS_Designer_Bed_Mix!$J101&lt;=XS_Designer!$BN$101,XS_Designer!BH$101,"")</f>
        <v/>
      </c>
      <c r="DE101" s="4" t="str">
        <f>IF(XS_Designer_Bed_Mix!$J101&lt;=XS_Designer!$BN$101,XS_Designer!BI$101,"")</f>
        <v/>
      </c>
      <c r="DF101" s="4" t="str">
        <f>IF(XS_Designer_Bed_Mix!$J101&lt;=XS_Designer!$BN$101,XS_Designer!BJ$101,"")</f>
        <v/>
      </c>
      <c r="DG101" s="4" t="str">
        <f>IF(XS_Designer_Bed_Mix!$J101&lt;=XS_Designer!$BN$102,XS_Designer!BA$102,"")</f>
        <v/>
      </c>
      <c r="DH101" s="4" t="str">
        <f>IF(XS_Designer_Bed_Mix!$J101&lt;=XS_Designer!$BN$102,XS_Designer!BB$102,"")</f>
        <v/>
      </c>
      <c r="DI101" s="4" t="str">
        <f>IF(XS_Designer_Bed_Mix!$J101&lt;=XS_Designer!$BN$102,XS_Designer!BC$102,"")</f>
        <v/>
      </c>
      <c r="DJ101" s="4" t="str">
        <f>IF(XS_Designer_Bed_Mix!$J101&lt;=XS_Designer!$BN$102,XS_Designer!BD$102,"")</f>
        <v/>
      </c>
      <c r="DK101" s="4" t="str">
        <f>IF(XS_Designer_Bed_Mix!$J101&lt;=XS_Designer!$BN$102,XS_Designer!BE$102,"")</f>
        <v/>
      </c>
      <c r="DL101" s="4" t="str">
        <f>IF(XS_Designer_Bed_Mix!$J101&lt;=XS_Designer!$BN$102,XS_Designer!BF$102,"")</f>
        <v/>
      </c>
      <c r="DM101" s="4" t="str">
        <f>IF(XS_Designer_Bed_Mix!$J101&lt;=XS_Designer!$BN$102,XS_Designer!BG$102,"")</f>
        <v/>
      </c>
      <c r="DN101" s="4" t="str">
        <f>IF(XS_Designer_Bed_Mix!$J101&lt;=XS_Designer!$BN$102,XS_Designer!BH$102,"")</f>
        <v/>
      </c>
      <c r="DO101" s="4" t="str">
        <f>IF(XS_Designer_Bed_Mix!$J101&lt;=XS_Designer!$BN$102,XS_Designer!BI$102,"")</f>
        <v/>
      </c>
      <c r="DP101" s="4" t="str">
        <f>IF(XS_Designer_Bed_Mix!$J101&lt;=XS_Designer!$BN$102,XS_Designer!BJ$102,"")</f>
        <v/>
      </c>
    </row>
  </sheetData>
  <mergeCells count="13">
    <mergeCell ref="DG1:DP1"/>
    <mergeCell ref="B2:C2"/>
    <mergeCell ref="E2:F2"/>
    <mergeCell ref="BI1:BR1"/>
    <mergeCell ref="BS1:CB1"/>
    <mergeCell ref="CC1:CL1"/>
    <mergeCell ref="CM1:CV1"/>
    <mergeCell ref="CW1:DF1"/>
    <mergeCell ref="J1:T1"/>
    <mergeCell ref="U1:AD1"/>
    <mergeCell ref="AE1:AN1"/>
    <mergeCell ref="AO1:AX1"/>
    <mergeCell ref="AY1:BH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BO204"/>
  <sheetViews>
    <sheetView zoomScale="70" workbookViewId="0">
      <selection activeCell="O25" sqref="O25"/>
    </sheetView>
  </sheetViews>
  <sheetFormatPr defaultRowHeight="12.75"/>
  <cols>
    <col min="2" max="3" width="16" bestFit="1" customWidth="1"/>
    <col min="5" max="5" width="7.140625" bestFit="1" customWidth="1"/>
    <col min="6" max="6" width="8.85546875" bestFit="1" customWidth="1"/>
    <col min="7" max="7" width="7.7109375" bestFit="1" customWidth="1"/>
    <col min="8" max="8" width="10.5703125" bestFit="1" customWidth="1"/>
    <col min="9" max="9" width="13.7109375" bestFit="1" customWidth="1"/>
    <col min="10" max="10" width="9.85546875" bestFit="1" customWidth="1"/>
    <col min="11" max="11" width="13.7109375" bestFit="1" customWidth="1"/>
    <col min="12" max="12" width="14" bestFit="1" customWidth="1"/>
    <col min="13" max="13" width="7.7109375" bestFit="1" customWidth="1"/>
    <col min="14" max="14" width="8.28515625" bestFit="1" customWidth="1"/>
    <col min="15" max="15" width="9.42578125" bestFit="1" customWidth="1"/>
    <col min="16" max="16" width="14.7109375" bestFit="1" customWidth="1"/>
    <col min="17" max="17" width="19" customWidth="1"/>
    <col min="18" max="18" width="15" bestFit="1" customWidth="1"/>
    <col min="19" max="19" width="11.7109375" bestFit="1" customWidth="1"/>
    <col min="21" max="21" width="8.42578125" bestFit="1" customWidth="1"/>
    <col min="22" max="22" width="17.85546875" bestFit="1" customWidth="1"/>
    <col min="23" max="23" width="15.28515625" bestFit="1" customWidth="1"/>
    <col min="24" max="24" width="13.5703125" bestFit="1" customWidth="1"/>
    <col min="26" max="26" width="17.85546875" bestFit="1" customWidth="1"/>
    <col min="27" max="27" width="16.28515625" bestFit="1" customWidth="1"/>
    <col min="28" max="28" width="18.140625" bestFit="1" customWidth="1"/>
    <col min="30" max="30" width="15.85546875" bestFit="1" customWidth="1"/>
    <col min="31" max="32" width="10.7109375" customWidth="1"/>
    <col min="33" max="33" width="16.85546875" customWidth="1"/>
    <col min="34" max="34" width="14.42578125" customWidth="1"/>
    <col min="35" max="35" width="12.85546875" bestFit="1" customWidth="1"/>
    <col min="36" max="36" width="12.85546875" customWidth="1"/>
    <col min="37" max="37" width="11.5703125" customWidth="1"/>
    <col min="38" max="38" width="13.85546875" customWidth="1"/>
    <col min="39" max="39" width="11.5703125" customWidth="1"/>
    <col min="40" max="40" width="8.28515625" customWidth="1"/>
    <col min="41" max="41" width="6.85546875" customWidth="1"/>
    <col min="42" max="42" width="9" customWidth="1"/>
    <col min="43" max="43" width="10.5703125" bestFit="1" customWidth="1"/>
    <col min="44" max="44" width="13.7109375" bestFit="1" customWidth="1"/>
    <col min="45" max="45" width="9.85546875" bestFit="1" customWidth="1"/>
    <col min="46" max="46" width="13.7109375" bestFit="1" customWidth="1"/>
    <col min="47" max="47" width="14" bestFit="1" customWidth="1"/>
    <col min="48" max="48" width="7.7109375" bestFit="1" customWidth="1"/>
    <col min="49" max="49" width="7.7109375" customWidth="1"/>
    <col min="50" max="50" width="12.7109375" bestFit="1" customWidth="1"/>
    <col min="51" max="51" width="11.7109375" bestFit="1" customWidth="1"/>
    <col min="52" max="54" width="20.42578125" bestFit="1" customWidth="1"/>
    <col min="55" max="55" width="10.7109375" bestFit="1" customWidth="1"/>
    <col min="56" max="56" width="11.85546875" bestFit="1" customWidth="1"/>
    <col min="57" max="57" width="14.7109375" bestFit="1" customWidth="1"/>
    <col min="58" max="58" width="18.42578125" bestFit="1" customWidth="1"/>
    <col min="60" max="60" width="10.140625" bestFit="1" customWidth="1"/>
    <col min="61" max="61" width="13.42578125" bestFit="1" customWidth="1"/>
    <col min="62" max="62" width="13.28515625" bestFit="1" customWidth="1"/>
    <col min="66" max="66" width="12.85546875" bestFit="1" customWidth="1"/>
    <col min="67" max="67" width="18.42578125" bestFit="1" customWidth="1"/>
  </cols>
  <sheetData>
    <row r="1" spans="1:67" ht="15">
      <c r="A1" s="380" t="s">
        <v>217</v>
      </c>
      <c r="B1" s="381"/>
      <c r="C1" s="382"/>
      <c r="E1" s="380" t="s">
        <v>892</v>
      </c>
      <c r="F1" s="381"/>
      <c r="G1" s="381"/>
      <c r="H1" s="382"/>
      <c r="I1" s="380" t="s">
        <v>218</v>
      </c>
      <c r="J1" s="381"/>
      <c r="K1" s="381"/>
      <c r="L1" s="382"/>
      <c r="M1" s="374" t="s">
        <v>88</v>
      </c>
      <c r="N1" s="375"/>
      <c r="O1" s="375"/>
      <c r="P1" s="375"/>
      <c r="Q1" s="375"/>
      <c r="R1" s="375"/>
      <c r="S1" s="375"/>
      <c r="T1" s="317"/>
      <c r="U1" s="397" t="s">
        <v>836</v>
      </c>
      <c r="V1" s="397"/>
      <c r="W1" s="397"/>
      <c r="X1" s="397"/>
      <c r="Y1" s="1"/>
      <c r="Z1" s="397" t="s">
        <v>771</v>
      </c>
      <c r="AA1" s="397"/>
      <c r="AB1" s="397"/>
      <c r="AD1" s="375" t="s">
        <v>693</v>
      </c>
      <c r="AE1" s="375"/>
      <c r="AF1" s="375"/>
      <c r="AG1" s="375"/>
      <c r="AH1" s="375"/>
      <c r="AI1" s="375"/>
      <c r="AJ1" s="375"/>
      <c r="AK1" s="375"/>
      <c r="AL1" s="375"/>
      <c r="AM1" s="375"/>
      <c r="AN1" s="375"/>
      <c r="AO1" s="375"/>
      <c r="AP1" s="375"/>
      <c r="AQ1" s="375"/>
      <c r="AR1" s="375"/>
      <c r="AS1" s="375"/>
      <c r="AT1" s="375"/>
      <c r="AU1" s="375"/>
      <c r="AV1" s="375"/>
      <c r="AW1" s="375"/>
      <c r="AX1" s="375"/>
      <c r="AY1" s="376"/>
      <c r="AZ1" s="380" t="s">
        <v>505</v>
      </c>
      <c r="BA1" s="381"/>
      <c r="BB1" s="381"/>
      <c r="BC1" s="381"/>
      <c r="BD1" s="381"/>
      <c r="BE1" s="382"/>
    </row>
    <row r="2" spans="1:67" ht="30" customHeight="1">
      <c r="A2" s="5" t="s">
        <v>833</v>
      </c>
      <c r="B2" s="5" t="s">
        <v>216</v>
      </c>
      <c r="C2" s="5" t="s">
        <v>217</v>
      </c>
      <c r="D2" s="1"/>
      <c r="E2" s="5" t="s">
        <v>157</v>
      </c>
      <c r="F2" s="5" t="s">
        <v>78</v>
      </c>
      <c r="G2" s="5" t="s">
        <v>162</v>
      </c>
      <c r="H2" s="5" t="s">
        <v>9</v>
      </c>
      <c r="I2" s="5" t="s">
        <v>87</v>
      </c>
      <c r="J2" s="5" t="s">
        <v>534</v>
      </c>
      <c r="K2" s="5" t="s">
        <v>769</v>
      </c>
      <c r="L2" s="5" t="s">
        <v>473</v>
      </c>
      <c r="M2" s="5" t="s">
        <v>324</v>
      </c>
      <c r="N2" s="162" t="s">
        <v>770</v>
      </c>
      <c r="O2" s="5" t="s">
        <v>275</v>
      </c>
      <c r="P2" s="5" t="s">
        <v>474</v>
      </c>
      <c r="Q2" s="162" t="s">
        <v>719</v>
      </c>
      <c r="R2" s="5" t="s">
        <v>407</v>
      </c>
      <c r="S2" s="30" t="s">
        <v>166</v>
      </c>
      <c r="T2" s="1"/>
      <c r="U2" s="3" t="s">
        <v>951</v>
      </c>
      <c r="V2" s="5" t="s">
        <v>653</v>
      </c>
      <c r="W2" s="5" t="s">
        <v>397</v>
      </c>
      <c r="X2" s="3" t="s">
        <v>396</v>
      </c>
      <c r="Y2" s="1"/>
      <c r="Z2" s="164" t="s">
        <v>950</v>
      </c>
      <c r="AA2" s="164" t="s">
        <v>316</v>
      </c>
      <c r="AB2" s="164" t="s">
        <v>646</v>
      </c>
      <c r="AD2" s="3" t="s">
        <v>185</v>
      </c>
      <c r="AE2" s="115" t="s">
        <v>443</v>
      </c>
      <c r="AF2" s="349" t="s">
        <v>987</v>
      </c>
      <c r="AG2" s="3" t="s">
        <v>441</v>
      </c>
      <c r="AH2" s="3" t="s">
        <v>302</v>
      </c>
      <c r="AI2" s="3" t="s">
        <v>742</v>
      </c>
      <c r="AJ2" s="3" t="s">
        <v>246</v>
      </c>
      <c r="AK2" s="115" t="s">
        <v>985</v>
      </c>
      <c r="AL2" s="115" t="s">
        <v>922</v>
      </c>
      <c r="AM2" s="115" t="s">
        <v>921</v>
      </c>
      <c r="AN2" s="5" t="s">
        <v>157</v>
      </c>
      <c r="AO2" s="5" t="s">
        <v>78</v>
      </c>
      <c r="AP2" s="5" t="s">
        <v>162</v>
      </c>
      <c r="AQ2" s="5" t="s">
        <v>9</v>
      </c>
      <c r="AR2" s="5" t="s">
        <v>87</v>
      </c>
      <c r="AS2" s="5" t="s">
        <v>740</v>
      </c>
      <c r="AT2" s="5" t="s">
        <v>769</v>
      </c>
      <c r="AU2" s="5" t="s">
        <v>473</v>
      </c>
      <c r="AV2" s="5" t="s">
        <v>324</v>
      </c>
      <c r="AW2" s="5" t="s">
        <v>186</v>
      </c>
      <c r="AX2" s="162" t="s">
        <v>770</v>
      </c>
      <c r="AY2" s="30" t="s">
        <v>166</v>
      </c>
      <c r="AZ2" s="81" t="s">
        <v>1005</v>
      </c>
      <c r="BA2" s="81" t="s">
        <v>889</v>
      </c>
      <c r="BB2" s="81" t="s">
        <v>653</v>
      </c>
      <c r="BC2" s="81" t="s">
        <v>467</v>
      </c>
      <c r="BD2" s="81" t="s">
        <v>766</v>
      </c>
      <c r="BE2" s="81" t="s">
        <v>594</v>
      </c>
      <c r="BF2" s="22" t="s">
        <v>926</v>
      </c>
      <c r="BG2" s="7" t="s">
        <v>126</v>
      </c>
      <c r="BH2" s="7" t="s">
        <v>744</v>
      </c>
      <c r="BI2" s="7" t="s">
        <v>362</v>
      </c>
      <c r="BJ2" s="7" t="s">
        <v>303</v>
      </c>
      <c r="BK2" s="7" t="s">
        <v>188</v>
      </c>
      <c r="BL2" s="7" t="s">
        <v>571</v>
      </c>
      <c r="BM2" s="7" t="s">
        <v>458</v>
      </c>
      <c r="BN2" s="7" t="s">
        <v>314</v>
      </c>
      <c r="BO2" s="7" t="s">
        <v>710</v>
      </c>
    </row>
    <row r="3" spans="1:67" ht="15">
      <c r="A3" s="116" t="str">
        <f>IF(XS_Designer!AJ3="","Yes","No")</f>
        <v>Yes</v>
      </c>
      <c r="B3" s="116">
        <f>IF(A3="Yes",XS_Designer!AF3,"NA")</f>
        <v>-27.201250000000002</v>
      </c>
      <c r="C3" s="116" t="s">
        <v>161</v>
      </c>
      <c r="D3" s="19"/>
      <c r="E3" s="133">
        <f>SUMIF(XS_Designer_Calculations!$BO$4:$BO$104,$C3,XS_Designer_Calculations!$BV$4:$BV$104)</f>
        <v>19.979399999999998</v>
      </c>
      <c r="F3" s="6">
        <f>SUMIF(XS_Designer_Calculations!$BO$4:$BO$104,$C3,XS_Designer_Calculations!$BQ$4:$BQ$104)</f>
        <v>10.672820193289928</v>
      </c>
      <c r="G3" s="6">
        <f t="shared" ref="G3:G11" si="0">IF(ISNUMBER(E3/F3),E3/F3,0)</f>
        <v>1.8719888125315911</v>
      </c>
      <c r="H3" s="6">
        <f t="array" ref="H3">IF(ISNUMBER((SUMIF(XS_Designer_Calculations!$BO$4:$BO$104,$C3,XS_Designer_Calculations!$BS$4:$BS$104))),(SUMIF(XS_Designer_Calculations!$BO$4:$BO$104,$C3,XS_Designer_Calculations!$BS$4:$BS$104)),0)</f>
        <v>0.3375042086823471</v>
      </c>
      <c r="I3" s="64">
        <f t="shared" ref="I3:I11" si="1">IF(ISNUMBER(((SUM(H3)/F3)^(2/3))),(((SUM(H3)/F3)^(2/3))),0)</f>
        <v>0.10000000000000002</v>
      </c>
      <c r="J3" s="64">
        <f>XS_Designer_Calculations!$I$7</f>
        <v>0.01</v>
      </c>
      <c r="K3" s="14">
        <f t="shared" ref="K3:K11" si="2">IF(ISNUMBER((1.486/I3)*E3*((E3/F3)^(2/3))),(1.486/I3)*E3*((E3/F3)^(2/3)),0)</f>
        <v>450.95867995465386</v>
      </c>
      <c r="L3" s="45">
        <f>K3*XS_Designer_Calculations!$I$7^0.5</f>
        <v>45.09586799546539</v>
      </c>
      <c r="M3" s="14">
        <f t="shared" ref="M3:M11" si="3">IF(ISNUMBER(L3/E3),L3/E3,0)</f>
        <v>2.2571182315517682</v>
      </c>
      <c r="N3" s="14">
        <f>XS_Designer_Calculations!$K$4</f>
        <v>5</v>
      </c>
      <c r="O3" s="6">
        <f>SUMIF(XS_Designer_Calculations!$BO$4:$BO$104,$C3,XS_Designer_Calculations!$BT$4:$BT$104)</f>
        <v>10.600000000000001</v>
      </c>
      <c r="P3" s="6">
        <f t="array" ref="P3">MAX(IF(XS_Designer_Calculations!$BO$4:$BO$104=$C3,XS_Designer_Calculations!$BU$4:$BU$104,""))</f>
        <v>1.7989999999999995</v>
      </c>
      <c r="Q3" s="6">
        <f>IF(ISNUMBER(LININTERP(B4,XS_Designer_Calculations!$BN$4:$BN$104,XS_Designer_Calculations!$BU$4:$BU$104)),LININTERP(B4,XS_Designer_Calculations!$BN$4:$BN$104,XS_Designer_Calculations!$BU$4:$BU$104),P3)</f>
        <v>1.9989999999999997</v>
      </c>
      <c r="R3" s="6">
        <f t="shared" ref="R3:R11" si="4">IF(P3&gt;Q3,P3,Q3)</f>
        <v>1.9989999999999997</v>
      </c>
      <c r="S3" s="14">
        <f t="shared" ref="S3:S11" si="5">IF(ISNUMBER(E3/O3),E3/O3,0)</f>
        <v>1.8848490566037732</v>
      </c>
      <c r="U3" s="6">
        <f t="shared" ref="U3:U11" si="6">62.4*G3*J3</f>
        <v>1.1681210190197129</v>
      </c>
      <c r="V3" s="6">
        <f t="shared" ref="V3:V11" si="7">((77.966*(U3^1.042)))*0.0393701</f>
        <v>3.6090599762372846</v>
      </c>
      <c r="W3" s="6">
        <f t="shared" ref="W3:W11" si="8">((152.02*(U3^0.7355)))*0.0393701</f>
        <v>6.7097223822904972</v>
      </c>
      <c r="X3" s="6">
        <f t="shared" ref="X3:X11" si="9">62.4*J3*L3</f>
        <v>28.139821629170402</v>
      </c>
      <c r="Z3" s="6">
        <f t="shared" ref="Z3:Z11" si="10">IF(ISNUMBER(M3/(SQRT(S3*32.2))),M3/(SQRT(S3*32.2)),0)</f>
        <v>0.28972640966675295</v>
      </c>
      <c r="AA3" s="6">
        <f t="shared" ref="AA3:AA11" si="11">(M3^2)/(2*32.2)</f>
        <v>7.9108427192599085E-2</v>
      </c>
      <c r="AB3" s="6">
        <f t="shared" ref="AB3:AB11" si="12">AA3+N3</f>
        <v>5.0791084271925993</v>
      </c>
      <c r="AD3" s="3">
        <v>0</v>
      </c>
      <c r="AE3" s="3" t="str">
        <f t="shared" ref="AE3:AE204" si="13">IF(AK3&lt;$AA$31,"Left",IF(ROUND(AK3,2)=$AA$31,"Thalweg","Right"))</f>
        <v>Left</v>
      </c>
      <c r="AF3" s="3" t="str">
        <f t="shared" ref="AF3:AF204" si="14">IF(AK3&lt;$B$5,"LOB",IF(AK3&gt;$B$9,"ROB","Channel"))</f>
        <v>LOB</v>
      </c>
      <c r="AG3" s="3" t="str">
        <f>IF(XS_Designer_Summary!$AB$24&gt;=XS_Designer_Summary!AD3,"Y","N")</f>
        <v>Y</v>
      </c>
      <c r="AH3" s="45">
        <v>0</v>
      </c>
      <c r="AI3" s="45">
        <f>IF(AG3="Y",$O$19/XS_Designer_Summary!$AB$24,0)</f>
        <v>0.27201249999999999</v>
      </c>
      <c r="AJ3" s="45">
        <f t="shared" ref="AJ3:AJ204" si="15">AI3*AH3</f>
        <v>0</v>
      </c>
      <c r="AK3" s="14">
        <f>IF(AG3="Y",(AJ3+$Z$27),NA())</f>
        <v>-27.201250000000002</v>
      </c>
      <c r="AL3" s="14">
        <f>IF(AG3="Y",LININTERP(AK3,XS_Designer_Calculations!$AY$4:$AY$104,XS_Designer_Calculations!$AZ$4:$AZ$104),AL2)</f>
        <v>3.5010000000000003</v>
      </c>
      <c r="AM3" s="14">
        <f t="shared" ref="AM3:AM204" si="16">$N$16-AL3</f>
        <v>1.4989999999999997</v>
      </c>
      <c r="AN3" s="14">
        <f t="shared" ref="AN3:AN204" si="17">IFERROR(IF(AND(AG3="Y",ISNUMBER(AN2)),IF(AE3="Left",AVERAGE(AM2,AM3)*(AI3),AVERAGE(AM3,AM4)*(AI4)),0),0)</f>
        <v>0</v>
      </c>
      <c r="AO3" s="46">
        <f t="shared" ref="AO3:AO204" si="18">IF(ISNUMBER(IF(AND(AG3="Y",ISNUMBER(AN2)),IF(AE3="Left",SQRT(((AK3-AK2)^2)+((AM3-AM2)^2)),SQRT(((AK4-AK3)^2)+((AM4-AM3)^2))),0)),IF(AND(AG3="Y",ISNUMBER(AN2)),IF(AE3="Left",SQRT(((AK3-AK2)^2)+((AM3-AM2)^2)),SQRT(((AK4-AK3)^2)+((AM4-AM3)^2))),0),0)</f>
        <v>0</v>
      </c>
      <c r="AP3" s="46">
        <f t="shared" ref="AP3:AP204" si="19">IFERROR(IF(AND(AE3="Right",AN4=0),0,IF(IF(ISNUMBER(IF(AND(AG3="Y",ISNUMBER(AN2)),AN3/AO3,0)),IF(AND(AG3="Y",ISNUMBER(AN2)),AN3/AO3,0),0)&gt;0,IF(ISNUMBER(IF(AND(AG3="Y",ISNUMBER(AN2)),AN3/AO3,0)),IF(AND(AG3="Y",ISNUMBER(AN2)),AN3/AO3,0),0),0)),0)</f>
        <v>0</v>
      </c>
      <c r="AQ3" s="46">
        <f t="shared" ref="AQ3:AQ204" si="20">IFERROR(AO3*(AR3^1.5),0)</f>
        <v>0</v>
      </c>
      <c r="AR3" s="14">
        <f>IFERROR(IF(AG3="Y",VLOOKUP(AK3,XS_Designer_Calculations!$R$5:$T$104,3,TRUE),0),0)</f>
        <v>0.1</v>
      </c>
      <c r="AS3" s="46">
        <f t="shared" ref="AS3:AS204" si="21">$J$16</f>
        <v>0.01</v>
      </c>
      <c r="AT3" s="14">
        <f t="shared" ref="AT3:AT204" si="22">IF(ROUND(AO3,3)=0,0,IF(ISNUMBER((1.486/AR3)*AN3*((AN3/AO3)^(2/3))),(1.486/AR3)*AN3*((AN3/AO3)^(2/3)),0))</f>
        <v>0</v>
      </c>
      <c r="AU3" s="14">
        <f>AT3*XS_Designer_Calculations!$I$7^0.5</f>
        <v>0</v>
      </c>
      <c r="AV3" s="14">
        <f t="shared" ref="AV3:AV204" si="23">IF(ROUND(AN3,5)=0,0,IF(ISNUMBER(AU3/AN3),AU3/AN3,0))</f>
        <v>0</v>
      </c>
      <c r="AW3" s="14">
        <f t="shared" ref="AW3:AW204" si="24">62.4*AP3*AS3</f>
        <v>0</v>
      </c>
      <c r="AX3" s="14">
        <f t="shared" ref="AX3:AX204" si="25">$N$16</f>
        <v>5</v>
      </c>
      <c r="AY3" s="46">
        <f t="shared" ref="AY3:AY204" si="26">IFERROR(AN3/AI3,0)</f>
        <v>0</v>
      </c>
      <c r="AZ3" s="14">
        <f>((AS3*AP3)/(1.65*XS_Designer!$S$99))*12</f>
        <v>0</v>
      </c>
      <c r="BA3" s="14">
        <f>(AW3/((1.65*62.4)*XS_Designer!$AA$53))*12</f>
        <v>0</v>
      </c>
      <c r="BB3" s="14">
        <f t="shared" ref="BB3:BB204" si="27">((77.966*((62.4*AS3*(AM3))^1.042)))*0.0393701</f>
        <v>2.8631191077072975</v>
      </c>
      <c r="BC3" s="14">
        <f t="shared" ref="BC3:BC204" si="28">((152.02*((62.4*AS3*(AM3))^0.7355)))*0.0393701</f>
        <v>5.698067803440976</v>
      </c>
      <c r="BD3" s="14">
        <f>IF(ISNUMBER(LININTERP(AW3,Permissible_Shear!$T$178:$T$188,Permissible_Shear!$V$178:$V$188)),LININTERP(AW3,Permissible_Shear!$T$178:$T$188,Permissible_Shear!$V$178:$V$188),0)</f>
        <v>0</v>
      </c>
      <c r="BE3" s="14">
        <f>LININTERP(AW3,Permissible_Shear!$S$205:$S$222,Permissible_Shear!$V$205:$V$222)</f>
        <v>1.5E-3</v>
      </c>
      <c r="BF3" s="14">
        <f>INDEX($AZ$3:$BE$204,ROW(BF3)-2,MATCH(XS_Designer!$W$5,XS_Designer_Summary!$AZ$2:$BE$2,0))</f>
        <v>2.8631191077072975</v>
      </c>
      <c r="BG3" s="79">
        <f t="shared" ref="BG3:BG204" si="29">IF($AF3="LOB",IF(ISNUMBER($AV3),$AV3,0),0)</f>
        <v>0</v>
      </c>
      <c r="BH3" s="79">
        <f t="shared" ref="BH3:BH204" si="30">IF($AF3="ROB",IF(ISNUMBER($AV3),$AV3,0),0)</f>
        <v>0</v>
      </c>
      <c r="BI3" s="79">
        <f t="shared" ref="BI3:BI204" si="31">IF($AF3="Channel",IF(ISNUMBER($AV3),$AV3,0),0)</f>
        <v>0</v>
      </c>
      <c r="BJ3" s="79">
        <f t="shared" ref="BJ3:BJ204" si="32">IF($AF3="LOB",IF(ISNUMBER($AW3),$AW3,0),0)</f>
        <v>0</v>
      </c>
      <c r="BK3" s="79">
        <f t="shared" ref="BK3:BK204" si="33">IF($AF3="ROB",IF(ISNUMBER($AW3),$AW3,0),0)</f>
        <v>0</v>
      </c>
      <c r="BL3" s="79">
        <f t="shared" ref="BL3:BL204" si="34">IF($AF3="Channel",IF(ISNUMBER($AW3),$AW3,0),0)</f>
        <v>0</v>
      </c>
      <c r="BM3" s="124">
        <f t="shared" ref="BM3:BM204" si="35">IF($AF3="LOB",IF(ISNUMBER($AP3),$AP3,0),0)</f>
        <v>0</v>
      </c>
      <c r="BN3" s="124">
        <f t="shared" ref="BN3:BN204" si="36">IF($AF3="ROB",IF(ISNUMBER($AP3),$AP3,0),0)</f>
        <v>0</v>
      </c>
      <c r="BO3" s="124">
        <f t="shared" ref="BO3:BO204" si="37">IF($AF3="CHANNEL",IF(ISNUMBER($AP3),$AP3,0),0)</f>
        <v>0</v>
      </c>
    </row>
    <row r="4" spans="1:67" ht="15">
      <c r="A4" s="116" t="str">
        <f>IF(XS_Designer!AJ4="","Yes","No")</f>
        <v>Yes</v>
      </c>
      <c r="B4" s="116">
        <f>IF(A4="Yes",XS_Designer!AF4,"NA")</f>
        <v>-16.60125</v>
      </c>
      <c r="C4" s="116" t="s">
        <v>832</v>
      </c>
      <c r="D4" s="19"/>
      <c r="E4" s="6">
        <f>SUMIF(XS_Designer_Calculations!$BO$4:$BO$104,$C4,XS_Designer_Calculations!$BV$4:$BV$104)</f>
        <v>32.828400000000002</v>
      </c>
      <c r="F4" s="6">
        <f>SUMIF(XS_Designer_Calculations!$BO$4:$BO$104,$C4,XS_Designer_Calculations!$BQ$4:$BQ$104)</f>
        <v>11.790854182039823</v>
      </c>
      <c r="G4" s="6">
        <f t="shared" si="0"/>
        <v>2.7842257645765129</v>
      </c>
      <c r="H4" s="6">
        <f t="array" ref="H4">IF(ISNUMBER((SUMIF(XS_Designer_Calculations!$BO$4:$BO$104,$C4,XS_Designer_Calculations!$BS$4:$BS$104))),(SUMIF(XS_Designer_Calculations!$BO$4:$BO$104,$C4,XS_Designer_Calculations!$BS$4:$BS$104)),0)</f>
        <v>0.37285954774167451</v>
      </c>
      <c r="I4" s="64">
        <f t="shared" si="1"/>
        <v>0.10000000000000006</v>
      </c>
      <c r="J4" s="64">
        <f>XS_Designer_Calculations!$I$7</f>
        <v>0.01</v>
      </c>
      <c r="K4" s="14">
        <f t="shared" si="2"/>
        <v>965.46860923075837</v>
      </c>
      <c r="L4" s="45">
        <f>K4*XS_Designer_Calculations!$I$7^0.5</f>
        <v>96.54686092307584</v>
      </c>
      <c r="M4" s="14">
        <f t="shared" si="3"/>
        <v>2.9409554204005017</v>
      </c>
      <c r="N4" s="14">
        <f>XS_Designer_Calculations!$K$4</f>
        <v>5</v>
      </c>
      <c r="O4" s="6">
        <f>SUMIF(XS_Designer_Calculations!$BO$4:$BO$104,$C4,XS_Designer_Calculations!$BT$4:$BT$104)</f>
        <v>11.600000000000001</v>
      </c>
      <c r="P4" s="6">
        <f t="array" ref="P4">MAX(IF(XS_Designer_Calculations!$BO$4:$BO$104=$C4,XS_Designer_Calculations!$BU$4:$BU$104,""))</f>
        <v>2.7989999999999999</v>
      </c>
      <c r="Q4" s="6">
        <f>IF(ISNUMBER(LININTERP(B5,XS_Designer_Calculations!$BN$4:$BN$104,XS_Designer_Calculations!$BU$4:$BU$104)),LININTERP(B5,XS_Designer_Calculations!$BN$4:$BN$104,XS_Designer_Calculations!$BU$4:$BU$104),P4)</f>
        <v>2.9990000000000001</v>
      </c>
      <c r="R4" s="6">
        <f t="shared" si="4"/>
        <v>2.9990000000000001</v>
      </c>
      <c r="S4" s="14">
        <f t="shared" si="5"/>
        <v>2.8300344827586206</v>
      </c>
      <c r="U4" s="6">
        <f t="shared" si="6"/>
        <v>1.7373568770957439</v>
      </c>
      <c r="V4" s="6">
        <f t="shared" si="7"/>
        <v>5.4580328944421002</v>
      </c>
      <c r="W4" s="6">
        <f t="shared" si="8"/>
        <v>8.9847424678340566</v>
      </c>
      <c r="X4" s="6">
        <f t="shared" si="9"/>
        <v>60.245241215999322</v>
      </c>
      <c r="Z4" s="6">
        <f t="shared" si="10"/>
        <v>0.30808080610264366</v>
      </c>
      <c r="AA4" s="6">
        <f t="shared" si="11"/>
        <v>0.13430463951526539</v>
      </c>
      <c r="AB4" s="6">
        <f t="shared" si="12"/>
        <v>5.1343046395152658</v>
      </c>
      <c r="AD4" s="3">
        <v>0.1</v>
      </c>
      <c r="AE4" s="3" t="str">
        <f t="shared" si="13"/>
        <v>Left</v>
      </c>
      <c r="AF4" s="3" t="str">
        <f t="shared" si="14"/>
        <v>LOB</v>
      </c>
      <c r="AG4" s="3" t="str">
        <f>IF(XS_Designer_Summary!$AB$24&gt;=XS_Designer_Summary!AD4,"Y","N")</f>
        <v>Y</v>
      </c>
      <c r="AH4" s="45">
        <v>1</v>
      </c>
      <c r="AI4" s="45">
        <f>IF(AG4="Y",$O$19/XS_Designer_Summary!$AB$24,0)</f>
        <v>0.27201249999999999</v>
      </c>
      <c r="AJ4" s="45">
        <f t="shared" si="15"/>
        <v>0.27201249999999999</v>
      </c>
      <c r="AK4" s="14">
        <f t="shared" ref="AK4:AK204" si="38">IF(AG4="Y",IF((AK3+AJ4)&gt;$AB$29,$AB$29,AJ4+AK3),NA())</f>
        <v>-26.929237500000003</v>
      </c>
      <c r="AL4" s="14">
        <f>IF(AG4="Y",LININTERP(AK4,XS_Designer_Calculations!$AY$4:$AY$104,XS_Designer_Calculations!$AZ$4:$AZ$104),AL3)</f>
        <v>3.3649937500000013</v>
      </c>
      <c r="AM4" s="14">
        <f t="shared" si="16"/>
        <v>1.6350062499999987</v>
      </c>
      <c r="AN4" s="14">
        <f t="shared" si="17"/>
        <v>0.42624443753906227</v>
      </c>
      <c r="AO4" s="46">
        <f t="shared" si="18"/>
        <v>0.3041192203648293</v>
      </c>
      <c r="AP4" s="46">
        <f t="shared" si="19"/>
        <v>1.401570203381846</v>
      </c>
      <c r="AQ4" s="46">
        <f t="shared" si="20"/>
        <v>9.6170941658752437E-3</v>
      </c>
      <c r="AR4" s="14">
        <f>IFERROR(IF(AG4="Y",VLOOKUP(AK4,XS_Designer_Calculations!$R$5:$T$104,3,TRUE),0),0)</f>
        <v>0.1</v>
      </c>
      <c r="AS4" s="46">
        <f t="shared" si="21"/>
        <v>0.01</v>
      </c>
      <c r="AT4" s="14">
        <f t="shared" si="22"/>
        <v>7.9326952680089331</v>
      </c>
      <c r="AU4" s="14">
        <f>AT4*XS_Designer_Calculations!$I$7^0.5</f>
        <v>0.79326952680089335</v>
      </c>
      <c r="AV4" s="14">
        <f t="shared" si="23"/>
        <v>1.8610671646083261</v>
      </c>
      <c r="AW4" s="14">
        <f t="shared" si="24"/>
        <v>0.87457980691027193</v>
      </c>
      <c r="AX4" s="14">
        <f t="shared" si="25"/>
        <v>5</v>
      </c>
      <c r="AY4" s="46">
        <f t="shared" si="26"/>
        <v>1.5670031249999992</v>
      </c>
      <c r="AZ4" s="14">
        <f>((AS4*AP4)/(1.65*XS_Designer!$S$99))*12</f>
        <v>4.9090170407785694</v>
      </c>
      <c r="BA4" s="14">
        <f>(AW4/((1.65*62.4)*XS_Designer!$AA$53))*12</f>
        <v>1.6988729737961772</v>
      </c>
      <c r="BB4" s="14">
        <f t="shared" si="27"/>
        <v>3.1343056573472845</v>
      </c>
      <c r="BC4" s="14">
        <f t="shared" si="28"/>
        <v>6.0739196589550799</v>
      </c>
      <c r="BD4" s="14">
        <f>IF(ISNUMBER(LININTERP(AW4,Permissible_Shear!$T$178:$T$188,Permissible_Shear!$V$178:$V$188)),LININTERP(AW4,Permissible_Shear!$T$178:$T$188,Permissible_Shear!$V$178:$V$188),0)</f>
        <v>2.9614193735281633</v>
      </c>
      <c r="BE4" s="14">
        <f>LININTERP(AW4,Permissible_Shear!$S$205:$S$222,Permissible_Shear!$V$205:$V$222)</f>
        <v>3.0053082906857194</v>
      </c>
      <c r="BF4" s="14">
        <f>INDEX($AZ$3:$BE$204,ROW(BF4)-2,MATCH(XS_Designer!$W$5,XS_Designer_Summary!$AZ$2:$BE$2,0))</f>
        <v>3.1343056573472845</v>
      </c>
      <c r="BG4" s="79">
        <f t="shared" si="29"/>
        <v>1.8610671646083261</v>
      </c>
      <c r="BH4" s="79">
        <f t="shared" si="30"/>
        <v>0</v>
      </c>
      <c r="BI4" s="79">
        <f t="shared" si="31"/>
        <v>0</v>
      </c>
      <c r="BJ4" s="79">
        <f t="shared" si="32"/>
        <v>0.87457980691027193</v>
      </c>
      <c r="BK4" s="79">
        <f t="shared" si="33"/>
        <v>0</v>
      </c>
      <c r="BL4" s="79">
        <f t="shared" si="34"/>
        <v>0</v>
      </c>
      <c r="BM4" s="124">
        <f t="shared" si="35"/>
        <v>1.401570203381846</v>
      </c>
      <c r="BN4" s="124">
        <f t="shared" si="36"/>
        <v>0</v>
      </c>
      <c r="BO4" s="124">
        <f t="shared" si="37"/>
        <v>0</v>
      </c>
    </row>
    <row r="5" spans="1:67" ht="15">
      <c r="A5" s="116" t="str">
        <f>IF(XS_Designer!AJ5="","Yes","No")</f>
        <v>Yes</v>
      </c>
      <c r="B5" s="116">
        <f>IF(A5="Yes",XS_Designer!AF5,"NA")</f>
        <v>-5.0012499999999998</v>
      </c>
      <c r="C5" s="116" t="s">
        <v>160</v>
      </c>
      <c r="D5" s="19"/>
      <c r="E5" s="6">
        <f>SUMIF(XS_Designer_Calculations!$BO$4:$BO$104,$C5,XS_Designer_Calculations!$BV$4:$BV$104)</f>
        <v>20.751233625000001</v>
      </c>
      <c r="F5" s="6">
        <f>SUMIF(XS_Designer_Calculations!$BO$4:$BO$104,$C5,XS_Designer_Calculations!$BQ$4:$BQ$104)</f>
        <v>5.417311531810947</v>
      </c>
      <c r="G5" s="6">
        <f t="shared" si="0"/>
        <v>3.8305409432606683</v>
      </c>
      <c r="H5" s="141">
        <f t="array" ref="H5">IF(ISNUMBER((SUMIF(XS_Designer_Calculations!$BO$4:$BO$104,$C5,XS_Designer_Calculations!$BS$4:$BS$104))),(SUMIF(XS_Designer_Calculations!$BO$4:$BO$104,$C5,XS_Designer_Calculations!$BS$4:$BS$104)),0)</f>
        <v>4.3338492254487597E-2</v>
      </c>
      <c r="I5" s="64">
        <f t="shared" si="1"/>
        <v>4.0000000000000029E-2</v>
      </c>
      <c r="J5" s="64">
        <f>XS_Designer_Calculations!$I$7</f>
        <v>0.01</v>
      </c>
      <c r="K5" s="14">
        <f t="shared" si="2"/>
        <v>1887.308128773662</v>
      </c>
      <c r="L5" s="45">
        <f>K5*XS_Designer_Calculations!$I$7^0.5</f>
        <v>188.73081287736622</v>
      </c>
      <c r="M5" s="14">
        <f t="shared" si="3"/>
        <v>9.0949201521201708</v>
      </c>
      <c r="N5" s="14">
        <f>XS_Designer_Calculations!$K$4</f>
        <v>5</v>
      </c>
      <c r="O5" s="6">
        <f>SUMIF(XS_Designer_Calculations!$BO$4:$BO$104,$C5,XS_Designer_Calculations!$BT$4:$BT$104)</f>
        <v>5.0012500000000006</v>
      </c>
      <c r="P5" s="6">
        <f t="array" ref="P5">MAX(IF(XS_Designer_Calculations!$BO$4:$BO$104=$C5,XS_Designer_Calculations!$BU$4:$BU$104,""))</f>
        <v>4.9989999999999997</v>
      </c>
      <c r="Q5" s="6">
        <f>IF(ISNUMBER(LININTERP(B7,XS_Designer_Calculations!$BN$4:$BN$104,XS_Designer_Calculations!$BU$4:$BU$104)),LININTERP(B7,XS_Designer_Calculations!$BN$4:$BN$104,XS_Designer_Calculations!$BU$4:$BU$104),P5)</f>
        <v>5</v>
      </c>
      <c r="R5" s="6">
        <f t="shared" si="4"/>
        <v>5</v>
      </c>
      <c r="S5" s="14">
        <f t="shared" si="5"/>
        <v>4.149209422644339</v>
      </c>
      <c r="U5" s="6">
        <f t="shared" si="6"/>
        <v>2.3902575485946573</v>
      </c>
      <c r="V5" s="6">
        <f t="shared" si="7"/>
        <v>7.6104641972541938</v>
      </c>
      <c r="W5" s="6">
        <f t="shared" si="8"/>
        <v>11.360915293405316</v>
      </c>
      <c r="X5" s="6">
        <f t="shared" si="9"/>
        <v>117.76802723547652</v>
      </c>
      <c r="Z5" s="6">
        <f t="shared" si="10"/>
        <v>0.78684334682725388</v>
      </c>
      <c r="AA5" s="6">
        <f t="shared" si="11"/>
        <v>1.2844343567304592</v>
      </c>
      <c r="AB5" s="6">
        <f t="shared" si="12"/>
        <v>6.2844343567304595</v>
      </c>
      <c r="AD5" s="3">
        <v>1</v>
      </c>
      <c r="AE5" s="3" t="str">
        <f t="shared" si="13"/>
        <v>Left</v>
      </c>
      <c r="AF5" s="3" t="str">
        <f t="shared" si="14"/>
        <v>LOB</v>
      </c>
      <c r="AG5" s="3" t="str">
        <f>IF(XS_Designer_Summary!$AB$24&gt;=XS_Designer_Summary!AD5,"Y","N")</f>
        <v>Y</v>
      </c>
      <c r="AH5" s="45">
        <v>1</v>
      </c>
      <c r="AI5" s="45">
        <f>IF(AG5="Y",$O$19/XS_Designer_Summary!$AB$24,0)</f>
        <v>0.27201249999999999</v>
      </c>
      <c r="AJ5" s="45">
        <f t="shared" si="15"/>
        <v>0.27201249999999999</v>
      </c>
      <c r="AK5" s="14">
        <f t="shared" si="38"/>
        <v>-26.657225000000004</v>
      </c>
      <c r="AL5" s="14">
        <f>IF(AG5="Y",LININTERP(AK5,XS_Designer_Calculations!$AY$4:$AY$104,XS_Designer_Calculations!$AZ$4:$AZ$104),AL4)</f>
        <v>3.2289875000000023</v>
      </c>
      <c r="AM5" s="14">
        <f t="shared" si="16"/>
        <v>1.7710124999999977</v>
      </c>
      <c r="AN5" s="14">
        <f t="shared" si="17"/>
        <v>0.46323983761718696</v>
      </c>
      <c r="AO5" s="46">
        <f t="shared" si="18"/>
        <v>0.3041192203648293</v>
      </c>
      <c r="AP5" s="46">
        <f t="shared" si="19"/>
        <v>1.5232178915277779</v>
      </c>
      <c r="AQ5" s="46">
        <f t="shared" si="20"/>
        <v>9.6170941658752437E-3</v>
      </c>
      <c r="AR5" s="14">
        <f>IFERROR(IF(AG5="Y",VLOOKUP(AK5,XS_Designer_Calculations!$R$5:$T$104,3,TRUE),0),0)</f>
        <v>0.1</v>
      </c>
      <c r="AS5" s="46">
        <f t="shared" si="21"/>
        <v>0.01</v>
      </c>
      <c r="AT5" s="14">
        <f t="shared" si="22"/>
        <v>9.1130985112010858</v>
      </c>
      <c r="AU5" s="14">
        <f>AT5*XS_Designer_Calculations!$I$7^0.5</f>
        <v>0.91130985112010865</v>
      </c>
      <c r="AV5" s="14">
        <f t="shared" si="23"/>
        <v>1.9672527643729956</v>
      </c>
      <c r="AW5" s="14">
        <f t="shared" si="24"/>
        <v>0.95048796431333349</v>
      </c>
      <c r="AX5" s="14">
        <f t="shared" si="25"/>
        <v>5</v>
      </c>
      <c r="AY5" s="46">
        <f t="shared" si="26"/>
        <v>1.7030093749999982</v>
      </c>
      <c r="AZ5" s="14">
        <f>((AS5*AP5)/(1.65*XS_Designer!$S$99))*12</f>
        <v>5.3350895790208819</v>
      </c>
      <c r="BA5" s="14">
        <f>(AW5/((1.65*62.4)*XS_Designer!$AA$53))*12</f>
        <v>1.8463247170033674</v>
      </c>
      <c r="BB5" s="14">
        <f t="shared" si="27"/>
        <v>3.4064423916477322</v>
      </c>
      <c r="BC5" s="14">
        <f t="shared" si="28"/>
        <v>6.4415816804376069</v>
      </c>
      <c r="BD5" s="14">
        <f>IF(ISNUMBER(LININTERP(AW5,Permissible_Shear!$T$178:$T$188,Permissible_Shear!$V$178:$V$188)),LININTERP(AW5,Permissible_Shear!$T$178:$T$188,Permissible_Shear!$V$178:$V$188),0)</f>
        <v>3.2045524013772866</v>
      </c>
      <c r="BE5" s="14">
        <f>LININTERP(AW5,Permissible_Shear!$S$205:$S$222,Permissible_Shear!$V$205:$V$222)</f>
        <v>3.2560763106779764</v>
      </c>
      <c r="BF5" s="14">
        <f>INDEX($AZ$3:$BE$204,ROW(BF5)-2,MATCH(XS_Designer!$W$5,XS_Designer_Summary!$AZ$2:$BE$2,0))</f>
        <v>3.4064423916477322</v>
      </c>
      <c r="BG5" s="79">
        <f t="shared" si="29"/>
        <v>1.9672527643729956</v>
      </c>
      <c r="BH5" s="79">
        <f t="shared" si="30"/>
        <v>0</v>
      </c>
      <c r="BI5" s="79">
        <f t="shared" si="31"/>
        <v>0</v>
      </c>
      <c r="BJ5" s="79">
        <f t="shared" si="32"/>
        <v>0.95048796431333349</v>
      </c>
      <c r="BK5" s="79">
        <f t="shared" si="33"/>
        <v>0</v>
      </c>
      <c r="BL5" s="79">
        <f t="shared" si="34"/>
        <v>0</v>
      </c>
      <c r="BM5" s="124">
        <f t="shared" si="35"/>
        <v>1.5232178915277779</v>
      </c>
      <c r="BN5" s="124">
        <f t="shared" si="36"/>
        <v>0</v>
      </c>
      <c r="BO5" s="124">
        <f t="shared" si="37"/>
        <v>0</v>
      </c>
    </row>
    <row r="6" spans="1:67" ht="15">
      <c r="A6" s="116" t="str">
        <f>IF(XS_Designer!AJ6="","Yes","No")</f>
        <v>No</v>
      </c>
      <c r="B6" s="116" t="str">
        <f>IF(A6="Yes",XS_Designer!AF6,"NA")</f>
        <v>NA</v>
      </c>
      <c r="C6" s="116" t="s">
        <v>466</v>
      </c>
      <c r="D6" s="19"/>
      <c r="E6" s="6">
        <f>SUMIF(XS_Designer_Calculations!$BO$4:$BO$104,$C6,XS_Designer_Calculations!$BV$4:$BV$104)</f>
        <v>0</v>
      </c>
      <c r="F6" s="6">
        <f>SUMIF(XS_Designer_Calculations!$BO$4:$BO$104,$C6,XS_Designer_Calculations!$BQ$4:$BQ$104)</f>
        <v>0</v>
      </c>
      <c r="G6" s="6">
        <f t="shared" si="0"/>
        <v>0</v>
      </c>
      <c r="H6" s="6">
        <f t="array" ref="H6">IF(ISNUMBER((SUMIF(XS_Designer_Calculations!$BO$4:$BO$104,$C6,XS_Designer_Calculations!$BS$4:$BS$104))),(SUMIF(XS_Designer_Calculations!$BO$4:$BO$104,$C6,XS_Designer_Calculations!$BS$4:$BS$104)),0)</f>
        <v>0</v>
      </c>
      <c r="I6" s="64">
        <f t="shared" si="1"/>
        <v>0</v>
      </c>
      <c r="J6" s="64">
        <f>XS_Designer_Calculations!$I$7</f>
        <v>0.01</v>
      </c>
      <c r="K6" s="14">
        <f t="shared" si="2"/>
        <v>0</v>
      </c>
      <c r="L6" s="45">
        <f>K6*XS_Designer_Calculations!$I$7^0.5</f>
        <v>0</v>
      </c>
      <c r="M6" s="14">
        <f t="shared" si="3"/>
        <v>0</v>
      </c>
      <c r="N6" s="14">
        <f>XS_Designer_Calculations!$K$4</f>
        <v>5</v>
      </c>
      <c r="O6" s="6">
        <f>SUMIF(XS_Designer_Calculations!$BO$4:$BO$104,$C6,XS_Designer_Calculations!$BT$4:$BT$104)</f>
        <v>0</v>
      </c>
      <c r="P6" s="6">
        <f t="array" ref="P6">MAX(IF(XS_Designer_Calculations!$BO$4:$BO$104=$C6,XS_Designer_Calculations!$BU$4:$BU$104,""))</f>
        <v>0</v>
      </c>
      <c r="Q6" s="6">
        <f>IF(ISNUMBER(LININTERP(B7,XS_Designer_Calculations!$BN$4:$BN$104,XS_Designer_Calculations!$BU$4:$BU$104)),LININTERP(B7,XS_Designer_Calculations!$BN$4:$BN$104,XS_Designer_Calculations!$BU$4:$BU$104),P6)</f>
        <v>5</v>
      </c>
      <c r="R6" s="6">
        <f t="shared" si="4"/>
        <v>5</v>
      </c>
      <c r="S6" s="14">
        <f t="shared" si="5"/>
        <v>0</v>
      </c>
      <c r="U6" s="6">
        <f t="shared" si="6"/>
        <v>0</v>
      </c>
      <c r="V6" s="6">
        <f t="shared" si="7"/>
        <v>0</v>
      </c>
      <c r="W6" s="6">
        <f t="shared" si="8"/>
        <v>0</v>
      </c>
      <c r="X6" s="6">
        <f t="shared" si="9"/>
        <v>0</v>
      </c>
      <c r="Z6" s="6">
        <f t="shared" si="10"/>
        <v>0</v>
      </c>
      <c r="AA6" s="6">
        <f t="shared" si="11"/>
        <v>0</v>
      </c>
      <c r="AB6" s="6">
        <f t="shared" si="12"/>
        <v>5</v>
      </c>
      <c r="AD6" s="3">
        <v>2</v>
      </c>
      <c r="AE6" s="3" t="str">
        <f t="shared" si="13"/>
        <v>Left</v>
      </c>
      <c r="AF6" s="3" t="str">
        <f t="shared" si="14"/>
        <v>LOB</v>
      </c>
      <c r="AG6" s="3" t="str">
        <f>IF(XS_Designer_Summary!$AB$24&gt;=XS_Designer_Summary!AD6,"Y","N")</f>
        <v>Y</v>
      </c>
      <c r="AH6" s="45">
        <v>1</v>
      </c>
      <c r="AI6" s="45">
        <f>IF(AG6="Y",$O$19/XS_Designer_Summary!$AB$24,0)</f>
        <v>0.27201249999999999</v>
      </c>
      <c r="AJ6" s="45">
        <f t="shared" si="15"/>
        <v>0.27201249999999999</v>
      </c>
      <c r="AK6" s="14">
        <f t="shared" si="38"/>
        <v>-26.385212500000005</v>
      </c>
      <c r="AL6" s="14">
        <f>IF(AG6="Y",LININTERP(AK6,XS_Designer_Calculations!$AY$4:$AY$104,XS_Designer_Calculations!$AZ$4:$AZ$104),AL5)</f>
        <v>3.1966792500000007</v>
      </c>
      <c r="AM6" s="14">
        <f t="shared" si="16"/>
        <v>1.8033207499999993</v>
      </c>
      <c r="AN6" s="14">
        <f t="shared" si="17"/>
        <v>0.48613166158281207</v>
      </c>
      <c r="AO6" s="46">
        <f t="shared" si="18"/>
        <v>0.27392448443743028</v>
      </c>
      <c r="AP6" s="46">
        <f t="shared" si="19"/>
        <v>1.7746922571788359</v>
      </c>
      <c r="AQ6" s="46">
        <f t="shared" si="20"/>
        <v>8.662252777096268E-3</v>
      </c>
      <c r="AR6" s="14">
        <f>IFERROR(IF(AG6="Y",VLOOKUP(AK6,XS_Designer_Calculations!$R$5:$T$104,3,TRUE),0),0)</f>
        <v>0.1</v>
      </c>
      <c r="AS6" s="46">
        <f t="shared" si="21"/>
        <v>0.01</v>
      </c>
      <c r="AT6" s="14">
        <f t="shared" si="22"/>
        <v>10.588995243241781</v>
      </c>
      <c r="AU6" s="14">
        <f>AT6*XS_Designer_Calculations!$I$7^0.5</f>
        <v>1.0588995243241781</v>
      </c>
      <c r="AV6" s="14">
        <f t="shared" si="23"/>
        <v>2.1782155082770629</v>
      </c>
      <c r="AW6" s="14">
        <f t="shared" si="24"/>
        <v>1.1074079684795937</v>
      </c>
      <c r="AX6" s="14">
        <f t="shared" si="25"/>
        <v>5</v>
      </c>
      <c r="AY6" s="46">
        <f t="shared" si="26"/>
        <v>1.7871666249999985</v>
      </c>
      <c r="AZ6" s="14">
        <f>((AS6*AP6)/(1.65*XS_Designer!$S$99))*12</f>
        <v>6.2158816672953918</v>
      </c>
      <c r="BA6" s="14">
        <f>(AW6/((1.65*62.4)*XS_Designer!$AA$53))*12</f>
        <v>2.1511421299137408</v>
      </c>
      <c r="BB6" s="14">
        <f t="shared" si="27"/>
        <v>3.4712201569398298</v>
      </c>
      <c r="BC6" s="14">
        <f t="shared" si="28"/>
        <v>6.5278052398561615</v>
      </c>
      <c r="BD6" s="14">
        <f>IF(ISNUMBER(LININTERP(AW6,Permissible_Shear!$T$178:$T$188,Permissible_Shear!$V$178:$V$188)),LININTERP(AW6,Permissible_Shear!$T$178:$T$188,Permissible_Shear!$V$178:$V$188),0)</f>
        <v>3.707165520286968</v>
      </c>
      <c r="BE6" s="14">
        <f>LININTERP(AW6,Permissible_Shear!$S$205:$S$222,Permissible_Shear!$V$205:$V$222)</f>
        <v>3.77314990149873</v>
      </c>
      <c r="BF6" s="14">
        <f>INDEX($AZ$3:$BE$204,ROW(BF6)-2,MATCH(XS_Designer!$W$5,XS_Designer_Summary!$AZ$2:$BE$2,0))</f>
        <v>3.4712201569398298</v>
      </c>
      <c r="BG6" s="79">
        <f t="shared" si="29"/>
        <v>2.1782155082770629</v>
      </c>
      <c r="BH6" s="79">
        <f t="shared" si="30"/>
        <v>0</v>
      </c>
      <c r="BI6" s="79">
        <f t="shared" si="31"/>
        <v>0</v>
      </c>
      <c r="BJ6" s="79">
        <f t="shared" si="32"/>
        <v>1.1074079684795937</v>
      </c>
      <c r="BK6" s="79">
        <f t="shared" si="33"/>
        <v>0</v>
      </c>
      <c r="BL6" s="79">
        <f t="shared" si="34"/>
        <v>0</v>
      </c>
      <c r="BM6" s="124">
        <f t="shared" si="35"/>
        <v>1.7746922571788359</v>
      </c>
      <c r="BN6" s="124">
        <f t="shared" si="36"/>
        <v>0</v>
      </c>
      <c r="BO6" s="124">
        <f t="shared" si="37"/>
        <v>0</v>
      </c>
    </row>
    <row r="7" spans="1:67" ht="15">
      <c r="A7" s="116" t="str">
        <f>IF(XS_Designer!AJ7="","Yes","No")</f>
        <v>Yes</v>
      </c>
      <c r="B7" s="116">
        <f>IF(A7="Yes",XS_Designer!AF7,"NA")</f>
        <v>0</v>
      </c>
      <c r="C7" s="116" t="s">
        <v>716</v>
      </c>
      <c r="D7" s="19"/>
      <c r="E7" s="6">
        <f>SUMIF(XS_Designer_Calculations!$BO$4:$BO$104,$C7,XS_Designer_Calculations!$BV$4:$BV$104)</f>
        <v>0</v>
      </c>
      <c r="F7" s="6">
        <f>SUMIF(XS_Designer_Calculations!$BO$4:$BO$104,$C7,XS_Designer_Calculations!$BQ$4:$BQ$104)</f>
        <v>0</v>
      </c>
      <c r="G7" s="6">
        <f t="shared" si="0"/>
        <v>0</v>
      </c>
      <c r="H7" s="6">
        <f t="array" ref="H7">IF(ISNUMBER((SUMIF(XS_Designer_Calculations!$BO$4:$BO$104,$C7,XS_Designer_Calculations!$BS$4:$BS$104))),(SUMIF(XS_Designer_Calculations!$BO$4:$BO$104,$C7,XS_Designer_Calculations!$BS$4:$BS$104)),0)</f>
        <v>0</v>
      </c>
      <c r="I7" s="64">
        <f t="shared" si="1"/>
        <v>0</v>
      </c>
      <c r="J7" s="64">
        <f>XS_Designer_Calculations!$I$7</f>
        <v>0.01</v>
      </c>
      <c r="K7" s="14">
        <f t="shared" si="2"/>
        <v>0</v>
      </c>
      <c r="L7" s="45">
        <f>K7*XS_Designer_Calculations!$I$7^0.5</f>
        <v>0</v>
      </c>
      <c r="M7" s="14">
        <f t="shared" si="3"/>
        <v>0</v>
      </c>
      <c r="N7" s="14">
        <f>XS_Designer_Calculations!$K$4</f>
        <v>5</v>
      </c>
      <c r="O7" s="6">
        <f>SUMIF(XS_Designer_Calculations!$BO$4:$BO$104,$C7,XS_Designer_Calculations!$BT$4:$BT$104)</f>
        <v>0</v>
      </c>
      <c r="P7" s="6">
        <f t="array" ref="P7">MAX(IF(XS_Designer_Calculations!$BO$4:$BO$104=$C7,XS_Designer_Calculations!$BU$4:$BU$104,""))</f>
        <v>5</v>
      </c>
      <c r="Q7" s="6">
        <f>IF(ISNUMBER(LININTERP(B7,XS_Designer_Calculations!$BN$4:$BN$104,XS_Designer_Calculations!$BU$4:$BU$104)),LININTERP(B7,XS_Designer_Calculations!$BN$4:$BN$104,XS_Designer_Calculations!$BU$4:$BU$104),P7)</f>
        <v>5</v>
      </c>
      <c r="R7" s="6">
        <f t="shared" si="4"/>
        <v>5</v>
      </c>
      <c r="S7" s="14">
        <f t="shared" si="5"/>
        <v>0</v>
      </c>
      <c r="U7" s="6">
        <f t="shared" si="6"/>
        <v>0</v>
      </c>
      <c r="V7" s="6">
        <f t="shared" si="7"/>
        <v>0</v>
      </c>
      <c r="W7" s="6">
        <f t="shared" si="8"/>
        <v>0</v>
      </c>
      <c r="X7" s="6">
        <f t="shared" si="9"/>
        <v>0</v>
      </c>
      <c r="Z7" s="6">
        <f t="shared" si="10"/>
        <v>0</v>
      </c>
      <c r="AA7" s="6">
        <f t="shared" si="11"/>
        <v>0</v>
      </c>
      <c r="AB7" s="6">
        <f t="shared" si="12"/>
        <v>5</v>
      </c>
      <c r="AD7" s="3">
        <v>3</v>
      </c>
      <c r="AE7" s="3" t="str">
        <f t="shared" si="13"/>
        <v>Left</v>
      </c>
      <c r="AF7" s="3" t="str">
        <f t="shared" si="14"/>
        <v>LOB</v>
      </c>
      <c r="AG7" s="3" t="str">
        <f>IF(XS_Designer_Summary!$AB$24&gt;=XS_Designer_Summary!AD7,"Y","N")</f>
        <v>Y</v>
      </c>
      <c r="AH7" s="45">
        <v>1</v>
      </c>
      <c r="AI7" s="45">
        <f>IF(AG7="Y",$O$19/XS_Designer_Summary!$AB$24,0)</f>
        <v>0.27201249999999999</v>
      </c>
      <c r="AJ7" s="45">
        <f t="shared" si="15"/>
        <v>0.27201249999999999</v>
      </c>
      <c r="AK7" s="14">
        <f t="shared" si="38"/>
        <v>-26.113200000000006</v>
      </c>
      <c r="AL7" s="14">
        <f>IF(AG7="Y",LININTERP(AK7,XS_Designer_Calculations!$AY$4:$AY$104,XS_Designer_Calculations!$AZ$4:$AZ$104),AL6)</f>
        <v>3.1912390000000008</v>
      </c>
      <c r="AM7" s="14">
        <f t="shared" si="16"/>
        <v>1.8087609999999992</v>
      </c>
      <c r="AN7" s="14">
        <f t="shared" si="17"/>
        <v>0.4912656935109373</v>
      </c>
      <c r="AO7" s="46">
        <f t="shared" si="18"/>
        <v>0.27206689706083664</v>
      </c>
      <c r="AP7" s="46">
        <f t="shared" si="19"/>
        <v>1.8056797751513511</v>
      </c>
      <c r="AQ7" s="46">
        <f t="shared" si="20"/>
        <v>8.6035107064681392E-3</v>
      </c>
      <c r="AR7" s="14">
        <f>IFERROR(IF(AG7="Y",VLOOKUP(AK7,XS_Designer_Calculations!$R$5:$T$104,3,TRUE),0),0)</f>
        <v>0.1</v>
      </c>
      <c r="AS7" s="46">
        <f t="shared" si="21"/>
        <v>0.01</v>
      </c>
      <c r="AT7" s="14">
        <f t="shared" si="22"/>
        <v>10.825029013737467</v>
      </c>
      <c r="AU7" s="14">
        <f>AT7*XS_Designer_Calculations!$I$7^0.5</f>
        <v>1.0825029013737468</v>
      </c>
      <c r="AV7" s="14">
        <f t="shared" si="23"/>
        <v>2.2034978539563879</v>
      </c>
      <c r="AW7" s="14">
        <f t="shared" si="24"/>
        <v>1.1267441796944431</v>
      </c>
      <c r="AX7" s="14">
        <f t="shared" si="25"/>
        <v>5</v>
      </c>
      <c r="AY7" s="46">
        <f t="shared" si="26"/>
        <v>1.8060408749999992</v>
      </c>
      <c r="AZ7" s="14">
        <f>((AS7*AP7)/(1.65*XS_Designer!$S$99))*12</f>
        <v>6.3244158337691516</v>
      </c>
      <c r="BA7" s="14">
        <f>(AW7/((1.65*62.4)*XS_Designer!$AA$53))*12</f>
        <v>2.1887027577592137</v>
      </c>
      <c r="BB7" s="14">
        <f t="shared" si="27"/>
        <v>3.4821326314446348</v>
      </c>
      <c r="BC7" s="14">
        <f t="shared" si="28"/>
        <v>6.5422837094289168</v>
      </c>
      <c r="BD7" s="14">
        <f>IF(ISNUMBER(LININTERP(AW7,Permissible_Shear!$T$178:$T$188,Permissible_Shear!$V$178:$V$188)),LININTERP(AW7,Permissible_Shear!$T$178:$T$188,Permissible_Shear!$V$178:$V$188),0)</f>
        <v>3.7690992009430992</v>
      </c>
      <c r="BE7" s="14">
        <f>LININTERP(AW7,Permissible_Shear!$S$205:$S$222,Permissible_Shear!$V$205:$V$222)</f>
        <v>3.8335755615451341</v>
      </c>
      <c r="BF7" s="14">
        <f>INDEX($AZ$3:$BE$204,ROW(BF7)-2,MATCH(XS_Designer!$W$5,XS_Designer_Summary!$AZ$2:$BE$2,0))</f>
        <v>3.4821326314446348</v>
      </c>
      <c r="BG7" s="79">
        <f t="shared" si="29"/>
        <v>2.2034978539563879</v>
      </c>
      <c r="BH7" s="79">
        <f t="shared" si="30"/>
        <v>0</v>
      </c>
      <c r="BI7" s="79">
        <f t="shared" si="31"/>
        <v>0</v>
      </c>
      <c r="BJ7" s="79">
        <f t="shared" si="32"/>
        <v>1.1267441796944431</v>
      </c>
      <c r="BK7" s="79">
        <f t="shared" si="33"/>
        <v>0</v>
      </c>
      <c r="BL7" s="79">
        <f t="shared" si="34"/>
        <v>0</v>
      </c>
      <c r="BM7" s="124">
        <f t="shared" si="35"/>
        <v>1.8056797751513511</v>
      </c>
      <c r="BN7" s="124">
        <f t="shared" si="36"/>
        <v>0</v>
      </c>
      <c r="BO7" s="124">
        <f t="shared" si="37"/>
        <v>0</v>
      </c>
    </row>
    <row r="8" spans="1:67" ht="15">
      <c r="A8" s="116" t="str">
        <f>IF(XS_Designer!AJ8="","Yes","No")</f>
        <v>No</v>
      </c>
      <c r="B8" s="116" t="str">
        <f>IF(A8="Yes",XS_Designer!AF8,"NA")</f>
        <v>NA</v>
      </c>
      <c r="C8" s="116" t="s">
        <v>652</v>
      </c>
      <c r="D8" s="19"/>
      <c r="E8" s="6">
        <f>SUMIF(XS_Designer_Calculations!$BO$4:$BO$104,$C8,XS_Designer_Calculations!$BV$4:$BV$104)</f>
        <v>0</v>
      </c>
      <c r="F8" s="6">
        <f>SUMIF(XS_Designer_Calculations!$BO$4:$BO$104,$C8,XS_Designer_Calculations!$BQ$4:$BQ$104)</f>
        <v>0</v>
      </c>
      <c r="G8" s="6">
        <f t="shared" si="0"/>
        <v>0</v>
      </c>
      <c r="H8" s="6">
        <f t="array" ref="H8">IF(ISNUMBER((SUMIF(XS_Designer_Calculations!$BO$4:$BO$104,$C8,XS_Designer_Calculations!$BS$4:$BS$104))),(SUMIF(XS_Designer_Calculations!$BO$4:$BO$104,$C8,XS_Designer_Calculations!$BS$4:$BS$104)),0)</f>
        <v>0</v>
      </c>
      <c r="I8" s="64">
        <f t="shared" si="1"/>
        <v>0</v>
      </c>
      <c r="J8" s="64">
        <f>XS_Designer_Calculations!$I$7</f>
        <v>0.01</v>
      </c>
      <c r="K8" s="14">
        <f t="shared" si="2"/>
        <v>0</v>
      </c>
      <c r="L8" s="45">
        <f>K8*XS_Designer_Calculations!$I$7^0.5</f>
        <v>0</v>
      </c>
      <c r="M8" s="14">
        <f t="shared" si="3"/>
        <v>0</v>
      </c>
      <c r="N8" s="14">
        <f>XS_Designer_Calculations!$K$4</f>
        <v>5</v>
      </c>
      <c r="O8" s="6">
        <f>SUMIF(XS_Designer_Calculations!$BO$4:$BO$104,$C8,XS_Designer_Calculations!$BT$4:$BT$104)</f>
        <v>0</v>
      </c>
      <c r="P8" s="6">
        <f t="array" ref="P8">MAX(IF(XS_Designer_Calculations!$BO$4:$BO$104=$C8,XS_Designer_Calculations!$BU$4:$BU$104,""))</f>
        <v>0</v>
      </c>
      <c r="Q8" s="6">
        <f>IF(ISNUMBER(LININTERP(B7,XS_Designer_Calculations!$BN$4:$BN$104,XS_Designer_Calculations!$BU$4:$BU$104)),LININTERP(B7,XS_Designer_Calculations!$BN$4:$BN$104,XS_Designer_Calculations!$BU$4:$BU$104),P8)</f>
        <v>5</v>
      </c>
      <c r="R8" s="6">
        <f t="shared" si="4"/>
        <v>5</v>
      </c>
      <c r="S8" s="14">
        <f t="shared" si="5"/>
        <v>0</v>
      </c>
      <c r="U8" s="6">
        <f t="shared" si="6"/>
        <v>0</v>
      </c>
      <c r="V8" s="6">
        <f t="shared" si="7"/>
        <v>0</v>
      </c>
      <c r="W8" s="6">
        <f t="shared" si="8"/>
        <v>0</v>
      </c>
      <c r="X8" s="6">
        <f t="shared" si="9"/>
        <v>0</v>
      </c>
      <c r="Z8" s="6">
        <f t="shared" si="10"/>
        <v>0</v>
      </c>
      <c r="AA8" s="6">
        <f t="shared" si="11"/>
        <v>0</v>
      </c>
      <c r="AB8" s="6">
        <f t="shared" si="12"/>
        <v>5</v>
      </c>
      <c r="AD8" s="3">
        <v>4</v>
      </c>
      <c r="AE8" s="3" t="str">
        <f t="shared" si="13"/>
        <v>Left</v>
      </c>
      <c r="AF8" s="3" t="str">
        <f t="shared" si="14"/>
        <v>LOB</v>
      </c>
      <c r="AG8" s="3" t="str">
        <f>IF(XS_Designer_Summary!$AB$24&gt;=XS_Designer_Summary!AD8,"Y","N")</f>
        <v>Y</v>
      </c>
      <c r="AH8" s="45">
        <v>1</v>
      </c>
      <c r="AI8" s="45">
        <f>IF(AG8="Y",$O$19/XS_Designer_Summary!$AB$24,0)</f>
        <v>0.27201249999999999</v>
      </c>
      <c r="AJ8" s="45">
        <f t="shared" si="15"/>
        <v>0.27201249999999999</v>
      </c>
      <c r="AK8" s="14">
        <f t="shared" si="38"/>
        <v>-25.841187500000007</v>
      </c>
      <c r="AL8" s="14">
        <f>IF(AG8="Y",LININTERP(AK8,XS_Designer_Calculations!$AY$4:$AY$104,XS_Designer_Calculations!$AZ$4:$AZ$104),AL7)</f>
        <v>3.1857987500000005</v>
      </c>
      <c r="AM8" s="14">
        <f t="shared" si="16"/>
        <v>1.8142012499999995</v>
      </c>
      <c r="AN8" s="14">
        <f t="shared" si="17"/>
        <v>0.49274550951406232</v>
      </c>
      <c r="AO8" s="46">
        <f t="shared" si="18"/>
        <v>0.27206689706083664</v>
      </c>
      <c r="AP8" s="46">
        <f t="shared" si="19"/>
        <v>1.8111189374276575</v>
      </c>
      <c r="AQ8" s="46">
        <f t="shared" si="20"/>
        <v>8.6035107064681392E-3</v>
      </c>
      <c r="AR8" s="14">
        <f>IFERROR(IF(AG8="Y",VLOOKUP(AK8,XS_Designer_Calculations!$R$5:$T$104,3,TRUE),0),0)</f>
        <v>0.1</v>
      </c>
      <c r="AS8" s="46">
        <f t="shared" si="21"/>
        <v>0.01</v>
      </c>
      <c r="AT8" s="14">
        <f t="shared" si="22"/>
        <v>10.879429753414961</v>
      </c>
      <c r="AU8" s="14">
        <f>AT8*XS_Designer_Calculations!$I$7^0.5</f>
        <v>1.0879429753414962</v>
      </c>
      <c r="AV8" s="14">
        <f t="shared" si="23"/>
        <v>2.2079206290776918</v>
      </c>
      <c r="AW8" s="14">
        <f t="shared" si="24"/>
        <v>1.1301382169548584</v>
      </c>
      <c r="AX8" s="14">
        <f t="shared" si="25"/>
        <v>5</v>
      </c>
      <c r="AY8" s="46">
        <f t="shared" si="26"/>
        <v>1.8114811249999994</v>
      </c>
      <c r="AZ8" s="14">
        <f>((AS8*AP8)/(1.65*XS_Designer!$S$99))*12</f>
        <v>6.3434665671805233</v>
      </c>
      <c r="BA8" s="14">
        <f>(AW8/((1.65*62.4)*XS_Designer!$AA$53))*12</f>
        <v>2.1952956817304945</v>
      </c>
      <c r="BB8" s="14">
        <f t="shared" si="27"/>
        <v>3.49304648454945</v>
      </c>
      <c r="BC8" s="14">
        <f t="shared" si="28"/>
        <v>6.5567506653255387</v>
      </c>
      <c r="BD8" s="14">
        <f>IF(ISNUMBER(LININTERP(AW8,Permissible_Shear!$T$178:$T$188,Permissible_Shear!$V$178:$V$188)),LININTERP(AW8,Permissible_Shear!$T$178:$T$188,Permissible_Shear!$V$178:$V$188),0)</f>
        <v>3.7799592902865369</v>
      </c>
      <c r="BE8" s="14">
        <f>LININTERP(AW8,Permissible_Shear!$S$205:$S$222,Permissible_Shear!$V$205:$V$222)</f>
        <v>3.8441819279839322</v>
      </c>
      <c r="BF8" s="14">
        <f>INDEX($AZ$3:$BE$204,ROW(BF8)-2,MATCH(XS_Designer!$W$5,XS_Designer_Summary!$AZ$2:$BE$2,0))</f>
        <v>3.49304648454945</v>
      </c>
      <c r="BG8" s="79">
        <f t="shared" si="29"/>
        <v>2.2079206290776918</v>
      </c>
      <c r="BH8" s="79">
        <f t="shared" si="30"/>
        <v>0</v>
      </c>
      <c r="BI8" s="79">
        <f t="shared" si="31"/>
        <v>0</v>
      </c>
      <c r="BJ8" s="79">
        <f t="shared" si="32"/>
        <v>1.1301382169548584</v>
      </c>
      <c r="BK8" s="79">
        <f t="shared" si="33"/>
        <v>0</v>
      </c>
      <c r="BL8" s="79">
        <f t="shared" si="34"/>
        <v>0</v>
      </c>
      <c r="BM8" s="124">
        <f t="shared" si="35"/>
        <v>1.8111189374276575</v>
      </c>
      <c r="BN8" s="124">
        <f t="shared" si="36"/>
        <v>0</v>
      </c>
      <c r="BO8" s="124">
        <f t="shared" si="37"/>
        <v>0</v>
      </c>
    </row>
    <row r="9" spans="1:67" ht="15">
      <c r="A9" s="116" t="str">
        <f>IF(XS_Designer!AJ9="","Yes","No")</f>
        <v>Yes</v>
      </c>
      <c r="B9" s="116">
        <f>IF(A9="Yes",XS_Designer!AF9,"NA")</f>
        <v>5.0012499999999998</v>
      </c>
      <c r="C9" s="230" t="s">
        <v>831</v>
      </c>
      <c r="D9" s="19"/>
      <c r="E9" s="6">
        <f>SUMIF(XS_Designer_Calculations!$BO$4:$BO$104,$C9,XS_Designer_Calculations!$BV$4:$BV$104)</f>
        <v>20.751233624999998</v>
      </c>
      <c r="F9" s="6">
        <f>SUMIF(XS_Designer_Calculations!$BO$4:$BO$104,$C9,XS_Designer_Calculations!$BQ$4:$BQ$104)</f>
        <v>5.417311531810947</v>
      </c>
      <c r="G9" s="6">
        <f t="shared" si="0"/>
        <v>3.8305409432606679</v>
      </c>
      <c r="H9" s="6">
        <f t="array" ref="H9">IF(ISNUMBER((SUMIF(XS_Designer_Calculations!$BO$4:$BO$104,$C9,XS_Designer_Calculations!$BS$4:$BS$104))),(SUMIF(XS_Designer_Calculations!$BO$4:$BO$104,$C9,XS_Designer_Calculations!$BS$4:$BS$104)),0)</f>
        <v>4.333849225448759E-2</v>
      </c>
      <c r="I9" s="64">
        <f t="shared" si="1"/>
        <v>4.0000000000000029E-2</v>
      </c>
      <c r="J9" s="64">
        <f>XS_Designer_Calculations!$I$7</f>
        <v>0.01</v>
      </c>
      <c r="K9" s="14">
        <f t="shared" si="2"/>
        <v>1887.3081287736618</v>
      </c>
      <c r="L9" s="45">
        <f>K9*XS_Designer_Calculations!$I$7^0.5</f>
        <v>188.73081287736619</v>
      </c>
      <c r="M9" s="14">
        <f t="shared" si="3"/>
        <v>9.0949201521201708</v>
      </c>
      <c r="N9" s="14">
        <f>XS_Designer_Calculations!$K$4</f>
        <v>5</v>
      </c>
      <c r="O9" s="6">
        <f>SUMIF(XS_Designer_Calculations!$BO$4:$BO$104,$C9,XS_Designer_Calculations!$BT$4:$BT$104)</f>
        <v>5.0012499999999998</v>
      </c>
      <c r="P9" s="6">
        <f t="array" ref="P9">MAX(IF(XS_Designer_Calculations!$BO$4:$BO$104=$C9,XS_Designer_Calculations!$BU$4:$BU$104,""))</f>
        <v>4.9989999999999997</v>
      </c>
      <c r="Q9" s="6">
        <f>IF(ISNUMBER(LININTERP(B7,XS_Designer_Calculations!$BN$4:$BN$104,XS_Designer_Calculations!$BU$4:$BU$104)),LININTERP(B7,XS_Designer_Calculations!$BN$4:$BN$104,XS_Designer_Calculations!$BU$4:$BU$104),P9)</f>
        <v>5</v>
      </c>
      <c r="R9" s="6">
        <f t="shared" si="4"/>
        <v>5</v>
      </c>
      <c r="S9" s="14">
        <f t="shared" si="5"/>
        <v>4.149209422644339</v>
      </c>
      <c r="U9" s="6">
        <f t="shared" si="6"/>
        <v>2.3902575485946569</v>
      </c>
      <c r="V9" s="6">
        <f t="shared" si="7"/>
        <v>7.6104641972541911</v>
      </c>
      <c r="W9" s="6">
        <f t="shared" si="8"/>
        <v>11.360915293405315</v>
      </c>
      <c r="X9" s="6">
        <f t="shared" si="9"/>
        <v>117.76802723547651</v>
      </c>
      <c r="Z9" s="6">
        <f t="shared" si="10"/>
        <v>0.78684334682725388</v>
      </c>
      <c r="AA9" s="6">
        <f t="shared" si="11"/>
        <v>1.2844343567304592</v>
      </c>
      <c r="AB9" s="6">
        <f t="shared" si="12"/>
        <v>6.2844343567304595</v>
      </c>
      <c r="AD9" s="3">
        <v>5</v>
      </c>
      <c r="AE9" s="3" t="str">
        <f t="shared" si="13"/>
        <v>Left</v>
      </c>
      <c r="AF9" s="3" t="str">
        <f t="shared" si="14"/>
        <v>LOB</v>
      </c>
      <c r="AG9" s="3" t="str">
        <f>IF(XS_Designer_Summary!$AB$24&gt;=XS_Designer_Summary!AD9,"Y","N")</f>
        <v>Y</v>
      </c>
      <c r="AH9" s="45">
        <v>1</v>
      </c>
      <c r="AI9" s="45">
        <f>IF(AG9="Y",$O$19/XS_Designer_Summary!$AB$24,0)</f>
        <v>0.27201249999999999</v>
      </c>
      <c r="AJ9" s="45">
        <f t="shared" si="15"/>
        <v>0.27201249999999999</v>
      </c>
      <c r="AK9" s="14">
        <f t="shared" si="38"/>
        <v>-25.569175000000008</v>
      </c>
      <c r="AL9" s="14">
        <f>IF(AG9="Y",LININTERP(AK9,XS_Designer_Calculations!$AY$4:$AY$104,XS_Designer_Calculations!$AZ$4:$AZ$104),AL8)</f>
        <v>3.1803585000000005</v>
      </c>
      <c r="AM9" s="14">
        <f t="shared" si="16"/>
        <v>1.8196414999999995</v>
      </c>
      <c r="AN9" s="14">
        <f t="shared" si="17"/>
        <v>0.49422532551718734</v>
      </c>
      <c r="AO9" s="46">
        <f t="shared" si="18"/>
        <v>0.27206689706083664</v>
      </c>
      <c r="AP9" s="46">
        <f t="shared" si="19"/>
        <v>1.8165580997039639</v>
      </c>
      <c r="AQ9" s="46">
        <f t="shared" si="20"/>
        <v>8.6035107064681392E-3</v>
      </c>
      <c r="AR9" s="14">
        <f>IFERROR(IF(AG9="Y",VLOOKUP(AK9,XS_Designer_Calculations!$R$5:$T$104,3,TRUE),0),0)</f>
        <v>0.1</v>
      </c>
      <c r="AS9" s="46">
        <f t="shared" si="21"/>
        <v>0.01</v>
      </c>
      <c r="AT9" s="14">
        <f t="shared" si="22"/>
        <v>10.933939520040914</v>
      </c>
      <c r="AU9" s="14">
        <f>AT9*XS_Designer_Calculations!$I$7^0.5</f>
        <v>1.0933939520040914</v>
      </c>
      <c r="AV9" s="14">
        <f t="shared" si="23"/>
        <v>2.2123389789058212</v>
      </c>
      <c r="AW9" s="14">
        <f t="shared" si="24"/>
        <v>1.1335322542152735</v>
      </c>
      <c r="AX9" s="14">
        <f t="shared" si="25"/>
        <v>5</v>
      </c>
      <c r="AY9" s="46">
        <f t="shared" si="26"/>
        <v>1.8169213749999995</v>
      </c>
      <c r="AZ9" s="14">
        <f>((AS9*AP9)/(1.65*XS_Designer!$S$99))*12</f>
        <v>6.3625173005918931</v>
      </c>
      <c r="BA9" s="14">
        <f>(AW9/((1.65*62.4)*XS_Designer!$AA$53))*12</f>
        <v>2.2018886057017748</v>
      </c>
      <c r="BB9" s="14">
        <f t="shared" si="27"/>
        <v>3.5039617122936293</v>
      </c>
      <c r="BC9" s="14">
        <f t="shared" si="28"/>
        <v>6.5712061511870861</v>
      </c>
      <c r="BD9" s="14">
        <f>IF(ISNUMBER(LININTERP(AW9,Permissible_Shear!$T$178:$T$188,Permissible_Shear!$V$178:$V$188)),LININTERP(AW9,Permissible_Shear!$T$178:$T$188,Permissible_Shear!$V$178:$V$188),0)</f>
        <v>3.7905608252966188</v>
      </c>
      <c r="BE9" s="14">
        <f>LININTERP(AW9,Permissible_Shear!$S$205:$S$222,Permissible_Shear!$V$205:$V$222)</f>
        <v>3.8547882944227294</v>
      </c>
      <c r="BF9" s="14">
        <f>INDEX($AZ$3:$BE$204,ROW(BF9)-2,MATCH(XS_Designer!$W$5,XS_Designer_Summary!$AZ$2:$BE$2,0))</f>
        <v>3.5039617122936293</v>
      </c>
      <c r="BG9" s="79">
        <f t="shared" si="29"/>
        <v>2.2123389789058212</v>
      </c>
      <c r="BH9" s="79">
        <f t="shared" si="30"/>
        <v>0</v>
      </c>
      <c r="BI9" s="79">
        <f t="shared" si="31"/>
        <v>0</v>
      </c>
      <c r="BJ9" s="79">
        <f t="shared" si="32"/>
        <v>1.1335322542152735</v>
      </c>
      <c r="BK9" s="79">
        <f t="shared" si="33"/>
        <v>0</v>
      </c>
      <c r="BL9" s="79">
        <f t="shared" si="34"/>
        <v>0</v>
      </c>
      <c r="BM9" s="124">
        <f t="shared" si="35"/>
        <v>1.8165580997039639</v>
      </c>
      <c r="BN9" s="124">
        <f t="shared" si="36"/>
        <v>0</v>
      </c>
      <c r="BO9" s="124">
        <f t="shared" si="37"/>
        <v>0</v>
      </c>
    </row>
    <row r="10" spans="1:67" ht="15">
      <c r="A10" s="116" t="str">
        <f>IF(XS_Designer!AJ10="","Yes","No")</f>
        <v>Yes</v>
      </c>
      <c r="B10" s="116">
        <f>IF(A10="Yes",XS_Designer!AF10,"NA")</f>
        <v>16.60125</v>
      </c>
      <c r="C10" s="230" t="s">
        <v>82</v>
      </c>
      <c r="D10" s="19"/>
      <c r="E10" s="6">
        <f>SUMIF(XS_Designer_Calculations!$BO$4:$BO$104,$C10,XS_Designer_Calculations!$BV$4:$BV$104)</f>
        <v>32.828400000000002</v>
      </c>
      <c r="F10" s="6">
        <f>SUMIF(XS_Designer_Calculations!$BO$4:$BO$104,$C10,XS_Designer_Calculations!$BQ$4:$BQ$104)</f>
        <v>11.790854182039823</v>
      </c>
      <c r="G10" s="6">
        <f t="shared" si="0"/>
        <v>2.7842257645765129</v>
      </c>
      <c r="H10" s="6">
        <f t="array" ref="H10">IF(ISNUMBER((SUMIF(XS_Designer_Calculations!$BO$4:$BO$104,$C10,XS_Designer_Calculations!$BS$4:$BS$104))),(SUMIF(XS_Designer_Calculations!$BO$4:$BO$104,$C10,XS_Designer_Calculations!$BS$4:$BS$104)),0)</f>
        <v>0.37285954774167451</v>
      </c>
      <c r="I10" s="64">
        <f t="shared" si="1"/>
        <v>0.10000000000000006</v>
      </c>
      <c r="J10" s="64">
        <f>XS_Designer_Calculations!$I$7</f>
        <v>0.01</v>
      </c>
      <c r="K10" s="14">
        <f t="shared" si="2"/>
        <v>965.46860923075837</v>
      </c>
      <c r="L10" s="45">
        <f>K10*XS_Designer_Calculations!$I$7^0.5</f>
        <v>96.54686092307584</v>
      </c>
      <c r="M10" s="14">
        <f t="shared" si="3"/>
        <v>2.9409554204005017</v>
      </c>
      <c r="N10" s="14">
        <f>XS_Designer_Calculations!$K$4</f>
        <v>5</v>
      </c>
      <c r="O10" s="6">
        <f>SUMIF(XS_Designer_Calculations!$BO$4:$BO$104,$C10,XS_Designer_Calculations!$BT$4:$BT$104)</f>
        <v>11.600000000000001</v>
      </c>
      <c r="P10" s="6">
        <f t="array" ref="P10">MAX(IF(XS_Designer_Calculations!$BO$4:$BO$104=$C10,XS_Designer_Calculations!$BU$4:$BU$104,""))</f>
        <v>2.7989999999999999</v>
      </c>
      <c r="Q10" s="6">
        <f>IF(ISNUMBER(LININTERP(B9,XS_Designer_Calculations!$BN$4:$BN$104,XS_Designer_Calculations!$BU$4:$BU$104)),LININTERP(B9,XS_Designer_Calculations!$BN$4:$BN$104,XS_Designer_Calculations!$BU$4:$BU$104),P10)</f>
        <v>2.9990000000000001</v>
      </c>
      <c r="R10" s="6">
        <f t="shared" si="4"/>
        <v>2.9990000000000001</v>
      </c>
      <c r="S10" s="14">
        <f t="shared" si="5"/>
        <v>2.8300344827586206</v>
      </c>
      <c r="U10" s="6">
        <f t="shared" si="6"/>
        <v>1.7373568770957439</v>
      </c>
      <c r="V10" s="6">
        <f t="shared" si="7"/>
        <v>5.4580328944421002</v>
      </c>
      <c r="W10" s="6">
        <f t="shared" si="8"/>
        <v>8.9847424678340566</v>
      </c>
      <c r="X10" s="6">
        <f t="shared" si="9"/>
        <v>60.245241215999322</v>
      </c>
      <c r="Z10" s="6">
        <f t="shared" si="10"/>
        <v>0.30808080610264366</v>
      </c>
      <c r="AA10" s="6">
        <f t="shared" si="11"/>
        <v>0.13430463951526539</v>
      </c>
      <c r="AB10" s="6">
        <f t="shared" si="12"/>
        <v>5.1343046395152658</v>
      </c>
      <c r="AD10" s="3">
        <v>6</v>
      </c>
      <c r="AE10" s="3" t="str">
        <f t="shared" si="13"/>
        <v>Left</v>
      </c>
      <c r="AF10" s="3" t="str">
        <f t="shared" si="14"/>
        <v>LOB</v>
      </c>
      <c r="AG10" s="3" t="str">
        <f>IF(XS_Designer_Summary!$AB$24&gt;=XS_Designer_Summary!AD10,"Y","N")</f>
        <v>Y</v>
      </c>
      <c r="AH10" s="45">
        <v>1</v>
      </c>
      <c r="AI10" s="45">
        <f>IF(AG10="Y",$O$19/XS_Designer_Summary!$AB$24,0)</f>
        <v>0.27201249999999999</v>
      </c>
      <c r="AJ10" s="45">
        <f t="shared" si="15"/>
        <v>0.27201249999999999</v>
      </c>
      <c r="AK10" s="14">
        <f t="shared" si="38"/>
        <v>-25.29716250000001</v>
      </c>
      <c r="AL10" s="14">
        <f>IF(AG10="Y",LININTERP(AK10,XS_Designer_Calculations!$AY$4:$AY$104,XS_Designer_Calculations!$AZ$4:$AZ$104),AL9)</f>
        <v>3.1749182500000006</v>
      </c>
      <c r="AM10" s="14">
        <f t="shared" si="16"/>
        <v>1.8250817499999994</v>
      </c>
      <c r="AN10" s="14">
        <f t="shared" si="17"/>
        <v>0.49570514152031231</v>
      </c>
      <c r="AO10" s="46">
        <f t="shared" si="18"/>
        <v>0.27206689706083664</v>
      </c>
      <c r="AP10" s="46">
        <f t="shared" si="19"/>
        <v>1.82199726198027</v>
      </c>
      <c r="AQ10" s="46">
        <f t="shared" si="20"/>
        <v>8.6035107064681392E-3</v>
      </c>
      <c r="AR10" s="14">
        <f>IFERROR(IF(AG10="Y",VLOOKUP(AK10,XS_Designer_Calculations!$R$5:$T$104,3,TRUE),0),0)</f>
        <v>0.1</v>
      </c>
      <c r="AS10" s="46">
        <f t="shared" si="21"/>
        <v>0.01</v>
      </c>
      <c r="AT10" s="14">
        <f t="shared" si="22"/>
        <v>10.98855820468968</v>
      </c>
      <c r="AU10" s="14">
        <f>AT10*XS_Designer_Calculations!$I$7^0.5</f>
        <v>1.098855820468968</v>
      </c>
      <c r="AV10" s="14">
        <f t="shared" si="23"/>
        <v>2.2167529210990455</v>
      </c>
      <c r="AW10" s="14">
        <f t="shared" si="24"/>
        <v>1.1369262914756886</v>
      </c>
      <c r="AX10" s="14">
        <f t="shared" si="25"/>
        <v>5</v>
      </c>
      <c r="AY10" s="46">
        <f t="shared" si="26"/>
        <v>1.8223616249999994</v>
      </c>
      <c r="AZ10" s="14">
        <f>((AS10*AP10)/(1.65*XS_Designer!$S$99))*12</f>
        <v>6.381568034003263</v>
      </c>
      <c r="BA10" s="14">
        <f>(AW10/((1.65*62.4)*XS_Designer!$AA$53))*12</f>
        <v>2.2084815296730551</v>
      </c>
      <c r="BB10" s="14">
        <f t="shared" si="27"/>
        <v>3.514878310739717</v>
      </c>
      <c r="BC10" s="14">
        <f t="shared" si="28"/>
        <v>6.5856502103592796</v>
      </c>
      <c r="BD10" s="14">
        <f>IF(ISNUMBER(LININTERP(AW10,Permissible_Shear!$T$178:$T$188,Permissible_Shear!$V$178:$V$188)),LININTERP(AW10,Permissible_Shear!$T$178:$T$188,Permissible_Shear!$V$178:$V$188),0)</f>
        <v>3.8011623603067002</v>
      </c>
      <c r="BE10" s="14">
        <f>LININTERP(AW10,Permissible_Shear!$S$205:$S$222,Permissible_Shear!$V$205:$V$222)</f>
        <v>3.8653946608615266</v>
      </c>
      <c r="BF10" s="14">
        <f>INDEX($AZ$3:$BE$204,ROW(BF10)-2,MATCH(XS_Designer!$W$5,XS_Designer_Summary!$AZ$2:$BE$2,0))</f>
        <v>3.514878310739717</v>
      </c>
      <c r="BG10" s="79">
        <f t="shared" si="29"/>
        <v>2.2167529210990455</v>
      </c>
      <c r="BH10" s="79">
        <f t="shared" si="30"/>
        <v>0</v>
      </c>
      <c r="BI10" s="79">
        <f t="shared" si="31"/>
        <v>0</v>
      </c>
      <c r="BJ10" s="79">
        <f t="shared" si="32"/>
        <v>1.1369262914756886</v>
      </c>
      <c r="BK10" s="79">
        <f t="shared" si="33"/>
        <v>0</v>
      </c>
      <c r="BL10" s="79">
        <f t="shared" si="34"/>
        <v>0</v>
      </c>
      <c r="BM10" s="124">
        <f t="shared" si="35"/>
        <v>1.82199726198027</v>
      </c>
      <c r="BN10" s="124">
        <f t="shared" si="36"/>
        <v>0</v>
      </c>
      <c r="BO10" s="124">
        <f t="shared" si="37"/>
        <v>0</v>
      </c>
    </row>
    <row r="11" spans="1:67" ht="15">
      <c r="A11" s="116" t="str">
        <f>IF(XS_Designer!AJ11="","Yes","No")</f>
        <v>Yes</v>
      </c>
      <c r="B11" s="116">
        <f>IF(A11="Yes",XS_Designer!AF11,"NA")</f>
        <v>27.201250000000002</v>
      </c>
      <c r="C11" s="116" t="s">
        <v>401</v>
      </c>
      <c r="D11" s="19"/>
      <c r="E11" s="6">
        <f>SUMIF(XS_Designer_Calculations!$BO$4:$BO$104,$C11,XS_Designer_Calculations!$BV$4:$BV$104)</f>
        <v>19.979399999999998</v>
      </c>
      <c r="F11" s="6">
        <f>SUMIF(XS_Designer_Calculations!$BO$4:$BO$104,$C11,XS_Designer_Calculations!$BQ$4:$BQ$104)</f>
        <v>12.171820193289928</v>
      </c>
      <c r="G11" s="6">
        <f t="shared" si="0"/>
        <v>1.6414471856078048</v>
      </c>
      <c r="H11" s="6">
        <f t="array" ref="H11">IF(ISNUMBER((SUMIF(XS_Designer_Calculations!$BO$4:$BO$104,$C11,XS_Designer_Calculations!$BS$4:$BS$104))),(SUMIF(XS_Designer_Calculations!$BO$4:$BO$104,$C11,XS_Designer_Calculations!$BS$4:$BS$104)),0)</f>
        <v>0.38490675080827108</v>
      </c>
      <c r="I11" s="64">
        <f t="shared" si="1"/>
        <v>0.10000000000000002</v>
      </c>
      <c r="J11" s="64">
        <f>XS_Designer_Calculations!$I$7</f>
        <v>0.01</v>
      </c>
      <c r="K11" s="14">
        <f t="shared" si="2"/>
        <v>413.12916985878718</v>
      </c>
      <c r="L11" s="45">
        <f>K11*XS_Designer_Calculations!$I$7^0.5</f>
        <v>41.312916985878722</v>
      </c>
      <c r="M11" s="14">
        <f t="shared" si="3"/>
        <v>2.0677756582219047</v>
      </c>
      <c r="N11" s="14">
        <f>XS_Designer_Calculations!$K$4</f>
        <v>5</v>
      </c>
      <c r="O11" s="6">
        <f>SUMIF(XS_Designer_Calculations!$BO$4:$BO$104,$C11,XS_Designer_Calculations!$BT$4:$BT$104)</f>
        <v>10.600000000000001</v>
      </c>
      <c r="P11" s="6">
        <f t="array" ref="P11">MAX(IF(XS_Designer_Calculations!$BO$4:$BO$104=$C11,XS_Designer_Calculations!$BU$4:$BU$104,""))</f>
        <v>1.7989999999999995</v>
      </c>
      <c r="Q11" s="6">
        <f>IF(ISNUMBER(LININTERP(B10,XS_Designer_Calculations!$BN$4:$BN$104,XS_Designer_Calculations!$BU$4:$BU$104)),LININTERP(B10,XS_Designer_Calculations!$BN$4:$BN$104,XS_Designer_Calculations!$BU$4:$BU$104),P11)</f>
        <v>1.9989999999999997</v>
      </c>
      <c r="R11" s="6">
        <f t="shared" si="4"/>
        <v>1.9989999999999997</v>
      </c>
      <c r="S11" s="14">
        <f t="shared" si="5"/>
        <v>1.8848490566037732</v>
      </c>
      <c r="U11" s="6">
        <f t="shared" si="6"/>
        <v>1.0242630438192701</v>
      </c>
      <c r="V11" s="6">
        <f t="shared" si="7"/>
        <v>3.1471725739834842</v>
      </c>
      <c r="W11" s="6">
        <f t="shared" si="8"/>
        <v>6.0915092327184563</v>
      </c>
      <c r="X11" s="6">
        <f t="shared" si="9"/>
        <v>25.779260199188322</v>
      </c>
      <c r="Z11" s="6">
        <f t="shared" si="10"/>
        <v>0.2654221693300779</v>
      </c>
      <c r="AA11" s="6">
        <f t="shared" si="11"/>
        <v>6.6392797713276885E-2</v>
      </c>
      <c r="AB11" s="6">
        <f t="shared" si="12"/>
        <v>5.0663927977132772</v>
      </c>
      <c r="AD11" s="3">
        <v>7</v>
      </c>
      <c r="AE11" s="3" t="str">
        <f t="shared" si="13"/>
        <v>Left</v>
      </c>
      <c r="AF11" s="3" t="str">
        <f t="shared" si="14"/>
        <v>LOB</v>
      </c>
      <c r="AG11" s="3" t="str">
        <f>IF(XS_Designer_Summary!$AB$24&gt;=XS_Designer_Summary!AD11,"Y","N")</f>
        <v>Y</v>
      </c>
      <c r="AH11" s="45">
        <v>1</v>
      </c>
      <c r="AI11" s="45">
        <f>IF(AG11="Y",$O$19/XS_Designer_Summary!$AB$24,0)</f>
        <v>0.27201249999999999</v>
      </c>
      <c r="AJ11" s="45">
        <f t="shared" si="15"/>
        <v>0.27201249999999999</v>
      </c>
      <c r="AK11" s="14">
        <f t="shared" si="38"/>
        <v>-25.025150000000011</v>
      </c>
      <c r="AL11" s="14">
        <f>IF(AG11="Y",LININTERP(AK11,XS_Designer_Calculations!$AY$4:$AY$104,XS_Designer_Calculations!$AZ$4:$AZ$104),AL10)</f>
        <v>3.1694780000000007</v>
      </c>
      <c r="AM11" s="14">
        <f t="shared" si="16"/>
        <v>1.8305219999999993</v>
      </c>
      <c r="AN11" s="14">
        <f t="shared" si="17"/>
        <v>0.49718495752343733</v>
      </c>
      <c r="AO11" s="46">
        <f t="shared" si="18"/>
        <v>0.27206689706083664</v>
      </c>
      <c r="AP11" s="46">
        <f t="shared" si="19"/>
        <v>1.8274364242565762</v>
      </c>
      <c r="AQ11" s="46">
        <f t="shared" si="20"/>
        <v>8.6035107064681392E-3</v>
      </c>
      <c r="AR11" s="14">
        <f>IFERROR(IF(AG11="Y",VLOOKUP(AK11,XS_Designer_Calculations!$R$5:$T$104,3,TRUE),0),0)</f>
        <v>0.1</v>
      </c>
      <c r="AS11" s="46">
        <f t="shared" si="21"/>
        <v>0.01</v>
      </c>
      <c r="AT11" s="14">
        <f t="shared" si="22"/>
        <v>11.04328569886961</v>
      </c>
      <c r="AU11" s="14">
        <f>AT11*XS_Designer_Calculations!$I$7^0.5</f>
        <v>1.1043285698869612</v>
      </c>
      <c r="AV11" s="14">
        <f t="shared" si="23"/>
        <v>2.2211624731926913</v>
      </c>
      <c r="AW11" s="14">
        <f t="shared" si="24"/>
        <v>1.1403203287361035</v>
      </c>
      <c r="AX11" s="14">
        <f t="shared" si="25"/>
        <v>5</v>
      </c>
      <c r="AY11" s="46">
        <f t="shared" si="26"/>
        <v>1.8278018749999994</v>
      </c>
      <c r="AZ11" s="14">
        <f>((AS11*AP11)/(1.65*XS_Designer!$S$99))*12</f>
        <v>6.4006187674146329</v>
      </c>
      <c r="BA11" s="14">
        <f>(AW11/((1.65*62.4)*XS_Designer!$AA$53))*12</f>
        <v>2.215074453644335</v>
      </c>
      <c r="BB11" s="14">
        <f t="shared" si="27"/>
        <v>3.5257962759732373</v>
      </c>
      <c r="BC11" s="14">
        <f t="shared" si="28"/>
        <v>6.6000828858953602</v>
      </c>
      <c r="BD11" s="14">
        <f>IF(ISNUMBER(LININTERP(AW11,Permissible_Shear!$T$178:$T$188,Permissible_Shear!$V$178:$V$188)),LININTERP(AW11,Permissible_Shear!$T$178:$T$188,Permissible_Shear!$V$178:$V$188),0)</f>
        <v>3.8117638953167812</v>
      </c>
      <c r="BE11" s="14">
        <f>LININTERP(AW11,Permissible_Shear!$S$205:$S$222,Permissible_Shear!$V$205:$V$222)</f>
        <v>3.8760010273003229</v>
      </c>
      <c r="BF11" s="14">
        <f>INDEX($AZ$3:$BE$204,ROW(BF11)-2,MATCH(XS_Designer!$W$5,XS_Designer_Summary!$AZ$2:$BE$2,0))</f>
        <v>3.5257962759732373</v>
      </c>
      <c r="BG11" s="79">
        <f t="shared" si="29"/>
        <v>2.2211624731926913</v>
      </c>
      <c r="BH11" s="79">
        <f t="shared" si="30"/>
        <v>0</v>
      </c>
      <c r="BI11" s="79">
        <f t="shared" si="31"/>
        <v>0</v>
      </c>
      <c r="BJ11" s="79">
        <f t="shared" si="32"/>
        <v>1.1403203287361035</v>
      </c>
      <c r="BK11" s="79">
        <f t="shared" si="33"/>
        <v>0</v>
      </c>
      <c r="BL11" s="79">
        <f t="shared" si="34"/>
        <v>0</v>
      </c>
      <c r="BM11" s="124">
        <f t="shared" si="35"/>
        <v>1.8274364242565762</v>
      </c>
      <c r="BN11" s="124">
        <f t="shared" si="36"/>
        <v>0</v>
      </c>
      <c r="BO11" s="124">
        <f t="shared" si="37"/>
        <v>0</v>
      </c>
    </row>
    <row r="12" spans="1:67" ht="15">
      <c r="A12" s="11"/>
      <c r="B12" s="11"/>
      <c r="C12" s="5"/>
      <c r="D12" s="19"/>
      <c r="E12" s="12"/>
      <c r="F12" s="12"/>
      <c r="G12" s="12"/>
      <c r="H12" s="12"/>
      <c r="I12" s="40"/>
      <c r="J12" s="40"/>
      <c r="K12" s="27"/>
      <c r="L12" s="152"/>
      <c r="M12" s="27"/>
      <c r="N12" s="27"/>
      <c r="O12" s="12"/>
      <c r="P12" s="12"/>
      <c r="Q12" s="12"/>
      <c r="R12" s="12"/>
      <c r="T12" s="2"/>
      <c r="U12" s="2"/>
      <c r="V12" s="2"/>
      <c r="W12" s="2"/>
      <c r="X12" s="2"/>
      <c r="Z12" s="1"/>
      <c r="AA12" s="1"/>
      <c r="AD12" s="3">
        <v>8</v>
      </c>
      <c r="AE12" s="3" t="str">
        <f t="shared" si="13"/>
        <v>Left</v>
      </c>
      <c r="AF12" s="3" t="str">
        <f t="shared" si="14"/>
        <v>LOB</v>
      </c>
      <c r="AG12" s="3" t="str">
        <f>IF(XS_Designer_Summary!$AB$24&gt;=XS_Designer_Summary!AD12,"Y","N")</f>
        <v>Y</v>
      </c>
      <c r="AH12" s="45">
        <v>1</v>
      </c>
      <c r="AI12" s="45">
        <f>IF(AG12="Y",$O$19/XS_Designer_Summary!$AB$24,0)</f>
        <v>0.27201249999999999</v>
      </c>
      <c r="AJ12" s="45">
        <f t="shared" si="15"/>
        <v>0.27201249999999999</v>
      </c>
      <c r="AK12" s="14">
        <f t="shared" si="38"/>
        <v>-24.753137500000012</v>
      </c>
      <c r="AL12" s="14">
        <f>IF(AG12="Y",LININTERP(AK12,XS_Designer_Calculations!$AY$4:$AY$104,XS_Designer_Calculations!$AZ$4:$AZ$104),AL11)</f>
        <v>3.1640377500000008</v>
      </c>
      <c r="AM12" s="14">
        <f t="shared" si="16"/>
        <v>1.8359622499999992</v>
      </c>
      <c r="AN12" s="14">
        <f t="shared" si="17"/>
        <v>0.4986647735265623</v>
      </c>
      <c r="AO12" s="46">
        <f t="shared" si="18"/>
        <v>0.27206689706083664</v>
      </c>
      <c r="AP12" s="46">
        <f t="shared" si="19"/>
        <v>1.8328755865328823</v>
      </c>
      <c r="AQ12" s="46">
        <f t="shared" si="20"/>
        <v>8.6035107064681392E-3</v>
      </c>
      <c r="AR12" s="14">
        <f>IFERROR(IF(AG12="Y",VLOOKUP(AK12,XS_Designer_Calculations!$R$5:$T$104,3,TRUE),0),0)</f>
        <v>0.1</v>
      </c>
      <c r="AS12" s="46">
        <f t="shared" si="21"/>
        <v>0.01</v>
      </c>
      <c r="AT12" s="14">
        <f t="shared" si="22"/>
        <v>11.098121894520027</v>
      </c>
      <c r="AU12" s="14">
        <f>AT12*XS_Designer_Calculations!$I$7^0.5</f>
        <v>1.1098121894520028</v>
      </c>
      <c r="AV12" s="14">
        <f t="shared" si="23"/>
        <v>2.2255676526003629</v>
      </c>
      <c r="AW12" s="14">
        <f t="shared" si="24"/>
        <v>1.1437143659965185</v>
      </c>
      <c r="AX12" s="14">
        <f t="shared" si="25"/>
        <v>5</v>
      </c>
      <c r="AY12" s="46">
        <f t="shared" si="26"/>
        <v>1.8332421249999993</v>
      </c>
      <c r="AZ12" s="14">
        <f>((AS12*AP12)/(1.65*XS_Designer!$S$99))*12</f>
        <v>6.4196695008260036</v>
      </c>
      <c r="BA12" s="14">
        <f>(AW12/((1.65*62.4)*XS_Designer!$AA$53))*12</f>
        <v>2.2216673776156153</v>
      </c>
      <c r="BB12" s="14">
        <f t="shared" si="27"/>
        <v>3.5367156041024943</v>
      </c>
      <c r="BC12" s="14">
        <f t="shared" si="28"/>
        <v>6.6145042205589375</v>
      </c>
      <c r="BD12" s="14">
        <f>IF(ISNUMBER(LININTERP(AW12,Permissible_Shear!$T$178:$T$188,Permissible_Shear!$V$178:$V$188)),LININTERP(AW12,Permissible_Shear!$T$178:$T$188,Permissible_Shear!$V$178:$V$188),0)</f>
        <v>3.822365430326863</v>
      </c>
      <c r="BE12" s="14">
        <f>LININTERP(AW12,Permissible_Shear!$S$205:$S$222,Permissible_Shear!$V$205:$V$222)</f>
        <v>3.8866073937391201</v>
      </c>
      <c r="BF12" s="14">
        <f>INDEX($AZ$3:$BE$204,ROW(BF12)-2,MATCH(XS_Designer!$W$5,XS_Designer_Summary!$AZ$2:$BE$2,0))</f>
        <v>3.5367156041024943</v>
      </c>
      <c r="BG12" s="79">
        <f t="shared" si="29"/>
        <v>2.2255676526003629</v>
      </c>
      <c r="BH12" s="79">
        <f t="shared" si="30"/>
        <v>0</v>
      </c>
      <c r="BI12" s="79">
        <f t="shared" si="31"/>
        <v>0</v>
      </c>
      <c r="BJ12" s="79">
        <f t="shared" si="32"/>
        <v>1.1437143659965185</v>
      </c>
      <c r="BK12" s="79">
        <f t="shared" si="33"/>
        <v>0</v>
      </c>
      <c r="BL12" s="79">
        <f t="shared" si="34"/>
        <v>0</v>
      </c>
      <c r="BM12" s="124">
        <f t="shared" si="35"/>
        <v>1.8328755865328823</v>
      </c>
      <c r="BN12" s="124">
        <f t="shared" si="36"/>
        <v>0</v>
      </c>
      <c r="BO12" s="124">
        <f t="shared" si="37"/>
        <v>0</v>
      </c>
    </row>
    <row r="13" spans="1:67" ht="15">
      <c r="A13" s="1"/>
      <c r="B13" s="1"/>
      <c r="C13" s="5" t="s">
        <v>647</v>
      </c>
      <c r="D13" s="19"/>
      <c r="E13" s="6">
        <f t="shared" ref="E13:F13" si="39">SUM(E6:E8)</f>
        <v>0</v>
      </c>
      <c r="F13" s="6">
        <f t="shared" si="39"/>
        <v>0</v>
      </c>
      <c r="G13" s="6">
        <f>IF(ISNUMBER(E13/F13),E13/F13,0)</f>
        <v>0</v>
      </c>
      <c r="H13" s="141">
        <f>SUM(H6:H8)</f>
        <v>0</v>
      </c>
      <c r="I13" s="64">
        <f>IF(ISNUMBER(((SUM(H13)/F13)^(2/3))),(((SUM(H13)/F13)^(2/3))),0)</f>
        <v>0</v>
      </c>
      <c r="J13" s="64">
        <f>XS_Designer_Calculations!$I$7</f>
        <v>0.01</v>
      </c>
      <c r="K13" s="14">
        <f>IF(ISNUMBER((1.486/I13)*E13*((E13/F13)^(2/3))),(1.486/I13)*E13*((E13/F13)^(2/3)),0)</f>
        <v>0</v>
      </c>
      <c r="L13" s="45">
        <f>K13*XS_Designer_Calculations!$I$7^0.5</f>
        <v>0</v>
      </c>
      <c r="M13" s="14">
        <f>IF(ISNUMBER(L13/E13),L13/E13,0)</f>
        <v>0</v>
      </c>
      <c r="N13" s="14">
        <f>IF(E13=0,0,XS_Designer_Calculations!$K$4)</f>
        <v>0</v>
      </c>
      <c r="O13" s="6">
        <f>SUM(O6:O8)</f>
        <v>0</v>
      </c>
      <c r="P13" s="5" t="s">
        <v>660</v>
      </c>
      <c r="Q13" s="5" t="s">
        <v>660</v>
      </c>
      <c r="R13" s="6">
        <f>IF(N13=0,0,MAX(R6:R8))</f>
        <v>0</v>
      </c>
      <c r="S13" s="14">
        <f>IF(ISNUMBER(E13/O13),E13/O13,0)</f>
        <v>0</v>
      </c>
      <c r="T13" s="2"/>
      <c r="U13" s="6">
        <f>62.4*G13*J13</f>
        <v>0</v>
      </c>
      <c r="V13" s="6">
        <f>((77.966*(U13^1.042)))*0.0393701</f>
        <v>0</v>
      </c>
      <c r="W13" s="6">
        <f>((152.02*(U13^0.7355)))*0.0393701</f>
        <v>0</v>
      </c>
      <c r="X13" s="6">
        <f>62.4*J13*L13</f>
        <v>0</v>
      </c>
      <c r="Z13" s="6">
        <f>IF(ISNUMBER(M13/(SQRT(S13*32.2))),M13/(SQRT(S13*32.2)),0)</f>
        <v>0</v>
      </c>
      <c r="AA13" s="6">
        <f>(M13^2)/(2*32.2)</f>
        <v>0</v>
      </c>
      <c r="AB13" s="6">
        <f>AA13+N13</f>
        <v>0</v>
      </c>
      <c r="AD13" s="3">
        <v>9</v>
      </c>
      <c r="AE13" s="3" t="str">
        <f t="shared" si="13"/>
        <v>Left</v>
      </c>
      <c r="AF13" s="3" t="str">
        <f t="shared" si="14"/>
        <v>LOB</v>
      </c>
      <c r="AG13" s="3" t="str">
        <f>IF(XS_Designer_Summary!$AB$24&gt;=XS_Designer_Summary!AD13,"Y","N")</f>
        <v>Y</v>
      </c>
      <c r="AH13" s="45">
        <v>1</v>
      </c>
      <c r="AI13" s="45">
        <f>IF(AG13="Y",$O$19/XS_Designer_Summary!$AB$24,0)</f>
        <v>0.27201249999999999</v>
      </c>
      <c r="AJ13" s="45">
        <f t="shared" si="15"/>
        <v>0.27201249999999999</v>
      </c>
      <c r="AK13" s="14">
        <f t="shared" si="38"/>
        <v>-24.481125000000013</v>
      </c>
      <c r="AL13" s="14">
        <f>IF(AG13="Y",LININTERP(AK13,XS_Designer_Calculations!$AY$4:$AY$104,XS_Designer_Calculations!$AZ$4:$AZ$104),AL12)</f>
        <v>3.1585975000000008</v>
      </c>
      <c r="AM13" s="14">
        <f t="shared" si="16"/>
        <v>1.8414024999999992</v>
      </c>
      <c r="AN13" s="14">
        <f t="shared" si="17"/>
        <v>0.50014458952968721</v>
      </c>
      <c r="AO13" s="46">
        <f t="shared" si="18"/>
        <v>0.27206689706083664</v>
      </c>
      <c r="AP13" s="46">
        <f t="shared" si="19"/>
        <v>1.8383147488091882</v>
      </c>
      <c r="AQ13" s="46">
        <f t="shared" si="20"/>
        <v>8.6035107064681392E-3</v>
      </c>
      <c r="AR13" s="14">
        <f>IFERROR(IF(AG13="Y",VLOOKUP(AK13,XS_Designer_Calculations!$R$5:$T$104,3,TRUE),0),0)</f>
        <v>0.1</v>
      </c>
      <c r="AS13" s="46">
        <f t="shared" si="21"/>
        <v>0.01</v>
      </c>
      <c r="AT13" s="14">
        <f t="shared" si="22"/>
        <v>11.153066684008259</v>
      </c>
      <c r="AU13" s="14">
        <f>AT13*XS_Designer_Calculations!$I$7^0.5</f>
        <v>1.1153066684008259</v>
      </c>
      <c r="AV13" s="14">
        <f t="shared" si="23"/>
        <v>2.2299684766151495</v>
      </c>
      <c r="AW13" s="14">
        <f t="shared" si="24"/>
        <v>1.1471084032569334</v>
      </c>
      <c r="AX13" s="14">
        <f t="shared" si="25"/>
        <v>5</v>
      </c>
      <c r="AY13" s="46">
        <f t="shared" si="26"/>
        <v>1.838682374999999</v>
      </c>
      <c r="AZ13" s="14">
        <f>((AS13*AP13)/(1.65*XS_Designer!$S$99))*12</f>
        <v>6.4387202342373708</v>
      </c>
      <c r="BA13" s="14">
        <f>(AW13/((1.65*62.4)*XS_Designer!$AA$53))*12</f>
        <v>2.2282603015868947</v>
      </c>
      <c r="BB13" s="14">
        <f t="shared" si="27"/>
        <v>3.5476362912583763</v>
      </c>
      <c r="BC13" s="14">
        <f t="shared" si="28"/>
        <v>6.6289142568267838</v>
      </c>
      <c r="BD13" s="14">
        <f>IF(ISNUMBER(LININTERP(AW13,Permissible_Shear!$T$178:$T$188,Permissible_Shear!$V$178:$V$188)),LININTERP(AW13,Permissible_Shear!$T$178:$T$188,Permissible_Shear!$V$178:$V$188),0)</f>
        <v>3.8329669653369436</v>
      </c>
      <c r="BE13" s="14">
        <f>LININTERP(AW13,Permissible_Shear!$S$205:$S$222,Permissible_Shear!$V$205:$V$222)</f>
        <v>3.8972137601779169</v>
      </c>
      <c r="BF13" s="14">
        <f>INDEX($AZ$3:$BE$204,ROW(BF13)-2,MATCH(XS_Designer!$W$5,XS_Designer_Summary!$AZ$2:$BE$2,0))</f>
        <v>3.5476362912583763</v>
      </c>
      <c r="BG13" s="79">
        <f t="shared" si="29"/>
        <v>2.2299684766151495</v>
      </c>
      <c r="BH13" s="79">
        <f t="shared" si="30"/>
        <v>0</v>
      </c>
      <c r="BI13" s="79">
        <f t="shared" si="31"/>
        <v>0</v>
      </c>
      <c r="BJ13" s="79">
        <f t="shared" si="32"/>
        <v>1.1471084032569334</v>
      </c>
      <c r="BK13" s="79">
        <f t="shared" si="33"/>
        <v>0</v>
      </c>
      <c r="BL13" s="79">
        <f t="shared" si="34"/>
        <v>0</v>
      </c>
      <c r="BM13" s="124">
        <f t="shared" si="35"/>
        <v>1.8383147488091882</v>
      </c>
      <c r="BN13" s="124">
        <f t="shared" si="36"/>
        <v>0</v>
      </c>
      <c r="BO13" s="124">
        <f t="shared" si="37"/>
        <v>0</v>
      </c>
    </row>
    <row r="14" spans="1:67" ht="15">
      <c r="A14" s="1"/>
      <c r="B14" s="1"/>
      <c r="C14" s="3"/>
      <c r="D14" s="19"/>
      <c r="E14" s="12"/>
      <c r="F14" s="12"/>
      <c r="G14" s="12"/>
      <c r="H14" s="12"/>
      <c r="I14" s="12"/>
      <c r="J14" s="12"/>
      <c r="K14" s="12"/>
      <c r="L14" s="291"/>
      <c r="M14" s="12"/>
      <c r="N14" s="12"/>
      <c r="O14" s="12"/>
      <c r="P14" s="12"/>
      <c r="Q14" s="12"/>
      <c r="R14" s="2"/>
      <c r="T14" s="2"/>
      <c r="U14" s="2"/>
      <c r="V14" s="2"/>
      <c r="W14" s="2"/>
      <c r="X14" s="2"/>
      <c r="Z14" s="1"/>
      <c r="AA14" s="1"/>
      <c r="AD14" s="3">
        <v>10</v>
      </c>
      <c r="AE14" s="3" t="str">
        <f t="shared" si="13"/>
        <v>Left</v>
      </c>
      <c r="AF14" s="3" t="str">
        <f t="shared" si="14"/>
        <v>LOB</v>
      </c>
      <c r="AG14" s="3" t="str">
        <f>IF(XS_Designer_Summary!$AB$24&gt;=XS_Designer_Summary!AD14,"Y","N")</f>
        <v>Y</v>
      </c>
      <c r="AH14" s="45">
        <v>1</v>
      </c>
      <c r="AI14" s="45">
        <f>IF(AG14="Y",$O$19/XS_Designer_Summary!$AB$24,0)</f>
        <v>0.27201249999999999</v>
      </c>
      <c r="AJ14" s="45">
        <f t="shared" si="15"/>
        <v>0.27201249999999999</v>
      </c>
      <c r="AK14" s="14">
        <f t="shared" si="38"/>
        <v>-24.209112500000014</v>
      </c>
      <c r="AL14" s="14">
        <f>IF(AG14="Y",LININTERP(AK14,XS_Designer_Calculations!$AY$4:$AY$104,XS_Designer_Calculations!$AZ$4:$AZ$104),AL13)</f>
        <v>3.1531572500000009</v>
      </c>
      <c r="AM14" s="14">
        <f t="shared" si="16"/>
        <v>1.8468427499999991</v>
      </c>
      <c r="AN14" s="14">
        <f t="shared" si="17"/>
        <v>0.50162440553281229</v>
      </c>
      <c r="AO14" s="46">
        <f t="shared" si="18"/>
        <v>0.27206689706083664</v>
      </c>
      <c r="AP14" s="46">
        <f t="shared" si="19"/>
        <v>1.8437539110854948</v>
      </c>
      <c r="AQ14" s="46">
        <f t="shared" si="20"/>
        <v>8.6035107064681392E-3</v>
      </c>
      <c r="AR14" s="14">
        <f>IFERROR(IF(AG14="Y",VLOOKUP(AK14,XS_Designer_Calculations!$R$5:$T$104,3,TRUE),0),0)</f>
        <v>0.1</v>
      </c>
      <c r="AS14" s="46">
        <f t="shared" si="21"/>
        <v>0.01</v>
      </c>
      <c r="AT14" s="14">
        <f t="shared" si="22"/>
        <v>11.208119960126671</v>
      </c>
      <c r="AU14" s="14">
        <f>AT14*XS_Designer_Calculations!$I$7^0.5</f>
        <v>1.1208119960126672</v>
      </c>
      <c r="AV14" s="14">
        <f t="shared" si="23"/>
        <v>2.2343649624108104</v>
      </c>
      <c r="AW14" s="14">
        <f t="shared" si="24"/>
        <v>1.1505024405173487</v>
      </c>
      <c r="AX14" s="14">
        <f t="shared" si="25"/>
        <v>5</v>
      </c>
      <c r="AY14" s="46">
        <f t="shared" si="26"/>
        <v>1.8441226249999993</v>
      </c>
      <c r="AZ14" s="14">
        <f>((AS14*AP14)/(1.65*XS_Designer!$S$99))*12</f>
        <v>6.4577709676487434</v>
      </c>
      <c r="BA14" s="14">
        <f>(AW14/((1.65*62.4)*XS_Designer!$AA$53))*12</f>
        <v>2.2348532255581759</v>
      </c>
      <c r="BB14" s="14">
        <f t="shared" si="27"/>
        <v>3.5585583335941506</v>
      </c>
      <c r="BC14" s="14">
        <f t="shared" si="28"/>
        <v>6.6433130368916</v>
      </c>
      <c r="BD14" s="14">
        <f>IF(ISNUMBER(LININTERP(AW14,Permissible_Shear!$T$178:$T$188,Permissible_Shear!$V$178:$V$188)),LININTERP(AW14,Permissible_Shear!$T$178:$T$188,Permissible_Shear!$V$178:$V$188),0)</f>
        <v>3.8435685003470264</v>
      </c>
      <c r="BE14" s="14">
        <f>LININTERP(AW14,Permissible_Shear!$S$205:$S$222,Permissible_Shear!$V$205:$V$222)</f>
        <v>3.9078201266167145</v>
      </c>
      <c r="BF14" s="14">
        <f>INDEX($AZ$3:$BE$204,ROW(BF14)-2,MATCH(XS_Designer!$W$5,XS_Designer_Summary!$AZ$2:$BE$2,0))</f>
        <v>3.5585583335941506</v>
      </c>
      <c r="BG14" s="79">
        <f t="shared" si="29"/>
        <v>2.2343649624108104</v>
      </c>
      <c r="BH14" s="79">
        <f t="shared" si="30"/>
        <v>0</v>
      </c>
      <c r="BI14" s="79">
        <f t="shared" si="31"/>
        <v>0</v>
      </c>
      <c r="BJ14" s="79">
        <f t="shared" si="32"/>
        <v>1.1505024405173487</v>
      </c>
      <c r="BK14" s="79">
        <f t="shared" si="33"/>
        <v>0</v>
      </c>
      <c r="BL14" s="79">
        <f t="shared" si="34"/>
        <v>0</v>
      </c>
      <c r="BM14" s="124">
        <f t="shared" si="35"/>
        <v>1.8437539110854948</v>
      </c>
      <c r="BN14" s="124">
        <f t="shared" si="36"/>
        <v>0</v>
      </c>
      <c r="BO14" s="124">
        <f t="shared" si="37"/>
        <v>0</v>
      </c>
    </row>
    <row r="15" spans="1:67" ht="15">
      <c r="A15" s="1"/>
      <c r="B15" s="1"/>
      <c r="C15" s="3" t="s">
        <v>12</v>
      </c>
      <c r="D15" s="19"/>
      <c r="E15" s="6">
        <f t="shared" ref="E15:F15" si="40">SUM(E5:E9)</f>
        <v>41.502467249999995</v>
      </c>
      <c r="F15" s="6">
        <f t="shared" si="40"/>
        <v>10.834623063621894</v>
      </c>
      <c r="G15" s="6">
        <f t="shared" ref="G15:G17" si="41">IF(ISNUMBER(E15/F15),E15/F15,0)</f>
        <v>3.8305409432606679</v>
      </c>
      <c r="H15" s="141">
        <f>SUM(H5:H9)</f>
        <v>8.667698450897518E-2</v>
      </c>
      <c r="I15" s="64">
        <f t="shared" ref="I15:I17" si="42">IF(ISNUMBER(((SUM(H15)/F15)^(2/3))),(((SUM(H15)/F15)^(2/3))),0)</f>
        <v>4.0000000000000029E-2</v>
      </c>
      <c r="J15" s="64">
        <f>XS_Designer_Calculations!$I$7</f>
        <v>0.01</v>
      </c>
      <c r="K15" s="14">
        <f t="shared" ref="K15:K17" si="43">IF(ISNUMBER((1.486/I15)*E15*((E15/F15)^(2/3))),(1.486/I15)*E15*((E15/F15)^(2/3)),0)</f>
        <v>3774.6162575473236</v>
      </c>
      <c r="L15" s="45">
        <f>K15*XS_Designer_Calculations!$I$7^0.5</f>
        <v>377.46162575473238</v>
      </c>
      <c r="M15" s="14">
        <f t="shared" ref="M15:M17" si="44">IF(ISNUMBER(L15/E15),L15/E15,0)</f>
        <v>9.0949201521201708</v>
      </c>
      <c r="N15" s="14">
        <f>XS_Designer_Calculations!$K$4</f>
        <v>5</v>
      </c>
      <c r="O15" s="6">
        <f>SUM(O5:O9)</f>
        <v>10.002500000000001</v>
      </c>
      <c r="P15" s="5" t="s">
        <v>660</v>
      </c>
      <c r="Q15" s="5" t="s">
        <v>660</v>
      </c>
      <c r="R15" s="6">
        <f>MAX(R5:R9)</f>
        <v>5</v>
      </c>
      <c r="S15" s="14">
        <f t="shared" ref="S15:S17" si="45">IF(ISNUMBER(E15/O15),E15/O15,0)</f>
        <v>4.1492094226443381</v>
      </c>
      <c r="T15" s="2"/>
      <c r="U15" s="6">
        <f t="shared" ref="U15:U17" si="46">62.4*G15*J15</f>
        <v>2.3902575485946569</v>
      </c>
      <c r="V15" s="6">
        <f t="shared" ref="V15:V17" si="47">((77.966*(U15^1.042)))*0.0393701</f>
        <v>7.6104641972541911</v>
      </c>
      <c r="W15" s="6">
        <f t="shared" ref="W15:W17" si="48">((152.02*(U15^0.7355)))*0.0393701</f>
        <v>11.360915293405315</v>
      </c>
      <c r="X15" s="6">
        <f t="shared" ref="X15:X17" si="49">62.4*J15*L15</f>
        <v>235.53605447095302</v>
      </c>
      <c r="Z15" s="6">
        <f t="shared" ref="Z15:Z17" si="50">IF(ISNUMBER(M15/(SQRT(S15*32.2))),M15/(SQRT(S15*32.2)),0)</f>
        <v>0.78684334682725399</v>
      </c>
      <c r="AA15" s="6">
        <f t="shared" ref="AA15:AA17" si="51">(M15^2)/(2*32.2)</f>
        <v>1.2844343567304592</v>
      </c>
      <c r="AB15" s="6">
        <f t="shared" ref="AB15:AB17" si="52">AA15+N15</f>
        <v>6.2844343567304595</v>
      </c>
      <c r="AD15" s="3">
        <v>11</v>
      </c>
      <c r="AE15" s="3" t="str">
        <f t="shared" si="13"/>
        <v>Left</v>
      </c>
      <c r="AF15" s="3" t="str">
        <f t="shared" si="14"/>
        <v>LOB</v>
      </c>
      <c r="AG15" s="3" t="str">
        <f>IF(XS_Designer_Summary!$AB$24&gt;=XS_Designer_Summary!AD15,"Y","N")</f>
        <v>Y</v>
      </c>
      <c r="AH15" s="45">
        <v>1</v>
      </c>
      <c r="AI15" s="45">
        <f>IF(AG15="Y",$O$19/XS_Designer_Summary!$AB$24,0)</f>
        <v>0.27201249999999999</v>
      </c>
      <c r="AJ15" s="45">
        <f t="shared" si="15"/>
        <v>0.27201249999999999</v>
      </c>
      <c r="AK15" s="14">
        <f t="shared" si="38"/>
        <v>-23.937100000000015</v>
      </c>
      <c r="AL15" s="14">
        <f>IF(AG15="Y",LININTERP(AK15,XS_Designer_Calculations!$AY$4:$AY$104,XS_Designer_Calculations!$AZ$4:$AZ$104),AL14)</f>
        <v>3.147717000000001</v>
      </c>
      <c r="AM15" s="14">
        <f t="shared" si="16"/>
        <v>1.852282999999999</v>
      </c>
      <c r="AN15" s="14">
        <f t="shared" si="17"/>
        <v>0.50310422153593726</v>
      </c>
      <c r="AO15" s="46">
        <f t="shared" si="18"/>
        <v>0.27206689706083664</v>
      </c>
      <c r="AP15" s="46">
        <f t="shared" si="19"/>
        <v>1.8491930733618009</v>
      </c>
      <c r="AQ15" s="46">
        <f t="shared" si="20"/>
        <v>8.6035107064681392E-3</v>
      </c>
      <c r="AR15" s="14">
        <f>IFERROR(IF(AG15="Y",VLOOKUP(AK15,XS_Designer_Calculations!$R$5:$T$104,3,TRUE),0),0)</f>
        <v>0.1</v>
      </c>
      <c r="AS15" s="46">
        <f t="shared" si="21"/>
        <v>0.01</v>
      </c>
      <c r="AT15" s="14">
        <f t="shared" si="22"/>
        <v>11.263281616089721</v>
      </c>
      <c r="AU15" s="14">
        <f>AT15*XS_Designer_Calculations!$I$7^0.5</f>
        <v>1.1263281616089722</v>
      </c>
      <c r="AV15" s="14">
        <f t="shared" si="23"/>
        <v>2.2387571270429447</v>
      </c>
      <c r="AW15" s="14">
        <f t="shared" si="24"/>
        <v>1.1538964777777638</v>
      </c>
      <c r="AX15" s="14">
        <f t="shared" si="25"/>
        <v>5</v>
      </c>
      <c r="AY15" s="46">
        <f t="shared" si="26"/>
        <v>1.8495628749999993</v>
      </c>
      <c r="AZ15" s="14">
        <f>((AS15*AP15)/(1.65*XS_Designer!$S$99))*12</f>
        <v>6.4768217010601141</v>
      </c>
      <c r="BA15" s="14">
        <f>(AW15/((1.65*62.4)*XS_Designer!$AA$53))*12</f>
        <v>2.2414461495294562</v>
      </c>
      <c r="BB15" s="14">
        <f t="shared" si="27"/>
        <v>3.5694817272852744</v>
      </c>
      <c r="BC15" s="14">
        <f t="shared" si="28"/>
        <v>6.6577006026647485</v>
      </c>
      <c r="BD15" s="14">
        <f>IF(ISNUMBER(LININTERP(AW15,Permissible_Shear!$T$178:$T$188,Permissible_Shear!$V$178:$V$188)),LININTERP(AW15,Permissible_Shear!$T$178:$T$188,Permissible_Shear!$V$178:$V$188),0)</f>
        <v>3.8541700353571078</v>
      </c>
      <c r="BE15" s="14">
        <f>LININTERP(AW15,Permissible_Shear!$S$205:$S$222,Permissible_Shear!$V$205:$V$222)</f>
        <v>3.9184264930555117</v>
      </c>
      <c r="BF15" s="14">
        <f>INDEX($AZ$3:$BE$204,ROW(BF15)-2,MATCH(XS_Designer!$W$5,XS_Designer_Summary!$AZ$2:$BE$2,0))</f>
        <v>3.5694817272852744</v>
      </c>
      <c r="BG15" s="79">
        <f t="shared" si="29"/>
        <v>2.2387571270429447</v>
      </c>
      <c r="BH15" s="79">
        <f t="shared" si="30"/>
        <v>0</v>
      </c>
      <c r="BI15" s="79">
        <f t="shared" si="31"/>
        <v>0</v>
      </c>
      <c r="BJ15" s="79">
        <f t="shared" si="32"/>
        <v>1.1538964777777638</v>
      </c>
      <c r="BK15" s="79">
        <f t="shared" si="33"/>
        <v>0</v>
      </c>
      <c r="BL15" s="79">
        <f t="shared" si="34"/>
        <v>0</v>
      </c>
      <c r="BM15" s="124">
        <f t="shared" si="35"/>
        <v>1.8491930733618009</v>
      </c>
      <c r="BN15" s="124">
        <f t="shared" si="36"/>
        <v>0</v>
      </c>
      <c r="BO15" s="124">
        <f t="shared" si="37"/>
        <v>0</v>
      </c>
    </row>
    <row r="16" spans="1:67" ht="15">
      <c r="A16" s="1"/>
      <c r="B16" s="1"/>
      <c r="C16" s="3" t="s">
        <v>531</v>
      </c>
      <c r="D16" s="19"/>
      <c r="E16" s="6">
        <f t="shared" ref="E16:F16" si="53">SUM(E3:E4)</f>
        <v>52.8078</v>
      </c>
      <c r="F16" s="6">
        <f t="shared" si="53"/>
        <v>22.463674375329752</v>
      </c>
      <c r="G16" s="6">
        <f t="shared" si="41"/>
        <v>2.3508086485617432</v>
      </c>
      <c r="H16" s="141">
        <f>SUM(H3:H4)</f>
        <v>0.71036375642402161</v>
      </c>
      <c r="I16" s="64">
        <f t="shared" si="42"/>
        <v>0.10000000000000002</v>
      </c>
      <c r="J16" s="64">
        <f>XS_Designer_Calculations!$I$7</f>
        <v>0.01</v>
      </c>
      <c r="K16" s="14">
        <f t="shared" si="43"/>
        <v>1387.378854201482</v>
      </c>
      <c r="L16" s="45">
        <f>K16*XS_Designer_Calculations!$I$7^0.5</f>
        <v>138.73788542014822</v>
      </c>
      <c r="M16" s="14">
        <f t="shared" si="44"/>
        <v>2.6272233537497911</v>
      </c>
      <c r="N16" s="14">
        <f>XS_Designer_Calculations!$K$4</f>
        <v>5</v>
      </c>
      <c r="O16" s="6">
        <f>SUM(O3:O4)</f>
        <v>22.200000000000003</v>
      </c>
      <c r="P16" s="5" t="s">
        <v>660</v>
      </c>
      <c r="Q16" s="5" t="s">
        <v>660</v>
      </c>
      <c r="R16" s="6">
        <f>MAX(R3:R4)</f>
        <v>2.9990000000000001</v>
      </c>
      <c r="S16" s="14">
        <f t="shared" si="45"/>
        <v>2.3787297297297294</v>
      </c>
      <c r="T16" s="2"/>
      <c r="U16" s="6">
        <f t="shared" si="46"/>
        <v>1.4669045967025278</v>
      </c>
      <c r="V16" s="6">
        <f t="shared" si="47"/>
        <v>4.575752434743066</v>
      </c>
      <c r="W16" s="6">
        <f t="shared" si="48"/>
        <v>7.9333355028366945</v>
      </c>
      <c r="X16" s="6">
        <f t="shared" si="49"/>
        <v>86.572440502172483</v>
      </c>
      <c r="Z16" s="6">
        <f t="shared" si="50"/>
        <v>0.30019019978951667</v>
      </c>
      <c r="AA16" s="6">
        <f t="shared" si="51"/>
        <v>0.10717861103242701</v>
      </c>
      <c r="AB16" s="6">
        <f t="shared" si="52"/>
        <v>5.1071786110324267</v>
      </c>
      <c r="AD16" s="3">
        <v>12</v>
      </c>
      <c r="AE16" s="3" t="str">
        <f t="shared" si="13"/>
        <v>Left</v>
      </c>
      <c r="AF16" s="3" t="str">
        <f t="shared" si="14"/>
        <v>LOB</v>
      </c>
      <c r="AG16" s="3" t="str">
        <f>IF(XS_Designer_Summary!$AB$24&gt;=XS_Designer_Summary!AD16,"Y","N")</f>
        <v>Y</v>
      </c>
      <c r="AH16" s="45">
        <v>1</v>
      </c>
      <c r="AI16" s="45">
        <f>IF(AG16="Y",$O$19/XS_Designer_Summary!$AB$24,0)</f>
        <v>0.27201249999999999</v>
      </c>
      <c r="AJ16" s="45">
        <f t="shared" si="15"/>
        <v>0.27201249999999999</v>
      </c>
      <c r="AK16" s="14">
        <f t="shared" si="38"/>
        <v>-23.665087500000016</v>
      </c>
      <c r="AL16" s="14">
        <f>IF(AG16="Y",LININTERP(AK16,XS_Designer_Calculations!$AY$4:$AY$104,XS_Designer_Calculations!$AZ$4:$AZ$104),AL15)</f>
        <v>3.1422767500000006</v>
      </c>
      <c r="AM16" s="14">
        <f t="shared" si="16"/>
        <v>1.8577232499999994</v>
      </c>
      <c r="AN16" s="14">
        <f t="shared" si="17"/>
        <v>0.50458403753906222</v>
      </c>
      <c r="AO16" s="46">
        <f t="shared" si="18"/>
        <v>0.27206689706083664</v>
      </c>
      <c r="AP16" s="46">
        <f t="shared" si="19"/>
        <v>1.8546322356381071</v>
      </c>
      <c r="AQ16" s="46">
        <f t="shared" si="20"/>
        <v>8.6035107064681392E-3</v>
      </c>
      <c r="AR16" s="14">
        <f>IFERROR(IF(AG16="Y",VLOOKUP(AK16,XS_Designer_Calculations!$R$5:$T$104,3,TRUE),0),0)</f>
        <v>0.1</v>
      </c>
      <c r="AS16" s="46">
        <f t="shared" si="21"/>
        <v>0.01</v>
      </c>
      <c r="AT16" s="14">
        <f t="shared" si="22"/>
        <v>11.318551545531085</v>
      </c>
      <c r="AU16" s="14">
        <f>AT16*XS_Designer_Calculations!$I$7^0.5</f>
        <v>1.1318551545531086</v>
      </c>
      <c r="AV16" s="14">
        <f t="shared" si="23"/>
        <v>2.2431449874501554</v>
      </c>
      <c r="AW16" s="14">
        <f t="shared" si="24"/>
        <v>1.1572905150381789</v>
      </c>
      <c r="AX16" s="14">
        <f t="shared" si="25"/>
        <v>5</v>
      </c>
      <c r="AY16" s="46">
        <f t="shared" si="26"/>
        <v>1.855003124999999</v>
      </c>
      <c r="AZ16" s="14">
        <f>((AS16*AP16)/(1.65*XS_Designer!$S$99))*12</f>
        <v>6.4958724344714822</v>
      </c>
      <c r="BA16" s="14">
        <f>(AW16/((1.65*62.4)*XS_Designer!$AA$53))*12</f>
        <v>2.2480390735007365</v>
      </c>
      <c r="BB16" s="14">
        <f t="shared" si="27"/>
        <v>3.5804064685292016</v>
      </c>
      <c r="BC16" s="14">
        <f t="shared" si="28"/>
        <v>6.6720769957789479</v>
      </c>
      <c r="BD16" s="14">
        <f>IF(ISNUMBER(LININTERP(AW16,Permissible_Shear!$T$178:$T$188,Permissible_Shear!$V$178:$V$188)),LININTERP(AW16,Permissible_Shear!$T$178:$T$188,Permissible_Shear!$V$178:$V$188),0)</f>
        <v>3.8647715703671892</v>
      </c>
      <c r="BE16" s="14">
        <f>LININTERP(AW16,Permissible_Shear!$S$205:$S$222,Permissible_Shear!$V$205:$V$222)</f>
        <v>3.9290328594943089</v>
      </c>
      <c r="BF16" s="14">
        <f>INDEX($AZ$3:$BE$204,ROW(BF16)-2,MATCH(XS_Designer!$W$5,XS_Designer_Summary!$AZ$2:$BE$2,0))</f>
        <v>3.5804064685292016</v>
      </c>
      <c r="BG16" s="79">
        <f t="shared" si="29"/>
        <v>2.2431449874501554</v>
      </c>
      <c r="BH16" s="79">
        <f t="shared" si="30"/>
        <v>0</v>
      </c>
      <c r="BI16" s="79">
        <f t="shared" si="31"/>
        <v>0</v>
      </c>
      <c r="BJ16" s="79">
        <f t="shared" si="32"/>
        <v>1.1572905150381789</v>
      </c>
      <c r="BK16" s="79">
        <f t="shared" si="33"/>
        <v>0</v>
      </c>
      <c r="BL16" s="79">
        <f t="shared" si="34"/>
        <v>0</v>
      </c>
      <c r="BM16" s="124">
        <f t="shared" si="35"/>
        <v>1.8546322356381071</v>
      </c>
      <c r="BN16" s="124">
        <f t="shared" si="36"/>
        <v>0</v>
      </c>
      <c r="BO16" s="124">
        <f t="shared" si="37"/>
        <v>0</v>
      </c>
    </row>
    <row r="17" spans="1:67" ht="15">
      <c r="A17" s="1"/>
      <c r="B17" s="1"/>
      <c r="C17" s="3" t="s">
        <v>532</v>
      </c>
      <c r="D17" s="19"/>
      <c r="E17" s="6">
        <f t="shared" ref="E17:F17" si="54">SUM(E10:E11)</f>
        <v>52.8078</v>
      </c>
      <c r="F17" s="6">
        <f t="shared" si="54"/>
        <v>23.962674375329751</v>
      </c>
      <c r="G17" s="6">
        <f t="shared" si="41"/>
        <v>2.2037523513805755</v>
      </c>
      <c r="H17" s="141">
        <f>SUM(H10:H11)</f>
        <v>0.75776629854994559</v>
      </c>
      <c r="I17" s="64">
        <f t="shared" si="42"/>
        <v>0.10000000000000002</v>
      </c>
      <c r="J17" s="64">
        <f>XS_Designer_Calculations!$I$7</f>
        <v>0.01</v>
      </c>
      <c r="K17" s="14">
        <f t="shared" si="43"/>
        <v>1328.8993127460183</v>
      </c>
      <c r="L17" s="45">
        <f>K17*XS_Designer_Calculations!$I$7^0.5</f>
        <v>132.88993127460182</v>
      </c>
      <c r="M17" s="14">
        <f t="shared" si="44"/>
        <v>2.5164830058173568</v>
      </c>
      <c r="N17" s="14">
        <f>XS_Designer_Calculations!$K$4</f>
        <v>5</v>
      </c>
      <c r="O17" s="6">
        <f>SUM(O10:O11)</f>
        <v>22.200000000000003</v>
      </c>
      <c r="P17" s="5" t="s">
        <v>660</v>
      </c>
      <c r="Q17" s="5" t="s">
        <v>660</v>
      </c>
      <c r="R17" s="6">
        <f>MAX(R10:R11)</f>
        <v>2.9990000000000001</v>
      </c>
      <c r="S17" s="14">
        <f t="shared" si="45"/>
        <v>2.3787297297297294</v>
      </c>
      <c r="U17" s="6">
        <f t="shared" si="46"/>
        <v>1.3751414672614792</v>
      </c>
      <c r="V17" s="6">
        <f t="shared" si="47"/>
        <v>4.277891247399916</v>
      </c>
      <c r="W17" s="6">
        <f t="shared" si="48"/>
        <v>7.565223150686001</v>
      </c>
      <c r="X17" s="6">
        <f t="shared" si="49"/>
        <v>82.923317115351537</v>
      </c>
      <c r="Y17" s="1"/>
      <c r="Z17" s="6">
        <f t="shared" si="50"/>
        <v>0.28753685338744905</v>
      </c>
      <c r="AA17" s="6">
        <f t="shared" si="51"/>
        <v>9.8333644698254008E-2</v>
      </c>
      <c r="AB17" s="6">
        <f t="shared" si="52"/>
        <v>5.0983336446982541</v>
      </c>
      <c r="AD17" s="3">
        <v>13</v>
      </c>
      <c r="AE17" s="3" t="str">
        <f t="shared" si="13"/>
        <v>Left</v>
      </c>
      <c r="AF17" s="3" t="str">
        <f t="shared" si="14"/>
        <v>LOB</v>
      </c>
      <c r="AG17" s="3" t="str">
        <f>IF(XS_Designer_Summary!$AB$24&gt;=XS_Designer_Summary!AD17,"Y","N")</f>
        <v>Y</v>
      </c>
      <c r="AH17" s="45">
        <v>1</v>
      </c>
      <c r="AI17" s="45">
        <f>IF(AG17="Y",$O$19/XS_Designer_Summary!$AB$24,0)</f>
        <v>0.27201249999999999</v>
      </c>
      <c r="AJ17" s="45">
        <f t="shared" si="15"/>
        <v>0.27201249999999999</v>
      </c>
      <c r="AK17" s="14">
        <f t="shared" si="38"/>
        <v>-23.393075000000017</v>
      </c>
      <c r="AL17" s="14">
        <f>IF(AG17="Y",LININTERP(AK17,XS_Designer_Calculations!$AY$4:$AY$104,XS_Designer_Calculations!$AZ$4:$AZ$104),AL16)</f>
        <v>3.1368365000000007</v>
      </c>
      <c r="AM17" s="14">
        <f t="shared" si="16"/>
        <v>1.8631634999999993</v>
      </c>
      <c r="AN17" s="14">
        <f t="shared" si="17"/>
        <v>0.5060638535421873</v>
      </c>
      <c r="AO17" s="46">
        <f t="shared" si="18"/>
        <v>0.27206689706083664</v>
      </c>
      <c r="AP17" s="46">
        <f t="shared" si="19"/>
        <v>1.8600713979144137</v>
      </c>
      <c r="AQ17" s="46">
        <f t="shared" si="20"/>
        <v>8.6035107064681392E-3</v>
      </c>
      <c r="AR17" s="14">
        <f>IFERROR(IF(AG17="Y",VLOOKUP(AK17,XS_Designer_Calculations!$R$5:$T$104,3,TRUE),0),0)</f>
        <v>0.1</v>
      </c>
      <c r="AS17" s="46">
        <f t="shared" si="21"/>
        <v>0.01</v>
      </c>
      <c r="AT17" s="14">
        <f t="shared" si="22"/>
        <v>11.373929642500775</v>
      </c>
      <c r="AU17" s="14">
        <f>AT17*XS_Designer_Calculations!$I$7^0.5</f>
        <v>1.1373929642500775</v>
      </c>
      <c r="AV17" s="14">
        <f t="shared" si="23"/>
        <v>2.2475285604551885</v>
      </c>
      <c r="AW17" s="14">
        <f t="shared" si="24"/>
        <v>1.160684552298594</v>
      </c>
      <c r="AX17" s="14">
        <f t="shared" si="25"/>
        <v>5</v>
      </c>
      <c r="AY17" s="46">
        <f t="shared" si="26"/>
        <v>1.8604433749999993</v>
      </c>
      <c r="AZ17" s="14">
        <f>((AS17*AP17)/(1.65*XS_Designer!$S$99))*12</f>
        <v>6.5149231678828547</v>
      </c>
      <c r="BA17" s="14">
        <f>(AW17/((1.65*62.4)*XS_Designer!$AA$53))*12</f>
        <v>2.2546319974720168</v>
      </c>
      <c r="BB17" s="14">
        <f t="shared" si="27"/>
        <v>3.5913325535451883</v>
      </c>
      <c r="BC17" s="14">
        <f t="shared" si="28"/>
        <v>6.6864422575909339</v>
      </c>
      <c r="BD17" s="14">
        <f>IF(ISNUMBER(LININTERP(AW17,Permissible_Shear!$T$178:$T$188,Permissible_Shear!$V$178:$V$188)),LININTERP(AW17,Permissible_Shear!$T$178:$T$188,Permissible_Shear!$V$178:$V$188),0)</f>
        <v>3.8753731053772711</v>
      </c>
      <c r="BE17" s="14">
        <f>LININTERP(AW17,Permissible_Shear!$S$205:$S$222,Permissible_Shear!$V$205:$V$222)</f>
        <v>3.9396392259331061</v>
      </c>
      <c r="BF17" s="14">
        <f>INDEX($AZ$3:$BE$204,ROW(BF17)-2,MATCH(XS_Designer!$W$5,XS_Designer_Summary!$AZ$2:$BE$2,0))</f>
        <v>3.5913325535451883</v>
      </c>
      <c r="BG17" s="79">
        <f t="shared" si="29"/>
        <v>2.2475285604551885</v>
      </c>
      <c r="BH17" s="79">
        <f t="shared" si="30"/>
        <v>0</v>
      </c>
      <c r="BI17" s="79">
        <f t="shared" si="31"/>
        <v>0</v>
      </c>
      <c r="BJ17" s="79">
        <f t="shared" si="32"/>
        <v>1.160684552298594</v>
      </c>
      <c r="BK17" s="79">
        <f t="shared" si="33"/>
        <v>0</v>
      </c>
      <c r="BL17" s="79">
        <f t="shared" si="34"/>
        <v>0</v>
      </c>
      <c r="BM17" s="124">
        <f t="shared" si="35"/>
        <v>1.8600713979144137</v>
      </c>
      <c r="BN17" s="124">
        <f t="shared" si="36"/>
        <v>0</v>
      </c>
      <c r="BO17" s="124">
        <f t="shared" si="37"/>
        <v>0</v>
      </c>
    </row>
    <row r="18" spans="1:67" ht="15">
      <c r="A18" s="2"/>
      <c r="B18" s="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D18" s="3">
        <v>14</v>
      </c>
      <c r="AE18" s="3" t="str">
        <f t="shared" si="13"/>
        <v>Left</v>
      </c>
      <c r="AF18" s="3" t="str">
        <f t="shared" si="14"/>
        <v>LOB</v>
      </c>
      <c r="AG18" s="3" t="str">
        <f>IF(XS_Designer_Summary!$AB$24&gt;=XS_Designer_Summary!AD18,"Y","N")</f>
        <v>Y</v>
      </c>
      <c r="AH18" s="45">
        <v>1</v>
      </c>
      <c r="AI18" s="45">
        <f>IF(AG18="Y",$O$19/XS_Designer_Summary!$AB$24,0)</f>
        <v>0.27201249999999999</v>
      </c>
      <c r="AJ18" s="45">
        <f t="shared" si="15"/>
        <v>0.27201249999999999</v>
      </c>
      <c r="AK18" s="14">
        <f t="shared" si="38"/>
        <v>-23.121062500000019</v>
      </c>
      <c r="AL18" s="14">
        <f>IF(AG18="Y",LININTERP(AK18,XS_Designer_Calculations!$AY$4:$AY$104,XS_Designer_Calculations!$AZ$4:$AZ$104),AL17)</f>
        <v>3.1313962500000008</v>
      </c>
      <c r="AM18" s="14">
        <f t="shared" si="16"/>
        <v>1.8686037499999992</v>
      </c>
      <c r="AN18" s="14">
        <f t="shared" si="17"/>
        <v>0.50754366954531227</v>
      </c>
      <c r="AO18" s="46">
        <f t="shared" si="18"/>
        <v>0.27206689706083664</v>
      </c>
      <c r="AP18" s="46">
        <f t="shared" si="19"/>
        <v>1.8655105601907198</v>
      </c>
      <c r="AQ18" s="46">
        <f t="shared" si="20"/>
        <v>8.6035107064681392E-3</v>
      </c>
      <c r="AR18" s="14">
        <f>IFERROR(IF(AG18="Y",VLOOKUP(AK18,XS_Designer_Calculations!$R$5:$T$104,3,TRUE),0),0)</f>
        <v>0.1</v>
      </c>
      <c r="AS18" s="46">
        <f t="shared" si="21"/>
        <v>0.01</v>
      </c>
      <c r="AT18" s="14">
        <f t="shared" si="22"/>
        <v>11.429415801462289</v>
      </c>
      <c r="AU18" s="14">
        <f>AT18*XS_Designer_Calculations!$I$7^0.5</f>
        <v>1.142941580146229</v>
      </c>
      <c r="AV18" s="14">
        <f t="shared" si="23"/>
        <v>2.2519078627660627</v>
      </c>
      <c r="AW18" s="14">
        <f t="shared" si="24"/>
        <v>1.1640785895590093</v>
      </c>
      <c r="AX18" s="14">
        <f t="shared" si="25"/>
        <v>5</v>
      </c>
      <c r="AY18" s="46">
        <f t="shared" si="26"/>
        <v>1.8658836249999993</v>
      </c>
      <c r="AZ18" s="14">
        <f>((AS18*AP18)/(1.65*XS_Designer!$S$99))*12</f>
        <v>6.5339739012942246</v>
      </c>
      <c r="BA18" s="14">
        <f>(AW18/((1.65*62.4)*XS_Designer!$AA$53))*12</f>
        <v>2.2612249214432976</v>
      </c>
      <c r="BB18" s="14">
        <f t="shared" si="27"/>
        <v>3.602259978574109</v>
      </c>
      <c r="BC18" s="14">
        <f t="shared" si="28"/>
        <v>6.700796429184094</v>
      </c>
      <c r="BD18" s="14">
        <f>IF(ISNUMBER(LININTERP(AW18,Permissible_Shear!$T$178:$T$188,Permissible_Shear!$V$178:$V$188)),LININTERP(AW18,Permissible_Shear!$T$178:$T$188,Permissible_Shear!$V$178:$V$188),0)</f>
        <v>3.8859746403873534</v>
      </c>
      <c r="BE18" s="14">
        <f>LININTERP(AW18,Permissible_Shear!$S$205:$S$222,Permissible_Shear!$V$205:$V$222)</f>
        <v>3.9502455923719038</v>
      </c>
      <c r="BF18" s="14">
        <f>INDEX($AZ$3:$BE$204,ROW(BF18)-2,MATCH(XS_Designer!$W$5,XS_Designer_Summary!$AZ$2:$BE$2,0))</f>
        <v>3.602259978574109</v>
      </c>
      <c r="BG18" s="79">
        <f t="shared" si="29"/>
        <v>2.2519078627660627</v>
      </c>
      <c r="BH18" s="79">
        <f t="shared" si="30"/>
        <v>0</v>
      </c>
      <c r="BI18" s="79">
        <f t="shared" si="31"/>
        <v>0</v>
      </c>
      <c r="BJ18" s="79">
        <f t="shared" si="32"/>
        <v>1.1640785895590093</v>
      </c>
      <c r="BK18" s="79">
        <f t="shared" si="33"/>
        <v>0</v>
      </c>
      <c r="BL18" s="79">
        <f t="shared" si="34"/>
        <v>0</v>
      </c>
      <c r="BM18" s="124">
        <f t="shared" si="35"/>
        <v>1.8655105601907198</v>
      </c>
      <c r="BN18" s="124">
        <f t="shared" si="36"/>
        <v>0</v>
      </c>
      <c r="BO18" s="124">
        <f t="shared" si="37"/>
        <v>0</v>
      </c>
    </row>
    <row r="19" spans="1:67" ht="15">
      <c r="A19" s="1"/>
      <c r="B19" s="1"/>
      <c r="C19" s="3" t="s">
        <v>659</v>
      </c>
      <c r="D19" s="19"/>
      <c r="E19" s="6">
        <f t="shared" ref="E19:F19" si="55">SUM(E15:E17)</f>
        <v>147.11806725</v>
      </c>
      <c r="F19" s="6">
        <f t="shared" si="55"/>
        <v>57.260971814281405</v>
      </c>
      <c r="G19" s="6">
        <f>IF(ISNUMBER(E19/F19),E19/F19,0)</f>
        <v>2.5692555083968629</v>
      </c>
      <c r="H19" s="141">
        <f>SUM(H15:H17)</f>
        <v>1.5548070394829425</v>
      </c>
      <c r="I19" s="64">
        <f>IF(ISNUMBER(((SUM(H19)/F19)^(2/3))),(((SUM(H19)/F19)^(2/3))),0)</f>
        <v>9.0339674729418673E-2</v>
      </c>
      <c r="J19" s="64">
        <f>XS_Designer_Calculations!$I$7</f>
        <v>0.01</v>
      </c>
      <c r="K19" s="6">
        <f>SUM(K15:K17)</f>
        <v>6490.8944244948234</v>
      </c>
      <c r="L19" s="45">
        <f>K19*XS_Designer_Calculations!$I$7^0.5</f>
        <v>649.08944244948236</v>
      </c>
      <c r="M19" s="14">
        <f>IF(ISNUMBER(L19/E19),L19/E19,0)</f>
        <v>4.412030789844966</v>
      </c>
      <c r="N19" s="14">
        <f>XS_Designer_Calculations!$K$4</f>
        <v>5</v>
      </c>
      <c r="O19" s="6">
        <f>SUM(O15:O17)</f>
        <v>54.402500000000003</v>
      </c>
      <c r="P19" s="5" t="s">
        <v>660</v>
      </c>
      <c r="Q19" s="5" t="s">
        <v>660</v>
      </c>
      <c r="R19" s="14">
        <f>MAX(R15:R17)</f>
        <v>5</v>
      </c>
      <c r="S19" s="14">
        <f>IF(ISNUMBER(E19/O19),E19/O19,0)</f>
        <v>2.7042519599283117</v>
      </c>
      <c r="U19" s="6">
        <f>62.4*G19*J19</f>
        <v>1.6032154372396425</v>
      </c>
      <c r="V19" s="6">
        <f>((77.966*(U19^1.042)))*0.0393701</f>
        <v>5.0196486139562904</v>
      </c>
      <c r="W19" s="6">
        <f>((152.02*(U19^0.7355)))*0.0393701</f>
        <v>8.4691295898196639</v>
      </c>
      <c r="X19" s="6">
        <f>62.4*J19*L19</f>
        <v>405.03181208847701</v>
      </c>
      <c r="Y19" s="1"/>
      <c r="Z19" s="6">
        <f>IF(ISNUMBER(M19/(SQRT(S19*32.2))),M19/(SQRT(S19*32.2)),0)</f>
        <v>0.47281040147708076</v>
      </c>
      <c r="AA19" s="6">
        <f>(M19^2)/(2*32.2)</f>
        <v>0.30226732438726694</v>
      </c>
      <c r="AB19" s="6">
        <f>AA19+N19</f>
        <v>5.3022673243872669</v>
      </c>
      <c r="AD19" s="3">
        <v>15</v>
      </c>
      <c r="AE19" s="3" t="str">
        <f t="shared" si="13"/>
        <v>Left</v>
      </c>
      <c r="AF19" s="3" t="str">
        <f t="shared" si="14"/>
        <v>LOB</v>
      </c>
      <c r="AG19" s="3" t="str">
        <f>IF(XS_Designer_Summary!$AB$24&gt;=XS_Designer_Summary!AD19,"Y","N")</f>
        <v>Y</v>
      </c>
      <c r="AH19" s="45">
        <v>1</v>
      </c>
      <c r="AI19" s="45">
        <f>IF(AG19="Y",$O$19/XS_Designer_Summary!$AB$24,0)</f>
        <v>0.27201249999999999</v>
      </c>
      <c r="AJ19" s="45">
        <f t="shared" si="15"/>
        <v>0.27201249999999999</v>
      </c>
      <c r="AK19" s="14">
        <f t="shared" si="38"/>
        <v>-22.84905000000002</v>
      </c>
      <c r="AL19" s="14">
        <f>IF(AG19="Y",LININTERP(AK19,XS_Designer_Calculations!$AY$4:$AY$104,XS_Designer_Calculations!$AZ$4:$AZ$104),AL18)</f>
        <v>3.1259560000000008</v>
      </c>
      <c r="AM19" s="14">
        <f t="shared" si="16"/>
        <v>1.8740439999999992</v>
      </c>
      <c r="AN19" s="14">
        <f t="shared" si="17"/>
        <v>0.50902348554843724</v>
      </c>
      <c r="AO19" s="46">
        <f t="shared" si="18"/>
        <v>0.27206689706083664</v>
      </c>
      <c r="AP19" s="46">
        <f t="shared" si="19"/>
        <v>1.870949722467026</v>
      </c>
      <c r="AQ19" s="46">
        <f t="shared" si="20"/>
        <v>8.6035107064681392E-3</v>
      </c>
      <c r="AR19" s="14">
        <f>IFERROR(IF(AG19="Y",VLOOKUP(AK19,XS_Designer_Calculations!$R$5:$T$104,3,TRUE),0),0)</f>
        <v>0.1</v>
      </c>
      <c r="AS19" s="46">
        <f t="shared" si="21"/>
        <v>0.01</v>
      </c>
      <c r="AT19" s="14">
        <f t="shared" si="22"/>
        <v>11.485009917289807</v>
      </c>
      <c r="AU19" s="14">
        <f>AT19*XS_Designer_Calculations!$I$7^0.5</f>
        <v>1.1485009917289808</v>
      </c>
      <c r="AV19" s="14">
        <f t="shared" si="23"/>
        <v>2.2562829109771845</v>
      </c>
      <c r="AW19" s="14">
        <f t="shared" si="24"/>
        <v>1.1674726268194242</v>
      </c>
      <c r="AX19" s="14">
        <f t="shared" si="25"/>
        <v>5</v>
      </c>
      <c r="AY19" s="46">
        <f t="shared" si="26"/>
        <v>1.8713238749999992</v>
      </c>
      <c r="AZ19" s="14">
        <f>((AS19*AP19)/(1.65*XS_Designer!$S$99))*12</f>
        <v>6.5530246347055936</v>
      </c>
      <c r="BA19" s="14">
        <f>(AW19/((1.65*62.4)*XS_Designer!$AA$53))*12</f>
        <v>2.2678178454145774</v>
      </c>
      <c r="BB19" s="14">
        <f t="shared" si="27"/>
        <v>3.6131887398782694</v>
      </c>
      <c r="BC19" s="14">
        <f t="shared" si="28"/>
        <v>6.7151395513710623</v>
      </c>
      <c r="BD19" s="14">
        <f>IF(ISNUMBER(LININTERP(AW19,Permissible_Shear!$T$178:$T$188,Permissible_Shear!$V$178:$V$188)),LININTERP(AW19,Permissible_Shear!$T$178:$T$188,Permissible_Shear!$V$178:$V$188),0)</f>
        <v>3.8965761753974344</v>
      </c>
      <c r="BE19" s="14">
        <f>LININTERP(AW19,Permissible_Shear!$S$205:$S$222,Permissible_Shear!$V$205:$V$222)</f>
        <v>3.9608519588107005</v>
      </c>
      <c r="BF19" s="14">
        <f>INDEX($AZ$3:$BE$204,ROW(BF19)-2,MATCH(XS_Designer!$W$5,XS_Designer_Summary!$AZ$2:$BE$2,0))</f>
        <v>3.6131887398782694</v>
      </c>
      <c r="BG19" s="79">
        <f t="shared" si="29"/>
        <v>2.2562829109771845</v>
      </c>
      <c r="BH19" s="79">
        <f t="shared" si="30"/>
        <v>0</v>
      </c>
      <c r="BI19" s="79">
        <f t="shared" si="31"/>
        <v>0</v>
      </c>
      <c r="BJ19" s="79">
        <f t="shared" si="32"/>
        <v>1.1674726268194242</v>
      </c>
      <c r="BK19" s="79">
        <f t="shared" si="33"/>
        <v>0</v>
      </c>
      <c r="BL19" s="79">
        <f t="shared" si="34"/>
        <v>0</v>
      </c>
      <c r="BM19" s="124">
        <f t="shared" si="35"/>
        <v>1.870949722467026</v>
      </c>
      <c r="BN19" s="124">
        <f t="shared" si="36"/>
        <v>0</v>
      </c>
      <c r="BO19" s="124">
        <f t="shared" si="37"/>
        <v>0</v>
      </c>
    </row>
    <row r="20" spans="1:67" ht="15">
      <c r="A20" s="1"/>
      <c r="B20" s="1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P20" s="2"/>
      <c r="S20" s="2"/>
      <c r="V20" s="1"/>
      <c r="W20" s="1"/>
      <c r="AB20" s="1"/>
      <c r="AD20" s="3">
        <v>16</v>
      </c>
      <c r="AE20" s="3" t="str">
        <f t="shared" si="13"/>
        <v>Left</v>
      </c>
      <c r="AF20" s="3" t="str">
        <f t="shared" si="14"/>
        <v>LOB</v>
      </c>
      <c r="AG20" s="3" t="str">
        <f>IF(XS_Designer_Summary!$AB$24&gt;=XS_Designer_Summary!AD20,"Y","N")</f>
        <v>Y</v>
      </c>
      <c r="AH20" s="45">
        <v>1</v>
      </c>
      <c r="AI20" s="45">
        <f>IF(AG20="Y",$O$19/XS_Designer_Summary!$AB$24,0)</f>
        <v>0.27201249999999999</v>
      </c>
      <c r="AJ20" s="45">
        <f t="shared" si="15"/>
        <v>0.27201249999999999</v>
      </c>
      <c r="AK20" s="14">
        <f t="shared" si="38"/>
        <v>-22.577037500000021</v>
      </c>
      <c r="AL20" s="14">
        <f>IF(AG20="Y",LININTERP(AK20,XS_Designer_Calculations!$AY$4:$AY$104,XS_Designer_Calculations!$AZ$4:$AZ$104),AL19)</f>
        <v>3.1205157500000009</v>
      </c>
      <c r="AM20" s="14">
        <f t="shared" si="16"/>
        <v>1.8794842499999991</v>
      </c>
      <c r="AN20" s="14">
        <f t="shared" si="17"/>
        <v>0.51050330155156221</v>
      </c>
      <c r="AO20" s="46">
        <f t="shared" si="18"/>
        <v>0.27206689706083664</v>
      </c>
      <c r="AP20" s="46">
        <f t="shared" si="19"/>
        <v>1.8763888847433321</v>
      </c>
      <c r="AQ20" s="46">
        <f t="shared" si="20"/>
        <v>8.6035107064681392E-3</v>
      </c>
      <c r="AR20" s="14">
        <f>IFERROR(IF(AG20="Y",VLOOKUP(AK20,XS_Designer_Calculations!$R$5:$T$104,3,TRUE),0),0)</f>
        <v>0.1</v>
      </c>
      <c r="AS20" s="46">
        <f t="shared" si="21"/>
        <v>0.01</v>
      </c>
      <c r="AT20" s="14">
        <f t="shared" si="22"/>
        <v>11.540711885265397</v>
      </c>
      <c r="AU20" s="14">
        <f>AT20*XS_Designer_Calculations!$I$7^0.5</f>
        <v>1.1540711885265398</v>
      </c>
      <c r="AV20" s="14">
        <f t="shared" si="23"/>
        <v>2.2606537215704479</v>
      </c>
      <c r="AW20" s="14">
        <f t="shared" si="24"/>
        <v>1.1708666640798393</v>
      </c>
      <c r="AX20" s="14">
        <f t="shared" si="25"/>
        <v>5</v>
      </c>
      <c r="AY20" s="46">
        <f t="shared" si="26"/>
        <v>1.8767641249999989</v>
      </c>
      <c r="AZ20" s="14">
        <f>((AS20*AP20)/(1.65*XS_Designer!$S$99))*12</f>
        <v>6.5720753681169626</v>
      </c>
      <c r="BA20" s="14">
        <f>(AW20/((1.65*62.4)*XS_Designer!$AA$53))*12</f>
        <v>2.2744107693858573</v>
      </c>
      <c r="BB20" s="14">
        <f t="shared" si="27"/>
        <v>3.624118833741218</v>
      </c>
      <c r="BC20" s="14">
        <f t="shared" si="28"/>
        <v>6.7294716646962813</v>
      </c>
      <c r="BD20" s="14">
        <f>IF(ISNUMBER(LININTERP(AW20,Permissible_Shear!$T$178:$T$188,Permissible_Shear!$V$178:$V$188)),LININTERP(AW20,Permissible_Shear!$T$178:$T$188,Permissible_Shear!$V$178:$V$188),0)</f>
        <v>3.9071777104075158</v>
      </c>
      <c r="BE20" s="14">
        <f>LININTERP(AW20,Permissible_Shear!$S$205:$S$222,Permissible_Shear!$V$205:$V$222)</f>
        <v>3.9714583252494977</v>
      </c>
      <c r="BF20" s="14">
        <f>INDEX($AZ$3:$BE$204,ROW(BF20)-2,MATCH(XS_Designer!$W$5,XS_Designer_Summary!$AZ$2:$BE$2,0))</f>
        <v>3.624118833741218</v>
      </c>
      <c r="BG20" s="79">
        <f t="shared" si="29"/>
        <v>2.2606537215704479</v>
      </c>
      <c r="BH20" s="79">
        <f t="shared" si="30"/>
        <v>0</v>
      </c>
      <c r="BI20" s="79">
        <f t="shared" si="31"/>
        <v>0</v>
      </c>
      <c r="BJ20" s="79">
        <f t="shared" si="32"/>
        <v>1.1708666640798393</v>
      </c>
      <c r="BK20" s="79">
        <f t="shared" si="33"/>
        <v>0</v>
      </c>
      <c r="BL20" s="79">
        <f t="shared" si="34"/>
        <v>0</v>
      </c>
      <c r="BM20" s="124">
        <f t="shared" si="35"/>
        <v>1.8763888847433321</v>
      </c>
      <c r="BN20" s="124">
        <f t="shared" si="36"/>
        <v>0</v>
      </c>
      <c r="BO20" s="124">
        <f t="shared" si="37"/>
        <v>0</v>
      </c>
    </row>
    <row r="21" spans="1:67" ht="15">
      <c r="A21" s="133">
        <f t="shared" ref="A21:B25" si="56">B3</f>
        <v>-27.201250000000002</v>
      </c>
      <c r="B21" s="5" t="str">
        <f t="shared" si="56"/>
        <v>Left 3rd Stage</v>
      </c>
      <c r="J21" s="19"/>
      <c r="K21" s="19"/>
      <c r="L21" s="19"/>
      <c r="M21" s="19"/>
      <c r="P21" s="2"/>
      <c r="S21" s="2"/>
      <c r="V21" s="1"/>
      <c r="W21" s="1"/>
      <c r="AB21" s="1"/>
      <c r="AD21" s="3">
        <v>17</v>
      </c>
      <c r="AE21" s="3" t="str">
        <f t="shared" si="13"/>
        <v>Left</v>
      </c>
      <c r="AF21" s="3" t="str">
        <f t="shared" si="14"/>
        <v>LOB</v>
      </c>
      <c r="AG21" s="3" t="str">
        <f>IF(XS_Designer_Summary!$AB$24&gt;=XS_Designer_Summary!AD21,"Y","N")</f>
        <v>Y</v>
      </c>
      <c r="AH21" s="45">
        <v>1</v>
      </c>
      <c r="AI21" s="45">
        <f>IF(AG21="Y",$O$19/XS_Designer_Summary!$AB$24,0)</f>
        <v>0.27201249999999999</v>
      </c>
      <c r="AJ21" s="45">
        <f t="shared" si="15"/>
        <v>0.27201249999999999</v>
      </c>
      <c r="AK21" s="14">
        <f t="shared" si="38"/>
        <v>-22.305025000000022</v>
      </c>
      <c r="AL21" s="14">
        <f>IF(AG21="Y",LININTERP(AK21,XS_Designer_Calculations!$AY$4:$AY$104,XS_Designer_Calculations!$AZ$4:$AZ$104),AL20)</f>
        <v>3.115075500000001</v>
      </c>
      <c r="AM21" s="14">
        <f t="shared" si="16"/>
        <v>1.884924499999999</v>
      </c>
      <c r="AN21" s="14">
        <f t="shared" si="17"/>
        <v>0.51198311755468717</v>
      </c>
      <c r="AO21" s="46">
        <f t="shared" si="18"/>
        <v>0.27206689706083664</v>
      </c>
      <c r="AP21" s="46">
        <f t="shared" si="19"/>
        <v>1.8818280470196382</v>
      </c>
      <c r="AQ21" s="46">
        <f t="shared" si="20"/>
        <v>8.6035107064681392E-3</v>
      </c>
      <c r="AR21" s="14">
        <f>IFERROR(IF(AG21="Y",VLOOKUP(AK21,XS_Designer_Calculations!$R$5:$T$104,3,TRUE),0),0)</f>
        <v>0.1</v>
      </c>
      <c r="AS21" s="46">
        <f t="shared" si="21"/>
        <v>0.01</v>
      </c>
      <c r="AT21" s="14">
        <f t="shared" si="22"/>
        <v>11.596521601076251</v>
      </c>
      <c r="AU21" s="14">
        <f>AT21*XS_Designer_Calculations!$I$7^0.5</f>
        <v>1.1596521601076251</v>
      </c>
      <c r="AV21" s="14">
        <f t="shared" si="23"/>
        <v>2.2650203109163214</v>
      </c>
      <c r="AW21" s="14">
        <f t="shared" si="24"/>
        <v>1.1742607013402542</v>
      </c>
      <c r="AX21" s="14">
        <f t="shared" si="25"/>
        <v>5</v>
      </c>
      <c r="AY21" s="46">
        <f t="shared" si="26"/>
        <v>1.8822043749999988</v>
      </c>
      <c r="AZ21" s="14">
        <f>((AS21*AP21)/(1.65*XS_Designer!$S$99))*12</f>
        <v>6.5911261015283333</v>
      </c>
      <c r="BA21" s="14">
        <f>(AW21/((1.65*62.4)*XS_Designer!$AA$53))*12</f>
        <v>2.2810036933571372</v>
      </c>
      <c r="BB21" s="14">
        <f t="shared" si="27"/>
        <v>3.6350502564675717</v>
      </c>
      <c r="BC21" s="14">
        <f t="shared" si="28"/>
        <v>6.7437928094385393</v>
      </c>
      <c r="BD21" s="14">
        <f>IF(ISNUMBER(LININTERP(AW21,Permissible_Shear!$T$178:$T$188,Permissible_Shear!$V$178:$V$188)),LININTERP(AW21,Permissible_Shear!$T$178:$T$188,Permissible_Shear!$V$178:$V$188),0)</f>
        <v>3.9177792454175968</v>
      </c>
      <c r="BE21" s="14">
        <f>LININTERP(AW21,Permissible_Shear!$S$205:$S$222,Permissible_Shear!$V$205:$V$222)</f>
        <v>3.982064691688294</v>
      </c>
      <c r="BF21" s="14">
        <f>INDEX($AZ$3:$BE$204,ROW(BF21)-2,MATCH(XS_Designer!$W$5,XS_Designer_Summary!$AZ$2:$BE$2,0))</f>
        <v>3.6350502564675717</v>
      </c>
      <c r="BG21" s="79">
        <f t="shared" si="29"/>
        <v>2.2650203109163214</v>
      </c>
      <c r="BH21" s="79">
        <f t="shared" si="30"/>
        <v>0</v>
      </c>
      <c r="BI21" s="79">
        <f t="shared" si="31"/>
        <v>0</v>
      </c>
      <c r="BJ21" s="79">
        <f t="shared" si="32"/>
        <v>1.1742607013402542</v>
      </c>
      <c r="BK21" s="79">
        <f t="shared" si="33"/>
        <v>0</v>
      </c>
      <c r="BL21" s="79">
        <f t="shared" si="34"/>
        <v>0</v>
      </c>
      <c r="BM21" s="124">
        <f t="shared" si="35"/>
        <v>1.8818280470196382</v>
      </c>
      <c r="BN21" s="124">
        <f t="shared" si="36"/>
        <v>0</v>
      </c>
      <c r="BO21" s="124">
        <f t="shared" si="37"/>
        <v>0</v>
      </c>
    </row>
    <row r="22" spans="1:67" ht="15">
      <c r="A22" s="133">
        <f t="shared" si="56"/>
        <v>-16.60125</v>
      </c>
      <c r="B22" s="5" t="str">
        <f t="shared" si="56"/>
        <v>Left 2nd Stage</v>
      </c>
      <c r="C22" s="1"/>
      <c r="D22" s="1"/>
      <c r="E22" s="1"/>
      <c r="F22" s="1"/>
      <c r="G22" s="1"/>
      <c r="H22" s="1"/>
      <c r="I22" s="1"/>
      <c r="J22" s="19"/>
      <c r="K22" s="19"/>
      <c r="L22" s="19"/>
      <c r="M22" s="19"/>
      <c r="P22" s="2"/>
      <c r="S22" s="2"/>
      <c r="V22" s="1"/>
      <c r="W22" s="1"/>
      <c r="AB22" s="1"/>
      <c r="AD22" s="3">
        <v>18</v>
      </c>
      <c r="AE22" s="3" t="str">
        <f t="shared" si="13"/>
        <v>Left</v>
      </c>
      <c r="AF22" s="3" t="str">
        <f t="shared" si="14"/>
        <v>LOB</v>
      </c>
      <c r="AG22" s="3" t="str">
        <f>IF(XS_Designer_Summary!$AB$24&gt;=XS_Designer_Summary!AD22,"Y","N")</f>
        <v>Y</v>
      </c>
      <c r="AH22" s="45">
        <v>1</v>
      </c>
      <c r="AI22" s="45">
        <f>IF(AG22="Y",$O$19/XS_Designer_Summary!$AB$24,0)</f>
        <v>0.27201249999999999</v>
      </c>
      <c r="AJ22" s="45">
        <f t="shared" si="15"/>
        <v>0.27201249999999999</v>
      </c>
      <c r="AK22" s="14">
        <f t="shared" si="38"/>
        <v>-22.033012500000023</v>
      </c>
      <c r="AL22" s="14">
        <f>IF(AG22="Y",LININTERP(AK22,XS_Designer_Calculations!$AY$4:$AY$104,XS_Designer_Calculations!$AZ$4:$AZ$104),AL21)</f>
        <v>3.1096352500000011</v>
      </c>
      <c r="AM22" s="14">
        <f t="shared" si="16"/>
        <v>1.8903647499999989</v>
      </c>
      <c r="AN22" s="14">
        <f t="shared" si="17"/>
        <v>0.51346293355781225</v>
      </c>
      <c r="AO22" s="46">
        <f t="shared" si="18"/>
        <v>0.27206689706083664</v>
      </c>
      <c r="AP22" s="46">
        <f t="shared" si="19"/>
        <v>1.8872672092959448</v>
      </c>
      <c r="AQ22" s="46">
        <f t="shared" si="20"/>
        <v>8.6035107064681392E-3</v>
      </c>
      <c r="AR22" s="14">
        <f>IFERROR(IF(AG22="Y",VLOOKUP(AK22,XS_Designer_Calculations!$R$5:$T$104,3,TRUE),0),0)</f>
        <v>0.1</v>
      </c>
      <c r="AS22" s="46">
        <f t="shared" si="21"/>
        <v>0.01</v>
      </c>
      <c r="AT22" s="14">
        <f t="shared" si="22"/>
        <v>11.652438960811958</v>
      </c>
      <c r="AU22" s="14">
        <f>AT22*XS_Designer_Calculations!$I$7^0.5</f>
        <v>1.1652438960811959</v>
      </c>
      <c r="AV22" s="14">
        <f t="shared" si="23"/>
        <v>2.2693826952749214</v>
      </c>
      <c r="AW22" s="14">
        <f t="shared" si="24"/>
        <v>1.1776547386006695</v>
      </c>
      <c r="AX22" s="14">
        <f t="shared" si="25"/>
        <v>5</v>
      </c>
      <c r="AY22" s="46">
        <f t="shared" si="26"/>
        <v>1.8876446249999992</v>
      </c>
      <c r="AZ22" s="14">
        <f>((AS22*AP22)/(1.65*XS_Designer!$S$99))*12</f>
        <v>6.6101768349397041</v>
      </c>
      <c r="BA22" s="14">
        <f>(AW22/((1.65*62.4)*XS_Designer!$AA$53))*12</f>
        <v>2.2875966173284179</v>
      </c>
      <c r="BB22" s="14">
        <f t="shared" si="27"/>
        <v>3.6459830043828299</v>
      </c>
      <c r="BC22" s="14">
        <f t="shared" si="28"/>
        <v>6.7581030256134706</v>
      </c>
      <c r="BD22" s="14">
        <f>IF(ISNUMBER(LININTERP(AW22,Permissible_Shear!$T$178:$T$188,Permissible_Shear!$V$178:$V$188)),LININTERP(AW22,Permissible_Shear!$T$178:$T$188,Permissible_Shear!$V$178:$V$188),0)</f>
        <v>3.9283807804276791</v>
      </c>
      <c r="BE22" s="14">
        <f>LININTERP(AW22,Permissible_Shear!$S$205:$S$222,Permissible_Shear!$V$205:$V$222)</f>
        <v>3.9926710581270921</v>
      </c>
      <c r="BF22" s="14">
        <f>INDEX($AZ$3:$BE$204,ROW(BF22)-2,MATCH(XS_Designer!$W$5,XS_Designer_Summary!$AZ$2:$BE$2,0))</f>
        <v>3.6459830043828299</v>
      </c>
      <c r="BG22" s="79">
        <f t="shared" si="29"/>
        <v>2.2693826952749214</v>
      </c>
      <c r="BH22" s="79">
        <f t="shared" si="30"/>
        <v>0</v>
      </c>
      <c r="BI22" s="79">
        <f t="shared" si="31"/>
        <v>0</v>
      </c>
      <c r="BJ22" s="79">
        <f t="shared" si="32"/>
        <v>1.1776547386006695</v>
      </c>
      <c r="BK22" s="79">
        <f t="shared" si="33"/>
        <v>0</v>
      </c>
      <c r="BL22" s="79">
        <f t="shared" si="34"/>
        <v>0</v>
      </c>
      <c r="BM22" s="124">
        <f t="shared" si="35"/>
        <v>1.8872672092959448</v>
      </c>
      <c r="BN22" s="124">
        <f t="shared" si="36"/>
        <v>0</v>
      </c>
      <c r="BO22" s="124">
        <f t="shared" si="37"/>
        <v>0</v>
      </c>
    </row>
    <row r="23" spans="1:67" ht="15">
      <c r="A23" s="133">
        <f t="shared" si="56"/>
        <v>-5.0012499999999998</v>
      </c>
      <c r="B23" s="5" t="str">
        <f t="shared" si="56"/>
        <v>Left Bankfull</v>
      </c>
      <c r="C23" s="27"/>
      <c r="D23" s="40"/>
      <c r="E23" s="195"/>
      <c r="F23" s="27"/>
      <c r="G23" s="27"/>
      <c r="H23" s="27"/>
      <c r="I23" s="27"/>
      <c r="J23" s="19"/>
      <c r="K23" s="19"/>
      <c r="L23" s="19"/>
      <c r="M23" s="19"/>
      <c r="P23" s="2"/>
      <c r="S23" s="2"/>
      <c r="AB23" s="5" t="s">
        <v>187</v>
      </c>
      <c r="AD23" s="3">
        <v>19</v>
      </c>
      <c r="AE23" s="3" t="str">
        <f t="shared" si="13"/>
        <v>Left</v>
      </c>
      <c r="AF23" s="3" t="str">
        <f t="shared" si="14"/>
        <v>LOB</v>
      </c>
      <c r="AG23" s="3" t="str">
        <f>IF(XS_Designer_Summary!$AB$24&gt;=XS_Designer_Summary!AD23,"Y","N")</f>
        <v>Y</v>
      </c>
      <c r="AH23" s="45">
        <v>1</v>
      </c>
      <c r="AI23" s="45">
        <f>IF(AG23="Y",$O$19/XS_Designer_Summary!$AB$24,0)</f>
        <v>0.27201249999999999</v>
      </c>
      <c r="AJ23" s="45">
        <f t="shared" si="15"/>
        <v>0.27201249999999999</v>
      </c>
      <c r="AK23" s="14">
        <f t="shared" si="38"/>
        <v>-21.761000000000024</v>
      </c>
      <c r="AL23" s="14">
        <f>IF(AG23="Y",LININTERP(AK23,XS_Designer_Calculations!$AY$4:$AY$104,XS_Designer_Calculations!$AZ$4:$AZ$104),AL22)</f>
        <v>3.1041950000000007</v>
      </c>
      <c r="AM23" s="14">
        <f t="shared" si="16"/>
        <v>1.8958049999999993</v>
      </c>
      <c r="AN23" s="14">
        <f t="shared" si="17"/>
        <v>0.51494274956093722</v>
      </c>
      <c r="AO23" s="46">
        <f t="shared" si="18"/>
        <v>0.27206689706083664</v>
      </c>
      <c r="AP23" s="46">
        <f t="shared" si="19"/>
        <v>1.892706371572251</v>
      </c>
      <c r="AQ23" s="46">
        <f t="shared" si="20"/>
        <v>8.6035107064681392E-3</v>
      </c>
      <c r="AR23" s="14">
        <f>IFERROR(IF(AG23="Y",VLOOKUP(AK23,XS_Designer_Calculations!$R$5:$T$104,3,TRUE),0),0)</f>
        <v>0.1</v>
      </c>
      <c r="AS23" s="46">
        <f t="shared" si="21"/>
        <v>0.01</v>
      </c>
      <c r="AT23" s="14">
        <f t="shared" si="22"/>
        <v>11.708463860961778</v>
      </c>
      <c r="AU23" s="14">
        <f>AT23*XS_Designer_Calculations!$I$7^0.5</f>
        <v>1.170846386096178</v>
      </c>
      <c r="AV23" s="14">
        <f t="shared" si="23"/>
        <v>2.27374089079707</v>
      </c>
      <c r="AW23" s="14">
        <f t="shared" si="24"/>
        <v>1.1810487758610846</v>
      </c>
      <c r="AX23" s="14">
        <f t="shared" si="25"/>
        <v>5</v>
      </c>
      <c r="AY23" s="46">
        <f t="shared" si="26"/>
        <v>1.8930848749999991</v>
      </c>
      <c r="AZ23" s="14">
        <f>((AS23*AP23)/(1.65*XS_Designer!$S$99))*12</f>
        <v>6.629227568351074</v>
      </c>
      <c r="BA23" s="14">
        <f>(AW23/((1.65*62.4)*XS_Designer!$AA$53))*12</f>
        <v>2.2941895412996982</v>
      </c>
      <c r="BB23" s="14">
        <f t="shared" si="27"/>
        <v>3.6569170738332</v>
      </c>
      <c r="BC23" s="14">
        <f t="shared" si="28"/>
        <v>6.7724023529760284</v>
      </c>
      <c r="BD23" s="14">
        <f>IF(ISNUMBER(LININTERP(AW23,Permissible_Shear!$T$178:$T$188,Permissible_Shear!$V$178:$V$188)),LININTERP(AW23,Permissible_Shear!$T$178:$T$188,Permissible_Shear!$V$178:$V$188),0)</f>
        <v>3.938982315437761</v>
      </c>
      <c r="BE23" s="14">
        <f>LININTERP(AW23,Permissible_Shear!$S$205:$S$222,Permissible_Shear!$V$205:$V$222)</f>
        <v>4.0032774245658889</v>
      </c>
      <c r="BF23" s="14">
        <f>INDEX($AZ$3:$BE$204,ROW(BF23)-2,MATCH(XS_Designer!$W$5,XS_Designer_Summary!$AZ$2:$BE$2,0))</f>
        <v>3.6569170738332</v>
      </c>
      <c r="BG23" s="79">
        <f t="shared" si="29"/>
        <v>2.27374089079707</v>
      </c>
      <c r="BH23" s="79">
        <f t="shared" si="30"/>
        <v>0</v>
      </c>
      <c r="BI23" s="79">
        <f t="shared" si="31"/>
        <v>0</v>
      </c>
      <c r="BJ23" s="79">
        <f t="shared" si="32"/>
        <v>1.1810487758610846</v>
      </c>
      <c r="BK23" s="79">
        <f t="shared" si="33"/>
        <v>0</v>
      </c>
      <c r="BL23" s="79">
        <f t="shared" si="34"/>
        <v>0</v>
      </c>
      <c r="BM23" s="124">
        <f t="shared" si="35"/>
        <v>1.892706371572251</v>
      </c>
      <c r="BN23" s="124">
        <f t="shared" si="36"/>
        <v>0</v>
      </c>
      <c r="BO23" s="124">
        <f t="shared" si="37"/>
        <v>0</v>
      </c>
    </row>
    <row r="24" spans="1:67" ht="15">
      <c r="A24" s="133" t="str">
        <f t="shared" si="56"/>
        <v>NA</v>
      </c>
      <c r="B24" s="5" t="str">
        <f t="shared" si="56"/>
        <v>Left Inner Berm</v>
      </c>
      <c r="C24" s="12"/>
      <c r="D24" s="40"/>
      <c r="E24" s="121"/>
      <c r="F24" s="12"/>
      <c r="G24" s="27"/>
      <c r="H24" s="12"/>
      <c r="I24" s="27"/>
      <c r="J24" s="19"/>
      <c r="K24" s="19"/>
      <c r="L24" s="19"/>
      <c r="M24" s="19"/>
      <c r="P24" s="2"/>
      <c r="S24" s="2"/>
      <c r="AB24" s="26">
        <v>200</v>
      </c>
      <c r="AD24" s="3">
        <v>20</v>
      </c>
      <c r="AE24" s="3" t="str">
        <f t="shared" si="13"/>
        <v>Left</v>
      </c>
      <c r="AF24" s="3" t="str">
        <f t="shared" si="14"/>
        <v>LOB</v>
      </c>
      <c r="AG24" s="3" t="str">
        <f>IF(XS_Designer_Summary!$AB$24&gt;=XS_Designer_Summary!AD24,"Y","N")</f>
        <v>Y</v>
      </c>
      <c r="AH24" s="45">
        <v>1</v>
      </c>
      <c r="AI24" s="45">
        <f>IF(AG24="Y",$O$19/XS_Designer_Summary!$AB$24,0)</f>
        <v>0.27201249999999999</v>
      </c>
      <c r="AJ24" s="45">
        <f t="shared" si="15"/>
        <v>0.27201249999999999</v>
      </c>
      <c r="AK24" s="14">
        <f t="shared" si="38"/>
        <v>-21.488987500000025</v>
      </c>
      <c r="AL24" s="14">
        <f>IF(AG24="Y",LININTERP(AK24,XS_Designer_Calculations!$AY$4:$AY$104,XS_Designer_Calculations!$AZ$4:$AZ$104),AL23)</f>
        <v>3.0987547500000008</v>
      </c>
      <c r="AM24" s="14">
        <f t="shared" si="16"/>
        <v>1.9012452499999992</v>
      </c>
      <c r="AN24" s="14">
        <f t="shared" si="17"/>
        <v>0.5164225655640623</v>
      </c>
      <c r="AO24" s="46">
        <f t="shared" si="18"/>
        <v>0.27206689706083664</v>
      </c>
      <c r="AP24" s="46">
        <f t="shared" si="19"/>
        <v>1.8981455338485576</v>
      </c>
      <c r="AQ24" s="46">
        <f t="shared" si="20"/>
        <v>8.6035107064681392E-3</v>
      </c>
      <c r="AR24" s="14">
        <f>IFERROR(IF(AG24="Y",VLOOKUP(AK24,XS_Designer_Calculations!$R$5:$T$104,3,TRUE),0),0)</f>
        <v>0.1</v>
      </c>
      <c r="AS24" s="46">
        <f t="shared" si="21"/>
        <v>0.01</v>
      </c>
      <c r="AT24" s="14">
        <f t="shared" si="22"/>
        <v>11.76459619841199</v>
      </c>
      <c r="AU24" s="14">
        <f>AT24*XS_Designer_Calculations!$I$7^0.5</f>
        <v>1.176459619841199</v>
      </c>
      <c r="AV24" s="14">
        <f t="shared" si="23"/>
        <v>2.2780949135253441</v>
      </c>
      <c r="AW24" s="14">
        <f t="shared" si="24"/>
        <v>1.1844428131214999</v>
      </c>
      <c r="AX24" s="14">
        <f t="shared" si="25"/>
        <v>5</v>
      </c>
      <c r="AY24" s="46">
        <f t="shared" si="26"/>
        <v>1.8985251249999993</v>
      </c>
      <c r="AZ24" s="14">
        <f>((AS24*AP24)/(1.65*XS_Designer!$S$99))*12</f>
        <v>6.6482783017624465</v>
      </c>
      <c r="BA24" s="14">
        <f>(AW24/((1.65*62.4)*XS_Designer!$AA$53))*12</f>
        <v>2.3007824652709794</v>
      </c>
      <c r="BB24" s="14">
        <f t="shared" si="27"/>
        <v>3.6678524611854169</v>
      </c>
      <c r="BC24" s="14">
        <f t="shared" si="28"/>
        <v>6.7866908310229199</v>
      </c>
      <c r="BD24" s="14">
        <f>IF(ISNUMBER(LININTERP(AW24,Permissible_Shear!$T$178:$T$188,Permissible_Shear!$V$178:$V$188)),LININTERP(AW24,Permissible_Shear!$T$178:$T$188,Permissible_Shear!$V$178:$V$188),0)</f>
        <v>3.9495838504478433</v>
      </c>
      <c r="BE24" s="14">
        <f>LININTERP(AW24,Permissible_Shear!$S$205:$S$222,Permissible_Shear!$V$205:$V$222)</f>
        <v>4.0138837910046874</v>
      </c>
      <c r="BF24" s="14">
        <f>INDEX($AZ$3:$BE$204,ROW(BF24)-2,MATCH(XS_Designer!$W$5,XS_Designer_Summary!$AZ$2:$BE$2,0))</f>
        <v>3.6678524611854169</v>
      </c>
      <c r="BG24" s="79">
        <f t="shared" si="29"/>
        <v>2.2780949135253441</v>
      </c>
      <c r="BH24" s="79">
        <f t="shared" si="30"/>
        <v>0</v>
      </c>
      <c r="BI24" s="79">
        <f t="shared" si="31"/>
        <v>0</v>
      </c>
      <c r="BJ24" s="79">
        <f t="shared" si="32"/>
        <v>1.1844428131214999</v>
      </c>
      <c r="BK24" s="79">
        <f t="shared" si="33"/>
        <v>0</v>
      </c>
      <c r="BL24" s="79">
        <f t="shared" si="34"/>
        <v>0</v>
      </c>
      <c r="BM24" s="124">
        <f t="shared" si="35"/>
        <v>1.8981455338485576</v>
      </c>
      <c r="BN24" s="124">
        <f t="shared" si="36"/>
        <v>0</v>
      </c>
      <c r="BO24" s="124">
        <f t="shared" si="37"/>
        <v>0</v>
      </c>
    </row>
    <row r="25" spans="1:67" ht="15">
      <c r="A25" s="133">
        <f t="shared" si="56"/>
        <v>0</v>
      </c>
      <c r="B25" s="5" t="str">
        <f t="shared" si="56"/>
        <v>Thalweg</v>
      </c>
      <c r="C25" s="12"/>
      <c r="D25" s="40"/>
      <c r="E25" s="121"/>
      <c r="F25" s="12"/>
      <c r="G25" s="27"/>
      <c r="H25" s="12"/>
      <c r="I25" s="27"/>
      <c r="J25" s="19"/>
      <c r="K25" s="19"/>
      <c r="L25" s="19"/>
      <c r="M25" s="19"/>
      <c r="P25" s="2"/>
      <c r="S25" s="2"/>
      <c r="AB25" s="1"/>
      <c r="AD25" s="3">
        <v>21</v>
      </c>
      <c r="AE25" s="3" t="str">
        <f t="shared" si="13"/>
        <v>Left</v>
      </c>
      <c r="AF25" s="3" t="str">
        <f t="shared" si="14"/>
        <v>LOB</v>
      </c>
      <c r="AG25" s="3" t="str">
        <f>IF(XS_Designer_Summary!$AB$24&gt;=XS_Designer_Summary!AD25,"Y","N")</f>
        <v>Y</v>
      </c>
      <c r="AH25" s="45">
        <v>1</v>
      </c>
      <c r="AI25" s="45">
        <f>IF(AG25="Y",$O$19/XS_Designer_Summary!$AB$24,0)</f>
        <v>0.27201249999999999</v>
      </c>
      <c r="AJ25" s="45">
        <f t="shared" si="15"/>
        <v>0.27201249999999999</v>
      </c>
      <c r="AK25" s="14">
        <f t="shared" si="38"/>
        <v>-21.216975000000026</v>
      </c>
      <c r="AL25" s="14">
        <f>IF(AG25="Y",LININTERP(AK25,XS_Designer_Calculations!$AY$4:$AY$104,XS_Designer_Calculations!$AZ$4:$AZ$104),AL24)</f>
        <v>3.0933145000000009</v>
      </c>
      <c r="AM25" s="14">
        <f t="shared" si="16"/>
        <v>1.9066854999999991</v>
      </c>
      <c r="AN25" s="14">
        <f t="shared" si="17"/>
        <v>0.51790238156718726</v>
      </c>
      <c r="AO25" s="46">
        <f t="shared" si="18"/>
        <v>0.27206689706083664</v>
      </c>
      <c r="AP25" s="46">
        <f t="shared" si="19"/>
        <v>1.9035846961248637</v>
      </c>
      <c r="AQ25" s="46">
        <f t="shared" si="20"/>
        <v>8.6035107064681392E-3</v>
      </c>
      <c r="AR25" s="14">
        <f>IFERROR(IF(AG25="Y",VLOOKUP(AK25,XS_Designer_Calculations!$R$5:$T$104,3,TRUE),0),0)</f>
        <v>0.1</v>
      </c>
      <c r="AS25" s="46">
        <f t="shared" si="21"/>
        <v>0.01</v>
      </c>
      <c r="AT25" s="14">
        <f t="shared" si="22"/>
        <v>11.820835870443194</v>
      </c>
      <c r="AU25" s="14">
        <f>AT25*XS_Designer_Calculations!$I$7^0.5</f>
        <v>1.1820835870443194</v>
      </c>
      <c r="AV25" s="14">
        <f t="shared" si="23"/>
        <v>2.282444779395107</v>
      </c>
      <c r="AW25" s="14">
        <f t="shared" si="24"/>
        <v>1.187836850381915</v>
      </c>
      <c r="AX25" s="14">
        <f t="shared" si="25"/>
        <v>5</v>
      </c>
      <c r="AY25" s="46">
        <f t="shared" si="26"/>
        <v>1.9039653749999992</v>
      </c>
      <c r="AZ25" s="14">
        <f>((AS25*AP25)/(1.65*XS_Designer!$S$99))*12</f>
        <v>6.6673290351738146</v>
      </c>
      <c r="BA25" s="14">
        <f>(AW25/((1.65*62.4)*XS_Designer!$AA$53))*12</f>
        <v>2.3073753892422597</v>
      </c>
      <c r="BB25" s="14">
        <f t="shared" si="27"/>
        <v>3.6787891628265776</v>
      </c>
      <c r="BC25" s="14">
        <f t="shared" si="28"/>
        <v>6.8009684989950303</v>
      </c>
      <c r="BD25" s="14">
        <f>IF(ISNUMBER(LININTERP(AW25,Permissible_Shear!$T$178:$T$188,Permissible_Shear!$V$178:$V$188)),LININTERP(AW25,Permissible_Shear!$T$178:$T$188,Permissible_Shear!$V$178:$V$188),0)</f>
        <v>3.9601853854579248</v>
      </c>
      <c r="BE25" s="14">
        <f>LININTERP(AW25,Permissible_Shear!$S$205:$S$222,Permissible_Shear!$V$205:$V$222)</f>
        <v>4.0244901574434842</v>
      </c>
      <c r="BF25" s="14">
        <f>INDEX($AZ$3:$BE$204,ROW(BF25)-2,MATCH(XS_Designer!$W$5,XS_Designer_Summary!$AZ$2:$BE$2,0))</f>
        <v>3.6787891628265776</v>
      </c>
      <c r="BG25" s="79">
        <f t="shared" si="29"/>
        <v>2.282444779395107</v>
      </c>
      <c r="BH25" s="79">
        <f t="shared" si="30"/>
        <v>0</v>
      </c>
      <c r="BI25" s="79">
        <f t="shared" si="31"/>
        <v>0</v>
      </c>
      <c r="BJ25" s="79">
        <f t="shared" si="32"/>
        <v>1.187836850381915</v>
      </c>
      <c r="BK25" s="79">
        <f t="shared" si="33"/>
        <v>0</v>
      </c>
      <c r="BL25" s="79">
        <f t="shared" si="34"/>
        <v>0</v>
      </c>
      <c r="BM25" s="124">
        <f t="shared" si="35"/>
        <v>1.9035846961248637</v>
      </c>
      <c r="BN25" s="124">
        <f t="shared" si="36"/>
        <v>0</v>
      </c>
      <c r="BO25" s="124">
        <f t="shared" si="37"/>
        <v>0</v>
      </c>
    </row>
    <row r="26" spans="1:67" ht="15">
      <c r="A26" s="11"/>
      <c r="B26" s="12"/>
      <c r="C26" s="12"/>
      <c r="D26" s="40"/>
      <c r="E26" s="121"/>
      <c r="F26" s="12"/>
      <c r="G26" s="27"/>
      <c r="H26" s="12"/>
      <c r="I26" s="27"/>
      <c r="J26" s="19"/>
      <c r="K26" s="19"/>
      <c r="L26" s="19"/>
      <c r="M26" s="19"/>
      <c r="P26" s="2"/>
      <c r="S26" s="2"/>
      <c r="Z26" s="3" t="s">
        <v>125</v>
      </c>
      <c r="AA26" s="3" t="s">
        <v>503</v>
      </c>
      <c r="AB26" s="3" t="s">
        <v>442</v>
      </c>
      <c r="AD26" s="3">
        <v>22</v>
      </c>
      <c r="AE26" s="3" t="str">
        <f t="shared" si="13"/>
        <v>Left</v>
      </c>
      <c r="AF26" s="3" t="str">
        <f t="shared" si="14"/>
        <v>LOB</v>
      </c>
      <c r="AG26" s="3" t="str">
        <f>IF(XS_Designer_Summary!$AB$24&gt;=XS_Designer_Summary!AD26,"Y","N")</f>
        <v>Y</v>
      </c>
      <c r="AH26" s="45">
        <v>1</v>
      </c>
      <c r="AI26" s="45">
        <f>IF(AG26="Y",$O$19/XS_Designer_Summary!$AB$24,0)</f>
        <v>0.27201249999999999</v>
      </c>
      <c r="AJ26" s="45">
        <f t="shared" si="15"/>
        <v>0.27201249999999999</v>
      </c>
      <c r="AK26" s="14">
        <f t="shared" si="38"/>
        <v>-20.944962500000027</v>
      </c>
      <c r="AL26" s="14">
        <f>IF(AG26="Y",LININTERP(AK26,XS_Designer_Calculations!$AY$4:$AY$104,XS_Designer_Calculations!$AZ$4:$AZ$104),AL25)</f>
        <v>3.0878742500000009</v>
      </c>
      <c r="AM26" s="14">
        <f t="shared" si="16"/>
        <v>1.9121257499999991</v>
      </c>
      <c r="AN26" s="14">
        <f t="shared" si="17"/>
        <v>0.51938219757031223</v>
      </c>
      <c r="AO26" s="46">
        <f t="shared" si="18"/>
        <v>0.27206689706083664</v>
      </c>
      <c r="AP26" s="46">
        <f t="shared" si="19"/>
        <v>1.9090238584011696</v>
      </c>
      <c r="AQ26" s="46">
        <f t="shared" si="20"/>
        <v>8.6035107064681392E-3</v>
      </c>
      <c r="AR26" s="14">
        <f>IFERROR(IF(AG26="Y",VLOOKUP(AK26,XS_Designer_Calculations!$R$5:$T$104,3,TRUE),0),0)</f>
        <v>0.1</v>
      </c>
      <c r="AS26" s="46">
        <f t="shared" si="21"/>
        <v>0.01</v>
      </c>
      <c r="AT26" s="14">
        <f t="shared" si="22"/>
        <v>11.877182774727716</v>
      </c>
      <c r="AU26" s="14">
        <f>AT26*XS_Designer_Calculations!$I$7^0.5</f>
        <v>1.1877182774727717</v>
      </c>
      <c r="AV26" s="14">
        <f t="shared" si="23"/>
        <v>2.2867905042355297</v>
      </c>
      <c r="AW26" s="14">
        <f t="shared" si="24"/>
        <v>1.1912308876423299</v>
      </c>
      <c r="AX26" s="14">
        <f t="shared" si="25"/>
        <v>5</v>
      </c>
      <c r="AY26" s="46">
        <f t="shared" si="26"/>
        <v>1.9094056249999991</v>
      </c>
      <c r="AZ26" s="14">
        <f>((AS26*AP26)/(1.65*XS_Designer!$S$99))*12</f>
        <v>6.6863797685851836</v>
      </c>
      <c r="BA26" s="14">
        <f>(AW26/((1.65*62.4)*XS_Designer!$AA$53))*12</f>
        <v>2.3139683132135391</v>
      </c>
      <c r="BB26" s="14">
        <f t="shared" si="27"/>
        <v>3.6897271751639606</v>
      </c>
      <c r="BC26" s="14">
        <f t="shared" si="28"/>
        <v>6.8152353958797862</v>
      </c>
      <c r="BD26" s="14">
        <f>IF(ISNUMBER(LININTERP(AW26,Permissible_Shear!$T$178:$T$188,Permissible_Shear!$V$178:$V$188)),LININTERP(AW26,Permissible_Shear!$T$178:$T$188,Permissible_Shear!$V$178:$V$188),0)</f>
        <v>3.9707869204680057</v>
      </c>
      <c r="BE26" s="14">
        <f>LININTERP(AW26,Permissible_Shear!$S$205:$S$222,Permissible_Shear!$V$205:$V$222)</f>
        <v>4.0350965238822809</v>
      </c>
      <c r="BF26" s="14">
        <f>INDEX($AZ$3:$BE$204,ROW(BF26)-2,MATCH(XS_Designer!$W$5,XS_Designer_Summary!$AZ$2:$BE$2,0))</f>
        <v>3.6897271751639606</v>
      </c>
      <c r="BG26" s="79">
        <f t="shared" si="29"/>
        <v>2.2867905042355297</v>
      </c>
      <c r="BH26" s="79">
        <f t="shared" si="30"/>
        <v>0</v>
      </c>
      <c r="BI26" s="79">
        <f t="shared" si="31"/>
        <v>0</v>
      </c>
      <c r="BJ26" s="79">
        <f t="shared" si="32"/>
        <v>1.1912308876423299</v>
      </c>
      <c r="BK26" s="79">
        <f t="shared" si="33"/>
        <v>0</v>
      </c>
      <c r="BL26" s="79">
        <f t="shared" si="34"/>
        <v>0</v>
      </c>
      <c r="BM26" s="124">
        <f t="shared" si="35"/>
        <v>1.9090238584011696</v>
      </c>
      <c r="BN26" s="124">
        <f t="shared" si="36"/>
        <v>0</v>
      </c>
      <c r="BO26" s="124">
        <f t="shared" si="37"/>
        <v>0</v>
      </c>
    </row>
    <row r="27" spans="1:67" ht="15.75">
      <c r="A27" s="225"/>
      <c r="B27" s="281"/>
      <c r="C27" s="27"/>
      <c r="D27" s="40"/>
      <c r="E27" s="195"/>
      <c r="F27" s="27"/>
      <c r="G27" s="27"/>
      <c r="H27" s="27"/>
      <c r="I27" s="27"/>
      <c r="J27" s="19"/>
      <c r="K27" s="19"/>
      <c r="L27" s="19"/>
      <c r="M27" s="19"/>
      <c r="P27" s="2"/>
      <c r="S27" s="2"/>
      <c r="Z27" s="3">
        <f>XS_Designer_Calculations!$AQ$3</f>
        <v>-27.201250000000002</v>
      </c>
      <c r="AA27" s="3">
        <f>SUM(XS_Designer_Calculations!BY5:BY104)</f>
        <v>-5.0012499999999998</v>
      </c>
      <c r="AB27" s="3">
        <f>SUM(XS_Designer_Calculations!$BZ$5:$BZ$104)</f>
        <v>5.0012499999999998</v>
      </c>
      <c r="AD27" s="3">
        <v>23</v>
      </c>
      <c r="AE27" s="3" t="str">
        <f t="shared" si="13"/>
        <v>Left</v>
      </c>
      <c r="AF27" s="3" t="str">
        <f t="shared" si="14"/>
        <v>LOB</v>
      </c>
      <c r="AG27" s="3" t="str">
        <f>IF(XS_Designer_Summary!$AB$24&gt;=XS_Designer_Summary!AD27,"Y","N")</f>
        <v>Y</v>
      </c>
      <c r="AH27" s="45">
        <v>1</v>
      </c>
      <c r="AI27" s="45">
        <f>IF(AG27="Y",$O$19/XS_Designer_Summary!$AB$24,0)</f>
        <v>0.27201249999999999</v>
      </c>
      <c r="AJ27" s="45">
        <f t="shared" si="15"/>
        <v>0.27201249999999999</v>
      </c>
      <c r="AK27" s="14">
        <f t="shared" si="38"/>
        <v>-20.672950000000029</v>
      </c>
      <c r="AL27" s="14">
        <f>IF(AG27="Y",LININTERP(AK27,XS_Designer_Calculations!$AY$4:$AY$104,XS_Designer_Calculations!$AZ$4:$AZ$104),AL26)</f>
        <v>3.082434000000001</v>
      </c>
      <c r="AM27" s="14">
        <f t="shared" si="16"/>
        <v>1.917565999999999</v>
      </c>
      <c r="AN27" s="14">
        <f t="shared" si="17"/>
        <v>0.5208620135734372</v>
      </c>
      <c r="AO27" s="46">
        <f t="shared" si="18"/>
        <v>0.27206689706083664</v>
      </c>
      <c r="AP27" s="46">
        <f t="shared" si="19"/>
        <v>1.9144630206774758</v>
      </c>
      <c r="AQ27" s="46">
        <f t="shared" si="20"/>
        <v>8.6035107064681392E-3</v>
      </c>
      <c r="AR27" s="14">
        <f>IFERROR(IF(AG27="Y",VLOOKUP(AK27,XS_Designer_Calculations!$R$5:$T$104,3,TRUE),0),0)</f>
        <v>0.1</v>
      </c>
      <c r="AS27" s="46">
        <f t="shared" si="21"/>
        <v>0.01</v>
      </c>
      <c r="AT27" s="14">
        <f t="shared" si="22"/>
        <v>11.933636809326991</v>
      </c>
      <c r="AU27" s="14">
        <f>AT27*XS_Designer_Calculations!$I$7^0.5</f>
        <v>1.1933636809326991</v>
      </c>
      <c r="AV27" s="14">
        <f t="shared" si="23"/>
        <v>2.2911321037705981</v>
      </c>
      <c r="AW27" s="14">
        <f t="shared" si="24"/>
        <v>1.194624924902745</v>
      </c>
      <c r="AX27" s="14">
        <f t="shared" si="25"/>
        <v>5</v>
      </c>
      <c r="AY27" s="46">
        <f t="shared" si="26"/>
        <v>1.914845874999999</v>
      </c>
      <c r="AZ27" s="14">
        <f>((AS27*AP27)/(1.65*XS_Designer!$S$99))*12</f>
        <v>6.7054305019965534</v>
      </c>
      <c r="BA27" s="14">
        <f>(AW27/((1.65*62.4)*XS_Designer!$AA$53))*12</f>
        <v>2.3205612371848194</v>
      </c>
      <c r="BB27" s="14">
        <f t="shared" si="27"/>
        <v>3.7006664946248646</v>
      </c>
      <c r="BC27" s="14">
        <f t="shared" si="28"/>
        <v>6.8294915604135324</v>
      </c>
      <c r="BD27" s="14">
        <f>IF(ISNUMBER(LININTERP(AW27,Permissible_Shear!$T$178:$T$188,Permissible_Shear!$V$178:$V$188)),LININTERP(AW27,Permissible_Shear!$T$178:$T$188,Permissible_Shear!$V$178:$V$188),0)</f>
        <v>3.9813884554780876</v>
      </c>
      <c r="BE27" s="14">
        <f>LININTERP(AW27,Permissible_Shear!$S$205:$S$222,Permissible_Shear!$V$205:$V$222)</f>
        <v>4.0457028903210777</v>
      </c>
      <c r="BF27" s="14">
        <f>INDEX($AZ$3:$BE$204,ROW(BF27)-2,MATCH(XS_Designer!$W$5,XS_Designer_Summary!$AZ$2:$BE$2,0))</f>
        <v>3.7006664946248646</v>
      </c>
      <c r="BG27" s="79">
        <f t="shared" si="29"/>
        <v>2.2911321037705981</v>
      </c>
      <c r="BH27" s="79">
        <f t="shared" si="30"/>
        <v>0</v>
      </c>
      <c r="BI27" s="79">
        <f t="shared" si="31"/>
        <v>0</v>
      </c>
      <c r="BJ27" s="79">
        <f t="shared" si="32"/>
        <v>1.194624924902745</v>
      </c>
      <c r="BK27" s="79">
        <f t="shared" si="33"/>
        <v>0</v>
      </c>
      <c r="BL27" s="79">
        <f t="shared" si="34"/>
        <v>0</v>
      </c>
      <c r="BM27" s="124">
        <f t="shared" si="35"/>
        <v>1.9144630206774758</v>
      </c>
      <c r="BN27" s="124">
        <f t="shared" si="36"/>
        <v>0</v>
      </c>
      <c r="BO27" s="124">
        <f t="shared" si="37"/>
        <v>0</v>
      </c>
    </row>
    <row r="28" spans="1:67" ht="15">
      <c r="A28" s="198">
        <f>-B11</f>
        <v>-27.201250000000002</v>
      </c>
      <c r="B28" s="198" t="str">
        <f>C11</f>
        <v>Right 3rd Stage</v>
      </c>
      <c r="C28" s="12"/>
      <c r="D28" s="40"/>
      <c r="E28" s="121"/>
      <c r="F28" s="12"/>
      <c r="G28" s="27"/>
      <c r="H28" s="12"/>
      <c r="I28" s="27"/>
      <c r="J28" s="19"/>
      <c r="K28" s="19"/>
      <c r="L28" s="19"/>
      <c r="M28" s="19"/>
      <c r="P28" s="2"/>
      <c r="S28" s="2"/>
      <c r="AB28" s="3" t="s">
        <v>618</v>
      </c>
      <c r="AD28" s="3">
        <v>24</v>
      </c>
      <c r="AE28" s="3" t="str">
        <f t="shared" si="13"/>
        <v>Left</v>
      </c>
      <c r="AF28" s="3" t="str">
        <f t="shared" si="14"/>
        <v>LOB</v>
      </c>
      <c r="AG28" s="3" t="str">
        <f>IF(XS_Designer_Summary!$AB$24&gt;=XS_Designer_Summary!AD28,"Y","N")</f>
        <v>Y</v>
      </c>
      <c r="AH28" s="45">
        <v>1</v>
      </c>
      <c r="AI28" s="45">
        <f>IF(AG28="Y",$O$19/XS_Designer_Summary!$AB$24,0)</f>
        <v>0.27201249999999999</v>
      </c>
      <c r="AJ28" s="45">
        <f t="shared" si="15"/>
        <v>0.27201249999999999</v>
      </c>
      <c r="AK28" s="14">
        <f t="shared" si="38"/>
        <v>-20.40093750000003</v>
      </c>
      <c r="AL28" s="14">
        <f>IF(AG28="Y",LININTERP(AK28,XS_Designer_Calculations!$AY$4:$AY$104,XS_Designer_Calculations!$AZ$4:$AZ$104),AL27)</f>
        <v>3.0769937500000011</v>
      </c>
      <c r="AM28" s="14">
        <f t="shared" si="16"/>
        <v>1.9230062499999989</v>
      </c>
      <c r="AN28" s="14">
        <f t="shared" si="17"/>
        <v>0.52234182957656217</v>
      </c>
      <c r="AO28" s="46">
        <f t="shared" si="18"/>
        <v>0.27206689706083664</v>
      </c>
      <c r="AP28" s="46">
        <f t="shared" si="19"/>
        <v>1.9199021829537819</v>
      </c>
      <c r="AQ28" s="46">
        <f t="shared" si="20"/>
        <v>8.6035107064681392E-3</v>
      </c>
      <c r="AR28" s="14">
        <f>IFERROR(IF(AG28="Y",VLOOKUP(AK28,XS_Designer_Calculations!$R$5:$T$104,3,TRUE),0),0)</f>
        <v>0.1</v>
      </c>
      <c r="AS28" s="46">
        <f t="shared" si="21"/>
        <v>0.01</v>
      </c>
      <c r="AT28" s="14">
        <f t="shared" si="22"/>
        <v>11.990197872688968</v>
      </c>
      <c r="AU28" s="14">
        <f>AT28*XS_Designer_Calculations!$I$7^0.5</f>
        <v>1.1990197872688968</v>
      </c>
      <c r="AV28" s="14">
        <f t="shared" si="23"/>
        <v>2.2954695936201115</v>
      </c>
      <c r="AW28" s="14">
        <f t="shared" si="24"/>
        <v>1.1980189621631598</v>
      </c>
      <c r="AX28" s="14">
        <f t="shared" si="25"/>
        <v>5</v>
      </c>
      <c r="AY28" s="46">
        <f t="shared" si="26"/>
        <v>1.9202861249999987</v>
      </c>
      <c r="AZ28" s="14">
        <f>((AS28*AP28)/(1.65*XS_Designer!$S$99))*12</f>
        <v>6.7244812354079233</v>
      </c>
      <c r="BA28" s="14">
        <f>(AW28/((1.65*62.4)*XS_Designer!$AA$53))*12</f>
        <v>2.3271541611560993</v>
      </c>
      <c r="BB28" s="14">
        <f t="shared" si="27"/>
        <v>3.7116071176564289</v>
      </c>
      <c r="BC28" s="14">
        <f t="shared" si="28"/>
        <v>6.8437370310838306</v>
      </c>
      <c r="BD28" s="14">
        <f>IF(ISNUMBER(LININTERP(AW28,Permissible_Shear!$T$178:$T$188,Permissible_Shear!$V$178:$V$188)),LININTERP(AW28,Permissible_Shear!$T$178:$T$188,Permissible_Shear!$V$178:$V$188),0)</f>
        <v>3.9919899904881682</v>
      </c>
      <c r="BE28" s="14">
        <f>LININTERP(AW28,Permissible_Shear!$S$205:$S$222,Permissible_Shear!$V$205:$V$222)</f>
        <v>4.0563092567598744</v>
      </c>
      <c r="BF28" s="14">
        <f>INDEX($AZ$3:$BE$204,ROW(BF28)-2,MATCH(XS_Designer!$W$5,XS_Designer_Summary!$AZ$2:$BE$2,0))</f>
        <v>3.7116071176564289</v>
      </c>
      <c r="BG28" s="79">
        <f t="shared" si="29"/>
        <v>2.2954695936201115</v>
      </c>
      <c r="BH28" s="79">
        <f t="shared" si="30"/>
        <v>0</v>
      </c>
      <c r="BI28" s="79">
        <f t="shared" si="31"/>
        <v>0</v>
      </c>
      <c r="BJ28" s="79">
        <f t="shared" si="32"/>
        <v>1.1980189621631598</v>
      </c>
      <c r="BK28" s="79">
        <f t="shared" si="33"/>
        <v>0</v>
      </c>
      <c r="BL28" s="79">
        <f t="shared" si="34"/>
        <v>0</v>
      </c>
      <c r="BM28" s="124">
        <f t="shared" si="35"/>
        <v>1.9199021829537819</v>
      </c>
      <c r="BN28" s="124">
        <f t="shared" si="36"/>
        <v>0</v>
      </c>
      <c r="BO28" s="124">
        <f t="shared" si="37"/>
        <v>0</v>
      </c>
    </row>
    <row r="29" spans="1:67" ht="15">
      <c r="A29" s="198">
        <f>-B10</f>
        <v>-16.60125</v>
      </c>
      <c r="B29" s="198" t="str">
        <f>C10</f>
        <v>Right 2nd Stage</v>
      </c>
      <c r="C29" s="12"/>
      <c r="D29" s="40"/>
      <c r="E29" s="121"/>
      <c r="F29" s="12"/>
      <c r="G29" s="27"/>
      <c r="H29" s="12"/>
      <c r="I29" s="27"/>
      <c r="J29" s="19"/>
      <c r="K29" s="19"/>
      <c r="L29" s="19"/>
      <c r="M29" s="19"/>
      <c r="P29" s="2"/>
      <c r="S29" s="2"/>
      <c r="V29" s="1"/>
      <c r="W29" s="1"/>
      <c r="AB29" s="3">
        <f>XS_Designer_Calculations!$AR$3</f>
        <v>27.201250000000002</v>
      </c>
      <c r="AD29" s="3">
        <v>25</v>
      </c>
      <c r="AE29" s="3" t="str">
        <f t="shared" si="13"/>
        <v>Left</v>
      </c>
      <c r="AF29" s="3" t="str">
        <f t="shared" si="14"/>
        <v>LOB</v>
      </c>
      <c r="AG29" s="3" t="str">
        <f>IF(XS_Designer_Summary!$AB$24&gt;=XS_Designer_Summary!AD29,"Y","N")</f>
        <v>Y</v>
      </c>
      <c r="AH29" s="45">
        <v>1</v>
      </c>
      <c r="AI29" s="45">
        <f>IF(AG29="Y",$O$19/XS_Designer_Summary!$AB$24,0)</f>
        <v>0.27201249999999999</v>
      </c>
      <c r="AJ29" s="45">
        <f t="shared" si="15"/>
        <v>0.27201249999999999</v>
      </c>
      <c r="AK29" s="14">
        <f t="shared" si="38"/>
        <v>-20.128925000000031</v>
      </c>
      <c r="AL29" s="14">
        <f>IF(AG29="Y",LININTERP(AK29,XS_Designer_Calculations!$AY$4:$AY$104,XS_Designer_Calculations!$AZ$4:$AZ$104),AL28)</f>
        <v>3.0715535000000012</v>
      </c>
      <c r="AM29" s="14">
        <f t="shared" si="16"/>
        <v>1.9284464999999988</v>
      </c>
      <c r="AN29" s="14">
        <f t="shared" si="17"/>
        <v>0.52382164557968713</v>
      </c>
      <c r="AO29" s="46">
        <f t="shared" si="18"/>
        <v>0.27206689706083664</v>
      </c>
      <c r="AP29" s="46">
        <f t="shared" si="19"/>
        <v>1.925341345230088</v>
      </c>
      <c r="AQ29" s="46">
        <f t="shared" si="20"/>
        <v>8.6035107064681392E-3</v>
      </c>
      <c r="AR29" s="14">
        <f>IFERROR(IF(AG29="Y",VLOOKUP(AK29,XS_Designer_Calculations!$R$5:$T$104,3,TRUE),0),0)</f>
        <v>0.1</v>
      </c>
      <c r="AS29" s="46">
        <f t="shared" si="21"/>
        <v>0.01</v>
      </c>
      <c r="AT29" s="14">
        <f t="shared" si="22"/>
        <v>12.046865863645566</v>
      </c>
      <c r="AU29" s="14">
        <f>AT29*XS_Designer_Calculations!$I$7^0.5</f>
        <v>1.2046865863645566</v>
      </c>
      <c r="AV29" s="14">
        <f t="shared" si="23"/>
        <v>2.2998029893006624</v>
      </c>
      <c r="AW29" s="14">
        <f t="shared" si="24"/>
        <v>1.2014129994235749</v>
      </c>
      <c r="AX29" s="14">
        <f t="shared" si="25"/>
        <v>5</v>
      </c>
      <c r="AY29" s="46">
        <f t="shared" si="26"/>
        <v>1.9257263749999987</v>
      </c>
      <c r="AZ29" s="14">
        <f>((AS29*AP29)/(1.65*XS_Designer!$S$99))*12</f>
        <v>6.7435319688192932</v>
      </c>
      <c r="BA29" s="14">
        <f>(AW29/((1.65*62.4)*XS_Designer!$AA$53))*12</f>
        <v>2.3337470851273796</v>
      </c>
      <c r="BB29" s="14">
        <f t="shared" si="27"/>
        <v>3.7225490407254807</v>
      </c>
      <c r="BC29" s="14">
        <f t="shared" si="28"/>
        <v>6.8579718461317798</v>
      </c>
      <c r="BD29" s="14">
        <f>IF(ISNUMBER(LININTERP(AW29,Permissible_Shear!$T$178:$T$188,Permissible_Shear!$V$178:$V$188)),LININTERP(AW29,Permissible_Shear!$T$178:$T$188,Permissible_Shear!$V$178:$V$188),0)</f>
        <v>4.00259152549825</v>
      </c>
      <c r="BE29" s="14">
        <f>LININTERP(AW29,Permissible_Shear!$S$205:$S$222,Permissible_Shear!$V$205:$V$222)</f>
        <v>4.0669156231986712</v>
      </c>
      <c r="BF29" s="14">
        <f>INDEX($AZ$3:$BE$204,ROW(BF29)-2,MATCH(XS_Designer!$W$5,XS_Designer_Summary!$AZ$2:$BE$2,0))</f>
        <v>3.7225490407254807</v>
      </c>
      <c r="BG29" s="79">
        <f t="shared" si="29"/>
        <v>2.2998029893006624</v>
      </c>
      <c r="BH29" s="79">
        <f t="shared" si="30"/>
        <v>0</v>
      </c>
      <c r="BI29" s="79">
        <f t="shared" si="31"/>
        <v>0</v>
      </c>
      <c r="BJ29" s="79">
        <f t="shared" si="32"/>
        <v>1.2014129994235749</v>
      </c>
      <c r="BK29" s="79">
        <f t="shared" si="33"/>
        <v>0</v>
      </c>
      <c r="BL29" s="79">
        <f t="shared" si="34"/>
        <v>0</v>
      </c>
      <c r="BM29" s="124">
        <f t="shared" si="35"/>
        <v>1.925341345230088</v>
      </c>
      <c r="BN29" s="124">
        <f t="shared" si="36"/>
        <v>0</v>
      </c>
      <c r="BO29" s="124">
        <f t="shared" si="37"/>
        <v>0</v>
      </c>
    </row>
    <row r="30" spans="1:67" ht="15">
      <c r="A30" s="198">
        <f>-B9</f>
        <v>-5.0012499999999998</v>
      </c>
      <c r="B30" s="198" t="str">
        <f>C9</f>
        <v>Right Bankfull</v>
      </c>
      <c r="C30" s="12"/>
      <c r="D30" s="40"/>
      <c r="E30" s="121"/>
      <c r="F30" s="12"/>
      <c r="G30" s="27"/>
      <c r="H30" s="12"/>
      <c r="I30" s="27"/>
      <c r="J30" s="19"/>
      <c r="K30" s="19"/>
      <c r="L30" s="19"/>
      <c r="M30" s="19"/>
      <c r="P30" s="2"/>
      <c r="S30" s="2"/>
      <c r="V30" s="1"/>
      <c r="W30" s="1"/>
      <c r="AA30" s="3" t="s">
        <v>741</v>
      </c>
      <c r="AD30" s="3">
        <v>26</v>
      </c>
      <c r="AE30" s="3" t="str">
        <f t="shared" si="13"/>
        <v>Left</v>
      </c>
      <c r="AF30" s="3" t="str">
        <f t="shared" si="14"/>
        <v>LOB</v>
      </c>
      <c r="AG30" s="3" t="str">
        <f>IF(XS_Designer_Summary!$AB$24&gt;=XS_Designer_Summary!AD30,"Y","N")</f>
        <v>Y</v>
      </c>
      <c r="AH30" s="45">
        <v>1</v>
      </c>
      <c r="AI30" s="45">
        <f>IF(AG30="Y",$O$19/XS_Designer_Summary!$AB$24,0)</f>
        <v>0.27201249999999999</v>
      </c>
      <c r="AJ30" s="45">
        <f t="shared" si="15"/>
        <v>0.27201249999999999</v>
      </c>
      <c r="AK30" s="14">
        <f t="shared" si="38"/>
        <v>-19.856912500000032</v>
      </c>
      <c r="AL30" s="14">
        <f>IF(AG30="Y",LININTERP(AK30,XS_Designer_Calculations!$AY$4:$AY$104,XS_Designer_Calculations!$AZ$4:$AZ$104),AL29)</f>
        <v>3.0661132500000012</v>
      </c>
      <c r="AM30" s="14">
        <f t="shared" si="16"/>
        <v>1.9338867499999988</v>
      </c>
      <c r="AN30" s="14">
        <f t="shared" si="17"/>
        <v>0.5253014615828121</v>
      </c>
      <c r="AO30" s="46">
        <f t="shared" si="18"/>
        <v>0.27206689706083664</v>
      </c>
      <c r="AP30" s="46">
        <f t="shared" si="19"/>
        <v>1.9307805075063942</v>
      </c>
      <c r="AQ30" s="46">
        <f t="shared" si="20"/>
        <v>8.6035107064681392E-3</v>
      </c>
      <c r="AR30" s="14">
        <f>IFERROR(IF(AG30="Y",VLOOKUP(AK30,XS_Designer_Calculations!$R$5:$T$104,3,TRUE),0),0)</f>
        <v>0.1</v>
      </c>
      <c r="AS30" s="46">
        <f t="shared" si="21"/>
        <v>0.01</v>
      </c>
      <c r="AT30" s="14">
        <f t="shared" si="22"/>
        <v>12.103640681410132</v>
      </c>
      <c r="AU30" s="14">
        <f>AT30*XS_Designer_Calculations!$I$7^0.5</f>
        <v>1.2103640681410133</v>
      </c>
      <c r="AV30" s="14">
        <f t="shared" si="23"/>
        <v>2.304132306226609</v>
      </c>
      <c r="AW30" s="14">
        <f t="shared" si="24"/>
        <v>1.2048070366839898</v>
      </c>
      <c r="AX30" s="14">
        <f t="shared" si="25"/>
        <v>5</v>
      </c>
      <c r="AY30" s="46">
        <f t="shared" si="26"/>
        <v>1.9311666249999986</v>
      </c>
      <c r="AZ30" s="14">
        <f>((AS30*AP30)/(1.65*XS_Designer!$S$99))*12</f>
        <v>6.762582702230663</v>
      </c>
      <c r="BA30" s="14">
        <f>(AW30/((1.65*62.4)*XS_Designer!$AA$53))*12</f>
        <v>2.3403400090986599</v>
      </c>
      <c r="BB30" s="14">
        <f t="shared" si="27"/>
        <v>3.7334922603183593</v>
      </c>
      <c r="BC30" s="14">
        <f t="shared" si="28"/>
        <v>6.8721960435542675</v>
      </c>
      <c r="BD30" s="14">
        <f>IF(ISNUMBER(LININTERP(AW30,Permissible_Shear!$T$178:$T$188,Permissible_Shear!$V$178:$V$188)),LININTERP(AW30,Permissible_Shear!$T$178:$T$188,Permissible_Shear!$V$178:$V$188),0)</f>
        <v>4.013193060508331</v>
      </c>
      <c r="BE30" s="14">
        <f>LININTERP(AW30,Permissible_Shear!$S$205:$S$222,Permissible_Shear!$V$205:$V$222)</f>
        <v>4.0775219896374679</v>
      </c>
      <c r="BF30" s="14">
        <f>INDEX($AZ$3:$BE$204,ROW(BF30)-2,MATCH(XS_Designer!$W$5,XS_Designer_Summary!$AZ$2:$BE$2,0))</f>
        <v>3.7334922603183593</v>
      </c>
      <c r="BG30" s="79">
        <f t="shared" si="29"/>
        <v>2.304132306226609</v>
      </c>
      <c r="BH30" s="79">
        <f t="shared" si="30"/>
        <v>0</v>
      </c>
      <c r="BI30" s="79">
        <f t="shared" si="31"/>
        <v>0</v>
      </c>
      <c r="BJ30" s="79">
        <f t="shared" si="32"/>
        <v>1.2048070366839898</v>
      </c>
      <c r="BK30" s="79">
        <f t="shared" si="33"/>
        <v>0</v>
      </c>
      <c r="BL30" s="79">
        <f t="shared" si="34"/>
        <v>0</v>
      </c>
      <c r="BM30" s="124">
        <f t="shared" si="35"/>
        <v>1.9307805075063942</v>
      </c>
      <c r="BN30" s="124">
        <f t="shared" si="36"/>
        <v>0</v>
      </c>
      <c r="BO30" s="124">
        <f t="shared" si="37"/>
        <v>0</v>
      </c>
    </row>
    <row r="31" spans="1:67" ht="15">
      <c r="A31" s="198" t="e">
        <f>-B8</f>
        <v>#VALUE!</v>
      </c>
      <c r="B31" s="198" t="str">
        <f>C8</f>
        <v>Right Inner Berm</v>
      </c>
      <c r="C31" s="11"/>
      <c r="D31" s="40"/>
      <c r="E31" s="40"/>
      <c r="F31" s="2"/>
      <c r="G31" s="2"/>
      <c r="H31" s="2"/>
      <c r="I31" s="2"/>
      <c r="J31" s="19"/>
      <c r="K31" s="19"/>
      <c r="L31" s="19"/>
      <c r="M31" s="19"/>
      <c r="P31" s="2"/>
      <c r="S31" s="2"/>
      <c r="V31" s="1"/>
      <c r="W31" s="1"/>
      <c r="AA31" s="14">
        <f>SUM(XS_Designer_Calculations!$CA$5:$CA$103)</f>
        <v>0</v>
      </c>
      <c r="AD31" s="3">
        <v>27</v>
      </c>
      <c r="AE31" s="3" t="str">
        <f t="shared" si="13"/>
        <v>Left</v>
      </c>
      <c r="AF31" s="3" t="str">
        <f t="shared" si="14"/>
        <v>LOB</v>
      </c>
      <c r="AG31" s="3" t="str">
        <f>IF(XS_Designer_Summary!$AB$24&gt;=XS_Designer_Summary!AD31,"Y","N")</f>
        <v>Y</v>
      </c>
      <c r="AH31" s="45">
        <v>1</v>
      </c>
      <c r="AI31" s="45">
        <f>IF(AG31="Y",$O$19/XS_Designer_Summary!$AB$24,0)</f>
        <v>0.27201249999999999</v>
      </c>
      <c r="AJ31" s="45">
        <f t="shared" si="15"/>
        <v>0.27201249999999999</v>
      </c>
      <c r="AK31" s="14">
        <f t="shared" si="38"/>
        <v>-19.584900000000033</v>
      </c>
      <c r="AL31" s="14">
        <f>IF(AG31="Y",LININTERP(AK31,XS_Designer_Calculations!$AY$4:$AY$104,XS_Designer_Calculations!$AZ$4:$AZ$104),AL30)</f>
        <v>3.0606730000000009</v>
      </c>
      <c r="AM31" s="14">
        <f t="shared" si="16"/>
        <v>1.9393269999999991</v>
      </c>
      <c r="AN31" s="14">
        <f t="shared" si="17"/>
        <v>0.52678127758593718</v>
      </c>
      <c r="AO31" s="46">
        <f t="shared" si="18"/>
        <v>0.27206689706083664</v>
      </c>
      <c r="AP31" s="46">
        <f t="shared" si="19"/>
        <v>1.9362196697827008</v>
      </c>
      <c r="AQ31" s="46">
        <f t="shared" si="20"/>
        <v>8.6035107064681392E-3</v>
      </c>
      <c r="AR31" s="14">
        <f>IFERROR(IF(AG31="Y",VLOOKUP(AK31,XS_Designer_Calculations!$R$5:$T$104,3,TRUE),0),0)</f>
        <v>0.1</v>
      </c>
      <c r="AS31" s="46">
        <f t="shared" si="21"/>
        <v>0.01</v>
      </c>
      <c r="AT31" s="14">
        <f t="shared" si="22"/>
        <v>12.160522225574944</v>
      </c>
      <c r="AU31" s="14">
        <f>AT31*XS_Designer_Calculations!$I$7^0.5</f>
        <v>1.2160522225574946</v>
      </c>
      <c r="AV31" s="14">
        <f t="shared" si="23"/>
        <v>2.3084575597110364</v>
      </c>
      <c r="AW31" s="14">
        <f t="shared" si="24"/>
        <v>1.2082010739444053</v>
      </c>
      <c r="AX31" s="14">
        <f t="shared" si="25"/>
        <v>5</v>
      </c>
      <c r="AY31" s="46">
        <f t="shared" si="26"/>
        <v>1.936606874999999</v>
      </c>
      <c r="AZ31" s="14">
        <f>((AS31*AP31)/(1.65*XS_Designer!$S$99))*12</f>
        <v>6.7816334356420338</v>
      </c>
      <c r="BA31" s="14">
        <f>(AW31/((1.65*62.4)*XS_Designer!$AA$53))*12</f>
        <v>2.3469329330699407</v>
      </c>
      <c r="BB31" s="14">
        <f t="shared" si="27"/>
        <v>3.7444367729407637</v>
      </c>
      <c r="BC31" s="14">
        <f t="shared" si="28"/>
        <v>6.8864096611062235</v>
      </c>
      <c r="BD31" s="14">
        <f>IF(ISNUMBER(LININTERP(AW31,Permissible_Shear!$T$178:$T$188,Permissible_Shear!$V$178:$V$188)),LININTERP(AW31,Permissible_Shear!$T$178:$T$188,Permissible_Shear!$V$178:$V$188),0)</f>
        <v>4.0237945955184138</v>
      </c>
      <c r="BE31" s="14">
        <f>LININTERP(AW31,Permissible_Shear!$S$205:$S$222,Permissible_Shear!$V$205:$V$222)</f>
        <v>4.0881283560762665</v>
      </c>
      <c r="BF31" s="14">
        <f>INDEX($AZ$3:$BE$204,ROW(BF31)-2,MATCH(XS_Designer!$W$5,XS_Designer_Summary!$AZ$2:$BE$2,0))</f>
        <v>3.7444367729407637</v>
      </c>
      <c r="BG31" s="79">
        <f t="shared" si="29"/>
        <v>2.3084575597110364</v>
      </c>
      <c r="BH31" s="79">
        <f t="shared" si="30"/>
        <v>0</v>
      </c>
      <c r="BI31" s="79">
        <f t="shared" si="31"/>
        <v>0</v>
      </c>
      <c r="BJ31" s="79">
        <f t="shared" si="32"/>
        <v>1.2082010739444053</v>
      </c>
      <c r="BK31" s="79">
        <f t="shared" si="33"/>
        <v>0</v>
      </c>
      <c r="BL31" s="79">
        <f t="shared" si="34"/>
        <v>0</v>
      </c>
      <c r="BM31" s="124">
        <f t="shared" si="35"/>
        <v>1.9362196697827008</v>
      </c>
      <c r="BN31" s="124">
        <f t="shared" si="36"/>
        <v>0</v>
      </c>
      <c r="BO31" s="124">
        <f t="shared" si="37"/>
        <v>0</v>
      </c>
    </row>
    <row r="32" spans="1:67" ht="15">
      <c r="A32" s="198">
        <f>-B7</f>
        <v>0</v>
      </c>
      <c r="B32" s="198" t="str">
        <f>C7</f>
        <v>Thalweg</v>
      </c>
      <c r="C32" s="27"/>
      <c r="D32" s="40"/>
      <c r="E32" s="40"/>
      <c r="F32" s="27"/>
      <c r="G32" s="27"/>
      <c r="H32" s="27"/>
      <c r="I32" s="27"/>
      <c r="J32" s="19"/>
      <c r="K32" s="19"/>
      <c r="L32" s="19"/>
      <c r="M32" s="19"/>
      <c r="P32" s="2"/>
      <c r="S32" s="2"/>
      <c r="V32" s="1"/>
      <c r="W32" s="1"/>
      <c r="AB32" s="1"/>
      <c r="AD32" s="3">
        <v>28</v>
      </c>
      <c r="AE32" s="3" t="str">
        <f t="shared" si="13"/>
        <v>Left</v>
      </c>
      <c r="AF32" s="3" t="str">
        <f t="shared" si="14"/>
        <v>LOB</v>
      </c>
      <c r="AG32" s="3" t="str">
        <f>IF(XS_Designer_Summary!$AB$24&gt;=XS_Designer_Summary!AD32,"Y","N")</f>
        <v>Y</v>
      </c>
      <c r="AH32" s="45">
        <v>1</v>
      </c>
      <c r="AI32" s="45">
        <f>IF(AG32="Y",$O$19/XS_Designer_Summary!$AB$24,0)</f>
        <v>0.27201249999999999</v>
      </c>
      <c r="AJ32" s="45">
        <f t="shared" si="15"/>
        <v>0.27201249999999999</v>
      </c>
      <c r="AK32" s="14">
        <f t="shared" si="38"/>
        <v>-19.312887500000034</v>
      </c>
      <c r="AL32" s="14">
        <f>IF(AG32="Y",LININTERP(AK32,XS_Designer_Calculations!$AY$4:$AY$104,XS_Designer_Calculations!$AZ$4:$AZ$104),AL31)</f>
        <v>3.0552327500000009</v>
      </c>
      <c r="AM32" s="14">
        <f t="shared" si="16"/>
        <v>1.9447672499999991</v>
      </c>
      <c r="AN32" s="14">
        <f t="shared" si="17"/>
        <v>0.52826109358906226</v>
      </c>
      <c r="AO32" s="46">
        <f t="shared" si="18"/>
        <v>0.27206689706083664</v>
      </c>
      <c r="AP32" s="46">
        <f t="shared" si="19"/>
        <v>1.9416588320590074</v>
      </c>
      <c r="AQ32" s="46">
        <f t="shared" si="20"/>
        <v>8.6035107064681392E-3</v>
      </c>
      <c r="AR32" s="14">
        <f>IFERROR(IF(AG32="Y",VLOOKUP(AK32,XS_Designer_Calculations!$R$5:$T$104,3,TRUE),0),0)</f>
        <v>0.1</v>
      </c>
      <c r="AS32" s="46">
        <f t="shared" si="21"/>
        <v>0.01</v>
      </c>
      <c r="AT32" s="14">
        <f t="shared" si="22"/>
        <v>12.217510396108711</v>
      </c>
      <c r="AU32" s="14">
        <f>AT32*XS_Designer_Calculations!$I$7^0.5</f>
        <v>1.2217510396108713</v>
      </c>
      <c r="AV32" s="14">
        <f t="shared" si="23"/>
        <v>2.3127787649667031</v>
      </c>
      <c r="AW32" s="14">
        <f t="shared" si="24"/>
        <v>1.2115951112048204</v>
      </c>
      <c r="AX32" s="14">
        <f t="shared" si="25"/>
        <v>5</v>
      </c>
      <c r="AY32" s="46">
        <f t="shared" si="26"/>
        <v>1.9420471249999991</v>
      </c>
      <c r="AZ32" s="14">
        <f>((AS32*AP32)/(1.65*XS_Designer!$S$99))*12</f>
        <v>6.8006841690534054</v>
      </c>
      <c r="BA32" s="14">
        <f>(AW32/((1.65*62.4)*XS_Designer!$AA$53))*12</f>
        <v>2.353525857041221</v>
      </c>
      <c r="BB32" s="14">
        <f t="shared" si="27"/>
        <v>3.7553825751175829</v>
      </c>
      <c r="BC32" s="14">
        <f t="shared" si="28"/>
        <v>6.9006127363028229</v>
      </c>
      <c r="BD32" s="14">
        <f>IF(ISNUMBER(LININTERP(AW32,Permissible_Shear!$T$178:$T$188,Permissible_Shear!$V$178:$V$188)),LININTERP(AW32,Permissible_Shear!$T$178:$T$188,Permissible_Shear!$V$178:$V$188),0)</f>
        <v>4.0343961305284957</v>
      </c>
      <c r="BE32" s="14">
        <f>LININTERP(AW32,Permissible_Shear!$S$205:$S$222,Permissible_Shear!$V$205:$V$222)</f>
        <v>4.0987347225150632</v>
      </c>
      <c r="BF32" s="14">
        <f>INDEX($AZ$3:$BE$204,ROW(BF32)-2,MATCH(XS_Designer!$W$5,XS_Designer_Summary!$AZ$2:$BE$2,0))</f>
        <v>3.7553825751175829</v>
      </c>
      <c r="BG32" s="79">
        <f t="shared" si="29"/>
        <v>2.3127787649667031</v>
      </c>
      <c r="BH32" s="79">
        <f t="shared" si="30"/>
        <v>0</v>
      </c>
      <c r="BI32" s="79">
        <f t="shared" si="31"/>
        <v>0</v>
      </c>
      <c r="BJ32" s="79">
        <f t="shared" si="32"/>
        <v>1.2115951112048204</v>
      </c>
      <c r="BK32" s="79">
        <f t="shared" si="33"/>
        <v>0</v>
      </c>
      <c r="BL32" s="79">
        <f t="shared" si="34"/>
        <v>0</v>
      </c>
      <c r="BM32" s="124">
        <f t="shared" si="35"/>
        <v>1.9416588320590074</v>
      </c>
      <c r="BN32" s="124">
        <f t="shared" si="36"/>
        <v>0</v>
      </c>
      <c r="BO32" s="124">
        <f t="shared" si="37"/>
        <v>0</v>
      </c>
    </row>
    <row r="33" spans="1:67" ht="15">
      <c r="A33" s="2"/>
      <c r="B33" s="27"/>
      <c r="C33" s="27"/>
      <c r="D33" s="40"/>
      <c r="E33" s="40"/>
      <c r="F33" s="27"/>
      <c r="G33" s="27"/>
      <c r="H33" s="27"/>
      <c r="I33" s="27"/>
      <c r="J33" s="19"/>
      <c r="K33" s="19"/>
      <c r="L33" s="19"/>
      <c r="M33" s="19"/>
      <c r="P33" s="2"/>
      <c r="S33" s="2"/>
      <c r="V33" s="1"/>
      <c r="W33" s="1"/>
      <c r="AA33" s="2"/>
      <c r="AB33" s="188" t="s">
        <v>709</v>
      </c>
      <c r="AD33" s="3">
        <v>29</v>
      </c>
      <c r="AE33" s="3" t="str">
        <f t="shared" si="13"/>
        <v>Left</v>
      </c>
      <c r="AF33" s="3" t="str">
        <f t="shared" si="14"/>
        <v>LOB</v>
      </c>
      <c r="AG33" s="3" t="str">
        <f>IF(XS_Designer_Summary!$AB$24&gt;=XS_Designer_Summary!AD33,"Y","N")</f>
        <v>Y</v>
      </c>
      <c r="AH33" s="45">
        <v>1</v>
      </c>
      <c r="AI33" s="45">
        <f>IF(AG33="Y",$O$19/XS_Designer_Summary!$AB$24,0)</f>
        <v>0.27201249999999999</v>
      </c>
      <c r="AJ33" s="45">
        <f t="shared" si="15"/>
        <v>0.27201249999999999</v>
      </c>
      <c r="AK33" s="14">
        <f t="shared" si="38"/>
        <v>-19.040875000000035</v>
      </c>
      <c r="AL33" s="14">
        <f>IF(AG33="Y",LININTERP(AK33,XS_Designer_Calculations!$AY$4:$AY$104,XS_Designer_Calculations!$AZ$4:$AZ$104),AL32)</f>
        <v>3.049792500000001</v>
      </c>
      <c r="AM33" s="14">
        <f t="shared" si="16"/>
        <v>1.950207499999999</v>
      </c>
      <c r="AN33" s="14">
        <f t="shared" si="17"/>
        <v>0.52974090959218723</v>
      </c>
      <c r="AO33" s="46">
        <f t="shared" si="18"/>
        <v>0.27206689706083664</v>
      </c>
      <c r="AP33" s="46">
        <f t="shared" si="19"/>
        <v>1.9470979943353135</v>
      </c>
      <c r="AQ33" s="46">
        <f t="shared" si="20"/>
        <v>8.6035107064681392E-3</v>
      </c>
      <c r="AR33" s="14">
        <f>IFERROR(IF(AG33="Y",VLOOKUP(AK33,XS_Designer_Calculations!$R$5:$T$104,3,TRUE),0),0)</f>
        <v>0.1</v>
      </c>
      <c r="AS33" s="46">
        <f t="shared" si="21"/>
        <v>0.01</v>
      </c>
      <c r="AT33" s="14">
        <f t="shared" si="22"/>
        <v>12.274605093354104</v>
      </c>
      <c r="AU33" s="14">
        <f>AT33*XS_Designer_Calculations!$I$7^0.5</f>
        <v>1.2274605093354105</v>
      </c>
      <c r="AV33" s="14">
        <f t="shared" si="23"/>
        <v>2.3170959371069753</v>
      </c>
      <c r="AW33" s="14">
        <f t="shared" si="24"/>
        <v>1.2149891484652355</v>
      </c>
      <c r="AX33" s="14">
        <f t="shared" si="25"/>
        <v>5</v>
      </c>
      <c r="AY33" s="46">
        <f t="shared" si="26"/>
        <v>1.947487374999999</v>
      </c>
      <c r="AZ33" s="14">
        <f>((AS33*AP33)/(1.65*XS_Designer!$S$99))*12</f>
        <v>6.8197349024647753</v>
      </c>
      <c r="BA33" s="14">
        <f>(AW33/((1.65*62.4)*XS_Designer!$AA$53))*12</f>
        <v>2.3601187810125013</v>
      </c>
      <c r="BB33" s="14">
        <f t="shared" si="27"/>
        <v>3.7663296633927428</v>
      </c>
      <c r="BC33" s="14">
        <f t="shared" si="28"/>
        <v>6.9148053064216928</v>
      </c>
      <c r="BD33" s="14">
        <f>IF(ISNUMBER(LININTERP(AW33,Permissible_Shear!$T$178:$T$188,Permissible_Shear!$V$178:$V$188)),LININTERP(AW33,Permissible_Shear!$T$178:$T$188,Permissible_Shear!$V$178:$V$188),0)</f>
        <v>4.0449976655385775</v>
      </c>
      <c r="BE33" s="14">
        <f>LININTERP(AW33,Permissible_Shear!$S$205:$S$222,Permissible_Shear!$V$205:$V$222)</f>
        <v>4.1093410889538609</v>
      </c>
      <c r="BF33" s="14">
        <f>INDEX($AZ$3:$BE$204,ROW(BF33)-2,MATCH(XS_Designer!$W$5,XS_Designer_Summary!$AZ$2:$BE$2,0))</f>
        <v>3.7663296633927428</v>
      </c>
      <c r="BG33" s="79">
        <f t="shared" si="29"/>
        <v>2.3170959371069753</v>
      </c>
      <c r="BH33" s="79">
        <f t="shared" si="30"/>
        <v>0</v>
      </c>
      <c r="BI33" s="79">
        <f t="shared" si="31"/>
        <v>0</v>
      </c>
      <c r="BJ33" s="79">
        <f t="shared" si="32"/>
        <v>1.2149891484652355</v>
      </c>
      <c r="BK33" s="79">
        <f t="shared" si="33"/>
        <v>0</v>
      </c>
      <c r="BL33" s="79">
        <f t="shared" si="34"/>
        <v>0</v>
      </c>
      <c r="BM33" s="124">
        <f t="shared" si="35"/>
        <v>1.9470979943353135</v>
      </c>
      <c r="BN33" s="124">
        <f t="shared" si="36"/>
        <v>0</v>
      </c>
      <c r="BO33" s="124">
        <f t="shared" si="37"/>
        <v>0</v>
      </c>
    </row>
    <row r="34" spans="1:67" ht="15">
      <c r="A34" s="2"/>
      <c r="B34" s="27"/>
      <c r="C34" s="27"/>
      <c r="D34" s="40"/>
      <c r="E34" s="40"/>
      <c r="F34" s="27"/>
      <c r="G34" s="27"/>
      <c r="H34" s="27"/>
      <c r="I34" s="27"/>
      <c r="J34" s="19"/>
      <c r="K34" s="19"/>
      <c r="L34" s="19"/>
      <c r="M34" s="19"/>
      <c r="P34" s="2"/>
      <c r="S34" s="2"/>
      <c r="V34" s="1"/>
      <c r="W34" s="1"/>
      <c r="AA34" s="2"/>
      <c r="AB34" s="169">
        <f>XS_Designer!$Q$5</f>
        <v>-50</v>
      </c>
      <c r="AD34" s="3">
        <v>30</v>
      </c>
      <c r="AE34" s="3" t="str">
        <f t="shared" si="13"/>
        <v>Left</v>
      </c>
      <c r="AF34" s="3" t="str">
        <f t="shared" si="14"/>
        <v>LOB</v>
      </c>
      <c r="AG34" s="3" t="str">
        <f>IF(XS_Designer_Summary!$AB$24&gt;=XS_Designer_Summary!AD34,"Y","N")</f>
        <v>Y</v>
      </c>
      <c r="AH34" s="45">
        <v>1</v>
      </c>
      <c r="AI34" s="45">
        <f>IF(AG34="Y",$O$19/XS_Designer_Summary!$AB$24,0)</f>
        <v>0.27201249999999999</v>
      </c>
      <c r="AJ34" s="45">
        <f t="shared" si="15"/>
        <v>0.27201249999999999</v>
      </c>
      <c r="AK34" s="14">
        <f t="shared" si="38"/>
        <v>-18.768862500000036</v>
      </c>
      <c r="AL34" s="14">
        <f>IF(AG34="Y",LININTERP(AK34,XS_Designer_Calculations!$AY$4:$AY$104,XS_Designer_Calculations!$AZ$4:$AZ$104),AL33)</f>
        <v>3.0443522500000011</v>
      </c>
      <c r="AM34" s="14">
        <f t="shared" si="16"/>
        <v>1.9556477499999989</v>
      </c>
      <c r="AN34" s="14">
        <f t="shared" si="17"/>
        <v>0.53122072559531219</v>
      </c>
      <c r="AO34" s="46">
        <f t="shared" si="18"/>
        <v>0.27206689706083664</v>
      </c>
      <c r="AP34" s="46">
        <f t="shared" si="19"/>
        <v>1.9525371566116196</v>
      </c>
      <c r="AQ34" s="46">
        <f t="shared" si="20"/>
        <v>8.6035107064681392E-3</v>
      </c>
      <c r="AR34" s="14">
        <f>IFERROR(IF(AG34="Y",VLOOKUP(AK34,XS_Designer_Calculations!$R$5:$T$104,3,TRUE),0),0)</f>
        <v>0.1</v>
      </c>
      <c r="AS34" s="46">
        <f t="shared" si="21"/>
        <v>0.01</v>
      </c>
      <c r="AT34" s="14">
        <f t="shared" si="22"/>
        <v>12.331806218025353</v>
      </c>
      <c r="AU34" s="14">
        <f>AT34*XS_Designer_Calculations!$I$7^0.5</f>
        <v>1.2331806218025354</v>
      </c>
      <c r="AV34" s="14">
        <f t="shared" si="23"/>
        <v>2.3214090911467586</v>
      </c>
      <c r="AW34" s="14">
        <f t="shared" si="24"/>
        <v>1.2183831857256506</v>
      </c>
      <c r="AX34" s="14">
        <f t="shared" si="25"/>
        <v>5</v>
      </c>
      <c r="AY34" s="46">
        <f t="shared" si="26"/>
        <v>1.9529276249999989</v>
      </c>
      <c r="AZ34" s="14">
        <f>((AS34*AP34)/(1.65*XS_Designer!$S$99))*12</f>
        <v>6.8387856358761443</v>
      </c>
      <c r="BA34" s="14">
        <f>(AW34/((1.65*62.4)*XS_Designer!$AA$53))*12</f>
        <v>2.3667117049837816</v>
      </c>
      <c r="BB34" s="14">
        <f t="shared" si="27"/>
        <v>3.7772780343290471</v>
      </c>
      <c r="BC34" s="14">
        <f t="shared" si="28"/>
        <v>6.9289874085050505</v>
      </c>
      <c r="BD34" s="14">
        <f>IF(ISNUMBER(LININTERP(AW34,Permissible_Shear!$T$178:$T$188,Permissible_Shear!$V$178:$V$188)),LININTERP(AW34,Permissible_Shear!$T$178:$T$188,Permissible_Shear!$V$178:$V$188),0)</f>
        <v>4.0555992005486585</v>
      </c>
      <c r="BE34" s="14">
        <f>LININTERP(AW34,Permissible_Shear!$S$205:$S$222,Permissible_Shear!$V$205:$V$222)</f>
        <v>4.1199474553926576</v>
      </c>
      <c r="BF34" s="14">
        <f>INDEX($AZ$3:$BE$204,ROW(BF34)-2,MATCH(XS_Designer!$W$5,XS_Designer_Summary!$AZ$2:$BE$2,0))</f>
        <v>3.7772780343290471</v>
      </c>
      <c r="BG34" s="79">
        <f t="shared" si="29"/>
        <v>2.3214090911467586</v>
      </c>
      <c r="BH34" s="79">
        <f t="shared" si="30"/>
        <v>0</v>
      </c>
      <c r="BI34" s="79">
        <f t="shared" si="31"/>
        <v>0</v>
      </c>
      <c r="BJ34" s="79">
        <f t="shared" si="32"/>
        <v>1.2183831857256506</v>
      </c>
      <c r="BK34" s="79">
        <f t="shared" si="33"/>
        <v>0</v>
      </c>
      <c r="BL34" s="79">
        <f t="shared" si="34"/>
        <v>0</v>
      </c>
      <c r="BM34" s="124">
        <f t="shared" si="35"/>
        <v>1.9525371566116196</v>
      </c>
      <c r="BN34" s="124">
        <f t="shared" si="36"/>
        <v>0</v>
      </c>
      <c r="BO34" s="124">
        <f t="shared" si="37"/>
        <v>0</v>
      </c>
    </row>
    <row r="35" spans="1:67" ht="15">
      <c r="A35" s="2"/>
      <c r="B35" s="27"/>
      <c r="C35" s="27"/>
      <c r="D35" s="40"/>
      <c r="E35" s="40"/>
      <c r="F35" s="27"/>
      <c r="G35" s="27"/>
      <c r="H35" s="27"/>
      <c r="I35" s="27"/>
      <c r="J35" s="19"/>
      <c r="K35" s="19"/>
      <c r="L35" s="19"/>
      <c r="M35" s="19"/>
      <c r="P35" s="2"/>
      <c r="S35" s="2"/>
      <c r="V35" s="1"/>
      <c r="W35" s="1"/>
      <c r="AA35" s="2"/>
      <c r="AB35" s="188" t="s">
        <v>761</v>
      </c>
      <c r="AD35" s="3">
        <v>31</v>
      </c>
      <c r="AE35" s="3" t="str">
        <f t="shared" si="13"/>
        <v>Left</v>
      </c>
      <c r="AF35" s="3" t="str">
        <f t="shared" si="14"/>
        <v>LOB</v>
      </c>
      <c r="AG35" s="3" t="str">
        <f>IF(XS_Designer_Summary!$AB$24&gt;=XS_Designer_Summary!AD35,"Y","N")</f>
        <v>Y</v>
      </c>
      <c r="AH35" s="45">
        <v>1</v>
      </c>
      <c r="AI35" s="45">
        <f>IF(AG35="Y",$O$19/XS_Designer_Summary!$AB$24,0)</f>
        <v>0.27201249999999999</v>
      </c>
      <c r="AJ35" s="45">
        <f t="shared" si="15"/>
        <v>0.27201249999999999</v>
      </c>
      <c r="AK35" s="14">
        <f t="shared" si="38"/>
        <v>-18.496850000000038</v>
      </c>
      <c r="AL35" s="14">
        <f>IF(AG35="Y",LININTERP(AK35,XS_Designer_Calculations!$AY$4:$AY$104,XS_Designer_Calculations!$AZ$4:$AZ$104),AL34)</f>
        <v>3.0389120000000012</v>
      </c>
      <c r="AM35" s="14">
        <f t="shared" si="16"/>
        <v>1.9610879999999988</v>
      </c>
      <c r="AN35" s="14">
        <f t="shared" si="17"/>
        <v>0.53270054159843716</v>
      </c>
      <c r="AO35" s="46">
        <f t="shared" si="18"/>
        <v>0.27206689706083664</v>
      </c>
      <c r="AP35" s="46">
        <f t="shared" si="19"/>
        <v>1.9579763188879258</v>
      </c>
      <c r="AQ35" s="46">
        <f t="shared" si="20"/>
        <v>8.6035107064681392E-3</v>
      </c>
      <c r="AR35" s="14">
        <f>IFERROR(IF(AG35="Y",VLOOKUP(AK35,XS_Designer_Calculations!$R$5:$T$104,3,TRUE),0),0)</f>
        <v>0.1</v>
      </c>
      <c r="AS35" s="46">
        <f t="shared" si="21"/>
        <v>0.01</v>
      </c>
      <c r="AT35" s="14">
        <f t="shared" si="22"/>
        <v>12.389113671205788</v>
      </c>
      <c r="AU35" s="14">
        <f>AT35*XS_Designer_Calculations!$I$7^0.5</f>
        <v>1.2389113671205789</v>
      </c>
      <c r="AV35" s="14">
        <f t="shared" si="23"/>
        <v>2.325718242003405</v>
      </c>
      <c r="AW35" s="14">
        <f t="shared" si="24"/>
        <v>1.2217772229860657</v>
      </c>
      <c r="AX35" s="14">
        <f t="shared" si="25"/>
        <v>5</v>
      </c>
      <c r="AY35" s="46">
        <f t="shared" si="26"/>
        <v>1.9583678749999989</v>
      </c>
      <c r="AZ35" s="14">
        <f>((AS35*AP35)/(1.65*XS_Designer!$S$99))*12</f>
        <v>6.8578363692875151</v>
      </c>
      <c r="BA35" s="14">
        <f>(AW35/((1.65*62.4)*XS_Designer!$AA$53))*12</f>
        <v>2.3733046289550619</v>
      </c>
      <c r="BB35" s="14">
        <f t="shared" si="27"/>
        <v>3.7882276845080227</v>
      </c>
      <c r="BC35" s="14">
        <f t="shared" si="28"/>
        <v>6.943159079361866</v>
      </c>
      <c r="BD35" s="14">
        <f>IF(ISNUMBER(LININTERP(AW35,Permissible_Shear!$T$178:$T$188,Permissible_Shear!$V$178:$V$188)),LININTERP(AW35,Permissible_Shear!$T$178:$T$188,Permissible_Shear!$V$178:$V$188),0)</f>
        <v>4.0662007355587404</v>
      </c>
      <c r="BE35" s="14">
        <f>LININTERP(AW35,Permissible_Shear!$S$205:$S$222,Permissible_Shear!$V$205:$V$222)</f>
        <v>4.1305538218314553</v>
      </c>
      <c r="BF35" s="14">
        <f>INDEX($AZ$3:$BE$204,ROW(BF35)-2,MATCH(XS_Designer!$W$5,XS_Designer_Summary!$AZ$2:$BE$2,0))</f>
        <v>3.7882276845080227</v>
      </c>
      <c r="BG35" s="79">
        <f t="shared" si="29"/>
        <v>2.325718242003405</v>
      </c>
      <c r="BH35" s="79">
        <f t="shared" si="30"/>
        <v>0</v>
      </c>
      <c r="BI35" s="79">
        <f t="shared" si="31"/>
        <v>0</v>
      </c>
      <c r="BJ35" s="79">
        <f t="shared" si="32"/>
        <v>1.2217772229860657</v>
      </c>
      <c r="BK35" s="79">
        <f t="shared" si="33"/>
        <v>0</v>
      </c>
      <c r="BL35" s="79">
        <f t="shared" si="34"/>
        <v>0</v>
      </c>
      <c r="BM35" s="124">
        <f t="shared" si="35"/>
        <v>1.9579763188879258</v>
      </c>
      <c r="BN35" s="124">
        <f t="shared" si="36"/>
        <v>0</v>
      </c>
      <c r="BO35" s="124">
        <f t="shared" si="37"/>
        <v>0</v>
      </c>
    </row>
    <row r="36" spans="1:67" ht="15">
      <c r="A36" s="2"/>
      <c r="B36" s="2"/>
      <c r="C36" s="2"/>
      <c r="D36" s="40"/>
      <c r="E36" s="40"/>
      <c r="F36" s="2"/>
      <c r="G36" s="2"/>
      <c r="H36" s="2"/>
      <c r="I36" s="2"/>
      <c r="J36" s="19"/>
      <c r="K36" s="19"/>
      <c r="L36" s="19"/>
      <c r="M36" s="19"/>
      <c r="P36" s="2"/>
      <c r="S36" s="2"/>
      <c r="V36" s="1"/>
      <c r="W36" s="1"/>
      <c r="Z36" s="2"/>
      <c r="AA36" s="2"/>
      <c r="AB36" s="169">
        <f>XS_Designer!$R$5</f>
        <v>90</v>
      </c>
      <c r="AD36" s="3">
        <v>32</v>
      </c>
      <c r="AE36" s="3" t="str">
        <f t="shared" si="13"/>
        <v>Left</v>
      </c>
      <c r="AF36" s="3" t="str">
        <f t="shared" si="14"/>
        <v>LOB</v>
      </c>
      <c r="AG36" s="3" t="str">
        <f>IF(XS_Designer_Summary!$AB$24&gt;=XS_Designer_Summary!AD36,"Y","N")</f>
        <v>Y</v>
      </c>
      <c r="AH36" s="45">
        <v>1</v>
      </c>
      <c r="AI36" s="45">
        <f>IF(AG36="Y",$O$19/XS_Designer_Summary!$AB$24,0)</f>
        <v>0.27201249999999999</v>
      </c>
      <c r="AJ36" s="45">
        <f t="shared" si="15"/>
        <v>0.27201249999999999</v>
      </c>
      <c r="AK36" s="14">
        <f t="shared" si="38"/>
        <v>-18.224837500000039</v>
      </c>
      <c r="AL36" s="14">
        <f>IF(AG36="Y",LININTERP(AK36,XS_Designer_Calculations!$AY$4:$AY$104,XS_Designer_Calculations!$AZ$4:$AZ$104),AL35)</f>
        <v>3.0334717500000012</v>
      </c>
      <c r="AM36" s="14">
        <f t="shared" si="16"/>
        <v>1.9665282499999988</v>
      </c>
      <c r="AN36" s="14">
        <f t="shared" si="17"/>
        <v>0.53418035760156213</v>
      </c>
      <c r="AO36" s="46">
        <f t="shared" si="18"/>
        <v>0.27206689706083664</v>
      </c>
      <c r="AP36" s="46">
        <f t="shared" si="19"/>
        <v>1.9634154811642319</v>
      </c>
      <c r="AQ36" s="46">
        <f t="shared" si="20"/>
        <v>8.6035107064681392E-3</v>
      </c>
      <c r="AR36" s="14">
        <f>IFERROR(IF(AG36="Y",VLOOKUP(AK36,XS_Designer_Calculations!$R$5:$T$104,3,TRUE),0),0)</f>
        <v>0.1</v>
      </c>
      <c r="AS36" s="46">
        <f t="shared" si="21"/>
        <v>0.01</v>
      </c>
      <c r="AT36" s="14">
        <f t="shared" si="22"/>
        <v>12.446527354345465</v>
      </c>
      <c r="AU36" s="14">
        <f>AT36*XS_Designer_Calculations!$I$7^0.5</f>
        <v>1.2446527354345465</v>
      </c>
      <c r="AV36" s="14">
        <f t="shared" si="23"/>
        <v>2.3300234044976174</v>
      </c>
      <c r="AW36" s="14">
        <f t="shared" si="24"/>
        <v>1.2251712602464806</v>
      </c>
      <c r="AX36" s="14">
        <f t="shared" si="25"/>
        <v>5</v>
      </c>
      <c r="AY36" s="46">
        <f t="shared" si="26"/>
        <v>1.9638081249999988</v>
      </c>
      <c r="AZ36" s="14">
        <f>((AS36*AP36)/(1.65*XS_Designer!$S$99))*12</f>
        <v>6.8768871026988849</v>
      </c>
      <c r="BA36" s="14">
        <f>(AW36/((1.65*62.4)*XS_Designer!$AA$53))*12</f>
        <v>2.3798975529263418</v>
      </c>
      <c r="BB36" s="14">
        <f t="shared" si="27"/>
        <v>3.7991786105297676</v>
      </c>
      <c r="BC36" s="14">
        <f t="shared" si="28"/>
        <v>6.957320355569955</v>
      </c>
      <c r="BD36" s="14">
        <f>IF(ISNUMBER(LININTERP(AW36,Permissible_Shear!$T$178:$T$188,Permissible_Shear!$V$178:$V$188)),LININTERP(AW36,Permissible_Shear!$T$178:$T$188,Permissible_Shear!$V$178:$V$188),0)</f>
        <v>4.0768022705688214</v>
      </c>
      <c r="BE36" s="14">
        <f>LININTERP(AW36,Permissible_Shear!$S$205:$S$222,Permissible_Shear!$V$205:$V$222)</f>
        <v>4.141160188270252</v>
      </c>
      <c r="BF36" s="14">
        <f>INDEX($AZ$3:$BE$204,ROW(BF36)-2,MATCH(XS_Designer!$W$5,XS_Designer_Summary!$AZ$2:$BE$2,0))</f>
        <v>3.7991786105297676</v>
      </c>
      <c r="BG36" s="79">
        <f t="shared" si="29"/>
        <v>2.3300234044976174</v>
      </c>
      <c r="BH36" s="79">
        <f t="shared" si="30"/>
        <v>0</v>
      </c>
      <c r="BI36" s="79">
        <f t="shared" si="31"/>
        <v>0</v>
      </c>
      <c r="BJ36" s="79">
        <f t="shared" si="32"/>
        <v>1.2251712602464806</v>
      </c>
      <c r="BK36" s="79">
        <f t="shared" si="33"/>
        <v>0</v>
      </c>
      <c r="BL36" s="79">
        <f t="shared" si="34"/>
        <v>0</v>
      </c>
      <c r="BM36" s="124">
        <f t="shared" si="35"/>
        <v>1.9634154811642319</v>
      </c>
      <c r="BN36" s="124">
        <f t="shared" si="36"/>
        <v>0</v>
      </c>
      <c r="BO36" s="124">
        <f t="shared" si="37"/>
        <v>0</v>
      </c>
    </row>
    <row r="37" spans="1:67" ht="15">
      <c r="A37" s="2"/>
      <c r="B37" s="27"/>
      <c r="C37" s="27"/>
      <c r="D37" s="40"/>
      <c r="E37" s="40"/>
      <c r="F37" s="27"/>
      <c r="G37" s="27"/>
      <c r="H37" s="27"/>
      <c r="I37" s="27"/>
      <c r="J37" s="19"/>
      <c r="K37" s="19"/>
      <c r="L37" s="19"/>
      <c r="M37" s="19"/>
      <c r="P37" s="2"/>
      <c r="S37" s="2"/>
      <c r="V37" s="1"/>
      <c r="W37" s="1"/>
      <c r="Z37" s="2"/>
      <c r="AA37" s="2"/>
      <c r="AD37" s="3">
        <v>33</v>
      </c>
      <c r="AE37" s="3" t="str">
        <f t="shared" si="13"/>
        <v>Left</v>
      </c>
      <c r="AF37" s="3" t="str">
        <f t="shared" si="14"/>
        <v>LOB</v>
      </c>
      <c r="AG37" s="3" t="str">
        <f>IF(XS_Designer_Summary!$AB$24&gt;=XS_Designer_Summary!AD37,"Y","N")</f>
        <v>Y</v>
      </c>
      <c r="AH37" s="45">
        <v>1</v>
      </c>
      <c r="AI37" s="45">
        <f>IF(AG37="Y",$O$19/XS_Designer_Summary!$AB$24,0)</f>
        <v>0.27201249999999999</v>
      </c>
      <c r="AJ37" s="45">
        <f t="shared" si="15"/>
        <v>0.27201249999999999</v>
      </c>
      <c r="AK37" s="14">
        <f t="shared" si="38"/>
        <v>-17.95282500000004</v>
      </c>
      <c r="AL37" s="14">
        <f>IF(AG37="Y",LININTERP(AK37,XS_Designer_Calculations!$AY$4:$AY$104,XS_Designer_Calculations!$AZ$4:$AZ$104),AL36)</f>
        <v>3.0280315000000013</v>
      </c>
      <c r="AM37" s="14">
        <f t="shared" si="16"/>
        <v>1.9719684999999987</v>
      </c>
      <c r="AN37" s="14">
        <f t="shared" si="17"/>
        <v>0.5356601736046871</v>
      </c>
      <c r="AO37" s="46">
        <f t="shared" si="18"/>
        <v>0.27206689706083664</v>
      </c>
      <c r="AP37" s="46">
        <f t="shared" si="19"/>
        <v>1.9688546434405381</v>
      </c>
      <c r="AQ37" s="46">
        <f t="shared" si="20"/>
        <v>8.6035107064681392E-3</v>
      </c>
      <c r="AR37" s="14">
        <f>IFERROR(IF(AG37="Y",VLOOKUP(AK37,XS_Designer_Calculations!$R$5:$T$104,3,TRUE),0),0)</f>
        <v>0.1</v>
      </c>
      <c r="AS37" s="46">
        <f t="shared" si="21"/>
        <v>0.01</v>
      </c>
      <c r="AT37" s="14">
        <f t="shared" si="22"/>
        <v>12.504047169258788</v>
      </c>
      <c r="AU37" s="14">
        <f>AT37*XS_Designer_Calculations!$I$7^0.5</f>
        <v>1.250404716925879</v>
      </c>
      <c r="AV37" s="14">
        <f t="shared" si="23"/>
        <v>2.3343245933543448</v>
      </c>
      <c r="AW37" s="14">
        <f t="shared" si="24"/>
        <v>1.2285652975068957</v>
      </c>
      <c r="AX37" s="14">
        <f t="shared" si="25"/>
        <v>5</v>
      </c>
      <c r="AY37" s="46">
        <f t="shared" si="26"/>
        <v>1.9692483749999985</v>
      </c>
      <c r="AZ37" s="14">
        <f>((AS37*AP37)/(1.65*XS_Designer!$S$99))*12</f>
        <v>6.895937836110253</v>
      </c>
      <c r="BA37" s="14">
        <f>(AW37/((1.65*62.4)*XS_Designer!$AA$53))*12</f>
        <v>2.3864904768976221</v>
      </c>
      <c r="BB37" s="14">
        <f t="shared" si="27"/>
        <v>3.8101308090127932</v>
      </c>
      <c r="BC37" s="14">
        <f t="shared" si="28"/>
        <v>6.9714712734780706</v>
      </c>
      <c r="BD37" s="14">
        <f>IF(ISNUMBER(LININTERP(AW37,Permissible_Shear!$T$178:$T$188,Permissible_Shear!$V$178:$V$188)),LININTERP(AW37,Permissible_Shear!$T$178:$T$188,Permissible_Shear!$V$178:$V$188),0)</f>
        <v>4.0874038055789033</v>
      </c>
      <c r="BE37" s="14">
        <f>LININTERP(AW37,Permissible_Shear!$S$205:$S$222,Permissible_Shear!$V$205:$V$222)</f>
        <v>4.1517665547090488</v>
      </c>
      <c r="BF37" s="14">
        <f>INDEX($AZ$3:$BE$204,ROW(BF37)-2,MATCH(XS_Designer!$W$5,XS_Designer_Summary!$AZ$2:$BE$2,0))</f>
        <v>3.8101308090127932</v>
      </c>
      <c r="BG37" s="79">
        <f t="shared" si="29"/>
        <v>2.3343245933543448</v>
      </c>
      <c r="BH37" s="79">
        <f t="shared" si="30"/>
        <v>0</v>
      </c>
      <c r="BI37" s="79">
        <f t="shared" si="31"/>
        <v>0</v>
      </c>
      <c r="BJ37" s="79">
        <f t="shared" si="32"/>
        <v>1.2285652975068957</v>
      </c>
      <c r="BK37" s="79">
        <f t="shared" si="33"/>
        <v>0</v>
      </c>
      <c r="BL37" s="79">
        <f t="shared" si="34"/>
        <v>0</v>
      </c>
      <c r="BM37" s="124">
        <f t="shared" si="35"/>
        <v>1.9688546434405381</v>
      </c>
      <c r="BN37" s="124">
        <f t="shared" si="36"/>
        <v>0</v>
      </c>
      <c r="BO37" s="124">
        <f t="shared" si="37"/>
        <v>0</v>
      </c>
    </row>
    <row r="38" spans="1:67" ht="15">
      <c r="A38" s="2"/>
      <c r="B38" s="2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P38" s="2"/>
      <c r="S38" s="2"/>
      <c r="V38" s="1"/>
      <c r="W38" s="1"/>
      <c r="Z38" s="2"/>
      <c r="AA38" s="2"/>
      <c r="AD38" s="3">
        <v>34</v>
      </c>
      <c r="AE38" s="3" t="str">
        <f t="shared" si="13"/>
        <v>Left</v>
      </c>
      <c r="AF38" s="3" t="str">
        <f t="shared" si="14"/>
        <v>LOB</v>
      </c>
      <c r="AG38" s="3" t="str">
        <f>IF(XS_Designer_Summary!$AB$24&gt;=XS_Designer_Summary!AD38,"Y","N")</f>
        <v>Y</v>
      </c>
      <c r="AH38" s="45">
        <v>1</v>
      </c>
      <c r="AI38" s="45">
        <f>IF(AG38="Y",$O$19/XS_Designer_Summary!$AB$24,0)</f>
        <v>0.27201249999999999</v>
      </c>
      <c r="AJ38" s="45">
        <f t="shared" si="15"/>
        <v>0.27201249999999999</v>
      </c>
      <c r="AK38" s="14">
        <f t="shared" si="38"/>
        <v>-17.680812500000041</v>
      </c>
      <c r="AL38" s="14">
        <f>IF(AG38="Y",LININTERP(AK38,XS_Designer_Calculations!$AY$4:$AY$104,XS_Designer_Calculations!$AZ$4:$AZ$104),AL37)</f>
        <v>3.0225912500000014</v>
      </c>
      <c r="AM38" s="14">
        <f t="shared" si="16"/>
        <v>1.9774087499999986</v>
      </c>
      <c r="AN38" s="14">
        <f t="shared" si="17"/>
        <v>0.53713998960781206</v>
      </c>
      <c r="AO38" s="46">
        <f t="shared" si="18"/>
        <v>0.27206689706083664</v>
      </c>
      <c r="AP38" s="46">
        <f t="shared" si="19"/>
        <v>1.9742938057168442</v>
      </c>
      <c r="AQ38" s="46">
        <f t="shared" si="20"/>
        <v>8.6035107064681392E-3</v>
      </c>
      <c r="AR38" s="14">
        <f>IFERROR(IF(AG38="Y",VLOOKUP(AK38,XS_Designer_Calculations!$R$5:$T$104,3,TRUE),0),0)</f>
        <v>0.1</v>
      </c>
      <c r="AS38" s="46">
        <f t="shared" si="21"/>
        <v>0.01</v>
      </c>
      <c r="AT38" s="14">
        <f t="shared" si="22"/>
        <v>12.561673018122161</v>
      </c>
      <c r="AU38" s="14">
        <f>AT38*XS_Designer_Calculations!$I$7^0.5</f>
        <v>1.2561673018122161</v>
      </c>
      <c r="AV38" s="14">
        <f t="shared" si="23"/>
        <v>2.3386218232036593</v>
      </c>
      <c r="AW38" s="14">
        <f t="shared" si="24"/>
        <v>1.2319593347673108</v>
      </c>
      <c r="AX38" s="14">
        <f t="shared" si="25"/>
        <v>5</v>
      </c>
      <c r="AY38" s="46">
        <f t="shared" si="26"/>
        <v>1.9746886249999984</v>
      </c>
      <c r="AZ38" s="14">
        <f>((AS38*AP38)/(1.65*XS_Designer!$S$99))*12</f>
        <v>6.9149885695216238</v>
      </c>
      <c r="BA38" s="14">
        <f>(AW38/((1.65*62.4)*XS_Designer!$AA$53))*12</f>
        <v>2.3930834008689024</v>
      </c>
      <c r="BB38" s="14">
        <f t="shared" si="27"/>
        <v>3.8210842765938806</v>
      </c>
      <c r="BC38" s="14">
        <f t="shared" si="28"/>
        <v>6.9856118692079709</v>
      </c>
      <c r="BD38" s="14">
        <f>IF(ISNUMBER(LININTERP(AW38,Permissible_Shear!$T$178:$T$188,Permissible_Shear!$V$178:$V$188)),LININTERP(AW38,Permissible_Shear!$T$178:$T$188,Permissible_Shear!$V$178:$V$188),0)</f>
        <v>4.0980053405889851</v>
      </c>
      <c r="BE38" s="14">
        <f>LININTERP(AW38,Permissible_Shear!$S$205:$S$222,Permissible_Shear!$V$205:$V$222)</f>
        <v>4.1623729211478464</v>
      </c>
      <c r="BF38" s="14">
        <f>INDEX($AZ$3:$BE$204,ROW(BF38)-2,MATCH(XS_Designer!$W$5,XS_Designer_Summary!$AZ$2:$BE$2,0))</f>
        <v>3.8210842765938806</v>
      </c>
      <c r="BG38" s="79">
        <f t="shared" si="29"/>
        <v>2.3386218232036593</v>
      </c>
      <c r="BH38" s="79">
        <f t="shared" si="30"/>
        <v>0</v>
      </c>
      <c r="BI38" s="79">
        <f t="shared" si="31"/>
        <v>0</v>
      </c>
      <c r="BJ38" s="79">
        <f t="shared" si="32"/>
        <v>1.2319593347673108</v>
      </c>
      <c r="BK38" s="79">
        <f t="shared" si="33"/>
        <v>0</v>
      </c>
      <c r="BL38" s="79">
        <f t="shared" si="34"/>
        <v>0</v>
      </c>
      <c r="BM38" s="124">
        <f t="shared" si="35"/>
        <v>1.9742938057168442</v>
      </c>
      <c r="BN38" s="124">
        <f t="shared" si="36"/>
        <v>0</v>
      </c>
      <c r="BO38" s="124">
        <f t="shared" si="37"/>
        <v>0</v>
      </c>
    </row>
    <row r="39" spans="1:67" ht="15">
      <c r="A39" s="2"/>
      <c r="B39" s="2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P39" s="2"/>
      <c r="S39" s="2"/>
      <c r="V39" s="1"/>
      <c r="W39" s="1"/>
      <c r="Z39" s="2"/>
      <c r="AA39" s="2"/>
      <c r="AD39" s="3">
        <v>35</v>
      </c>
      <c r="AE39" s="3" t="str">
        <f t="shared" si="13"/>
        <v>Left</v>
      </c>
      <c r="AF39" s="3" t="str">
        <f t="shared" si="14"/>
        <v>LOB</v>
      </c>
      <c r="AG39" s="3" t="str">
        <f>IF(XS_Designer_Summary!$AB$24&gt;=XS_Designer_Summary!AD39,"Y","N")</f>
        <v>Y</v>
      </c>
      <c r="AH39" s="45">
        <v>1</v>
      </c>
      <c r="AI39" s="45">
        <f>IF(AG39="Y",$O$19/XS_Designer_Summary!$AB$24,0)</f>
        <v>0.27201249999999999</v>
      </c>
      <c r="AJ39" s="45">
        <f t="shared" si="15"/>
        <v>0.27201249999999999</v>
      </c>
      <c r="AK39" s="14">
        <f t="shared" si="38"/>
        <v>-17.408800000000042</v>
      </c>
      <c r="AL39" s="14">
        <f>IF(AG39="Y",LININTERP(AK39,XS_Designer_Calculations!$AY$4:$AY$104,XS_Designer_Calculations!$AZ$4:$AZ$104),AL38)</f>
        <v>3.017151000000001</v>
      </c>
      <c r="AM39" s="14">
        <f t="shared" si="16"/>
        <v>1.982848999999999</v>
      </c>
      <c r="AN39" s="14">
        <f t="shared" si="17"/>
        <v>0.53861980561093714</v>
      </c>
      <c r="AO39" s="46">
        <f t="shared" si="18"/>
        <v>0.27206689706083664</v>
      </c>
      <c r="AP39" s="46">
        <f t="shared" si="19"/>
        <v>1.9797329679931508</v>
      </c>
      <c r="AQ39" s="46">
        <f t="shared" si="20"/>
        <v>8.6035107064681392E-3</v>
      </c>
      <c r="AR39" s="14">
        <f>IFERROR(IF(AG39="Y",VLOOKUP(AK39,XS_Designer_Calculations!$R$5:$T$104,3,TRUE),0),0)</f>
        <v>0.1</v>
      </c>
      <c r="AS39" s="46">
        <f t="shared" si="21"/>
        <v>0.01</v>
      </c>
      <c r="AT39" s="14">
        <f t="shared" si="22"/>
        <v>12.619404803471664</v>
      </c>
      <c r="AU39" s="14">
        <f>AT39*XS_Designer_Calculations!$I$7^0.5</f>
        <v>1.2619404803471665</v>
      </c>
      <c r="AV39" s="14">
        <f t="shared" si="23"/>
        <v>2.3429151085816327</v>
      </c>
      <c r="AW39" s="14">
        <f t="shared" si="24"/>
        <v>1.2353533720277261</v>
      </c>
      <c r="AX39" s="14">
        <f t="shared" si="25"/>
        <v>5</v>
      </c>
      <c r="AY39" s="46">
        <f t="shared" si="26"/>
        <v>1.9801288749999988</v>
      </c>
      <c r="AZ39" s="14">
        <f>((AS39*AP39)/(1.65*XS_Designer!$S$99))*12</f>
        <v>6.9340393029329963</v>
      </c>
      <c r="BA39" s="14">
        <f>(AW39/((1.65*62.4)*XS_Designer!$AA$53))*12</f>
        <v>2.3996763248401831</v>
      </c>
      <c r="BB39" s="14">
        <f t="shared" si="27"/>
        <v>3.8320390099279296</v>
      </c>
      <c r="BC39" s="14">
        <f t="shared" si="28"/>
        <v>6.9997421786564553</v>
      </c>
      <c r="BD39" s="14">
        <f>IF(ISNUMBER(LININTERP(AW39,Permissible_Shear!$T$178:$T$188,Permissible_Shear!$V$178:$V$188)),LININTERP(AW39,Permissible_Shear!$T$178:$T$188,Permissible_Shear!$V$178:$V$188),0)</f>
        <v>4.108606875599067</v>
      </c>
      <c r="BE39" s="14">
        <f>LININTERP(AW39,Permissible_Shear!$S$205:$S$222,Permissible_Shear!$V$205:$V$222)</f>
        <v>4.172979287586644</v>
      </c>
      <c r="BF39" s="14">
        <f>INDEX($AZ$3:$BE$204,ROW(BF39)-2,MATCH(XS_Designer!$W$5,XS_Designer_Summary!$AZ$2:$BE$2,0))</f>
        <v>3.8320390099279296</v>
      </c>
      <c r="BG39" s="79">
        <f t="shared" si="29"/>
        <v>2.3429151085816327</v>
      </c>
      <c r="BH39" s="79">
        <f t="shared" si="30"/>
        <v>0</v>
      </c>
      <c r="BI39" s="79">
        <f t="shared" si="31"/>
        <v>0</v>
      </c>
      <c r="BJ39" s="79">
        <f t="shared" si="32"/>
        <v>1.2353533720277261</v>
      </c>
      <c r="BK39" s="79">
        <f t="shared" si="33"/>
        <v>0</v>
      </c>
      <c r="BL39" s="79">
        <f t="shared" si="34"/>
        <v>0</v>
      </c>
      <c r="BM39" s="124">
        <f t="shared" si="35"/>
        <v>1.9797329679931508</v>
      </c>
      <c r="BN39" s="124">
        <f t="shared" si="36"/>
        <v>0</v>
      </c>
      <c r="BO39" s="124">
        <f t="shared" si="37"/>
        <v>0</v>
      </c>
    </row>
    <row r="40" spans="1:67" ht="15">
      <c r="A40" s="2"/>
      <c r="B40" s="2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P40" s="2"/>
      <c r="S40" s="2"/>
      <c r="V40" s="1"/>
      <c r="W40" s="1"/>
      <c r="Z40" s="2"/>
      <c r="AA40" s="2"/>
      <c r="AD40" s="3">
        <v>36</v>
      </c>
      <c r="AE40" s="3" t="str">
        <f t="shared" si="13"/>
        <v>Left</v>
      </c>
      <c r="AF40" s="3" t="str">
        <f t="shared" si="14"/>
        <v>LOB</v>
      </c>
      <c r="AG40" s="3" t="str">
        <f>IF(XS_Designer_Summary!$AB$24&gt;=XS_Designer_Summary!AD40,"Y","N")</f>
        <v>Y</v>
      </c>
      <c r="AH40" s="45">
        <v>1</v>
      </c>
      <c r="AI40" s="45">
        <f>IF(AG40="Y",$O$19/XS_Designer_Summary!$AB$24,0)</f>
        <v>0.27201249999999999</v>
      </c>
      <c r="AJ40" s="45">
        <f t="shared" si="15"/>
        <v>0.27201249999999999</v>
      </c>
      <c r="AK40" s="14">
        <f t="shared" si="38"/>
        <v>-17.136787500000043</v>
      </c>
      <c r="AL40" s="14">
        <f>IF(AG40="Y",LININTERP(AK40,XS_Designer_Calculations!$AY$4:$AY$104,XS_Designer_Calculations!$AZ$4:$AZ$104),AL39)</f>
        <v>3.0117107500000011</v>
      </c>
      <c r="AM40" s="14">
        <f t="shared" si="16"/>
        <v>1.9882892499999989</v>
      </c>
      <c r="AN40" s="14">
        <f t="shared" si="17"/>
        <v>0.54009962161406222</v>
      </c>
      <c r="AO40" s="46">
        <f t="shared" si="18"/>
        <v>0.27206689706083664</v>
      </c>
      <c r="AP40" s="46">
        <f t="shared" si="19"/>
        <v>1.9851721302694572</v>
      </c>
      <c r="AQ40" s="46">
        <f t="shared" si="20"/>
        <v>8.6035107064681392E-3</v>
      </c>
      <c r="AR40" s="14">
        <f>IFERROR(IF(AG40="Y",VLOOKUP(AK40,XS_Designer_Calculations!$R$5:$T$104,3,TRUE),0),0)</f>
        <v>0.1</v>
      </c>
      <c r="AS40" s="46">
        <f t="shared" si="21"/>
        <v>0.01</v>
      </c>
      <c r="AT40" s="14">
        <f t="shared" si="22"/>
        <v>12.677242428200726</v>
      </c>
      <c r="AU40" s="14">
        <f>AT40*XS_Designer_Calculations!$I$7^0.5</f>
        <v>1.2677242428200728</v>
      </c>
      <c r="AV40" s="14">
        <f t="shared" si="23"/>
        <v>2.3472044639311886</v>
      </c>
      <c r="AW40" s="14">
        <f t="shared" si="24"/>
        <v>1.2387474092881412</v>
      </c>
      <c r="AX40" s="14">
        <f t="shared" si="25"/>
        <v>5</v>
      </c>
      <c r="AY40" s="46">
        <f t="shared" si="26"/>
        <v>1.9855691249999989</v>
      </c>
      <c r="AZ40" s="14">
        <f>((AS40*AP40)/(1.65*XS_Designer!$S$99))*12</f>
        <v>6.9530900363443653</v>
      </c>
      <c r="BA40" s="14">
        <f>(AW40/((1.65*62.4)*XS_Designer!$AA$53))*12</f>
        <v>2.4062692488114634</v>
      </c>
      <c r="BB40" s="14">
        <f t="shared" si="27"/>
        <v>3.8429950056878068</v>
      </c>
      <c r="BC40" s="14">
        <f t="shared" si="28"/>
        <v>7.0138622374973663</v>
      </c>
      <c r="BD40" s="14">
        <f>IF(ISNUMBER(LININTERP(AW40,Permissible_Shear!$T$178:$T$188,Permissible_Shear!$V$178:$V$188)),LININTERP(AW40,Permissible_Shear!$T$178:$T$188,Permissible_Shear!$V$178:$V$188),0)</f>
        <v>4.1192084106091489</v>
      </c>
      <c r="BE40" s="14">
        <f>LININTERP(AW40,Permissible_Shear!$S$205:$S$222,Permissible_Shear!$V$205:$V$222)</f>
        <v>4.1835856540254408</v>
      </c>
      <c r="BF40" s="14">
        <f>INDEX($AZ$3:$BE$204,ROW(BF40)-2,MATCH(XS_Designer!$W$5,XS_Designer_Summary!$AZ$2:$BE$2,0))</f>
        <v>3.8429950056878068</v>
      </c>
      <c r="BG40" s="79">
        <f t="shared" si="29"/>
        <v>2.3472044639311886</v>
      </c>
      <c r="BH40" s="79">
        <f t="shared" si="30"/>
        <v>0</v>
      </c>
      <c r="BI40" s="79">
        <f t="shared" si="31"/>
        <v>0</v>
      </c>
      <c r="BJ40" s="79">
        <f t="shared" si="32"/>
        <v>1.2387474092881412</v>
      </c>
      <c r="BK40" s="79">
        <f t="shared" si="33"/>
        <v>0</v>
      </c>
      <c r="BL40" s="79">
        <f t="shared" si="34"/>
        <v>0</v>
      </c>
      <c r="BM40" s="124">
        <f t="shared" si="35"/>
        <v>1.9851721302694572</v>
      </c>
      <c r="BN40" s="124">
        <f t="shared" si="36"/>
        <v>0</v>
      </c>
      <c r="BO40" s="124">
        <f t="shared" si="37"/>
        <v>0</v>
      </c>
    </row>
    <row r="41" spans="1:67" ht="15">
      <c r="A41" s="2"/>
      <c r="B41" s="2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P41" s="2"/>
      <c r="S41" s="2"/>
      <c r="V41" s="1"/>
      <c r="W41" s="1"/>
      <c r="Z41" s="2"/>
      <c r="AA41" s="2"/>
      <c r="AD41" s="3">
        <v>37</v>
      </c>
      <c r="AE41" s="3" t="str">
        <f t="shared" si="13"/>
        <v>Left</v>
      </c>
      <c r="AF41" s="3" t="str">
        <f t="shared" si="14"/>
        <v>LOB</v>
      </c>
      <c r="AG41" s="3" t="str">
        <f>IF(XS_Designer_Summary!$AB$24&gt;=XS_Designer_Summary!AD41,"Y","N")</f>
        <v>Y</v>
      </c>
      <c r="AH41" s="45">
        <v>1</v>
      </c>
      <c r="AI41" s="45">
        <f>IF(AG41="Y",$O$19/XS_Designer_Summary!$AB$24,0)</f>
        <v>0.27201249999999999</v>
      </c>
      <c r="AJ41" s="45">
        <f t="shared" si="15"/>
        <v>0.27201249999999999</v>
      </c>
      <c r="AK41" s="14">
        <f t="shared" si="38"/>
        <v>-16.864775000000044</v>
      </c>
      <c r="AL41" s="14">
        <f>IF(AG41="Y",LININTERP(AK41,XS_Designer_Calculations!$AY$4:$AY$104,XS_Designer_Calculations!$AZ$4:$AZ$104),AL40)</f>
        <v>3.0062705000000012</v>
      </c>
      <c r="AM41" s="14">
        <f t="shared" si="16"/>
        <v>1.9937294999999988</v>
      </c>
      <c r="AN41" s="14">
        <f t="shared" si="17"/>
        <v>0.54157943761718719</v>
      </c>
      <c r="AO41" s="46">
        <f t="shared" si="18"/>
        <v>0.27206689706083664</v>
      </c>
      <c r="AP41" s="46">
        <f t="shared" si="19"/>
        <v>1.9906112925457633</v>
      </c>
      <c r="AQ41" s="46">
        <f t="shared" si="20"/>
        <v>8.6035107064681392E-3</v>
      </c>
      <c r="AR41" s="14">
        <f>IFERROR(IF(AG41="Y",VLOOKUP(AK41,XS_Designer_Calculations!$R$5:$T$104,3,TRUE),0),0)</f>
        <v>0.1</v>
      </c>
      <c r="AS41" s="46">
        <f t="shared" si="21"/>
        <v>0.01</v>
      </c>
      <c r="AT41" s="14">
        <f t="shared" si="22"/>
        <v>12.735185795557848</v>
      </c>
      <c r="AU41" s="14">
        <f>AT41*XS_Designer_Calculations!$I$7^0.5</f>
        <v>1.2735185795557848</v>
      </c>
      <c r="AV41" s="14">
        <f t="shared" si="23"/>
        <v>2.35148990360296</v>
      </c>
      <c r="AW41" s="14">
        <f t="shared" si="24"/>
        <v>1.2421414465485563</v>
      </c>
      <c r="AX41" s="14">
        <f t="shared" si="25"/>
        <v>5</v>
      </c>
      <c r="AY41" s="46">
        <f t="shared" si="26"/>
        <v>1.9910093749999989</v>
      </c>
      <c r="AZ41" s="14">
        <f>((AS41*AP41)/(1.65*XS_Designer!$S$99))*12</f>
        <v>6.972140769755736</v>
      </c>
      <c r="BA41" s="14">
        <f>(AW41/((1.65*62.4)*XS_Designer!$AA$53))*12</f>
        <v>2.4128621727827437</v>
      </c>
      <c r="BB41" s="14">
        <f t="shared" si="27"/>
        <v>3.8539522605642098</v>
      </c>
      <c r="BC41" s="14">
        <f t="shared" si="28"/>
        <v>7.0279720811835977</v>
      </c>
      <c r="BD41" s="14">
        <f>IF(ISNUMBER(LININTERP(AW41,Permissible_Shear!$T$178:$T$188,Permissible_Shear!$V$178:$V$188)),LININTERP(AW41,Permissible_Shear!$T$178:$T$188,Permissible_Shear!$V$178:$V$188),0)</f>
        <v>4.1298099456192308</v>
      </c>
      <c r="BE41" s="14">
        <f>LININTERP(AW41,Permissible_Shear!$S$205:$S$222,Permissible_Shear!$V$205:$V$222)</f>
        <v>4.1941920204642384</v>
      </c>
      <c r="BF41" s="14">
        <f>INDEX($AZ$3:$BE$204,ROW(BF41)-2,MATCH(XS_Designer!$W$5,XS_Designer_Summary!$AZ$2:$BE$2,0))</f>
        <v>3.8539522605642098</v>
      </c>
      <c r="BG41" s="79">
        <f t="shared" si="29"/>
        <v>2.35148990360296</v>
      </c>
      <c r="BH41" s="79">
        <f t="shared" si="30"/>
        <v>0</v>
      </c>
      <c r="BI41" s="79">
        <f t="shared" si="31"/>
        <v>0</v>
      </c>
      <c r="BJ41" s="79">
        <f t="shared" si="32"/>
        <v>1.2421414465485563</v>
      </c>
      <c r="BK41" s="79">
        <f t="shared" si="33"/>
        <v>0</v>
      </c>
      <c r="BL41" s="79">
        <f t="shared" si="34"/>
        <v>0</v>
      </c>
      <c r="BM41" s="124">
        <f t="shared" si="35"/>
        <v>1.9906112925457633</v>
      </c>
      <c r="BN41" s="124">
        <f t="shared" si="36"/>
        <v>0</v>
      </c>
      <c r="BO41" s="124">
        <f t="shared" si="37"/>
        <v>0</v>
      </c>
    </row>
    <row r="42" spans="1:67" ht="15">
      <c r="A42" s="2"/>
      <c r="B42" s="2"/>
      <c r="C42" s="19"/>
      <c r="D42" s="19"/>
      <c r="E42" s="19"/>
      <c r="F42" s="19"/>
      <c r="G42" s="19"/>
      <c r="H42" s="19"/>
      <c r="I42" s="19"/>
      <c r="J42" s="19"/>
      <c r="K42" s="1"/>
      <c r="L42" s="19"/>
      <c r="M42" s="19"/>
      <c r="P42" s="2"/>
      <c r="S42" s="2"/>
      <c r="V42" s="1"/>
      <c r="W42" s="1"/>
      <c r="Z42" s="2"/>
      <c r="AA42" s="2"/>
      <c r="AD42" s="3">
        <v>38</v>
      </c>
      <c r="AE42" s="3" t="str">
        <f t="shared" si="13"/>
        <v>Left</v>
      </c>
      <c r="AF42" s="3" t="str">
        <f t="shared" si="14"/>
        <v>LOB</v>
      </c>
      <c r="AG42" s="3" t="str">
        <f>IF(XS_Designer_Summary!$AB$24&gt;=XS_Designer_Summary!AD42,"Y","N")</f>
        <v>Y</v>
      </c>
      <c r="AH42" s="45">
        <v>1</v>
      </c>
      <c r="AI42" s="45">
        <f>IF(AG42="Y",$O$19/XS_Designer_Summary!$AB$24,0)</f>
        <v>0.27201249999999999</v>
      </c>
      <c r="AJ42" s="45">
        <f t="shared" si="15"/>
        <v>0.27201249999999999</v>
      </c>
      <c r="AK42" s="14">
        <f t="shared" si="38"/>
        <v>-16.592762500000045</v>
      </c>
      <c r="AL42" s="14">
        <f>IF(AG42="Y",LININTERP(AK42,XS_Designer_Calculations!$AY$4:$AY$104,XS_Designer_Calculations!$AZ$4:$AZ$104),AL41)</f>
        <v>2.9967562500000229</v>
      </c>
      <c r="AM42" s="14">
        <f t="shared" si="16"/>
        <v>2.0032437499999771</v>
      </c>
      <c r="AN42" s="14">
        <f t="shared" si="17"/>
        <v>0.54361334308280918</v>
      </c>
      <c r="AO42" s="46">
        <f t="shared" si="18"/>
        <v>0.27217884030414902</v>
      </c>
      <c r="AP42" s="46">
        <f t="shared" si="19"/>
        <v>1.9972652630724081</v>
      </c>
      <c r="AQ42" s="46">
        <f t="shared" si="20"/>
        <v>8.6070506626434746E-3</v>
      </c>
      <c r="AR42" s="14">
        <f>IFERROR(IF(AG42="Y",VLOOKUP(AK42,XS_Designer_Calculations!$R$5:$T$104,3,TRUE),0),0)</f>
        <v>0.1</v>
      </c>
      <c r="AS42" s="46">
        <f t="shared" si="21"/>
        <v>0.01</v>
      </c>
      <c r="AT42" s="14">
        <f t="shared" si="22"/>
        <v>12.811483352513463</v>
      </c>
      <c r="AU42" s="14">
        <f>AT42*XS_Designer_Calculations!$I$7^0.5</f>
        <v>1.2811483352513464</v>
      </c>
      <c r="AV42" s="14">
        <f t="shared" si="23"/>
        <v>2.3567271693259153</v>
      </c>
      <c r="AW42" s="14">
        <f t="shared" si="24"/>
        <v>1.2462935241571826</v>
      </c>
      <c r="AX42" s="14">
        <f t="shared" si="25"/>
        <v>5</v>
      </c>
      <c r="AY42" s="46">
        <f t="shared" si="26"/>
        <v>1.9984866249999877</v>
      </c>
      <c r="AZ42" s="14">
        <f>((AS42*AP42)/(1.65*XS_Designer!$S$99))*12</f>
        <v>6.995446384148309</v>
      </c>
      <c r="BA42" s="14">
        <f>(AW42/((1.65*62.4)*XS_Designer!$AA$53))*12</f>
        <v>2.4209275916029194</v>
      </c>
      <c r="BB42" s="14">
        <f t="shared" si="27"/>
        <v>3.8731180109508889</v>
      </c>
      <c r="BC42" s="14">
        <f t="shared" si="28"/>
        <v>7.0526238113502444</v>
      </c>
      <c r="BD42" s="14">
        <f>IF(ISNUMBER(LININTERP(AW42,Permissible_Shear!$T$178:$T$188,Permissible_Shear!$V$178:$V$188)),LININTERP(AW42,Permissible_Shear!$T$178:$T$188,Permissible_Shear!$V$178:$V$188),0)</f>
        <v>4.1427792776433119</v>
      </c>
      <c r="BE42" s="14">
        <f>LININTERP(AW42,Permissible_Shear!$S$205:$S$222,Permissible_Shear!$V$205:$V$222)</f>
        <v>4.2071672629911951</v>
      </c>
      <c r="BF42" s="14">
        <f>INDEX($AZ$3:$BE$204,ROW(BF42)-2,MATCH(XS_Designer!$W$5,XS_Designer_Summary!$AZ$2:$BE$2,0))</f>
        <v>3.8731180109508889</v>
      </c>
      <c r="BG42" s="79">
        <f t="shared" si="29"/>
        <v>2.3567271693259153</v>
      </c>
      <c r="BH42" s="79">
        <f t="shared" si="30"/>
        <v>0</v>
      </c>
      <c r="BI42" s="79">
        <f t="shared" si="31"/>
        <v>0</v>
      </c>
      <c r="BJ42" s="79">
        <f t="shared" si="32"/>
        <v>1.2462935241571826</v>
      </c>
      <c r="BK42" s="79">
        <f t="shared" si="33"/>
        <v>0</v>
      </c>
      <c r="BL42" s="79">
        <f t="shared" si="34"/>
        <v>0</v>
      </c>
      <c r="BM42" s="124">
        <f t="shared" si="35"/>
        <v>1.9972652630724081</v>
      </c>
      <c r="BN42" s="124">
        <f t="shared" si="36"/>
        <v>0</v>
      </c>
      <c r="BO42" s="124">
        <f t="shared" si="37"/>
        <v>0</v>
      </c>
    </row>
    <row r="43" spans="1:67" ht="15">
      <c r="A43" s="2"/>
      <c r="B43" s="2"/>
      <c r="C43" s="19" t="e">
        <f>IF(OR(XS_Designer_Calculations!BE41&lt;&gt;0,XS_Designer_Calculations!BG41="MAX WSE"),VLOOKUP(XS_Designer_Calculations!BA41,$C$3:$C$11,2,TRUE),IF(XS_Designer_Calculations!BE41&lt;&gt;0,VLOOKUP(XS_Designer_Calculations!BF41,$C$3:$C$11,2,TRUE),""))</f>
        <v>#N/A</v>
      </c>
      <c r="D43" s="19"/>
      <c r="E43" s="19"/>
      <c r="F43" s="19"/>
      <c r="G43" s="19"/>
      <c r="H43" s="19"/>
      <c r="I43" s="19"/>
      <c r="J43" s="19"/>
      <c r="K43" s="19"/>
      <c r="L43" s="19"/>
      <c r="M43" s="19"/>
      <c r="P43" s="2"/>
      <c r="S43" s="2"/>
      <c r="V43" s="1"/>
      <c r="W43" s="1"/>
      <c r="Z43" s="2"/>
      <c r="AA43" s="2"/>
      <c r="AD43" s="3">
        <v>39</v>
      </c>
      <c r="AE43" s="3" t="str">
        <f t="shared" si="13"/>
        <v>Left</v>
      </c>
      <c r="AF43" s="3" t="str">
        <f t="shared" si="14"/>
        <v>LOB</v>
      </c>
      <c r="AG43" s="3" t="str">
        <f>IF(XS_Designer_Summary!$AB$24&gt;=XS_Designer_Summary!AD43,"Y","N")</f>
        <v>Y</v>
      </c>
      <c r="AH43" s="45">
        <v>1</v>
      </c>
      <c r="AI43" s="45">
        <f>IF(AG43="Y",$O$19/XS_Designer_Summary!$AB$24,0)</f>
        <v>0.27201249999999999</v>
      </c>
      <c r="AJ43" s="45">
        <f t="shared" si="15"/>
        <v>0.27201249999999999</v>
      </c>
      <c r="AK43" s="14">
        <f t="shared" si="38"/>
        <v>-16.320750000000046</v>
      </c>
      <c r="AL43" s="14">
        <f>IF(AG43="Y",LININTERP(AK43,XS_Designer_Calculations!$AY$4:$AY$104,XS_Designer_Calculations!$AZ$4:$AZ$104),AL42)</f>
        <v>2.8607500000000234</v>
      </c>
      <c r="AM43" s="14">
        <f t="shared" si="16"/>
        <v>2.1392499999999766</v>
      </c>
      <c r="AN43" s="14">
        <f t="shared" si="17"/>
        <v>0.56340504058593122</v>
      </c>
      <c r="AO43" s="46">
        <f t="shared" si="18"/>
        <v>0.30411922036482952</v>
      </c>
      <c r="AP43" s="46">
        <f t="shared" si="19"/>
        <v>1.8525795242735907</v>
      </c>
      <c r="AQ43" s="46">
        <f t="shared" si="20"/>
        <v>9.6170941658752507E-3</v>
      </c>
      <c r="AR43" s="14">
        <f>IFERROR(IF(AG43="Y",VLOOKUP(AK43,XS_Designer_Calculations!$R$5:$T$104,3,TRUE),0),0)</f>
        <v>0.1</v>
      </c>
      <c r="AS43" s="46">
        <f t="shared" si="21"/>
        <v>0.01</v>
      </c>
      <c r="AT43" s="14">
        <f t="shared" si="22"/>
        <v>12.628665032918001</v>
      </c>
      <c r="AU43" s="14">
        <f>AT43*XS_Designer_Calculations!$I$7^0.5</f>
        <v>1.2628665032918001</v>
      </c>
      <c r="AV43" s="14">
        <f t="shared" si="23"/>
        <v>2.241489536512562</v>
      </c>
      <c r="AW43" s="14">
        <f t="shared" si="24"/>
        <v>1.1560096231467207</v>
      </c>
      <c r="AX43" s="14">
        <f t="shared" si="25"/>
        <v>5</v>
      </c>
      <c r="AY43" s="46">
        <f t="shared" si="26"/>
        <v>2.0712468749999768</v>
      </c>
      <c r="AZ43" s="14">
        <f>((AS43*AP43)/(1.65*XS_Designer!$S$99))*12</f>
        <v>6.488682787428548</v>
      </c>
      <c r="BA43" s="14">
        <f>(AW43/((1.65*62.4)*XS_Designer!$AA$53))*12</f>
        <v>2.2455509385134436</v>
      </c>
      <c r="BB43" s="14">
        <f t="shared" si="27"/>
        <v>4.1475023358168173</v>
      </c>
      <c r="BC43" s="14">
        <f t="shared" si="28"/>
        <v>7.4017237978658157</v>
      </c>
      <c r="BD43" s="14">
        <f>IF(ISNUMBER(LININTERP(AW43,Permissible_Shear!$T$178:$T$188,Permissible_Shear!$V$178:$V$188)),LININTERP(AW43,Permissible_Shear!$T$178:$T$188,Permissible_Shear!$V$178:$V$188),0)</f>
        <v>3.8607706065622831</v>
      </c>
      <c r="BE43" s="14">
        <f>LININTERP(AW43,Permissible_Shear!$S$205:$S$222,Permissible_Shear!$V$205:$V$222)</f>
        <v>3.9250300723335019</v>
      </c>
      <c r="BF43" s="14">
        <f>INDEX($AZ$3:$BE$204,ROW(BF43)-2,MATCH(XS_Designer!$W$5,XS_Designer_Summary!$AZ$2:$BE$2,0))</f>
        <v>4.1475023358168173</v>
      </c>
      <c r="BG43" s="79">
        <f t="shared" si="29"/>
        <v>2.241489536512562</v>
      </c>
      <c r="BH43" s="79">
        <f t="shared" si="30"/>
        <v>0</v>
      </c>
      <c r="BI43" s="79">
        <f t="shared" si="31"/>
        <v>0</v>
      </c>
      <c r="BJ43" s="79">
        <f t="shared" si="32"/>
        <v>1.1560096231467207</v>
      </c>
      <c r="BK43" s="79">
        <f t="shared" si="33"/>
        <v>0</v>
      </c>
      <c r="BL43" s="79">
        <f t="shared" si="34"/>
        <v>0</v>
      </c>
      <c r="BM43" s="124">
        <f t="shared" si="35"/>
        <v>1.8525795242735907</v>
      </c>
      <c r="BN43" s="124">
        <f t="shared" si="36"/>
        <v>0</v>
      </c>
      <c r="BO43" s="124">
        <f t="shared" si="37"/>
        <v>0</v>
      </c>
    </row>
    <row r="44" spans="1:67" ht="15">
      <c r="A44" s="2"/>
      <c r="B44" s="2"/>
      <c r="C44" s="19" t="e">
        <f>IF(OR(XS_Designer_Calculations!BE42&lt;&gt;0,XS_Designer_Calculations!BG42="MAX WSE"),VLOOKUP(XS_Designer_Calculations!BA42,$C$3:$C$11,2,TRUE),IF(XS_Designer_Calculations!BE42&lt;&gt;0,VLOOKUP(XS_Designer_Calculations!BF42,$C$3:$C$11,2,TRUE),""))</f>
        <v>#N/A</v>
      </c>
      <c r="D44" s="19"/>
      <c r="E44" s="19"/>
      <c r="F44" s="19"/>
      <c r="G44" s="19"/>
      <c r="H44" s="19"/>
      <c r="I44" s="19"/>
      <c r="J44" s="19"/>
      <c r="K44" s="19"/>
      <c r="L44" s="19"/>
      <c r="M44" s="19"/>
      <c r="P44" s="2"/>
      <c r="S44" s="2"/>
      <c r="V44" s="1"/>
      <c r="W44" s="1"/>
      <c r="Z44" s="2"/>
      <c r="AA44" s="2"/>
      <c r="AD44" s="3">
        <v>40</v>
      </c>
      <c r="AE44" s="3" t="str">
        <f t="shared" si="13"/>
        <v>Left</v>
      </c>
      <c r="AF44" s="3" t="str">
        <f t="shared" si="14"/>
        <v>LOB</v>
      </c>
      <c r="AG44" s="3" t="str">
        <f>IF(XS_Designer_Summary!$AB$24&gt;=XS_Designer_Summary!AD44,"Y","N")</f>
        <v>Y</v>
      </c>
      <c r="AH44" s="45">
        <v>1</v>
      </c>
      <c r="AI44" s="45">
        <f>IF(AG44="Y",$O$19/XS_Designer_Summary!$AB$24,0)</f>
        <v>0.27201249999999999</v>
      </c>
      <c r="AJ44" s="45">
        <f t="shared" si="15"/>
        <v>0.27201249999999999</v>
      </c>
      <c r="AK44" s="14">
        <f t="shared" si="38"/>
        <v>-16.048737500000048</v>
      </c>
      <c r="AL44" s="14">
        <f>IF(AG44="Y",LININTERP(AK44,XS_Designer_Calculations!$AY$4:$AY$104,XS_Designer_Calculations!$AZ$4:$AZ$104),AL43)</f>
        <v>2.724743750000024</v>
      </c>
      <c r="AM44" s="14">
        <f t="shared" si="16"/>
        <v>2.275256249999976</v>
      </c>
      <c r="AN44" s="14">
        <f t="shared" si="17"/>
        <v>0.60040044066405607</v>
      </c>
      <c r="AO44" s="46">
        <f t="shared" si="18"/>
        <v>0.30411922036482952</v>
      </c>
      <c r="AP44" s="46">
        <f t="shared" si="19"/>
        <v>1.9742272124195233</v>
      </c>
      <c r="AQ44" s="46">
        <f t="shared" si="20"/>
        <v>9.6170941658752507E-3</v>
      </c>
      <c r="AR44" s="14">
        <f>IFERROR(IF(AG44="Y",VLOOKUP(AK44,XS_Designer_Calculations!$R$5:$T$104,3,TRUE),0),0)</f>
        <v>0.1</v>
      </c>
      <c r="AS44" s="46">
        <f t="shared" si="21"/>
        <v>0.01</v>
      </c>
      <c r="AT44" s="14">
        <f t="shared" si="22"/>
        <v>14.040779991024914</v>
      </c>
      <c r="AU44" s="14">
        <f>AT44*XS_Designer_Calculations!$I$7^0.5</f>
        <v>1.4040779991024914</v>
      </c>
      <c r="AV44" s="14">
        <f t="shared" si="23"/>
        <v>2.338569234808606</v>
      </c>
      <c r="AW44" s="14">
        <f t="shared" si="24"/>
        <v>1.2319177805497825</v>
      </c>
      <c r="AX44" s="14">
        <f t="shared" si="25"/>
        <v>5</v>
      </c>
      <c r="AY44" s="46">
        <f t="shared" si="26"/>
        <v>2.2072531249999763</v>
      </c>
      <c r="AZ44" s="14">
        <f>((AS44*AP44)/(1.65*XS_Designer!$S$99))*12</f>
        <v>6.9147553256708623</v>
      </c>
      <c r="BA44" s="14">
        <f>(AW44/((1.65*62.4)*XS_Designer!$AA$53))*12</f>
        <v>2.3930026817206347</v>
      </c>
      <c r="BB44" s="14">
        <f t="shared" si="27"/>
        <v>4.4226207908007966</v>
      </c>
      <c r="BC44" s="14">
        <f t="shared" si="28"/>
        <v>7.7449979874308363</v>
      </c>
      <c r="BD44" s="14">
        <f>IF(ISNUMBER(LININTERP(AW44,Permissible_Shear!$T$178:$T$188,Permissible_Shear!$V$178:$V$188)),LININTERP(AW44,Permissible_Shear!$T$178:$T$188,Permissible_Shear!$V$178:$V$188),0)</f>
        <v>4.0978755428118419</v>
      </c>
      <c r="BE44" s="14">
        <f>LININTERP(AW44,Permissible_Shear!$S$205:$S$222,Permissible_Shear!$V$205:$V$222)</f>
        <v>4.1622430642180701</v>
      </c>
      <c r="BF44" s="14">
        <f>INDEX($AZ$3:$BE$204,ROW(BF44)-2,MATCH(XS_Designer!$W$5,XS_Designer_Summary!$AZ$2:$BE$2,0))</f>
        <v>4.4226207908007966</v>
      </c>
      <c r="BG44" s="79">
        <f t="shared" si="29"/>
        <v>2.338569234808606</v>
      </c>
      <c r="BH44" s="79">
        <f t="shared" si="30"/>
        <v>0</v>
      </c>
      <c r="BI44" s="79">
        <f t="shared" si="31"/>
        <v>0</v>
      </c>
      <c r="BJ44" s="79">
        <f t="shared" si="32"/>
        <v>1.2319177805497825</v>
      </c>
      <c r="BK44" s="79">
        <f t="shared" si="33"/>
        <v>0</v>
      </c>
      <c r="BL44" s="79">
        <f t="shared" si="34"/>
        <v>0</v>
      </c>
      <c r="BM44" s="124">
        <f t="shared" si="35"/>
        <v>1.9742272124195233</v>
      </c>
      <c r="BN44" s="124">
        <f t="shared" si="36"/>
        <v>0</v>
      </c>
      <c r="BO44" s="124">
        <f t="shared" si="37"/>
        <v>0</v>
      </c>
    </row>
    <row r="45" spans="1:67" ht="15">
      <c r="A45" s="2"/>
      <c r="B45" s="2"/>
      <c r="C45" s="19" t="e">
        <f>IF(OR(XS_Designer_Calculations!BE43&lt;&gt;0,XS_Designer_Calculations!BG43="MAX WSE"),VLOOKUP(XS_Designer_Calculations!BA43,$C$3:$C$11,2,TRUE),IF(XS_Designer_Calculations!BE43&lt;&gt;0,VLOOKUP(XS_Designer_Calculations!BF43,$C$3:$C$11,2,TRUE),""))</f>
        <v>#N/A</v>
      </c>
      <c r="D45" s="19"/>
      <c r="E45" s="19"/>
      <c r="F45" s="19"/>
      <c r="G45" s="19"/>
      <c r="H45" s="19"/>
      <c r="I45" s="19"/>
      <c r="J45" s="19"/>
      <c r="K45" s="19"/>
      <c r="L45" s="19"/>
      <c r="M45" s="19"/>
      <c r="P45" s="2"/>
      <c r="S45" s="2"/>
      <c r="V45" s="1"/>
      <c r="W45" s="1"/>
      <c r="Z45" s="2"/>
      <c r="AA45" s="2"/>
      <c r="AD45" s="3">
        <v>41</v>
      </c>
      <c r="AE45" s="3" t="str">
        <f t="shared" si="13"/>
        <v>Left</v>
      </c>
      <c r="AF45" s="3" t="str">
        <f t="shared" si="14"/>
        <v>LOB</v>
      </c>
      <c r="AG45" s="3" t="str">
        <f>IF(XS_Designer_Summary!$AB$24&gt;=XS_Designer_Summary!AD45,"Y","N")</f>
        <v>Y</v>
      </c>
      <c r="AH45" s="45">
        <v>1</v>
      </c>
      <c r="AI45" s="45">
        <f>IF(AG45="Y",$O$19/XS_Designer_Summary!$AB$24,0)</f>
        <v>0.27201249999999999</v>
      </c>
      <c r="AJ45" s="45">
        <f t="shared" si="15"/>
        <v>0.27201249999999999</v>
      </c>
      <c r="AK45" s="14">
        <f t="shared" si="38"/>
        <v>-15.776725000000047</v>
      </c>
      <c r="AL45" s="14">
        <f>IF(AG45="Y",LININTERP(AK45,XS_Designer_Calculations!$AY$4:$AY$104,XS_Designer_Calculations!$AZ$4:$AZ$104),AL44)</f>
        <v>2.5887375000000237</v>
      </c>
      <c r="AM45" s="14">
        <f t="shared" si="16"/>
        <v>2.4112624999999763</v>
      </c>
      <c r="AN45" s="14">
        <f t="shared" si="17"/>
        <v>0.63739584074218103</v>
      </c>
      <c r="AO45" s="46">
        <f t="shared" si="18"/>
        <v>0.30411922036483152</v>
      </c>
      <c r="AP45" s="46">
        <f t="shared" si="19"/>
        <v>2.095874900565442</v>
      </c>
      <c r="AQ45" s="46">
        <f t="shared" si="20"/>
        <v>9.6170941658753131E-3</v>
      </c>
      <c r="AR45" s="14">
        <f>IFERROR(IF(AG45="Y",VLOOKUP(AK45,XS_Designer_Calculations!$R$5:$T$104,3,TRUE),0),0)</f>
        <v>0.1</v>
      </c>
      <c r="AS45" s="46">
        <f t="shared" si="21"/>
        <v>0.01</v>
      </c>
      <c r="AT45" s="14">
        <f t="shared" si="22"/>
        <v>15.512136074984925</v>
      </c>
      <c r="AU45" s="14">
        <f>AT45*XS_Designer_Calculations!$I$7^0.5</f>
        <v>1.5512136074984926</v>
      </c>
      <c r="AV45" s="14">
        <f t="shared" si="23"/>
        <v>2.4336738779033542</v>
      </c>
      <c r="AW45" s="14">
        <f t="shared" si="24"/>
        <v>1.3078259379528359</v>
      </c>
      <c r="AX45" s="14">
        <f t="shared" si="25"/>
        <v>5</v>
      </c>
      <c r="AY45" s="46">
        <f t="shared" si="26"/>
        <v>2.3432593749999762</v>
      </c>
      <c r="AZ45" s="14">
        <f>((AS45*AP45)/(1.65*XS_Designer!$S$99))*12</f>
        <v>7.3408278639131277</v>
      </c>
      <c r="BA45" s="14">
        <f>(AW45/((1.65*62.4)*XS_Designer!$AA$53))*12</f>
        <v>2.5404544249278089</v>
      </c>
      <c r="BB45" s="14">
        <f t="shared" si="27"/>
        <v>4.6984312307439362</v>
      </c>
      <c r="BC45" s="14">
        <f t="shared" si="28"/>
        <v>8.0828838056475281</v>
      </c>
      <c r="BD45" s="14">
        <f>IF(ISNUMBER(LININTERP(AW45,Permissible_Shear!$T$178:$T$188,Permissible_Shear!$V$178:$V$188)),LININTERP(AW45,Permissible_Shear!$T$178:$T$188,Permissible_Shear!$V$178:$V$188),0)</f>
        <v>4.3349804790613735</v>
      </c>
      <c r="BE45" s="14">
        <f>LININTERP(AW45,Permissible_Shear!$S$205:$S$222,Permissible_Shear!$V$205:$V$222)</f>
        <v>4.3994560561026121</v>
      </c>
      <c r="BF45" s="14">
        <f>INDEX($AZ$3:$BE$204,ROW(BF45)-2,MATCH(XS_Designer!$W$5,XS_Designer_Summary!$AZ$2:$BE$2,0))</f>
        <v>4.6984312307439362</v>
      </c>
      <c r="BG45" s="79">
        <f t="shared" si="29"/>
        <v>2.4336738779033542</v>
      </c>
      <c r="BH45" s="79">
        <f t="shared" si="30"/>
        <v>0</v>
      </c>
      <c r="BI45" s="79">
        <f t="shared" si="31"/>
        <v>0</v>
      </c>
      <c r="BJ45" s="79">
        <f t="shared" si="32"/>
        <v>1.3078259379528359</v>
      </c>
      <c r="BK45" s="79">
        <f t="shared" si="33"/>
        <v>0</v>
      </c>
      <c r="BL45" s="79">
        <f t="shared" si="34"/>
        <v>0</v>
      </c>
      <c r="BM45" s="124">
        <f t="shared" si="35"/>
        <v>2.095874900565442</v>
      </c>
      <c r="BN45" s="124">
        <f t="shared" si="36"/>
        <v>0</v>
      </c>
      <c r="BO45" s="124">
        <f t="shared" si="37"/>
        <v>0</v>
      </c>
    </row>
    <row r="46" spans="1:67" ht="15">
      <c r="A46" s="2"/>
      <c r="B46" s="2"/>
      <c r="C46" s="19" t="e">
        <f>IF(OR(XS_Designer_Calculations!BE44&lt;&gt;0,XS_Designer_Calculations!BG44="MAX WSE"),VLOOKUP(XS_Designer_Calculations!BA44,$C$3:$C$11,2,TRUE),IF(XS_Designer_Calculations!BE44&lt;&gt;0,VLOOKUP(XS_Designer_Calculations!BF44,$C$3:$C$11,2,TRUE),""))</f>
        <v>#N/A</v>
      </c>
      <c r="D46" s="19"/>
      <c r="E46" s="19"/>
      <c r="F46" s="19"/>
      <c r="G46" s="19"/>
      <c r="H46" s="19"/>
      <c r="I46" s="19"/>
      <c r="J46" s="19"/>
      <c r="K46" s="19"/>
      <c r="L46" s="19"/>
      <c r="M46" s="19"/>
      <c r="P46" s="2"/>
      <c r="S46" s="2"/>
      <c r="V46" s="1"/>
      <c r="W46" s="1"/>
      <c r="Z46" s="2"/>
      <c r="AA46" s="2"/>
      <c r="AD46" s="3">
        <v>42</v>
      </c>
      <c r="AE46" s="3" t="str">
        <f t="shared" si="13"/>
        <v>Left</v>
      </c>
      <c r="AF46" s="3" t="str">
        <f t="shared" si="14"/>
        <v>LOB</v>
      </c>
      <c r="AG46" s="3" t="str">
        <f>IF(XS_Designer_Summary!$AB$24&gt;=XS_Designer_Summary!AD46,"Y","N")</f>
        <v>Y</v>
      </c>
      <c r="AH46" s="45">
        <v>1</v>
      </c>
      <c r="AI46" s="45">
        <f>IF(AG46="Y",$O$19/XS_Designer_Summary!$AB$24,0)</f>
        <v>0.27201249999999999</v>
      </c>
      <c r="AJ46" s="45">
        <f t="shared" si="15"/>
        <v>0.27201249999999999</v>
      </c>
      <c r="AK46" s="14">
        <f t="shared" si="38"/>
        <v>-15.504712500000046</v>
      </c>
      <c r="AL46" s="14">
        <f>IF(AG46="Y",LININTERP(AK46,XS_Designer_Calculations!$AY$4:$AY$104,XS_Designer_Calculations!$AZ$4:$AZ$104),AL45)</f>
        <v>2.4527312500000238</v>
      </c>
      <c r="AM46" s="14">
        <f t="shared" si="16"/>
        <v>2.5472687499999762</v>
      </c>
      <c r="AN46" s="14">
        <f t="shared" si="17"/>
        <v>0.67439124082030599</v>
      </c>
      <c r="AO46" s="46">
        <f t="shared" si="18"/>
        <v>0.3041192203648313</v>
      </c>
      <c r="AP46" s="46">
        <f t="shared" si="19"/>
        <v>2.2175225887113754</v>
      </c>
      <c r="AQ46" s="46">
        <f t="shared" si="20"/>
        <v>9.6170941658753062E-3</v>
      </c>
      <c r="AR46" s="14">
        <f>IFERROR(IF(AG46="Y",VLOOKUP(AK46,XS_Designer_Calculations!$R$5:$T$104,3,TRUE),0),0)</f>
        <v>0.1</v>
      </c>
      <c r="AS46" s="46">
        <f t="shared" si="21"/>
        <v>0.01</v>
      </c>
      <c r="AT46" s="14">
        <f t="shared" si="22"/>
        <v>17.041563296535191</v>
      </c>
      <c r="AU46" s="14">
        <f>AT46*XS_Designer_Calculations!$I$7^0.5</f>
        <v>1.7041563296535192</v>
      </c>
      <c r="AV46" s="14">
        <f t="shared" si="23"/>
        <v>2.5269550173585333</v>
      </c>
      <c r="AW46" s="14">
        <f t="shared" si="24"/>
        <v>1.3837340953558981</v>
      </c>
      <c r="AX46" s="14">
        <f t="shared" si="25"/>
        <v>5</v>
      </c>
      <c r="AY46" s="46">
        <f t="shared" si="26"/>
        <v>2.479265624999976</v>
      </c>
      <c r="AZ46" s="14">
        <f>((AS46*AP46)/(1.65*XS_Designer!$S$99))*12</f>
        <v>7.7669004021554455</v>
      </c>
      <c r="BA46" s="14">
        <f>(AW46/((1.65*62.4)*XS_Designer!$AA$53))*12</f>
        <v>2.6879061681350005</v>
      </c>
      <c r="BB46" s="14">
        <f t="shared" si="27"/>
        <v>4.974896178485527</v>
      </c>
      <c r="BC46" s="14">
        <f t="shared" si="28"/>
        <v>8.4157631321363944</v>
      </c>
      <c r="BD46" s="14">
        <f>IF(ISNUMBER(LININTERP(AW46,Permissible_Shear!$T$178:$T$188,Permissible_Shear!$V$178:$V$188)),LININTERP(AW46,Permissible_Shear!$T$178:$T$188,Permissible_Shear!$V$178:$V$188),0)</f>
        <v>4.5720854153109336</v>
      </c>
      <c r="BE46" s="14">
        <f>LININTERP(AW46,Permissible_Shear!$S$205:$S$222,Permissible_Shear!$V$205:$V$222)</f>
        <v>4.6366690479871817</v>
      </c>
      <c r="BF46" s="14">
        <f>INDEX($AZ$3:$BE$204,ROW(BF46)-2,MATCH(XS_Designer!$W$5,XS_Designer_Summary!$AZ$2:$BE$2,0))</f>
        <v>4.974896178485527</v>
      </c>
      <c r="BG46" s="79">
        <f t="shared" si="29"/>
        <v>2.5269550173585333</v>
      </c>
      <c r="BH46" s="79">
        <f t="shared" si="30"/>
        <v>0</v>
      </c>
      <c r="BI46" s="79">
        <f t="shared" si="31"/>
        <v>0</v>
      </c>
      <c r="BJ46" s="79">
        <f t="shared" si="32"/>
        <v>1.3837340953558981</v>
      </c>
      <c r="BK46" s="79">
        <f t="shared" si="33"/>
        <v>0</v>
      </c>
      <c r="BL46" s="79">
        <f t="shared" si="34"/>
        <v>0</v>
      </c>
      <c r="BM46" s="124">
        <f t="shared" si="35"/>
        <v>2.2175225887113754</v>
      </c>
      <c r="BN46" s="124">
        <f t="shared" si="36"/>
        <v>0</v>
      </c>
      <c r="BO46" s="124">
        <f t="shared" si="37"/>
        <v>0</v>
      </c>
    </row>
    <row r="47" spans="1:67" ht="15">
      <c r="A47" s="429"/>
      <c r="B47" s="429"/>
      <c r="C47" s="429"/>
      <c r="D47" s="429"/>
      <c r="E47" s="1"/>
      <c r="F47" s="429"/>
      <c r="G47" s="429"/>
      <c r="H47" s="1"/>
      <c r="I47" s="429"/>
      <c r="J47" s="429"/>
      <c r="K47" s="11"/>
      <c r="L47" s="429"/>
      <c r="M47" s="429"/>
      <c r="N47" s="11"/>
      <c r="P47" s="2"/>
      <c r="S47" s="2"/>
      <c r="V47" s="1"/>
      <c r="W47" s="1"/>
      <c r="Z47" s="2"/>
      <c r="AA47" s="2"/>
      <c r="AD47" s="3">
        <v>43</v>
      </c>
      <c r="AE47" s="3" t="str">
        <f t="shared" si="13"/>
        <v>Left</v>
      </c>
      <c r="AF47" s="3" t="str">
        <f t="shared" si="14"/>
        <v>LOB</v>
      </c>
      <c r="AG47" s="3" t="str">
        <f>IF(XS_Designer_Summary!$AB$24&gt;=XS_Designer_Summary!AD47,"Y","N")</f>
        <v>Y</v>
      </c>
      <c r="AH47" s="45">
        <v>1</v>
      </c>
      <c r="AI47" s="45">
        <f>IF(AG47="Y",$O$19/XS_Designer_Summary!$AB$24,0)</f>
        <v>0.27201249999999999</v>
      </c>
      <c r="AJ47" s="45">
        <f t="shared" si="15"/>
        <v>0.27201249999999999</v>
      </c>
      <c r="AK47" s="14">
        <f t="shared" si="38"/>
        <v>-15.232700000000046</v>
      </c>
      <c r="AL47" s="14">
        <f>IF(AG47="Y",LININTERP(AK47,XS_Designer_Calculations!$AY$4:$AY$104,XS_Designer_Calculations!$AZ$4:$AZ$104),AL46)</f>
        <v>2.3167250000000235</v>
      </c>
      <c r="AM47" s="14">
        <f t="shared" si="16"/>
        <v>2.6832749999999765</v>
      </c>
      <c r="AN47" s="14">
        <f t="shared" si="17"/>
        <v>0.71138664089843107</v>
      </c>
      <c r="AO47" s="46">
        <f t="shared" si="18"/>
        <v>0.30411922036483152</v>
      </c>
      <c r="AP47" s="46">
        <f t="shared" si="19"/>
        <v>2.3391702768573062</v>
      </c>
      <c r="AQ47" s="46">
        <f t="shared" si="20"/>
        <v>9.6170941658753131E-3</v>
      </c>
      <c r="AR47" s="14">
        <f>IFERROR(IF(AG47="Y",VLOOKUP(AK47,XS_Designer_Calculations!$R$5:$T$104,3,TRUE),0),0)</f>
        <v>0.1</v>
      </c>
      <c r="AS47" s="46">
        <f t="shared" si="21"/>
        <v>0.01</v>
      </c>
      <c r="AT47" s="14">
        <f t="shared" si="22"/>
        <v>18.627978985481359</v>
      </c>
      <c r="AU47" s="14">
        <f>AT47*XS_Designer_Calculations!$I$7^0.5</f>
        <v>1.8627978985481359</v>
      </c>
      <c r="AV47" s="14">
        <f t="shared" si="23"/>
        <v>2.6185449535509324</v>
      </c>
      <c r="AW47" s="14">
        <f t="shared" si="24"/>
        <v>1.459642252758959</v>
      </c>
      <c r="AX47" s="14">
        <f t="shared" si="25"/>
        <v>5</v>
      </c>
      <c r="AY47" s="46">
        <f t="shared" si="26"/>
        <v>2.6152718749999764</v>
      </c>
      <c r="AZ47" s="14">
        <f>((AS47*AP47)/(1.65*XS_Designer!$S$99))*12</f>
        <v>8.1929729403977536</v>
      </c>
      <c r="BA47" s="14">
        <f>(AW47/((1.65*62.4)*XS_Designer!$AA$53))*12</f>
        <v>2.8353579113421894</v>
      </c>
      <c r="BB47" s="14">
        <f t="shared" si="27"/>
        <v>5.2519820852348031</v>
      </c>
      <c r="BC47" s="14">
        <f t="shared" si="28"/>
        <v>8.743971932774329</v>
      </c>
      <c r="BD47" s="14">
        <f>IF(ISNUMBER(LININTERP(AW47,Permissible_Shear!$T$178:$T$188,Permissible_Shear!$V$178:$V$188)),LININTERP(AW47,Permissible_Shear!$T$178:$T$188,Permissible_Shear!$V$178:$V$188),0)</f>
        <v>4.8091903515604901</v>
      </c>
      <c r="BE47" s="14">
        <f>LININTERP(AW47,Permissible_Shear!$S$205:$S$222,Permissible_Shear!$V$205:$V$222)</f>
        <v>4.8738820398717468</v>
      </c>
      <c r="BF47" s="14">
        <f>INDEX($AZ$3:$BE$204,ROW(BF47)-2,MATCH(XS_Designer!$W$5,XS_Designer_Summary!$AZ$2:$BE$2,0))</f>
        <v>5.2519820852348031</v>
      </c>
      <c r="BG47" s="79">
        <f t="shared" si="29"/>
        <v>2.6185449535509324</v>
      </c>
      <c r="BH47" s="79">
        <f t="shared" si="30"/>
        <v>0</v>
      </c>
      <c r="BI47" s="79">
        <f t="shared" si="31"/>
        <v>0</v>
      </c>
      <c r="BJ47" s="79">
        <f t="shared" si="32"/>
        <v>1.459642252758959</v>
      </c>
      <c r="BK47" s="79">
        <f t="shared" si="33"/>
        <v>0</v>
      </c>
      <c r="BL47" s="79">
        <f t="shared" si="34"/>
        <v>0</v>
      </c>
      <c r="BM47" s="124">
        <f t="shared" si="35"/>
        <v>2.3391702768573062</v>
      </c>
      <c r="BN47" s="124">
        <f t="shared" si="36"/>
        <v>0</v>
      </c>
      <c r="BO47" s="124">
        <f t="shared" si="37"/>
        <v>0</v>
      </c>
    </row>
    <row r="48" spans="1:67" ht="15">
      <c r="A48" s="2"/>
      <c r="B48" s="12"/>
      <c r="C48" s="2"/>
      <c r="D48" s="12"/>
      <c r="E48" s="1"/>
      <c r="F48" s="2"/>
      <c r="G48" s="12"/>
      <c r="H48" s="1"/>
      <c r="I48" s="2"/>
      <c r="J48" s="12"/>
      <c r="K48" s="27"/>
      <c r="L48" s="2"/>
      <c r="M48" s="12"/>
      <c r="N48" s="2"/>
      <c r="P48" s="2"/>
      <c r="S48" s="2"/>
      <c r="V48" s="1"/>
      <c r="W48" s="1"/>
      <c r="Z48" s="2"/>
      <c r="AA48" s="2"/>
      <c r="AD48" s="3">
        <v>44</v>
      </c>
      <c r="AE48" s="3" t="str">
        <f t="shared" si="13"/>
        <v>Left</v>
      </c>
      <c r="AF48" s="3" t="str">
        <f t="shared" si="14"/>
        <v>LOB</v>
      </c>
      <c r="AG48" s="3" t="str">
        <f>IF(XS_Designer_Summary!$AB$24&gt;=XS_Designer_Summary!AD48,"Y","N")</f>
        <v>Y</v>
      </c>
      <c r="AH48" s="45">
        <v>1</v>
      </c>
      <c r="AI48" s="45">
        <f>IF(AG48="Y",$O$19/XS_Designer_Summary!$AB$24,0)</f>
        <v>0.27201249999999999</v>
      </c>
      <c r="AJ48" s="45">
        <f t="shared" si="15"/>
        <v>0.27201249999999999</v>
      </c>
      <c r="AK48" s="14">
        <f t="shared" si="38"/>
        <v>-14.960687500000045</v>
      </c>
      <c r="AL48" s="14">
        <f>IF(AG48="Y",LININTERP(AK48,XS_Designer_Calculations!$AY$4:$AY$104,XS_Designer_Calculations!$AZ$4:$AZ$104),AL47)</f>
        <v>2.200188750000001</v>
      </c>
      <c r="AM48" s="14">
        <f t="shared" si="16"/>
        <v>2.799811249999999</v>
      </c>
      <c r="AN48" s="14">
        <f t="shared" si="17"/>
        <v>0.74573399928905915</v>
      </c>
      <c r="AO48" s="46">
        <f t="shared" si="18"/>
        <v>0.29592481768232631</v>
      </c>
      <c r="AP48" s="46">
        <f t="shared" si="19"/>
        <v>2.5200116878659382</v>
      </c>
      <c r="AQ48" s="46">
        <f t="shared" si="20"/>
        <v>9.3579644004622119E-3</v>
      </c>
      <c r="AR48" s="14">
        <f>IFERROR(IF(AG48="Y",VLOOKUP(AK48,XS_Designer_Calculations!$R$5:$T$104,3,TRUE),0),0)</f>
        <v>0.1</v>
      </c>
      <c r="AS48" s="46">
        <f t="shared" si="21"/>
        <v>0.01</v>
      </c>
      <c r="AT48" s="14">
        <f t="shared" si="22"/>
        <v>20.521280494958997</v>
      </c>
      <c r="AU48" s="14">
        <f>AT48*XS_Designer_Calculations!$I$7^0.5</f>
        <v>2.0521280494959</v>
      </c>
      <c r="AV48" s="14">
        <f t="shared" si="23"/>
        <v>2.7518231050914714</v>
      </c>
      <c r="AW48" s="14">
        <f t="shared" si="24"/>
        <v>1.5724872932283456</v>
      </c>
      <c r="AX48" s="14">
        <f t="shared" si="25"/>
        <v>5</v>
      </c>
      <c r="AY48" s="46">
        <f t="shared" si="26"/>
        <v>2.7415431249999878</v>
      </c>
      <c r="AZ48" s="14">
        <f>((AS48*AP48)/(1.65*XS_Designer!$S$99))*12</f>
        <v>8.826372227980892</v>
      </c>
      <c r="BA48" s="14">
        <f>(AW48/((1.65*62.4)*XS_Designer!$AA$53))*12</f>
        <v>3.0545596216556832</v>
      </c>
      <c r="BB48" s="14">
        <f t="shared" si="27"/>
        <v>5.4898727223536365</v>
      </c>
      <c r="BC48" s="14">
        <f t="shared" si="28"/>
        <v>9.0217068389923938</v>
      </c>
      <c r="BD48" s="14">
        <f>IF(ISNUMBER(LININTERP(AW48,Permissible_Shear!$T$178:$T$188,Permissible_Shear!$V$178:$V$188)),LININTERP(AW48,Permissible_Shear!$T$178:$T$188,Permissible_Shear!$V$178:$V$188),0)</f>
        <v>5.1616704675577925</v>
      </c>
      <c r="BE48" s="14">
        <f>LININTERP(AW48,Permissible_Shear!$S$205:$S$222,Permissible_Shear!$V$205:$V$222)</f>
        <v>5.2265227913385797</v>
      </c>
      <c r="BF48" s="14">
        <f>INDEX($AZ$3:$BE$204,ROW(BF48)-2,MATCH(XS_Designer!$W$5,XS_Designer_Summary!$AZ$2:$BE$2,0))</f>
        <v>5.4898727223536365</v>
      </c>
      <c r="BG48" s="79">
        <f t="shared" si="29"/>
        <v>2.7518231050914714</v>
      </c>
      <c r="BH48" s="79">
        <f t="shared" si="30"/>
        <v>0</v>
      </c>
      <c r="BI48" s="79">
        <f t="shared" si="31"/>
        <v>0</v>
      </c>
      <c r="BJ48" s="79">
        <f t="shared" si="32"/>
        <v>1.5724872932283456</v>
      </c>
      <c r="BK48" s="79">
        <f t="shared" si="33"/>
        <v>0</v>
      </c>
      <c r="BL48" s="79">
        <f t="shared" si="34"/>
        <v>0</v>
      </c>
      <c r="BM48" s="124">
        <f t="shared" si="35"/>
        <v>2.5200116878659382</v>
      </c>
      <c r="BN48" s="124">
        <f t="shared" si="36"/>
        <v>0</v>
      </c>
      <c r="BO48" s="124">
        <f t="shared" si="37"/>
        <v>0</v>
      </c>
    </row>
    <row r="49" spans="1:67" ht="15">
      <c r="A49" s="2"/>
      <c r="B49" s="87"/>
      <c r="C49" s="2"/>
      <c r="D49" s="87"/>
      <c r="E49" s="1"/>
      <c r="F49" s="2"/>
      <c r="G49" s="87"/>
      <c r="H49" s="1"/>
      <c r="I49" s="2"/>
      <c r="J49" s="87"/>
      <c r="K49" s="27"/>
      <c r="L49" s="2"/>
      <c r="M49" s="87"/>
      <c r="N49" s="2"/>
      <c r="P49" s="2"/>
      <c r="S49" s="2"/>
      <c r="V49" s="1"/>
      <c r="W49" s="1"/>
      <c r="Z49" s="2"/>
      <c r="AA49" s="2"/>
      <c r="AD49" s="3">
        <v>45</v>
      </c>
      <c r="AE49" s="3" t="str">
        <f t="shared" si="13"/>
        <v>Left</v>
      </c>
      <c r="AF49" s="3" t="str">
        <f t="shared" si="14"/>
        <v>LOB</v>
      </c>
      <c r="AG49" s="3" t="str">
        <f>IF(XS_Designer_Summary!$AB$24&gt;=XS_Designer_Summary!AD49,"Y","N")</f>
        <v>Y</v>
      </c>
      <c r="AH49" s="45">
        <v>1</v>
      </c>
      <c r="AI49" s="45">
        <f>IF(AG49="Y",$O$19/XS_Designer_Summary!$AB$24,0)</f>
        <v>0.27201249999999999</v>
      </c>
      <c r="AJ49" s="45">
        <f t="shared" si="15"/>
        <v>0.27201249999999999</v>
      </c>
      <c r="AK49" s="14">
        <f t="shared" si="38"/>
        <v>-14.688675000000044</v>
      </c>
      <c r="AL49" s="14">
        <f>IF(AG49="Y",LININTERP(AK49,XS_Designer_Calculations!$AY$4:$AY$104,XS_Designer_Calculations!$AZ$4:$AZ$104),AL48)</f>
        <v>2.1947485000000011</v>
      </c>
      <c r="AM49" s="14">
        <f t="shared" si="16"/>
        <v>2.8052514999999989</v>
      </c>
      <c r="AN49" s="14">
        <f t="shared" si="17"/>
        <v>0.76232356564218728</v>
      </c>
      <c r="AO49" s="46">
        <f t="shared" si="18"/>
        <v>0.27206689706083842</v>
      </c>
      <c r="AP49" s="46">
        <f t="shared" si="19"/>
        <v>2.8019710368208441</v>
      </c>
      <c r="AQ49" s="46">
        <f t="shared" si="20"/>
        <v>8.6035107064681964E-3</v>
      </c>
      <c r="AR49" s="14">
        <f>IFERROR(IF(AG49="Y",VLOOKUP(AK49,XS_Designer_Calculations!$R$5:$T$104,3,TRUE),0),0)</f>
        <v>0.1</v>
      </c>
      <c r="AS49" s="46">
        <f t="shared" si="21"/>
        <v>0.01</v>
      </c>
      <c r="AT49" s="14">
        <f t="shared" si="22"/>
        <v>22.514756233828958</v>
      </c>
      <c r="AU49" s="14">
        <f>AT49*XS_Designer_Calculations!$I$7^0.5</f>
        <v>2.2514756233828961</v>
      </c>
      <c r="AV49" s="14">
        <f t="shared" si="23"/>
        <v>2.9534383099992922</v>
      </c>
      <c r="AW49" s="14">
        <f t="shared" si="24"/>
        <v>1.7484299269762067</v>
      </c>
      <c r="AX49" s="14">
        <f t="shared" si="25"/>
        <v>5</v>
      </c>
      <c r="AY49" s="46">
        <f t="shared" si="26"/>
        <v>2.8025313749999992</v>
      </c>
      <c r="AZ49" s="14">
        <f>((AS49*AP49)/(1.65*XS_Designer!$S$99))*12</f>
        <v>9.8139383488121332</v>
      </c>
      <c r="BA49" s="14">
        <f>(AW49/((1.65*62.4)*XS_Designer!$AA$53))*12</f>
        <v>3.3963285294798116</v>
      </c>
      <c r="BB49" s="14">
        <f t="shared" si="27"/>
        <v>5.5009884477158009</v>
      </c>
      <c r="BC49" s="14">
        <f t="shared" si="28"/>
        <v>9.0345967514093228</v>
      </c>
      <c r="BD49" s="14">
        <f>IF(ISNUMBER(LININTERP(AW49,Permissible_Shear!$T$178:$T$188,Permissible_Shear!$V$178:$V$188)),LININTERP(AW49,Permissible_Shear!$T$178:$T$188,Permissible_Shear!$V$178:$V$188),0)</f>
        <v>5.7112407428162903</v>
      </c>
      <c r="BE49" s="14">
        <f>LININTERP(AW49,Permissible_Shear!$S$205:$S$222,Permissible_Shear!$V$205:$V$222)</f>
        <v>5.776343521800646</v>
      </c>
      <c r="BF49" s="14">
        <f>INDEX($AZ$3:$BE$204,ROW(BF49)-2,MATCH(XS_Designer!$W$5,XS_Designer_Summary!$AZ$2:$BE$2,0))</f>
        <v>5.5009884477158009</v>
      </c>
      <c r="BG49" s="79">
        <f t="shared" si="29"/>
        <v>2.9534383099992922</v>
      </c>
      <c r="BH49" s="79">
        <f t="shared" si="30"/>
        <v>0</v>
      </c>
      <c r="BI49" s="79">
        <f t="shared" si="31"/>
        <v>0</v>
      </c>
      <c r="BJ49" s="79">
        <f t="shared" si="32"/>
        <v>1.7484299269762067</v>
      </c>
      <c r="BK49" s="79">
        <f t="shared" si="33"/>
        <v>0</v>
      </c>
      <c r="BL49" s="79">
        <f t="shared" si="34"/>
        <v>0</v>
      </c>
      <c r="BM49" s="124">
        <f t="shared" si="35"/>
        <v>2.8019710368208441</v>
      </c>
      <c r="BN49" s="124">
        <f t="shared" si="36"/>
        <v>0</v>
      </c>
      <c r="BO49" s="124">
        <f t="shared" si="37"/>
        <v>0</v>
      </c>
    </row>
    <row r="50" spans="1:67" ht="15">
      <c r="A50" s="2"/>
      <c r="B50" s="12"/>
      <c r="C50" s="2"/>
      <c r="D50" s="12"/>
      <c r="E50" s="1"/>
      <c r="F50" s="2"/>
      <c r="G50" s="12"/>
      <c r="H50" s="1"/>
      <c r="I50" s="2"/>
      <c r="J50" s="12"/>
      <c r="K50" s="27"/>
      <c r="L50" s="2"/>
      <c r="M50" s="12"/>
      <c r="N50" s="2"/>
      <c r="P50" s="2"/>
      <c r="S50" s="2"/>
      <c r="V50" s="1"/>
      <c r="W50" s="1"/>
      <c r="Z50" s="2"/>
      <c r="AA50" s="2"/>
      <c r="AD50" s="3">
        <v>46</v>
      </c>
      <c r="AE50" s="3" t="str">
        <f t="shared" si="13"/>
        <v>Left</v>
      </c>
      <c r="AF50" s="3" t="str">
        <f t="shared" si="14"/>
        <v>LOB</v>
      </c>
      <c r="AG50" s="3" t="str">
        <f>IF(XS_Designer_Summary!$AB$24&gt;=XS_Designer_Summary!AD50,"Y","N")</f>
        <v>Y</v>
      </c>
      <c r="AH50" s="45">
        <v>1</v>
      </c>
      <c r="AI50" s="45">
        <f>IF(AG50="Y",$O$19/XS_Designer_Summary!$AB$24,0)</f>
        <v>0.27201249999999999</v>
      </c>
      <c r="AJ50" s="45">
        <f t="shared" si="15"/>
        <v>0.27201249999999999</v>
      </c>
      <c r="AK50" s="14">
        <f t="shared" si="38"/>
        <v>-14.416662500000044</v>
      </c>
      <c r="AL50" s="14">
        <f>IF(AG50="Y",LININTERP(AK50,XS_Designer_Calculations!$AY$4:$AY$104,XS_Designer_Calculations!$AZ$4:$AZ$104),AL49)</f>
        <v>2.1893082500000007</v>
      </c>
      <c r="AM50" s="14">
        <f t="shared" si="16"/>
        <v>2.8106917499999993</v>
      </c>
      <c r="AN50" s="14">
        <f t="shared" si="17"/>
        <v>0.76380338164531225</v>
      </c>
      <c r="AO50" s="46">
        <f t="shared" si="18"/>
        <v>0.27206689706083842</v>
      </c>
      <c r="AP50" s="46">
        <f t="shared" si="19"/>
        <v>2.8074101990971503</v>
      </c>
      <c r="AQ50" s="46">
        <f t="shared" si="20"/>
        <v>8.6035107064681964E-3</v>
      </c>
      <c r="AR50" s="14">
        <f>IFERROR(IF(AG50="Y",VLOOKUP(AK50,XS_Designer_Calculations!$R$5:$T$104,3,TRUE),0),0)</f>
        <v>0.1</v>
      </c>
      <c r="AS50" s="46">
        <f t="shared" si="21"/>
        <v>0.01</v>
      </c>
      <c r="AT50" s="14">
        <f t="shared" si="22"/>
        <v>22.587645778621287</v>
      </c>
      <c r="AU50" s="14">
        <f>AT50*XS_Designer_Calculations!$I$7^0.5</f>
        <v>2.2587645778621286</v>
      </c>
      <c r="AV50" s="14">
        <f t="shared" si="23"/>
        <v>2.9572592006551659</v>
      </c>
      <c r="AW50" s="14">
        <f t="shared" si="24"/>
        <v>1.7518239642366218</v>
      </c>
      <c r="AX50" s="14">
        <f t="shared" si="25"/>
        <v>5</v>
      </c>
      <c r="AY50" s="46">
        <f t="shared" si="26"/>
        <v>2.8079716249999991</v>
      </c>
      <c r="AZ50" s="14">
        <f>((AS50*AP50)/(1.65*XS_Designer!$S$99))*12</f>
        <v>9.832989082223504</v>
      </c>
      <c r="BA50" s="14">
        <f>(AW50/((1.65*62.4)*XS_Designer!$AA$53))*12</f>
        <v>3.4029214534510919</v>
      </c>
      <c r="BB50" s="14">
        <f t="shared" si="27"/>
        <v>5.5121050785021843</v>
      </c>
      <c r="BC50" s="14">
        <f t="shared" si="28"/>
        <v>9.0474800536715332</v>
      </c>
      <c r="BD50" s="14">
        <f>IF(ISNUMBER(LININTERP(AW50,Permissible_Shear!$T$178:$T$188,Permissible_Shear!$V$178:$V$188)),LININTERP(AW50,Permissible_Shear!$T$178:$T$188,Permissible_Shear!$V$178:$V$188),0)</f>
        <v>5.7218422778263722</v>
      </c>
      <c r="BE50" s="14">
        <f>LININTERP(AW50,Permissible_Shear!$S$205:$S$222,Permissible_Shear!$V$205:$V$222)</f>
        <v>5.7869498882394428</v>
      </c>
      <c r="BF50" s="14">
        <f>INDEX($AZ$3:$BE$204,ROW(BF50)-2,MATCH(XS_Designer!$W$5,XS_Designer_Summary!$AZ$2:$BE$2,0))</f>
        <v>5.5121050785021843</v>
      </c>
      <c r="BG50" s="79">
        <f t="shared" si="29"/>
        <v>2.9572592006551659</v>
      </c>
      <c r="BH50" s="79">
        <f t="shared" si="30"/>
        <v>0</v>
      </c>
      <c r="BI50" s="79">
        <f t="shared" si="31"/>
        <v>0</v>
      </c>
      <c r="BJ50" s="79">
        <f t="shared" si="32"/>
        <v>1.7518239642366218</v>
      </c>
      <c r="BK50" s="79">
        <f t="shared" si="33"/>
        <v>0</v>
      </c>
      <c r="BL50" s="79">
        <f t="shared" si="34"/>
        <v>0</v>
      </c>
      <c r="BM50" s="124">
        <f t="shared" si="35"/>
        <v>2.8074101990971503</v>
      </c>
      <c r="BN50" s="124">
        <f t="shared" si="36"/>
        <v>0</v>
      </c>
      <c r="BO50" s="124">
        <f t="shared" si="37"/>
        <v>0</v>
      </c>
    </row>
    <row r="51" spans="1:67" ht="15">
      <c r="A51" s="1"/>
      <c r="B51" s="1"/>
      <c r="C51" s="1"/>
      <c r="D51" s="1"/>
      <c r="E51" s="1"/>
      <c r="F51" s="1"/>
      <c r="G51" s="1"/>
      <c r="H51" s="1"/>
      <c r="I51" s="1"/>
      <c r="J51" s="1"/>
      <c r="K51" s="11"/>
      <c r="L51" s="1"/>
      <c r="M51" s="1"/>
      <c r="P51" s="2"/>
      <c r="S51" s="2"/>
      <c r="V51" s="1"/>
      <c r="W51" s="1"/>
      <c r="Z51" s="2"/>
      <c r="AA51" s="2"/>
      <c r="AD51" s="3">
        <v>47</v>
      </c>
      <c r="AE51" s="3" t="str">
        <f t="shared" si="13"/>
        <v>Left</v>
      </c>
      <c r="AF51" s="3" t="str">
        <f t="shared" si="14"/>
        <v>LOB</v>
      </c>
      <c r="AG51" s="3" t="str">
        <f>IF(XS_Designer_Summary!$AB$24&gt;=XS_Designer_Summary!AD51,"Y","N")</f>
        <v>Y</v>
      </c>
      <c r="AH51" s="45">
        <v>1</v>
      </c>
      <c r="AI51" s="45">
        <f>IF(AG51="Y",$O$19/XS_Designer_Summary!$AB$24,0)</f>
        <v>0.27201249999999999</v>
      </c>
      <c r="AJ51" s="45">
        <f t="shared" si="15"/>
        <v>0.27201249999999999</v>
      </c>
      <c r="AK51" s="14">
        <f t="shared" si="38"/>
        <v>-14.144650000000043</v>
      </c>
      <c r="AL51" s="14">
        <f>IF(AG51="Y",LININTERP(AK51,XS_Designer_Calculations!$AY$4:$AY$104,XS_Designer_Calculations!$AZ$4:$AZ$104),AL50)</f>
        <v>2.1838680000000008</v>
      </c>
      <c r="AM51" s="14">
        <f t="shared" si="16"/>
        <v>2.8161319999999992</v>
      </c>
      <c r="AN51" s="14">
        <f t="shared" si="17"/>
        <v>0.76528319764843722</v>
      </c>
      <c r="AO51" s="46">
        <f t="shared" si="18"/>
        <v>0.27206689706083842</v>
      </c>
      <c r="AP51" s="46">
        <f t="shared" si="19"/>
        <v>2.8128493613734564</v>
      </c>
      <c r="AQ51" s="46">
        <f t="shared" si="20"/>
        <v>8.6035107064681964E-3</v>
      </c>
      <c r="AR51" s="14">
        <f>IFERROR(IF(AG51="Y",VLOOKUP(AK51,XS_Designer_Calculations!$R$5:$T$104,3,TRUE),0),0)</f>
        <v>0.1</v>
      </c>
      <c r="AS51" s="46">
        <f t="shared" si="21"/>
        <v>0.01</v>
      </c>
      <c r="AT51" s="14">
        <f t="shared" si="22"/>
        <v>22.660629529899715</v>
      </c>
      <c r="AU51" s="14">
        <f>AT51*XS_Designer_Calculations!$I$7^0.5</f>
        <v>2.2660629529899716</v>
      </c>
      <c r="AV51" s="14">
        <f t="shared" si="23"/>
        <v>2.9610776245357688</v>
      </c>
      <c r="AW51" s="14">
        <f t="shared" si="24"/>
        <v>1.7552180014970367</v>
      </c>
      <c r="AX51" s="14">
        <f t="shared" si="25"/>
        <v>5</v>
      </c>
      <c r="AY51" s="46">
        <f t="shared" si="26"/>
        <v>2.813411874999999</v>
      </c>
      <c r="AZ51" s="14">
        <f>((AS51*AP51)/(1.65*XS_Designer!$S$99))*12</f>
        <v>9.8520398156348747</v>
      </c>
      <c r="BA51" s="14">
        <f>(AW51/((1.65*62.4)*XS_Designer!$AA$53))*12</f>
        <v>3.4095143774223713</v>
      </c>
      <c r="BB51" s="14">
        <f t="shared" si="27"/>
        <v>5.5232226130338189</v>
      </c>
      <c r="BC51" s="14">
        <f t="shared" si="28"/>
        <v>9.0603567619533205</v>
      </c>
      <c r="BD51" s="14">
        <f>IF(ISNUMBER(LININTERP(AW51,Permissible_Shear!$T$178:$T$188,Permissible_Shear!$V$178:$V$188)),LININTERP(AW51,Permissible_Shear!$T$178:$T$188,Permissible_Shear!$V$178:$V$188),0)</f>
        <v>5.7324438128364532</v>
      </c>
      <c r="BE51" s="14">
        <f>LININTERP(AW51,Permissible_Shear!$S$205:$S$222,Permissible_Shear!$V$205:$V$222)</f>
        <v>5.7975562546782395</v>
      </c>
      <c r="BF51" s="14">
        <f>INDEX($AZ$3:$BE$204,ROW(BF51)-2,MATCH(XS_Designer!$W$5,XS_Designer_Summary!$AZ$2:$BE$2,0))</f>
        <v>5.5232226130338189</v>
      </c>
      <c r="BG51" s="79">
        <f t="shared" si="29"/>
        <v>2.9610776245357688</v>
      </c>
      <c r="BH51" s="79">
        <f t="shared" si="30"/>
        <v>0</v>
      </c>
      <c r="BI51" s="79">
        <f t="shared" si="31"/>
        <v>0</v>
      </c>
      <c r="BJ51" s="79">
        <f t="shared" si="32"/>
        <v>1.7552180014970367</v>
      </c>
      <c r="BK51" s="79">
        <f t="shared" si="33"/>
        <v>0</v>
      </c>
      <c r="BL51" s="79">
        <f t="shared" si="34"/>
        <v>0</v>
      </c>
      <c r="BM51" s="124">
        <f t="shared" si="35"/>
        <v>2.8128493613734564</v>
      </c>
      <c r="BN51" s="124">
        <f t="shared" si="36"/>
        <v>0</v>
      </c>
      <c r="BO51" s="124">
        <f t="shared" si="37"/>
        <v>0</v>
      </c>
    </row>
    <row r="52" spans="1:67" ht="15">
      <c r="A52" s="11"/>
      <c r="B52" s="12"/>
      <c r="C52" s="11"/>
      <c r="D52" s="12"/>
      <c r="E52" s="1"/>
      <c r="F52" s="11"/>
      <c r="G52" s="121"/>
      <c r="H52" s="1"/>
      <c r="I52" s="11"/>
      <c r="J52" s="12"/>
      <c r="K52" s="27"/>
      <c r="L52" s="11"/>
      <c r="M52" s="12"/>
      <c r="N52" s="2"/>
      <c r="P52" s="2"/>
      <c r="S52" s="2"/>
      <c r="V52" s="1"/>
      <c r="W52" s="1"/>
      <c r="Z52" s="2"/>
      <c r="AA52" s="2"/>
      <c r="AD52" s="3">
        <v>48</v>
      </c>
      <c r="AE52" s="3" t="str">
        <f t="shared" si="13"/>
        <v>Left</v>
      </c>
      <c r="AF52" s="3" t="str">
        <f t="shared" si="14"/>
        <v>LOB</v>
      </c>
      <c r="AG52" s="3" t="str">
        <f>IF(XS_Designer_Summary!$AB$24&gt;=XS_Designer_Summary!AD52,"Y","N")</f>
        <v>Y</v>
      </c>
      <c r="AH52" s="45">
        <v>1</v>
      </c>
      <c r="AI52" s="45">
        <f>IF(AG52="Y",$O$19/XS_Designer_Summary!$AB$24,0)</f>
        <v>0.27201249999999999</v>
      </c>
      <c r="AJ52" s="45">
        <f t="shared" si="15"/>
        <v>0.27201249999999999</v>
      </c>
      <c r="AK52" s="14">
        <f t="shared" si="38"/>
        <v>-13.872637500000042</v>
      </c>
      <c r="AL52" s="14">
        <f>IF(AG52="Y",LININTERP(AK52,XS_Designer_Calculations!$AY$4:$AY$104,XS_Designer_Calculations!$AZ$4:$AZ$104),AL51)</f>
        <v>2.1784277500000009</v>
      </c>
      <c r="AM52" s="14">
        <f t="shared" si="16"/>
        <v>2.8215722499999991</v>
      </c>
      <c r="AN52" s="14">
        <f t="shared" si="17"/>
        <v>0.7667630136515623</v>
      </c>
      <c r="AO52" s="46">
        <f t="shared" si="18"/>
        <v>0.27206689706083842</v>
      </c>
      <c r="AP52" s="46">
        <f t="shared" si="19"/>
        <v>2.818288523649763</v>
      </c>
      <c r="AQ52" s="46">
        <f t="shared" si="20"/>
        <v>8.6035107064681964E-3</v>
      </c>
      <c r="AR52" s="14">
        <f>IFERROR(IF(AG52="Y",VLOOKUP(AK52,XS_Designer_Calculations!$R$5:$T$104,3,TRUE),0),0)</f>
        <v>0.1</v>
      </c>
      <c r="AS52" s="46">
        <f t="shared" si="21"/>
        <v>0.01</v>
      </c>
      <c r="AT52" s="14">
        <f t="shared" si="22"/>
        <v>22.733707426903159</v>
      </c>
      <c r="AU52" s="14">
        <f>AT52*XS_Designer_Calculations!$I$7^0.5</f>
        <v>2.2733707426903158</v>
      </c>
      <c r="AV52" s="14">
        <f t="shared" si="23"/>
        <v>2.9648935879990117</v>
      </c>
      <c r="AW52" s="14">
        <f t="shared" si="24"/>
        <v>1.7586120387574522</v>
      </c>
      <c r="AX52" s="14">
        <f t="shared" si="25"/>
        <v>5</v>
      </c>
      <c r="AY52" s="46">
        <f t="shared" si="26"/>
        <v>2.8188521249999994</v>
      </c>
      <c r="AZ52" s="14">
        <f>((AS52*AP52)/(1.65*XS_Designer!$S$99))*12</f>
        <v>9.8710905490462455</v>
      </c>
      <c r="BA52" s="14">
        <f>(AW52/((1.65*62.4)*XS_Designer!$AA$53))*12</f>
        <v>3.4161073013936525</v>
      </c>
      <c r="BB52" s="14">
        <f t="shared" si="27"/>
        <v>5.5343410496380931</v>
      </c>
      <c r="BC52" s="14">
        <f t="shared" si="28"/>
        <v>9.0732268923582424</v>
      </c>
      <c r="BD52" s="14">
        <f>IF(ISNUMBER(LININTERP(AW52,Permissible_Shear!$T$178:$T$188,Permissible_Shear!$V$178:$V$188)),LININTERP(AW52,Permissible_Shear!$T$178:$T$188,Permissible_Shear!$V$178:$V$188),0)</f>
        <v>5.743045347846536</v>
      </c>
      <c r="BE52" s="14">
        <f>LININTERP(AW52,Permissible_Shear!$S$205:$S$222,Permissible_Shear!$V$205:$V$222)</f>
        <v>5.8081626211170381</v>
      </c>
      <c r="BF52" s="14">
        <f>INDEX($AZ$3:$BE$204,ROW(BF52)-2,MATCH(XS_Designer!$W$5,XS_Designer_Summary!$AZ$2:$BE$2,0))</f>
        <v>5.5343410496380931</v>
      </c>
      <c r="BG52" s="79">
        <f t="shared" si="29"/>
        <v>2.9648935879990117</v>
      </c>
      <c r="BH52" s="79">
        <f t="shared" si="30"/>
        <v>0</v>
      </c>
      <c r="BI52" s="79">
        <f t="shared" si="31"/>
        <v>0</v>
      </c>
      <c r="BJ52" s="79">
        <f t="shared" si="32"/>
        <v>1.7586120387574522</v>
      </c>
      <c r="BK52" s="79">
        <f t="shared" si="33"/>
        <v>0</v>
      </c>
      <c r="BL52" s="79">
        <f t="shared" si="34"/>
        <v>0</v>
      </c>
      <c r="BM52" s="124">
        <f t="shared" si="35"/>
        <v>2.818288523649763</v>
      </c>
      <c r="BN52" s="124">
        <f t="shared" si="36"/>
        <v>0</v>
      </c>
      <c r="BO52" s="124">
        <f t="shared" si="37"/>
        <v>0</v>
      </c>
    </row>
    <row r="53" spans="1:67" ht="15">
      <c r="A53" s="11"/>
      <c r="B53" s="12"/>
      <c r="C53" s="11"/>
      <c r="D53" s="12"/>
      <c r="E53" s="1"/>
      <c r="F53" s="11"/>
      <c r="G53" s="121"/>
      <c r="H53" s="1"/>
      <c r="I53" s="11"/>
      <c r="J53" s="12"/>
      <c r="K53" s="27"/>
      <c r="L53" s="11"/>
      <c r="M53" s="12"/>
      <c r="N53" s="2"/>
      <c r="P53" s="2"/>
      <c r="S53" s="2"/>
      <c r="V53" s="1"/>
      <c r="W53" s="1"/>
      <c r="Z53" s="2"/>
      <c r="AA53" s="2"/>
      <c r="AB53" s="2"/>
      <c r="AD53" s="3">
        <v>49</v>
      </c>
      <c r="AE53" s="3" t="str">
        <f t="shared" si="13"/>
        <v>Left</v>
      </c>
      <c r="AF53" s="3" t="str">
        <f t="shared" si="14"/>
        <v>LOB</v>
      </c>
      <c r="AG53" s="3" t="str">
        <f>IF(XS_Designer_Summary!$AB$24&gt;=XS_Designer_Summary!AD53,"Y","N")</f>
        <v>Y</v>
      </c>
      <c r="AH53" s="45">
        <v>1</v>
      </c>
      <c r="AI53" s="45">
        <f>IF(AG53="Y",$O$19/XS_Designer_Summary!$AB$24,0)</f>
        <v>0.27201249999999999</v>
      </c>
      <c r="AJ53" s="45">
        <f t="shared" si="15"/>
        <v>0.27201249999999999</v>
      </c>
      <c r="AK53" s="14">
        <f t="shared" si="38"/>
        <v>-13.600625000000042</v>
      </c>
      <c r="AL53" s="14">
        <f>IF(AG53="Y",LININTERP(AK53,XS_Designer_Calculations!$AY$4:$AY$104,XS_Designer_Calculations!$AZ$4:$AZ$104),AL52)</f>
        <v>2.172987500000001</v>
      </c>
      <c r="AM53" s="14">
        <f t="shared" si="16"/>
        <v>2.827012499999999</v>
      </c>
      <c r="AN53" s="14">
        <f t="shared" si="17"/>
        <v>0.76824282965468715</v>
      </c>
      <c r="AO53" s="46">
        <f t="shared" si="18"/>
        <v>0.27206689706083842</v>
      </c>
      <c r="AP53" s="46">
        <f t="shared" si="19"/>
        <v>2.8237276859260683</v>
      </c>
      <c r="AQ53" s="46">
        <f t="shared" si="20"/>
        <v>8.6035107064681964E-3</v>
      </c>
      <c r="AR53" s="14">
        <f>IFERROR(IF(AG53="Y",VLOOKUP(AK53,XS_Designer_Calculations!$R$5:$T$104,3,TRUE),0),0)</f>
        <v>0.1</v>
      </c>
      <c r="AS53" s="46">
        <f t="shared" si="21"/>
        <v>0.01</v>
      </c>
      <c r="AT53" s="14">
        <f t="shared" si="22"/>
        <v>22.806879409026958</v>
      </c>
      <c r="AU53" s="14">
        <f>AT53*XS_Designer_Calculations!$I$7^0.5</f>
        <v>2.2806879409026961</v>
      </c>
      <c r="AV53" s="14">
        <f t="shared" si="23"/>
        <v>2.968707097374184</v>
      </c>
      <c r="AW53" s="14">
        <f t="shared" si="24"/>
        <v>1.7620060760178666</v>
      </c>
      <c r="AX53" s="14">
        <f t="shared" si="25"/>
        <v>5</v>
      </c>
      <c r="AY53" s="46">
        <f t="shared" si="26"/>
        <v>2.8242923749999989</v>
      </c>
      <c r="AZ53" s="14">
        <f>((AS53*AP53)/(1.65*XS_Designer!$S$99))*12</f>
        <v>9.8901412824576109</v>
      </c>
      <c r="BA53" s="14">
        <f>(AW53/((1.65*62.4)*XS_Designer!$AA$53))*12</f>
        <v>3.4227002253649319</v>
      </c>
      <c r="BB53" s="14">
        <f t="shared" si="27"/>
        <v>5.5454603866487098</v>
      </c>
      <c r="BC53" s="14">
        <f t="shared" si="28"/>
        <v>9.086090460919575</v>
      </c>
      <c r="BD53" s="14">
        <f>IF(ISNUMBER(LININTERP(AW53,Permissible_Shear!$T$178:$T$188,Permissible_Shear!$V$178:$V$188)),LININTERP(AW53,Permissible_Shear!$T$178:$T$188,Permissible_Shear!$V$178:$V$188),0)</f>
        <v>5.7536468828566161</v>
      </c>
      <c r="BE53" s="14">
        <f>LININTERP(AW53,Permissible_Shear!$S$205:$S$222,Permissible_Shear!$V$205:$V$222)</f>
        <v>5.818768987555833</v>
      </c>
      <c r="BF53" s="14">
        <f>INDEX($AZ$3:$BE$204,ROW(BF53)-2,MATCH(XS_Designer!$W$5,XS_Designer_Summary!$AZ$2:$BE$2,0))</f>
        <v>5.5454603866487098</v>
      </c>
      <c r="BG53" s="79">
        <f t="shared" si="29"/>
        <v>2.968707097374184</v>
      </c>
      <c r="BH53" s="79">
        <f t="shared" si="30"/>
        <v>0</v>
      </c>
      <c r="BI53" s="79">
        <f t="shared" si="31"/>
        <v>0</v>
      </c>
      <c r="BJ53" s="79">
        <f t="shared" si="32"/>
        <v>1.7620060760178666</v>
      </c>
      <c r="BK53" s="79">
        <f t="shared" si="33"/>
        <v>0</v>
      </c>
      <c r="BL53" s="79">
        <f t="shared" si="34"/>
        <v>0</v>
      </c>
      <c r="BM53" s="124">
        <f t="shared" si="35"/>
        <v>2.8237276859260683</v>
      </c>
      <c r="BN53" s="124">
        <f t="shared" si="36"/>
        <v>0</v>
      </c>
      <c r="BO53" s="124">
        <f t="shared" si="37"/>
        <v>0</v>
      </c>
    </row>
    <row r="54" spans="1:67" ht="15">
      <c r="A54" s="11"/>
      <c r="B54" s="12"/>
      <c r="C54" s="11"/>
      <c r="D54" s="121"/>
      <c r="E54" s="1"/>
      <c r="F54" s="11"/>
      <c r="G54" s="121"/>
      <c r="H54" s="1"/>
      <c r="I54" s="11"/>
      <c r="J54" s="12"/>
      <c r="K54" s="27"/>
      <c r="L54" s="11"/>
      <c r="M54" s="12"/>
      <c r="N54" s="2"/>
      <c r="P54" s="2"/>
      <c r="S54" s="2"/>
      <c r="V54" s="1"/>
      <c r="W54" s="1"/>
      <c r="Z54" s="2"/>
      <c r="AA54" s="2"/>
      <c r="AB54" s="2"/>
      <c r="AD54" s="3">
        <v>50</v>
      </c>
      <c r="AE54" s="3" t="str">
        <f t="shared" si="13"/>
        <v>Left</v>
      </c>
      <c r="AF54" s="3" t="str">
        <f t="shared" si="14"/>
        <v>LOB</v>
      </c>
      <c r="AG54" s="3" t="str">
        <f>IF(XS_Designer_Summary!$AB$24&gt;=XS_Designer_Summary!AD54,"Y","N")</f>
        <v>Y</v>
      </c>
      <c r="AH54" s="45">
        <v>1</v>
      </c>
      <c r="AI54" s="45">
        <f>IF(AG54="Y",$O$19/XS_Designer_Summary!$AB$24,0)</f>
        <v>0.27201249999999999</v>
      </c>
      <c r="AJ54" s="45">
        <f t="shared" si="15"/>
        <v>0.27201249999999999</v>
      </c>
      <c r="AK54" s="14">
        <f t="shared" si="38"/>
        <v>-13.328612500000041</v>
      </c>
      <c r="AL54" s="14">
        <f>IF(AG54="Y",LININTERP(AK54,XS_Designer_Calculations!$AY$4:$AY$104,XS_Designer_Calculations!$AZ$4:$AZ$104),AL53)</f>
        <v>2.167547250000001</v>
      </c>
      <c r="AM54" s="14">
        <f t="shared" si="16"/>
        <v>2.832452749999999</v>
      </c>
      <c r="AN54" s="14">
        <f t="shared" si="17"/>
        <v>0.76972264565781223</v>
      </c>
      <c r="AO54" s="46">
        <f t="shared" si="18"/>
        <v>0.27206689706083842</v>
      </c>
      <c r="AP54" s="46">
        <f t="shared" si="19"/>
        <v>2.8291668482023749</v>
      </c>
      <c r="AQ54" s="46">
        <f t="shared" si="20"/>
        <v>8.6035107064681964E-3</v>
      </c>
      <c r="AR54" s="14">
        <f>IFERROR(IF(AG54="Y",VLOOKUP(AK54,XS_Designer_Calculations!$R$5:$T$104,3,TRUE),0),0)</f>
        <v>0.1</v>
      </c>
      <c r="AS54" s="46">
        <f t="shared" si="21"/>
        <v>0.01</v>
      </c>
      <c r="AT54" s="14">
        <f t="shared" si="22"/>
        <v>22.880145415822252</v>
      </c>
      <c r="AU54" s="14">
        <f>AT54*XS_Designer_Calculations!$I$7^0.5</f>
        <v>2.2880145415822253</v>
      </c>
      <c r="AV54" s="14">
        <f t="shared" si="23"/>
        <v>2.9725181589621368</v>
      </c>
      <c r="AW54" s="14">
        <f t="shared" si="24"/>
        <v>1.7654001132782819</v>
      </c>
      <c r="AX54" s="14">
        <f t="shared" si="25"/>
        <v>5</v>
      </c>
      <c r="AY54" s="46">
        <f t="shared" si="26"/>
        <v>2.8297326249999992</v>
      </c>
      <c r="AZ54" s="14">
        <f>((AS54*AP54)/(1.65*XS_Designer!$S$99))*12</f>
        <v>9.9091920158689835</v>
      </c>
      <c r="BA54" s="14">
        <f>(AW54/((1.65*62.4)*XS_Designer!$AA$53))*12</f>
        <v>3.4292931493362122</v>
      </c>
      <c r="BB54" s="14">
        <f t="shared" si="27"/>
        <v>5.5565806224056464</v>
      </c>
      <c r="BC54" s="14">
        <f t="shared" si="28"/>
        <v>9.0989474836007265</v>
      </c>
      <c r="BD54" s="14">
        <f>IF(ISNUMBER(LININTERP(AW54,Permissible_Shear!$T$178:$T$188,Permissible_Shear!$V$178:$V$188)),LININTERP(AW54,Permissible_Shear!$T$178:$T$188,Permissible_Shear!$V$178:$V$188),0)</f>
        <v>5.7642484178666979</v>
      </c>
      <c r="BE54" s="14">
        <f>LININTERP(AW54,Permissible_Shear!$S$205:$S$222,Permissible_Shear!$V$205:$V$222)</f>
        <v>5.8293753539946316</v>
      </c>
      <c r="BF54" s="14">
        <f>INDEX($AZ$3:$BE$204,ROW(BF54)-2,MATCH(XS_Designer!$W$5,XS_Designer_Summary!$AZ$2:$BE$2,0))</f>
        <v>5.5565806224056464</v>
      </c>
      <c r="BG54" s="79">
        <f t="shared" si="29"/>
        <v>2.9725181589621368</v>
      </c>
      <c r="BH54" s="79">
        <f t="shared" si="30"/>
        <v>0</v>
      </c>
      <c r="BI54" s="79">
        <f t="shared" si="31"/>
        <v>0</v>
      </c>
      <c r="BJ54" s="79">
        <f t="shared" si="32"/>
        <v>1.7654001132782819</v>
      </c>
      <c r="BK54" s="79">
        <f t="shared" si="33"/>
        <v>0</v>
      </c>
      <c r="BL54" s="79">
        <f t="shared" si="34"/>
        <v>0</v>
      </c>
      <c r="BM54" s="124">
        <f t="shared" si="35"/>
        <v>2.8291668482023749</v>
      </c>
      <c r="BN54" s="124">
        <f t="shared" si="36"/>
        <v>0</v>
      </c>
      <c r="BO54" s="124">
        <f t="shared" si="37"/>
        <v>0</v>
      </c>
    </row>
    <row r="55" spans="1:67" ht="15">
      <c r="A55" s="11"/>
      <c r="B55" s="12"/>
      <c r="C55" s="11"/>
      <c r="D55" s="12"/>
      <c r="E55" s="1"/>
      <c r="F55" s="11"/>
      <c r="G55" s="12"/>
      <c r="H55" s="1"/>
      <c r="I55" s="11"/>
      <c r="J55" s="12"/>
      <c r="K55" s="27"/>
      <c r="L55" s="11"/>
      <c r="M55" s="12"/>
      <c r="N55" s="2"/>
      <c r="P55" s="2"/>
      <c r="S55" s="2"/>
      <c r="V55" s="1"/>
      <c r="W55" s="1"/>
      <c r="AA55" s="2"/>
      <c r="AB55" s="2"/>
      <c r="AD55" s="3">
        <v>51</v>
      </c>
      <c r="AE55" s="3" t="str">
        <f t="shared" si="13"/>
        <v>Left</v>
      </c>
      <c r="AF55" s="3" t="str">
        <f t="shared" si="14"/>
        <v>LOB</v>
      </c>
      <c r="AG55" s="3" t="str">
        <f>IF(XS_Designer_Summary!$AB$24&gt;=XS_Designer_Summary!AD55,"Y","N")</f>
        <v>Y</v>
      </c>
      <c r="AH55" s="45">
        <v>1</v>
      </c>
      <c r="AI55" s="45">
        <f>IF(AG55="Y",$O$19/XS_Designer_Summary!$AB$24,0)</f>
        <v>0.27201249999999999</v>
      </c>
      <c r="AJ55" s="45">
        <f t="shared" si="15"/>
        <v>0.27201249999999999</v>
      </c>
      <c r="AK55" s="14">
        <f t="shared" si="38"/>
        <v>-13.05660000000004</v>
      </c>
      <c r="AL55" s="14">
        <f>IF(AG55="Y",LININTERP(AK55,XS_Designer_Calculations!$AY$4:$AY$104,XS_Designer_Calculations!$AZ$4:$AZ$104),AL54)</f>
        <v>2.1621070000000007</v>
      </c>
      <c r="AM55" s="14">
        <f t="shared" si="16"/>
        <v>2.8378929999999993</v>
      </c>
      <c r="AN55" s="14">
        <f t="shared" si="17"/>
        <v>0.7712024616609372</v>
      </c>
      <c r="AO55" s="46">
        <f t="shared" si="18"/>
        <v>0.27206689706083842</v>
      </c>
      <c r="AP55" s="46">
        <f t="shared" si="19"/>
        <v>2.834606010478681</v>
      </c>
      <c r="AQ55" s="46">
        <f t="shared" si="20"/>
        <v>8.6035107064681964E-3</v>
      </c>
      <c r="AR55" s="14">
        <f>IFERROR(IF(AG55="Y",VLOOKUP(AK55,XS_Designer_Calculations!$R$5:$T$104,3,TRUE),0),0)</f>
        <v>0.1</v>
      </c>
      <c r="AS55" s="46">
        <f t="shared" si="21"/>
        <v>0.01</v>
      </c>
      <c r="AT55" s="14">
        <f t="shared" si="22"/>
        <v>22.953505386995182</v>
      </c>
      <c r="AU55" s="14">
        <f>AT55*XS_Designer_Calculations!$I$7^0.5</f>
        <v>2.2953505386995183</v>
      </c>
      <c r="AV55" s="14">
        <f t="shared" si="23"/>
        <v>2.9763267790354644</v>
      </c>
      <c r="AW55" s="14">
        <f t="shared" si="24"/>
        <v>1.7687941505386968</v>
      </c>
      <c r="AX55" s="14">
        <f t="shared" si="25"/>
        <v>5</v>
      </c>
      <c r="AY55" s="46">
        <f t="shared" si="26"/>
        <v>2.8351728749999991</v>
      </c>
      <c r="AZ55" s="14">
        <f>((AS55*AP55)/(1.65*XS_Designer!$S$99))*12</f>
        <v>9.9282427492803524</v>
      </c>
      <c r="BA55" s="14">
        <f>(AW55/((1.65*62.4)*XS_Designer!$AA$53))*12</f>
        <v>3.4358860733074921</v>
      </c>
      <c r="BB55" s="14">
        <f t="shared" si="27"/>
        <v>5.5677017552551291</v>
      </c>
      <c r="BC55" s="14">
        <f t="shared" si="28"/>
        <v>9.1117979762957084</v>
      </c>
      <c r="BD55" s="14">
        <f>IF(ISNUMBER(LININTERP(AW55,Permissible_Shear!$T$178:$T$188,Permissible_Shear!$V$178:$V$188)),LININTERP(AW55,Permissible_Shear!$T$178:$T$188,Permissible_Shear!$V$178:$V$188),0)</f>
        <v>5.7748499528767789</v>
      </c>
      <c r="BE55" s="14">
        <f>LININTERP(AW55,Permissible_Shear!$S$205:$S$222,Permissible_Shear!$V$205:$V$222)</f>
        <v>5.8399817204334283</v>
      </c>
      <c r="BF55" s="14">
        <f>INDEX($AZ$3:$BE$204,ROW(BF55)-2,MATCH(XS_Designer!$W$5,XS_Designer_Summary!$AZ$2:$BE$2,0))</f>
        <v>5.5677017552551291</v>
      </c>
      <c r="BG55" s="79">
        <f t="shared" si="29"/>
        <v>2.9763267790354644</v>
      </c>
      <c r="BH55" s="79">
        <f t="shared" si="30"/>
        <v>0</v>
      </c>
      <c r="BI55" s="79">
        <f t="shared" si="31"/>
        <v>0</v>
      </c>
      <c r="BJ55" s="79">
        <f t="shared" si="32"/>
        <v>1.7687941505386968</v>
      </c>
      <c r="BK55" s="79">
        <f t="shared" si="33"/>
        <v>0</v>
      </c>
      <c r="BL55" s="79">
        <f t="shared" si="34"/>
        <v>0</v>
      </c>
      <c r="BM55" s="124">
        <f t="shared" si="35"/>
        <v>2.834606010478681</v>
      </c>
      <c r="BN55" s="124">
        <f t="shared" si="36"/>
        <v>0</v>
      </c>
      <c r="BO55" s="124">
        <f t="shared" si="37"/>
        <v>0</v>
      </c>
    </row>
    <row r="56" spans="1:67" ht="15">
      <c r="A56" s="11"/>
      <c r="B56" s="12"/>
      <c r="C56" s="11"/>
      <c r="D56" s="12"/>
      <c r="E56" s="1"/>
      <c r="F56" s="11"/>
      <c r="G56" s="12"/>
      <c r="H56" s="1"/>
      <c r="I56" s="11"/>
      <c r="J56" s="12"/>
      <c r="K56" s="27"/>
      <c r="L56" s="11"/>
      <c r="M56" s="12"/>
      <c r="N56" s="2"/>
      <c r="P56" s="2"/>
      <c r="S56" s="2"/>
      <c r="V56" s="1"/>
      <c r="W56" s="1"/>
      <c r="AD56" s="3">
        <v>52</v>
      </c>
      <c r="AE56" s="3" t="str">
        <f t="shared" si="13"/>
        <v>Left</v>
      </c>
      <c r="AF56" s="3" t="str">
        <f t="shared" si="14"/>
        <v>LOB</v>
      </c>
      <c r="AG56" s="3" t="str">
        <f>IF(XS_Designer_Summary!$AB$24&gt;=XS_Designer_Summary!AD56,"Y","N")</f>
        <v>Y</v>
      </c>
      <c r="AH56" s="45">
        <v>1</v>
      </c>
      <c r="AI56" s="45">
        <f>IF(AG56="Y",$O$19/XS_Designer_Summary!$AB$24,0)</f>
        <v>0.27201249999999999</v>
      </c>
      <c r="AJ56" s="45">
        <f t="shared" si="15"/>
        <v>0.27201249999999999</v>
      </c>
      <c r="AK56" s="14">
        <f t="shared" si="38"/>
        <v>-12.78458750000004</v>
      </c>
      <c r="AL56" s="14">
        <f>IF(AG56="Y",LININTERP(AK56,XS_Designer_Calculations!$AY$4:$AY$104,XS_Designer_Calculations!$AZ$4:$AZ$104),AL55)</f>
        <v>2.1566667500000007</v>
      </c>
      <c r="AM56" s="14">
        <f t="shared" si="16"/>
        <v>2.8433332499999993</v>
      </c>
      <c r="AN56" s="14">
        <f t="shared" si="17"/>
        <v>0.77268227766406217</v>
      </c>
      <c r="AO56" s="46">
        <f t="shared" si="18"/>
        <v>0.27206689706083842</v>
      </c>
      <c r="AP56" s="46">
        <f t="shared" si="19"/>
        <v>2.8400451727549871</v>
      </c>
      <c r="AQ56" s="46">
        <f t="shared" si="20"/>
        <v>8.6035107064681964E-3</v>
      </c>
      <c r="AR56" s="14">
        <f>IFERROR(IF(AG56="Y",VLOOKUP(AK56,XS_Designer_Calculations!$R$5:$T$104,3,TRUE),0),0)</f>
        <v>0.1</v>
      </c>
      <c r="AS56" s="46">
        <f t="shared" si="21"/>
        <v>0.01</v>
      </c>
      <c r="AT56" s="14">
        <f t="shared" si="22"/>
        <v>23.026959262406287</v>
      </c>
      <c r="AU56" s="14">
        <f>AT56*XS_Designer_Calculations!$I$7^0.5</f>
        <v>2.3026959262406286</v>
      </c>
      <c r="AV56" s="14">
        <f t="shared" si="23"/>
        <v>2.9801329638386864</v>
      </c>
      <c r="AW56" s="14">
        <f t="shared" si="24"/>
        <v>1.7721881877991121</v>
      </c>
      <c r="AX56" s="14">
        <f t="shared" si="25"/>
        <v>5</v>
      </c>
      <c r="AY56" s="46">
        <f t="shared" si="26"/>
        <v>2.8406131249999991</v>
      </c>
      <c r="AZ56" s="14">
        <f>((AS56*AP56)/(1.65*XS_Designer!$S$99))*12</f>
        <v>9.9472934826917214</v>
      </c>
      <c r="BA56" s="14">
        <f>(AW56/((1.65*62.4)*XS_Designer!$AA$53))*12</f>
        <v>3.4424789972787728</v>
      </c>
      <c r="BB56" s="14">
        <f t="shared" si="27"/>
        <v>5.5788237835495851</v>
      </c>
      <c r="BC56" s="14">
        <f t="shared" si="28"/>
        <v>9.1246419548295385</v>
      </c>
      <c r="BD56" s="14">
        <f>IF(ISNUMBER(LININTERP(AW56,Permissible_Shear!$T$178:$T$188,Permissible_Shear!$V$178:$V$188)),LININTERP(AW56,Permissible_Shear!$T$178:$T$188,Permissible_Shear!$V$178:$V$188),0)</f>
        <v>5.7854514878868617</v>
      </c>
      <c r="BE56" s="14">
        <f>LININTERP(AW56,Permissible_Shear!$S$205:$S$222,Permissible_Shear!$V$205:$V$222)</f>
        <v>5.8505880868722251</v>
      </c>
      <c r="BF56" s="14">
        <f>INDEX($AZ$3:$BE$204,ROW(BF56)-2,MATCH(XS_Designer!$W$5,XS_Designer_Summary!$AZ$2:$BE$2,0))</f>
        <v>5.5788237835495851</v>
      </c>
      <c r="BG56" s="79">
        <f t="shared" si="29"/>
        <v>2.9801329638386864</v>
      </c>
      <c r="BH56" s="79">
        <f t="shared" si="30"/>
        <v>0</v>
      </c>
      <c r="BI56" s="79">
        <f t="shared" si="31"/>
        <v>0</v>
      </c>
      <c r="BJ56" s="79">
        <f t="shared" si="32"/>
        <v>1.7721881877991121</v>
      </c>
      <c r="BK56" s="79">
        <f t="shared" si="33"/>
        <v>0</v>
      </c>
      <c r="BL56" s="79">
        <f t="shared" si="34"/>
        <v>0</v>
      </c>
      <c r="BM56" s="124">
        <f t="shared" si="35"/>
        <v>2.8400451727549871</v>
      </c>
      <c r="BN56" s="124">
        <f t="shared" si="36"/>
        <v>0</v>
      </c>
      <c r="BO56" s="124">
        <f t="shared" si="37"/>
        <v>0</v>
      </c>
    </row>
    <row r="57" spans="1:67" ht="15">
      <c r="A57" s="11"/>
      <c r="B57" s="12"/>
      <c r="C57" s="11"/>
      <c r="D57" s="12"/>
      <c r="E57" s="1"/>
      <c r="F57" s="11"/>
      <c r="G57" s="12"/>
      <c r="H57" s="1"/>
      <c r="I57" s="11"/>
      <c r="J57" s="12"/>
      <c r="K57" s="27"/>
      <c r="L57" s="11"/>
      <c r="M57" s="12"/>
      <c r="N57" s="2"/>
      <c r="P57" s="2"/>
      <c r="S57" s="2"/>
      <c r="V57" s="1"/>
      <c r="W57" s="1"/>
      <c r="AD57" s="3">
        <v>53</v>
      </c>
      <c r="AE57" s="3" t="str">
        <f t="shared" si="13"/>
        <v>Left</v>
      </c>
      <c r="AF57" s="3" t="str">
        <f t="shared" si="14"/>
        <v>LOB</v>
      </c>
      <c r="AG57" s="3" t="str">
        <f>IF(XS_Designer_Summary!$AB$24&gt;=XS_Designer_Summary!AD57,"Y","N")</f>
        <v>Y</v>
      </c>
      <c r="AH57" s="45">
        <v>1</v>
      </c>
      <c r="AI57" s="45">
        <f>IF(AG57="Y",$O$19/XS_Designer_Summary!$AB$24,0)</f>
        <v>0.27201249999999999</v>
      </c>
      <c r="AJ57" s="45">
        <f t="shared" si="15"/>
        <v>0.27201249999999999</v>
      </c>
      <c r="AK57" s="14">
        <f t="shared" si="38"/>
        <v>-12.512575000000039</v>
      </c>
      <c r="AL57" s="14">
        <f>IF(AG57="Y",LININTERP(AK57,XS_Designer_Calculations!$AY$4:$AY$104,XS_Designer_Calculations!$AZ$4:$AZ$104),AL56)</f>
        <v>2.1512265000000008</v>
      </c>
      <c r="AM57" s="14">
        <f t="shared" si="16"/>
        <v>2.8487734999999992</v>
      </c>
      <c r="AN57" s="14">
        <f t="shared" si="17"/>
        <v>0.77416209366718736</v>
      </c>
      <c r="AO57" s="46">
        <f t="shared" si="18"/>
        <v>0.27206689706083842</v>
      </c>
      <c r="AP57" s="46">
        <f t="shared" si="19"/>
        <v>2.8454843350312942</v>
      </c>
      <c r="AQ57" s="46">
        <f t="shared" si="20"/>
        <v>8.6035107064681964E-3</v>
      </c>
      <c r="AR57" s="14">
        <f>IFERROR(IF(AG57="Y",VLOOKUP(AK57,XS_Designer_Calculations!$R$5:$T$104,3,TRUE),0),0)</f>
        <v>0.1</v>
      </c>
      <c r="AS57" s="46">
        <f t="shared" si="21"/>
        <v>0.01</v>
      </c>
      <c r="AT57" s="14">
        <f t="shared" si="22"/>
        <v>23.100506982069756</v>
      </c>
      <c r="AU57" s="14">
        <f>AT57*XS_Designer_Calculations!$I$7^0.5</f>
        <v>2.3100506982069757</v>
      </c>
      <c r="AV57" s="14">
        <f t="shared" si="23"/>
        <v>2.983936719588427</v>
      </c>
      <c r="AW57" s="14">
        <f t="shared" si="24"/>
        <v>1.7755822250595277</v>
      </c>
      <c r="AX57" s="14">
        <f t="shared" si="25"/>
        <v>5</v>
      </c>
      <c r="AY57" s="46">
        <f t="shared" si="26"/>
        <v>2.8460533749999994</v>
      </c>
      <c r="AZ57" s="14">
        <f>((AS57*AP57)/(1.65*XS_Designer!$S$99))*12</f>
        <v>9.9663442161030957</v>
      </c>
      <c r="BA57" s="14">
        <f>(AW57/((1.65*62.4)*XS_Designer!$AA$53))*12</f>
        <v>3.449071921250054</v>
      </c>
      <c r="BB57" s="14">
        <f t="shared" si="27"/>
        <v>5.5899467056476215</v>
      </c>
      <c r="BC57" s="14">
        <f t="shared" si="28"/>
        <v>9.1374794349586939</v>
      </c>
      <c r="BD57" s="14">
        <f>IF(ISNUMBER(LININTERP(AW57,Permissible_Shear!$T$178:$T$188,Permissible_Shear!$V$178:$V$188)),LININTERP(AW57,Permissible_Shear!$T$178:$T$188,Permissible_Shear!$V$178:$V$188),0)</f>
        <v>5.7960530228969445</v>
      </c>
      <c r="BE57" s="14">
        <f>LININTERP(AW57,Permissible_Shear!$S$205:$S$222,Permissible_Shear!$V$205:$V$222)</f>
        <v>5.8611944533110245</v>
      </c>
      <c r="BF57" s="14">
        <f>INDEX($AZ$3:$BE$204,ROW(BF57)-2,MATCH(XS_Designer!$W$5,XS_Designer_Summary!$AZ$2:$BE$2,0))</f>
        <v>5.5899467056476215</v>
      </c>
      <c r="BG57" s="79">
        <f t="shared" si="29"/>
        <v>2.983936719588427</v>
      </c>
      <c r="BH57" s="79">
        <f t="shared" si="30"/>
        <v>0</v>
      </c>
      <c r="BI57" s="79">
        <f t="shared" si="31"/>
        <v>0</v>
      </c>
      <c r="BJ57" s="79">
        <f t="shared" si="32"/>
        <v>1.7755822250595277</v>
      </c>
      <c r="BK57" s="79">
        <f t="shared" si="33"/>
        <v>0</v>
      </c>
      <c r="BL57" s="79">
        <f t="shared" si="34"/>
        <v>0</v>
      </c>
      <c r="BM57" s="124">
        <f t="shared" si="35"/>
        <v>2.8454843350312942</v>
      </c>
      <c r="BN57" s="124">
        <f t="shared" si="36"/>
        <v>0</v>
      </c>
      <c r="BO57" s="124">
        <f t="shared" si="37"/>
        <v>0</v>
      </c>
    </row>
    <row r="58" spans="1:67" ht="1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P58" s="2"/>
      <c r="S58" s="2"/>
      <c r="V58" s="1"/>
      <c r="W58" s="1"/>
      <c r="AD58" s="3">
        <v>54</v>
      </c>
      <c r="AE58" s="3" t="str">
        <f t="shared" si="13"/>
        <v>Left</v>
      </c>
      <c r="AF58" s="3" t="str">
        <f t="shared" si="14"/>
        <v>LOB</v>
      </c>
      <c r="AG58" s="3" t="str">
        <f>IF(XS_Designer_Summary!$AB$24&gt;=XS_Designer_Summary!AD58,"Y","N")</f>
        <v>Y</v>
      </c>
      <c r="AH58" s="45">
        <v>1</v>
      </c>
      <c r="AI58" s="45">
        <f>IF(AG58="Y",$O$19/XS_Designer_Summary!$AB$24,0)</f>
        <v>0.27201249999999999</v>
      </c>
      <c r="AJ58" s="45">
        <f t="shared" si="15"/>
        <v>0.27201249999999999</v>
      </c>
      <c r="AK58" s="14">
        <f t="shared" si="38"/>
        <v>-12.240562500000038</v>
      </c>
      <c r="AL58" s="14">
        <f>IF(AG58="Y",LININTERP(AK58,XS_Designer_Calculations!$AY$4:$AY$104,XS_Designer_Calculations!$AZ$4:$AZ$104),AL57)</f>
        <v>2.1457862500000009</v>
      </c>
      <c r="AM58" s="14">
        <f t="shared" si="16"/>
        <v>2.8542137499999991</v>
      </c>
      <c r="AN58" s="14">
        <f t="shared" si="17"/>
        <v>0.77564190967031221</v>
      </c>
      <c r="AO58" s="46">
        <f t="shared" si="18"/>
        <v>0.27206689706083842</v>
      </c>
      <c r="AP58" s="46">
        <f t="shared" si="19"/>
        <v>2.8509234973075999</v>
      </c>
      <c r="AQ58" s="46">
        <f t="shared" si="20"/>
        <v>8.6035107064681964E-3</v>
      </c>
      <c r="AR58" s="14">
        <f>IFERROR(IF(AG58="Y",VLOOKUP(AK58,XS_Designer_Calculations!$R$5:$T$104,3,TRUE),0),0)</f>
        <v>0.1</v>
      </c>
      <c r="AS58" s="46">
        <f t="shared" si="21"/>
        <v>0.01</v>
      </c>
      <c r="AT58" s="14">
        <f t="shared" si="22"/>
        <v>23.174148486152749</v>
      </c>
      <c r="AU58" s="14">
        <f>AT58*XS_Designer_Calculations!$I$7^0.5</f>
        <v>2.3174148486152748</v>
      </c>
      <c r="AV58" s="14">
        <f t="shared" si="23"/>
        <v>2.9877380524735901</v>
      </c>
      <c r="AW58" s="14">
        <f t="shared" si="24"/>
        <v>1.7789762623199423</v>
      </c>
      <c r="AX58" s="14">
        <f t="shared" si="25"/>
        <v>5</v>
      </c>
      <c r="AY58" s="46">
        <f t="shared" si="26"/>
        <v>2.8514936249999989</v>
      </c>
      <c r="AZ58" s="14">
        <f>((AS58*AP58)/(1.65*XS_Designer!$S$99))*12</f>
        <v>9.9853949495144629</v>
      </c>
      <c r="BA58" s="14">
        <f>(AW58/((1.65*62.4)*XS_Designer!$AA$53))*12</f>
        <v>3.4556648452213334</v>
      </c>
      <c r="BB58" s="14">
        <f t="shared" si="27"/>
        <v>5.6010705199139785</v>
      </c>
      <c r="BC58" s="14">
        <f t="shared" si="28"/>
        <v>9.1503104323715281</v>
      </c>
      <c r="BD58" s="14">
        <f>IF(ISNUMBER(LININTERP(AW58,Permissible_Shear!$T$178:$T$188,Permissible_Shear!$V$178:$V$188)),LININTERP(AW58,Permissible_Shear!$T$178:$T$188,Permissible_Shear!$V$178:$V$188),0)</f>
        <v>5.8066545579070246</v>
      </c>
      <c r="BE58" s="14">
        <f>LININTERP(AW58,Permissible_Shear!$S$205:$S$222,Permissible_Shear!$V$205:$V$222)</f>
        <v>5.8718008197498204</v>
      </c>
      <c r="BF58" s="14">
        <f>INDEX($AZ$3:$BE$204,ROW(BF58)-2,MATCH(XS_Designer!$W$5,XS_Designer_Summary!$AZ$2:$BE$2,0))</f>
        <v>5.6010705199139785</v>
      </c>
      <c r="BG58" s="79">
        <f t="shared" si="29"/>
        <v>2.9877380524735901</v>
      </c>
      <c r="BH58" s="79">
        <f t="shared" si="30"/>
        <v>0</v>
      </c>
      <c r="BI58" s="79">
        <f t="shared" si="31"/>
        <v>0</v>
      </c>
      <c r="BJ58" s="79">
        <f t="shared" si="32"/>
        <v>1.7789762623199423</v>
      </c>
      <c r="BK58" s="79">
        <f t="shared" si="33"/>
        <v>0</v>
      </c>
      <c r="BL58" s="79">
        <f t="shared" si="34"/>
        <v>0</v>
      </c>
      <c r="BM58" s="124">
        <f t="shared" si="35"/>
        <v>2.8509234973075999</v>
      </c>
      <c r="BN58" s="124">
        <f t="shared" si="36"/>
        <v>0</v>
      </c>
      <c r="BO58" s="124">
        <f t="shared" si="37"/>
        <v>0</v>
      </c>
    </row>
    <row r="59" spans="1:67" ht="15">
      <c r="A59" s="2"/>
      <c r="B59" s="12"/>
      <c r="C59" s="2"/>
      <c r="D59" s="12"/>
      <c r="E59" s="1"/>
      <c r="F59" s="2"/>
      <c r="G59" s="12"/>
      <c r="H59" s="1"/>
      <c r="I59" s="2"/>
      <c r="J59" s="12"/>
      <c r="K59" s="27"/>
      <c r="L59" s="2"/>
      <c r="M59" s="12"/>
      <c r="N59" s="2"/>
      <c r="P59" s="2"/>
      <c r="S59" s="2"/>
      <c r="V59" s="1"/>
      <c r="W59" s="1"/>
      <c r="AD59" s="3">
        <v>55</v>
      </c>
      <c r="AE59" s="3" t="str">
        <f t="shared" si="13"/>
        <v>Left</v>
      </c>
      <c r="AF59" s="3" t="str">
        <f t="shared" si="14"/>
        <v>LOB</v>
      </c>
      <c r="AG59" s="3" t="str">
        <f>IF(XS_Designer_Summary!$AB$24&gt;=XS_Designer_Summary!AD59,"Y","N")</f>
        <v>Y</v>
      </c>
      <c r="AH59" s="45">
        <v>1</v>
      </c>
      <c r="AI59" s="45">
        <f>IF(AG59="Y",$O$19/XS_Designer_Summary!$AB$24,0)</f>
        <v>0.27201249999999999</v>
      </c>
      <c r="AJ59" s="45">
        <f t="shared" si="15"/>
        <v>0.27201249999999999</v>
      </c>
      <c r="AK59" s="14">
        <f t="shared" si="38"/>
        <v>-11.968550000000038</v>
      </c>
      <c r="AL59" s="14">
        <f>IF(AG59="Y",LININTERP(AK59,XS_Designer_Calculations!$AY$4:$AY$104,XS_Designer_Calculations!$AZ$4:$AZ$104),AL58)</f>
        <v>2.140346000000001</v>
      </c>
      <c r="AM59" s="14">
        <f t="shared" si="16"/>
        <v>2.859653999999999</v>
      </c>
      <c r="AN59" s="14">
        <f t="shared" si="17"/>
        <v>0.77712172567343729</v>
      </c>
      <c r="AO59" s="46">
        <f t="shared" si="18"/>
        <v>0.27206689706083842</v>
      </c>
      <c r="AP59" s="46">
        <f t="shared" si="19"/>
        <v>2.8563626595839064</v>
      </c>
      <c r="AQ59" s="46">
        <f t="shared" si="20"/>
        <v>8.6035107064681964E-3</v>
      </c>
      <c r="AR59" s="14">
        <f>IFERROR(IF(AG59="Y",VLOOKUP(AK59,XS_Designer_Calculations!$R$5:$T$104,3,TRUE),0),0)</f>
        <v>0.1</v>
      </c>
      <c r="AS59" s="46">
        <f t="shared" si="21"/>
        <v>0.01</v>
      </c>
      <c r="AT59" s="14">
        <f t="shared" si="22"/>
        <v>23.247883714974758</v>
      </c>
      <c r="AU59" s="14">
        <f>AT59*XS_Designer_Calculations!$I$7^0.5</f>
        <v>2.3247883714974757</v>
      </c>
      <c r="AV59" s="14">
        <f t="shared" si="23"/>
        <v>2.9915369686555389</v>
      </c>
      <c r="AW59" s="14">
        <f t="shared" si="24"/>
        <v>1.7823702995803574</v>
      </c>
      <c r="AX59" s="14">
        <f t="shared" si="25"/>
        <v>5</v>
      </c>
      <c r="AY59" s="46">
        <f t="shared" si="26"/>
        <v>2.8569338749999993</v>
      </c>
      <c r="AZ59" s="14">
        <f>((AS59*AP59)/(1.65*XS_Designer!$S$99))*12</f>
        <v>10.004445682925834</v>
      </c>
      <c r="BA59" s="14">
        <f>(AW59/((1.65*62.4)*XS_Designer!$AA$53))*12</f>
        <v>3.4622577691926137</v>
      </c>
      <c r="BB59" s="14">
        <f t="shared" si="27"/>
        <v>5.6121952247194988</v>
      </c>
      <c r="BC59" s="14">
        <f t="shared" si="28"/>
        <v>9.1631349626886962</v>
      </c>
      <c r="BD59" s="14">
        <f>IF(ISNUMBER(LININTERP(AW59,Permissible_Shear!$T$178:$T$188,Permissible_Shear!$V$178:$V$188)),LININTERP(AW59,Permissible_Shear!$T$178:$T$188,Permissible_Shear!$V$178:$V$188),0)</f>
        <v>5.8172560929171055</v>
      </c>
      <c r="BE59" s="14">
        <f>LININTERP(AW59,Permissible_Shear!$S$205:$S$222,Permissible_Shear!$V$205:$V$222)</f>
        <v>5.8824071861886171</v>
      </c>
      <c r="BF59" s="14">
        <f>INDEX($AZ$3:$BE$204,ROW(BF59)-2,MATCH(XS_Designer!$W$5,XS_Designer_Summary!$AZ$2:$BE$2,0))</f>
        <v>5.6121952247194988</v>
      </c>
      <c r="BG59" s="79">
        <f t="shared" si="29"/>
        <v>2.9915369686555389</v>
      </c>
      <c r="BH59" s="79">
        <f t="shared" si="30"/>
        <v>0</v>
      </c>
      <c r="BI59" s="79">
        <f t="shared" si="31"/>
        <v>0</v>
      </c>
      <c r="BJ59" s="79">
        <f t="shared" si="32"/>
        <v>1.7823702995803574</v>
      </c>
      <c r="BK59" s="79">
        <f t="shared" si="33"/>
        <v>0</v>
      </c>
      <c r="BL59" s="79">
        <f t="shared" si="34"/>
        <v>0</v>
      </c>
      <c r="BM59" s="124">
        <f t="shared" si="35"/>
        <v>2.8563626595839064</v>
      </c>
      <c r="BN59" s="124">
        <f t="shared" si="36"/>
        <v>0</v>
      </c>
      <c r="BO59" s="124">
        <f t="shared" si="37"/>
        <v>0</v>
      </c>
    </row>
    <row r="60" spans="1:67" ht="15">
      <c r="A60" s="11"/>
      <c r="B60" s="12"/>
      <c r="C60" s="11"/>
      <c r="D60" s="12"/>
      <c r="E60" s="1"/>
      <c r="F60" s="11"/>
      <c r="G60" s="12"/>
      <c r="H60" s="1"/>
      <c r="I60" s="11"/>
      <c r="J60" s="12"/>
      <c r="K60" s="27"/>
      <c r="L60" s="11"/>
      <c r="M60" s="12"/>
      <c r="N60" s="2"/>
      <c r="P60" s="2"/>
      <c r="S60" s="2"/>
      <c r="V60" s="1"/>
      <c r="W60" s="1"/>
      <c r="AD60" s="3">
        <v>56</v>
      </c>
      <c r="AE60" s="3" t="str">
        <f t="shared" si="13"/>
        <v>Left</v>
      </c>
      <c r="AF60" s="3" t="str">
        <f t="shared" si="14"/>
        <v>LOB</v>
      </c>
      <c r="AG60" s="3" t="str">
        <f>IF(XS_Designer_Summary!$AB$24&gt;=XS_Designer_Summary!AD60,"Y","N")</f>
        <v>Y</v>
      </c>
      <c r="AH60" s="45">
        <v>1</v>
      </c>
      <c r="AI60" s="45">
        <f>IF(AG60="Y",$O$19/XS_Designer_Summary!$AB$24,0)</f>
        <v>0.27201249999999999</v>
      </c>
      <c r="AJ60" s="45">
        <f t="shared" si="15"/>
        <v>0.27201249999999999</v>
      </c>
      <c r="AK60" s="14">
        <f t="shared" si="38"/>
        <v>-11.696537500000037</v>
      </c>
      <c r="AL60" s="14">
        <f>IF(AG60="Y",LININTERP(AK60,XS_Designer_Calculations!$AY$4:$AY$104,XS_Designer_Calculations!$AZ$4:$AZ$104),AL59)</f>
        <v>2.1349057500000006</v>
      </c>
      <c r="AM60" s="14">
        <f t="shared" si="16"/>
        <v>2.8650942499999994</v>
      </c>
      <c r="AN60" s="14">
        <f t="shared" si="17"/>
        <v>0.77860154167656226</v>
      </c>
      <c r="AO60" s="46">
        <f t="shared" si="18"/>
        <v>0.27206689706083842</v>
      </c>
      <c r="AP60" s="46">
        <f t="shared" si="19"/>
        <v>2.8618018218602126</v>
      </c>
      <c r="AQ60" s="46">
        <f t="shared" si="20"/>
        <v>8.6035107064681964E-3</v>
      </c>
      <c r="AR60" s="14">
        <f>IFERROR(IF(AG60="Y",VLOOKUP(AK60,XS_Designer_Calculations!$R$5:$T$104,3,TRUE),0),0)</f>
        <v>0.1</v>
      </c>
      <c r="AS60" s="46">
        <f t="shared" si="21"/>
        <v>0.01</v>
      </c>
      <c r="AT60" s="14">
        <f t="shared" si="22"/>
        <v>23.321712609006877</v>
      </c>
      <c r="AU60" s="14">
        <f>AT60*XS_Designer_Calculations!$I$7^0.5</f>
        <v>2.3321712609006879</v>
      </c>
      <c r="AV60" s="14">
        <f t="shared" si="23"/>
        <v>2.9953334742682691</v>
      </c>
      <c r="AW60" s="14">
        <f t="shared" si="24"/>
        <v>1.7857643368407727</v>
      </c>
      <c r="AX60" s="14">
        <f t="shared" si="25"/>
        <v>5</v>
      </c>
      <c r="AY60" s="46">
        <f t="shared" si="26"/>
        <v>2.8623741249999992</v>
      </c>
      <c r="AZ60" s="14">
        <f>((AS60*AP60)/(1.65*XS_Designer!$S$99))*12</f>
        <v>10.023496416337206</v>
      </c>
      <c r="BA60" s="14">
        <f>(AW60/((1.65*62.4)*XS_Designer!$AA$53))*12</f>
        <v>3.4688506931638949</v>
      </c>
      <c r="BB60" s="14">
        <f t="shared" si="27"/>
        <v>5.6233208184411003</v>
      </c>
      <c r="BC60" s="14">
        <f t="shared" si="28"/>
        <v>9.1759530414635808</v>
      </c>
      <c r="BD60" s="14">
        <f>IF(ISNUMBER(LININTERP(AW60,Permissible_Shear!$T$178:$T$188,Permissible_Shear!$V$178:$V$188)),LININTERP(AW60,Permissible_Shear!$T$178:$T$188,Permissible_Shear!$V$178:$V$188),0)</f>
        <v>5.8278576279271883</v>
      </c>
      <c r="BE60" s="14">
        <f>LININTERP(AW60,Permissible_Shear!$S$205:$S$222,Permissible_Shear!$V$205:$V$222)</f>
        <v>5.8930135526274148</v>
      </c>
      <c r="BF60" s="14">
        <f>INDEX($AZ$3:$BE$204,ROW(BF60)-2,MATCH(XS_Designer!$W$5,XS_Designer_Summary!$AZ$2:$BE$2,0))</f>
        <v>5.6233208184411003</v>
      </c>
      <c r="BG60" s="79">
        <f t="shared" si="29"/>
        <v>2.9953334742682691</v>
      </c>
      <c r="BH60" s="79">
        <f t="shared" si="30"/>
        <v>0</v>
      </c>
      <c r="BI60" s="79">
        <f t="shared" si="31"/>
        <v>0</v>
      </c>
      <c r="BJ60" s="79">
        <f t="shared" si="32"/>
        <v>1.7857643368407727</v>
      </c>
      <c r="BK60" s="79">
        <f t="shared" si="33"/>
        <v>0</v>
      </c>
      <c r="BL60" s="79">
        <f t="shared" si="34"/>
        <v>0</v>
      </c>
      <c r="BM60" s="124">
        <f t="shared" si="35"/>
        <v>2.8618018218602126</v>
      </c>
      <c r="BN60" s="124">
        <f t="shared" si="36"/>
        <v>0</v>
      </c>
      <c r="BO60" s="124">
        <f t="shared" si="37"/>
        <v>0</v>
      </c>
    </row>
    <row r="61" spans="1:67" ht="15">
      <c r="A61" s="11"/>
      <c r="B61" s="12"/>
      <c r="C61" s="11"/>
      <c r="D61" s="12"/>
      <c r="E61" s="1"/>
      <c r="F61" s="11"/>
      <c r="G61" s="12"/>
      <c r="H61" s="1"/>
      <c r="I61" s="11"/>
      <c r="J61" s="12"/>
      <c r="K61" s="27"/>
      <c r="L61" s="11"/>
      <c r="M61" s="12"/>
      <c r="N61" s="2"/>
      <c r="P61" s="2"/>
      <c r="S61" s="2"/>
      <c r="V61" s="1"/>
      <c r="W61" s="1"/>
      <c r="AD61" s="3">
        <v>57</v>
      </c>
      <c r="AE61" s="3" t="str">
        <f t="shared" si="13"/>
        <v>Left</v>
      </c>
      <c r="AF61" s="3" t="str">
        <f t="shared" si="14"/>
        <v>LOB</v>
      </c>
      <c r="AG61" s="3" t="str">
        <f>IF(XS_Designer_Summary!$AB$24&gt;=XS_Designer_Summary!AD61,"Y","N")</f>
        <v>Y</v>
      </c>
      <c r="AH61" s="45">
        <v>1</v>
      </c>
      <c r="AI61" s="45">
        <f>IF(AG61="Y",$O$19/XS_Designer_Summary!$AB$24,0)</f>
        <v>0.27201249999999999</v>
      </c>
      <c r="AJ61" s="45">
        <f t="shared" si="15"/>
        <v>0.27201249999999999</v>
      </c>
      <c r="AK61" s="14">
        <f t="shared" si="38"/>
        <v>-11.424525000000036</v>
      </c>
      <c r="AL61" s="14">
        <f>IF(AG61="Y",LININTERP(AK61,XS_Designer_Calculations!$AY$4:$AY$104,XS_Designer_Calculations!$AZ$4:$AZ$104),AL60)</f>
        <v>2.1294655000000007</v>
      </c>
      <c r="AM61" s="14">
        <f t="shared" si="16"/>
        <v>2.8705344999999993</v>
      </c>
      <c r="AN61" s="14">
        <f t="shared" si="17"/>
        <v>0.78008135767968723</v>
      </c>
      <c r="AO61" s="46">
        <f t="shared" si="18"/>
        <v>0.27206689706083842</v>
      </c>
      <c r="AP61" s="46">
        <f t="shared" si="19"/>
        <v>2.8672409841365187</v>
      </c>
      <c r="AQ61" s="46">
        <f t="shared" si="20"/>
        <v>8.6035107064681964E-3</v>
      </c>
      <c r="AR61" s="14">
        <f>IFERROR(IF(AG61="Y",VLOOKUP(AK61,XS_Designer_Calculations!$R$5:$T$104,3,TRUE),0),0)</f>
        <v>0.1</v>
      </c>
      <c r="AS61" s="46">
        <f t="shared" si="21"/>
        <v>0.01</v>
      </c>
      <c r="AT61" s="14">
        <f t="shared" si="22"/>
        <v>23.39563510887114</v>
      </c>
      <c r="AU61" s="14">
        <f>AT61*XS_Designer_Calculations!$I$7^0.5</f>
        <v>2.339563510887114</v>
      </c>
      <c r="AV61" s="14">
        <f t="shared" si="23"/>
        <v>2.9991275754185795</v>
      </c>
      <c r="AW61" s="14">
        <f t="shared" si="24"/>
        <v>1.7891583741011878</v>
      </c>
      <c r="AX61" s="14">
        <f t="shared" si="25"/>
        <v>5</v>
      </c>
      <c r="AY61" s="46">
        <f t="shared" si="26"/>
        <v>2.8678143749999991</v>
      </c>
      <c r="AZ61" s="14">
        <f>((AS61*AP61)/(1.65*XS_Designer!$S$99))*12</f>
        <v>10.042547149748573</v>
      </c>
      <c r="BA61" s="14">
        <f>(AW61/((1.65*62.4)*XS_Designer!$AA$53))*12</f>
        <v>3.4754436171351752</v>
      </c>
      <c r="BB61" s="14">
        <f t="shared" si="27"/>
        <v>5.6344472994617236</v>
      </c>
      <c r="BC61" s="14">
        <f t="shared" si="28"/>
        <v>9.1887646841826953</v>
      </c>
      <c r="BD61" s="14">
        <f>IF(ISNUMBER(LININTERP(AW61,Permissible_Shear!$T$178:$T$188,Permissible_Shear!$V$178:$V$188)),LININTERP(AW61,Permissible_Shear!$T$178:$T$188,Permissible_Shear!$V$178:$V$188),0)</f>
        <v>5.8384591629372702</v>
      </c>
      <c r="BE61" s="14">
        <f>LININTERP(AW61,Permissible_Shear!$S$205:$S$222,Permissible_Shear!$V$205:$V$222)</f>
        <v>5.9036199190662124</v>
      </c>
      <c r="BF61" s="14">
        <f>INDEX($AZ$3:$BE$204,ROW(BF61)-2,MATCH(XS_Designer!$W$5,XS_Designer_Summary!$AZ$2:$BE$2,0))</f>
        <v>5.6344472994617236</v>
      </c>
      <c r="BG61" s="79">
        <f t="shared" si="29"/>
        <v>2.9991275754185795</v>
      </c>
      <c r="BH61" s="79">
        <f t="shared" si="30"/>
        <v>0</v>
      </c>
      <c r="BI61" s="79">
        <f t="shared" si="31"/>
        <v>0</v>
      </c>
      <c r="BJ61" s="79">
        <f t="shared" si="32"/>
        <v>1.7891583741011878</v>
      </c>
      <c r="BK61" s="79">
        <f t="shared" si="33"/>
        <v>0</v>
      </c>
      <c r="BL61" s="79">
        <f t="shared" si="34"/>
        <v>0</v>
      </c>
      <c r="BM61" s="124">
        <f t="shared" si="35"/>
        <v>2.8672409841365187</v>
      </c>
      <c r="BN61" s="124">
        <f t="shared" si="36"/>
        <v>0</v>
      </c>
      <c r="BO61" s="124">
        <f t="shared" si="37"/>
        <v>0</v>
      </c>
    </row>
    <row r="62" spans="1:67" ht="15">
      <c r="A62" s="2"/>
      <c r="B62" s="12"/>
      <c r="C62" s="2"/>
      <c r="D62" s="12"/>
      <c r="E62" s="1"/>
      <c r="F62" s="2"/>
      <c r="G62" s="12"/>
      <c r="H62" s="1"/>
      <c r="I62" s="2"/>
      <c r="J62" s="12"/>
      <c r="K62" s="27"/>
      <c r="L62" s="2"/>
      <c r="M62" s="12"/>
      <c r="N62" s="2"/>
      <c r="P62" s="2"/>
      <c r="S62" s="2"/>
      <c r="V62" s="1"/>
      <c r="W62" s="1"/>
      <c r="AD62" s="3">
        <v>58</v>
      </c>
      <c r="AE62" s="3" t="str">
        <f t="shared" si="13"/>
        <v>Left</v>
      </c>
      <c r="AF62" s="3" t="str">
        <f t="shared" si="14"/>
        <v>LOB</v>
      </c>
      <c r="AG62" s="3" t="str">
        <f>IF(XS_Designer_Summary!$AB$24&gt;=XS_Designer_Summary!AD62,"Y","N")</f>
        <v>Y</v>
      </c>
      <c r="AH62" s="45">
        <v>1</v>
      </c>
      <c r="AI62" s="45">
        <f>IF(AG62="Y",$O$19/XS_Designer_Summary!$AB$24,0)</f>
        <v>0.27201249999999999</v>
      </c>
      <c r="AJ62" s="45">
        <f t="shared" si="15"/>
        <v>0.27201249999999999</v>
      </c>
      <c r="AK62" s="14">
        <f t="shared" si="38"/>
        <v>-11.152512500000036</v>
      </c>
      <c r="AL62" s="14">
        <f>IF(AG62="Y",LININTERP(AK62,XS_Designer_Calculations!$AY$4:$AY$104,XS_Designer_Calculations!$AZ$4:$AZ$104),AL61)</f>
        <v>2.1240252500000008</v>
      </c>
      <c r="AM62" s="14">
        <f t="shared" si="16"/>
        <v>2.8759747499999992</v>
      </c>
      <c r="AN62" s="14">
        <f t="shared" si="17"/>
        <v>0.7815611736828123</v>
      </c>
      <c r="AO62" s="46">
        <f t="shared" si="18"/>
        <v>0.27206689706083842</v>
      </c>
      <c r="AP62" s="46">
        <f t="shared" si="19"/>
        <v>2.8726801464128249</v>
      </c>
      <c r="AQ62" s="46">
        <f t="shared" si="20"/>
        <v>8.6035107064681964E-3</v>
      </c>
      <c r="AR62" s="14">
        <f>IFERROR(IF(AG62="Y",VLOOKUP(AK62,XS_Designer_Calculations!$R$5:$T$104,3,TRUE),0),0)</f>
        <v>0.1</v>
      </c>
      <c r="AS62" s="46">
        <f t="shared" si="21"/>
        <v>0.01</v>
      </c>
      <c r="AT62" s="14">
        <f t="shared" si="22"/>
        <v>23.469651155339893</v>
      </c>
      <c r="AU62" s="14">
        <f>AT62*XS_Designer_Calculations!$I$7^0.5</f>
        <v>2.3469651155339895</v>
      </c>
      <c r="AV62" s="14">
        <f t="shared" si="23"/>
        <v>3.0029192781862504</v>
      </c>
      <c r="AW62" s="14">
        <f t="shared" si="24"/>
        <v>1.7925524113616027</v>
      </c>
      <c r="AX62" s="14">
        <f t="shared" si="25"/>
        <v>5</v>
      </c>
      <c r="AY62" s="46">
        <f t="shared" si="26"/>
        <v>2.8732546249999995</v>
      </c>
      <c r="AZ62" s="14">
        <f>((AS62*AP62)/(1.65*XS_Designer!$S$99))*12</f>
        <v>10.061597883159944</v>
      </c>
      <c r="BA62" s="14">
        <f>(AW62/((1.65*62.4)*XS_Designer!$AA$53))*12</f>
        <v>3.4820365411064547</v>
      </c>
      <c r="BB62" s="14">
        <f t="shared" si="27"/>
        <v>5.6455746661703241</v>
      </c>
      <c r="BC62" s="14">
        <f t="shared" si="28"/>
        <v>9.2015699062661138</v>
      </c>
      <c r="BD62" s="14">
        <f>IF(ISNUMBER(LININTERP(AW62,Permissible_Shear!$T$178:$T$188,Permissible_Shear!$V$178:$V$188)),LININTERP(AW62,Permissible_Shear!$T$178:$T$188,Permissible_Shear!$V$178:$V$188),0)</f>
        <v>5.8490606979473512</v>
      </c>
      <c r="BE62" s="14">
        <f>LININTERP(AW62,Permissible_Shear!$S$205:$S$222,Permissible_Shear!$V$205:$V$222)</f>
        <v>5.9142262855050083</v>
      </c>
      <c r="BF62" s="14">
        <f>INDEX($AZ$3:$BE$204,ROW(BF62)-2,MATCH(XS_Designer!$W$5,XS_Designer_Summary!$AZ$2:$BE$2,0))</f>
        <v>5.6455746661703241</v>
      </c>
      <c r="BG62" s="79">
        <f t="shared" si="29"/>
        <v>3.0029192781862504</v>
      </c>
      <c r="BH62" s="79">
        <f t="shared" si="30"/>
        <v>0</v>
      </c>
      <c r="BI62" s="79">
        <f t="shared" si="31"/>
        <v>0</v>
      </c>
      <c r="BJ62" s="79">
        <f t="shared" si="32"/>
        <v>1.7925524113616027</v>
      </c>
      <c r="BK62" s="79">
        <f t="shared" si="33"/>
        <v>0</v>
      </c>
      <c r="BL62" s="79">
        <f t="shared" si="34"/>
        <v>0</v>
      </c>
      <c r="BM62" s="124">
        <f t="shared" si="35"/>
        <v>2.8726801464128249</v>
      </c>
      <c r="BN62" s="124">
        <f t="shared" si="36"/>
        <v>0</v>
      </c>
      <c r="BO62" s="124">
        <f t="shared" si="37"/>
        <v>0</v>
      </c>
    </row>
    <row r="63" spans="1:67" ht="1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P63" s="2"/>
      <c r="S63" s="2"/>
      <c r="V63" s="1"/>
      <c r="W63" s="1"/>
      <c r="AD63" s="3">
        <v>59</v>
      </c>
      <c r="AE63" s="3" t="str">
        <f t="shared" si="13"/>
        <v>Left</v>
      </c>
      <c r="AF63" s="3" t="str">
        <f t="shared" si="14"/>
        <v>LOB</v>
      </c>
      <c r="AG63" s="3" t="str">
        <f>IF(XS_Designer_Summary!$AB$24&gt;=XS_Designer_Summary!AD63,"Y","N")</f>
        <v>Y</v>
      </c>
      <c r="AH63" s="45">
        <v>1</v>
      </c>
      <c r="AI63" s="45">
        <f>IF(AG63="Y",$O$19/XS_Designer_Summary!$AB$24,0)</f>
        <v>0.27201249999999999</v>
      </c>
      <c r="AJ63" s="45">
        <f t="shared" si="15"/>
        <v>0.27201249999999999</v>
      </c>
      <c r="AK63" s="14">
        <f t="shared" si="38"/>
        <v>-10.880500000000035</v>
      </c>
      <c r="AL63" s="14">
        <f>IF(AG63="Y",LININTERP(AK63,XS_Designer_Calculations!$AY$4:$AY$104,XS_Designer_Calculations!$AZ$4:$AZ$104),AL62)</f>
        <v>2.1185850000000008</v>
      </c>
      <c r="AM63" s="14">
        <f t="shared" si="16"/>
        <v>2.8814149999999992</v>
      </c>
      <c r="AN63" s="14">
        <f t="shared" si="17"/>
        <v>0.78304098968593716</v>
      </c>
      <c r="AO63" s="46">
        <f t="shared" si="18"/>
        <v>0.27206689706083842</v>
      </c>
      <c r="AP63" s="46">
        <f t="shared" si="19"/>
        <v>2.8781193086891306</v>
      </c>
      <c r="AQ63" s="46">
        <f t="shared" si="20"/>
        <v>8.6035107064681964E-3</v>
      </c>
      <c r="AR63" s="14">
        <f>IFERROR(IF(AG63="Y",VLOOKUP(AK63,XS_Designer_Calculations!$R$5:$T$104,3,TRUE),0),0)</f>
        <v>0.1</v>
      </c>
      <c r="AS63" s="46">
        <f t="shared" si="21"/>
        <v>0.01</v>
      </c>
      <c r="AT63" s="14">
        <f t="shared" si="22"/>
        <v>23.543760689335077</v>
      </c>
      <c r="AU63" s="14">
        <f>AT63*XS_Designer_Calculations!$I$7^0.5</f>
        <v>2.3543760689335076</v>
      </c>
      <c r="AV63" s="14">
        <f t="shared" si="23"/>
        <v>3.0067085886242086</v>
      </c>
      <c r="AW63" s="14">
        <f t="shared" si="24"/>
        <v>1.7959464486220174</v>
      </c>
      <c r="AX63" s="14">
        <f t="shared" si="25"/>
        <v>5</v>
      </c>
      <c r="AY63" s="46">
        <f t="shared" si="26"/>
        <v>2.878694874999999</v>
      </c>
      <c r="AZ63" s="14">
        <f>((AS63*AP63)/(1.65*XS_Designer!$S$99))*12</f>
        <v>10.080648616571313</v>
      </c>
      <c r="BA63" s="14">
        <f>(AW63/((1.65*62.4)*XS_Designer!$AA$53))*12</f>
        <v>3.4886294650777345</v>
      </c>
      <c r="BB63" s="14">
        <f t="shared" si="27"/>
        <v>5.6567029169618124</v>
      </c>
      <c r="BC63" s="14">
        <f t="shared" si="28"/>
        <v>9.2143687230678726</v>
      </c>
      <c r="BD63" s="14">
        <f>IF(ISNUMBER(LININTERP(AW63,Permissible_Shear!$T$178:$T$188,Permissible_Shear!$V$178:$V$188)),LININTERP(AW63,Permissible_Shear!$T$178:$T$188,Permissible_Shear!$V$178:$V$188),0)</f>
        <v>5.8596622329574313</v>
      </c>
      <c r="BE63" s="14">
        <f>LININTERP(AW63,Permissible_Shear!$S$205:$S$222,Permissible_Shear!$V$205:$V$222)</f>
        <v>5.9248326519438042</v>
      </c>
      <c r="BF63" s="14">
        <f>INDEX($AZ$3:$BE$204,ROW(BF63)-2,MATCH(XS_Designer!$W$5,XS_Designer_Summary!$AZ$2:$BE$2,0))</f>
        <v>5.6567029169618124</v>
      </c>
      <c r="BG63" s="79">
        <f t="shared" si="29"/>
        <v>3.0067085886242086</v>
      </c>
      <c r="BH63" s="79">
        <f t="shared" si="30"/>
        <v>0</v>
      </c>
      <c r="BI63" s="79">
        <f t="shared" si="31"/>
        <v>0</v>
      </c>
      <c r="BJ63" s="79">
        <f t="shared" si="32"/>
        <v>1.7959464486220174</v>
      </c>
      <c r="BK63" s="79">
        <f t="shared" si="33"/>
        <v>0</v>
      </c>
      <c r="BL63" s="79">
        <f t="shared" si="34"/>
        <v>0</v>
      </c>
      <c r="BM63" s="124">
        <f t="shared" si="35"/>
        <v>2.8781193086891306</v>
      </c>
      <c r="BN63" s="124">
        <f t="shared" si="36"/>
        <v>0</v>
      </c>
      <c r="BO63" s="124">
        <f t="shared" si="37"/>
        <v>0</v>
      </c>
    </row>
    <row r="64" spans="1:67" ht="15">
      <c r="A64" s="2"/>
      <c r="B64" s="12"/>
      <c r="C64" s="2"/>
      <c r="D64" s="12"/>
      <c r="E64" s="1"/>
      <c r="F64" s="2"/>
      <c r="G64" s="12"/>
      <c r="H64" s="1"/>
      <c r="I64" s="2"/>
      <c r="J64" s="12"/>
      <c r="K64" s="27"/>
      <c r="L64" s="2"/>
      <c r="M64" s="12"/>
      <c r="N64" s="2"/>
      <c r="P64" s="2"/>
      <c r="S64" s="2"/>
      <c r="V64" s="1"/>
      <c r="W64" s="1"/>
      <c r="AD64" s="3">
        <v>60</v>
      </c>
      <c r="AE64" s="3" t="str">
        <f t="shared" si="13"/>
        <v>Left</v>
      </c>
      <c r="AF64" s="3" t="str">
        <f t="shared" si="14"/>
        <v>LOB</v>
      </c>
      <c r="AG64" s="3" t="str">
        <f>IF(XS_Designer_Summary!$AB$24&gt;=XS_Designer_Summary!AD64,"Y","N")</f>
        <v>Y</v>
      </c>
      <c r="AH64" s="45">
        <v>1</v>
      </c>
      <c r="AI64" s="45">
        <f>IF(AG64="Y",$O$19/XS_Designer_Summary!$AB$24,0)</f>
        <v>0.27201249999999999</v>
      </c>
      <c r="AJ64" s="45">
        <f t="shared" si="15"/>
        <v>0.27201249999999999</v>
      </c>
      <c r="AK64" s="14">
        <f t="shared" si="38"/>
        <v>-10.608487500000034</v>
      </c>
      <c r="AL64" s="14">
        <f>IF(AG64="Y",LININTERP(AK64,XS_Designer_Calculations!$AY$4:$AY$104,XS_Designer_Calculations!$AZ$4:$AZ$104),AL63)</f>
        <v>2.1131447500000009</v>
      </c>
      <c r="AM64" s="14">
        <f t="shared" si="16"/>
        <v>2.8868552499999991</v>
      </c>
      <c r="AN64" s="14">
        <f t="shared" si="17"/>
        <v>0.78452080568906235</v>
      </c>
      <c r="AO64" s="46">
        <f t="shared" si="18"/>
        <v>0.27206689706083842</v>
      </c>
      <c r="AP64" s="46">
        <f t="shared" si="19"/>
        <v>2.8835584709654376</v>
      </c>
      <c r="AQ64" s="46">
        <f t="shared" si="20"/>
        <v>8.6035107064681964E-3</v>
      </c>
      <c r="AR64" s="14">
        <f>IFERROR(IF(AG64="Y",VLOOKUP(AK64,XS_Designer_Calculations!$R$5:$T$104,3,TRUE),0),0)</f>
        <v>0.1</v>
      </c>
      <c r="AS64" s="46">
        <f t="shared" si="21"/>
        <v>0.01</v>
      </c>
      <c r="AT64" s="14">
        <f t="shared" si="22"/>
        <v>23.61796365192761</v>
      </c>
      <c r="AU64" s="14">
        <f>AT64*XS_Designer_Calculations!$I$7^0.5</f>
        <v>2.3617963651927609</v>
      </c>
      <c r="AV64" s="14">
        <f t="shared" si="23"/>
        <v>3.0104955127586983</v>
      </c>
      <c r="AW64" s="14">
        <f t="shared" si="24"/>
        <v>1.7993404858824331</v>
      </c>
      <c r="AX64" s="14">
        <f t="shared" si="25"/>
        <v>5</v>
      </c>
      <c r="AY64" s="46">
        <f t="shared" si="26"/>
        <v>2.8841351249999994</v>
      </c>
      <c r="AZ64" s="14">
        <f>((AS64*AP64)/(1.65*XS_Designer!$S$99))*12</f>
        <v>10.099699349982686</v>
      </c>
      <c r="BA64" s="14">
        <f>(AW64/((1.65*62.4)*XS_Designer!$AA$53))*12</f>
        <v>3.4952223890490162</v>
      </c>
      <c r="BB64" s="14">
        <f t="shared" si="27"/>
        <v>5.6678320502370401</v>
      </c>
      <c r="BC64" s="14">
        <f t="shared" si="28"/>
        <v>9.227161149876375</v>
      </c>
      <c r="BD64" s="14">
        <f>IF(ISNUMBER(LININTERP(AW64,Permissible_Shear!$T$178:$T$188,Permissible_Shear!$V$178:$V$188)),LININTERP(AW64,Permissible_Shear!$T$178:$T$188,Permissible_Shear!$V$178:$V$188),0)</f>
        <v>5.8702637679675149</v>
      </c>
      <c r="BE64" s="14">
        <f>LININTERP(AW64,Permissible_Shear!$S$205:$S$222,Permissible_Shear!$V$205:$V$222)</f>
        <v>5.9354390183826045</v>
      </c>
      <c r="BF64" s="14">
        <f>INDEX($AZ$3:$BE$204,ROW(BF64)-2,MATCH(XS_Designer!$W$5,XS_Designer_Summary!$AZ$2:$BE$2,0))</f>
        <v>5.6678320502370401</v>
      </c>
      <c r="BG64" s="79">
        <f t="shared" si="29"/>
        <v>3.0104955127586983</v>
      </c>
      <c r="BH64" s="79">
        <f t="shared" si="30"/>
        <v>0</v>
      </c>
      <c r="BI64" s="79">
        <f t="shared" si="31"/>
        <v>0</v>
      </c>
      <c r="BJ64" s="79">
        <f t="shared" si="32"/>
        <v>1.7993404858824331</v>
      </c>
      <c r="BK64" s="79">
        <f t="shared" si="33"/>
        <v>0</v>
      </c>
      <c r="BL64" s="79">
        <f t="shared" si="34"/>
        <v>0</v>
      </c>
      <c r="BM64" s="124">
        <f t="shared" si="35"/>
        <v>2.8835584709654376</v>
      </c>
      <c r="BN64" s="124">
        <f t="shared" si="36"/>
        <v>0</v>
      </c>
      <c r="BO64" s="124">
        <f t="shared" si="37"/>
        <v>0</v>
      </c>
    </row>
    <row r="65" spans="1:67" ht="15">
      <c r="A65" s="2"/>
      <c r="B65" s="12"/>
      <c r="C65" s="2"/>
      <c r="D65" s="12"/>
      <c r="E65" s="1"/>
      <c r="F65" s="2"/>
      <c r="G65" s="12"/>
      <c r="H65" s="1"/>
      <c r="I65" s="2"/>
      <c r="J65" s="12"/>
      <c r="K65" s="27"/>
      <c r="L65" s="2"/>
      <c r="M65" s="12"/>
      <c r="N65" s="2"/>
      <c r="P65" s="2"/>
      <c r="S65" s="2"/>
      <c r="V65" s="1"/>
      <c r="W65" s="1"/>
      <c r="AD65" s="3">
        <v>61</v>
      </c>
      <c r="AE65" s="3" t="str">
        <f t="shared" si="13"/>
        <v>Left</v>
      </c>
      <c r="AF65" s="3" t="str">
        <f t="shared" si="14"/>
        <v>LOB</v>
      </c>
      <c r="AG65" s="3" t="str">
        <f>IF(XS_Designer_Summary!$AB$24&gt;=XS_Designer_Summary!AD65,"Y","N")</f>
        <v>Y</v>
      </c>
      <c r="AH65" s="45">
        <v>1</v>
      </c>
      <c r="AI65" s="45">
        <f>IF(AG65="Y",$O$19/XS_Designer_Summary!$AB$24,0)</f>
        <v>0.27201249999999999</v>
      </c>
      <c r="AJ65" s="45">
        <f t="shared" si="15"/>
        <v>0.27201249999999999</v>
      </c>
      <c r="AK65" s="14">
        <f t="shared" si="38"/>
        <v>-10.336475000000034</v>
      </c>
      <c r="AL65" s="14">
        <f>IF(AG65="Y",LININTERP(AK65,XS_Designer_Calculations!$AY$4:$AY$104,XS_Designer_Calculations!$AZ$4:$AZ$104),AL64)</f>
        <v>2.1077045000000005</v>
      </c>
      <c r="AM65" s="14">
        <f t="shared" si="16"/>
        <v>2.8922954999999995</v>
      </c>
      <c r="AN65" s="14">
        <f t="shared" si="17"/>
        <v>0.78600062169218732</v>
      </c>
      <c r="AO65" s="46">
        <f t="shared" si="18"/>
        <v>0.27206689706083842</v>
      </c>
      <c r="AP65" s="46">
        <f t="shared" si="19"/>
        <v>2.8889976332417437</v>
      </c>
      <c r="AQ65" s="46">
        <f t="shared" si="20"/>
        <v>8.6035107064681964E-3</v>
      </c>
      <c r="AR65" s="14">
        <f>IFERROR(IF(AG65="Y",VLOOKUP(AK65,XS_Designer_Calculations!$R$5:$T$104,3,TRUE),0),0)</f>
        <v>0.1</v>
      </c>
      <c r="AS65" s="46">
        <f t="shared" si="21"/>
        <v>0.01</v>
      </c>
      <c r="AT65" s="14">
        <f t="shared" si="22"/>
        <v>23.69225998433668</v>
      </c>
      <c r="AU65" s="14">
        <f>AT65*XS_Designer_Calculations!$I$7^0.5</f>
        <v>2.3692259984336679</v>
      </c>
      <c r="AV65" s="14">
        <f t="shared" si="23"/>
        <v>3.0142800565894481</v>
      </c>
      <c r="AW65" s="14">
        <f t="shared" si="24"/>
        <v>1.8027345231428482</v>
      </c>
      <c r="AX65" s="14">
        <f t="shared" si="25"/>
        <v>5</v>
      </c>
      <c r="AY65" s="46">
        <f t="shared" si="26"/>
        <v>2.8895753749999993</v>
      </c>
      <c r="AZ65" s="14">
        <f>((AS65*AP65)/(1.65*XS_Designer!$S$99))*12</f>
        <v>10.118750083394055</v>
      </c>
      <c r="BA65" s="14">
        <f>(AW65/((1.65*62.4)*XS_Designer!$AA$53))*12</f>
        <v>3.5018153130202965</v>
      </c>
      <c r="BB65" s="14">
        <f t="shared" si="27"/>
        <v>5.6789620644027599</v>
      </c>
      <c r="BC65" s="14">
        <f t="shared" si="28"/>
        <v>9.2399472019148021</v>
      </c>
      <c r="BD65" s="14">
        <f>IF(ISNUMBER(LININTERP(AW65,Permissible_Shear!$T$178:$T$188,Permissible_Shear!$V$178:$V$188)),LININTERP(AW65,Permissible_Shear!$T$178:$T$188,Permissible_Shear!$V$178:$V$188),0)</f>
        <v>5.8808653029775968</v>
      </c>
      <c r="BE65" s="14">
        <f>LININTERP(AW65,Permissible_Shear!$S$205:$S$222,Permissible_Shear!$V$205:$V$222)</f>
        <v>5.9460453848214012</v>
      </c>
      <c r="BF65" s="14">
        <f>INDEX($AZ$3:$BE$204,ROW(BF65)-2,MATCH(XS_Designer!$W$5,XS_Designer_Summary!$AZ$2:$BE$2,0))</f>
        <v>5.6789620644027599</v>
      </c>
      <c r="BG65" s="79">
        <f t="shared" si="29"/>
        <v>3.0142800565894481</v>
      </c>
      <c r="BH65" s="79">
        <f t="shared" si="30"/>
        <v>0</v>
      </c>
      <c r="BI65" s="79">
        <f t="shared" si="31"/>
        <v>0</v>
      </c>
      <c r="BJ65" s="79">
        <f t="shared" si="32"/>
        <v>1.8027345231428482</v>
      </c>
      <c r="BK65" s="79">
        <f t="shared" si="33"/>
        <v>0</v>
      </c>
      <c r="BL65" s="79">
        <f t="shared" si="34"/>
        <v>0</v>
      </c>
      <c r="BM65" s="124">
        <f t="shared" si="35"/>
        <v>2.8889976332417437</v>
      </c>
      <c r="BN65" s="124">
        <f t="shared" si="36"/>
        <v>0</v>
      </c>
      <c r="BO65" s="124">
        <f t="shared" si="37"/>
        <v>0</v>
      </c>
    </row>
    <row r="66" spans="1:67" ht="15">
      <c r="A66" s="2"/>
      <c r="B66" s="12"/>
      <c r="C66" s="2"/>
      <c r="D66" s="12"/>
      <c r="E66" s="1"/>
      <c r="F66" s="2"/>
      <c r="G66" s="12"/>
      <c r="H66" s="1"/>
      <c r="I66" s="2"/>
      <c r="J66" s="12"/>
      <c r="K66" s="27"/>
      <c r="L66" s="2"/>
      <c r="M66" s="12"/>
      <c r="N66" s="2"/>
      <c r="P66" s="2"/>
      <c r="S66" s="2"/>
      <c r="V66" s="1"/>
      <c r="W66" s="1"/>
      <c r="AD66" s="3">
        <v>62</v>
      </c>
      <c r="AE66" s="3" t="str">
        <f t="shared" si="13"/>
        <v>Left</v>
      </c>
      <c r="AF66" s="3" t="str">
        <f t="shared" si="14"/>
        <v>LOB</v>
      </c>
      <c r="AG66" s="3" t="str">
        <f>IF(XS_Designer_Summary!$AB$24&gt;=XS_Designer_Summary!AD66,"Y","N")</f>
        <v>Y</v>
      </c>
      <c r="AH66" s="45">
        <v>1</v>
      </c>
      <c r="AI66" s="45">
        <f>IF(AG66="Y",$O$19/XS_Designer_Summary!$AB$24,0)</f>
        <v>0.27201249999999999</v>
      </c>
      <c r="AJ66" s="45">
        <f t="shared" si="15"/>
        <v>0.27201249999999999</v>
      </c>
      <c r="AK66" s="14">
        <f t="shared" si="38"/>
        <v>-10.064462500000033</v>
      </c>
      <c r="AL66" s="14">
        <f>IF(AG66="Y",LININTERP(AK66,XS_Designer_Calculations!$AY$4:$AY$104,XS_Designer_Calculations!$AZ$4:$AZ$104),AL65)</f>
        <v>2.1022642500000006</v>
      </c>
      <c r="AM66" s="14">
        <f t="shared" si="16"/>
        <v>2.8977357499999994</v>
      </c>
      <c r="AN66" s="14">
        <f t="shared" si="17"/>
        <v>0.78748043769531229</v>
      </c>
      <c r="AO66" s="46">
        <f t="shared" si="18"/>
        <v>0.27206689706083842</v>
      </c>
      <c r="AP66" s="46">
        <f t="shared" si="19"/>
        <v>2.8944367955180499</v>
      </c>
      <c r="AQ66" s="46">
        <f t="shared" si="20"/>
        <v>8.6035107064681964E-3</v>
      </c>
      <c r="AR66" s="14">
        <f>IFERROR(IF(AG66="Y",VLOOKUP(AK66,XS_Designer_Calculations!$R$5:$T$104,3,TRUE),0),0)</f>
        <v>0.1</v>
      </c>
      <c r="AS66" s="46">
        <f t="shared" si="21"/>
        <v>0.01</v>
      </c>
      <c r="AT66" s="14">
        <f t="shared" si="22"/>
        <v>23.766649627929148</v>
      </c>
      <c r="AU66" s="14">
        <f>AT66*XS_Designer_Calculations!$I$7^0.5</f>
        <v>2.3766649627929151</v>
      </c>
      <c r="AV66" s="14">
        <f t="shared" si="23"/>
        <v>3.0180622260898393</v>
      </c>
      <c r="AW66" s="14">
        <f t="shared" si="24"/>
        <v>1.8061285604032631</v>
      </c>
      <c r="AX66" s="14">
        <f t="shared" si="25"/>
        <v>5</v>
      </c>
      <c r="AY66" s="46">
        <f t="shared" si="26"/>
        <v>2.8950156249999992</v>
      </c>
      <c r="AZ66" s="14">
        <f>((AS66*AP66)/(1.65*XS_Designer!$S$99))*12</f>
        <v>10.137800816805424</v>
      </c>
      <c r="BA66" s="14">
        <f>(AW66/((1.65*62.4)*XS_Designer!$AA$53))*12</f>
        <v>3.5084082369915759</v>
      </c>
      <c r="BB66" s="14">
        <f t="shared" si="27"/>
        <v>5.6900929578715882</v>
      </c>
      <c r="BC66" s="14">
        <f t="shared" si="28"/>
        <v>9.2527268943415066</v>
      </c>
      <c r="BD66" s="14">
        <f>IF(ISNUMBER(LININTERP(AW66,Permissible_Shear!$T$178:$T$188,Permissible_Shear!$V$178:$V$188)),LININTERP(AW66,Permissible_Shear!$T$178:$T$188,Permissible_Shear!$V$178:$V$188),0)</f>
        <v>5.8914668379876778</v>
      </c>
      <c r="BE66" s="14">
        <f>LININTERP(AW66,Permissible_Shear!$S$205:$S$222,Permissible_Shear!$V$205:$V$222)</f>
        <v>5.956651751260198</v>
      </c>
      <c r="BF66" s="14">
        <f>INDEX($AZ$3:$BE$204,ROW(BF66)-2,MATCH(XS_Designer!$W$5,XS_Designer_Summary!$AZ$2:$BE$2,0))</f>
        <v>5.6900929578715882</v>
      </c>
      <c r="BG66" s="79">
        <f t="shared" si="29"/>
        <v>3.0180622260898393</v>
      </c>
      <c r="BH66" s="79">
        <f t="shared" si="30"/>
        <v>0</v>
      </c>
      <c r="BI66" s="79">
        <f t="shared" si="31"/>
        <v>0</v>
      </c>
      <c r="BJ66" s="79">
        <f t="shared" si="32"/>
        <v>1.8061285604032631</v>
      </c>
      <c r="BK66" s="79">
        <f t="shared" si="33"/>
        <v>0</v>
      </c>
      <c r="BL66" s="79">
        <f t="shared" si="34"/>
        <v>0</v>
      </c>
      <c r="BM66" s="124">
        <f t="shared" si="35"/>
        <v>2.8944367955180499</v>
      </c>
      <c r="BN66" s="124">
        <f t="shared" si="36"/>
        <v>0</v>
      </c>
      <c r="BO66" s="124">
        <f t="shared" si="37"/>
        <v>0</v>
      </c>
    </row>
    <row r="67" spans="1:67" ht="15">
      <c r="A67" s="2"/>
      <c r="B67" s="2"/>
      <c r="C67" s="19" t="e">
        <f>IF(OR(XS_Designer_Calculations!BE65&lt;&gt;0,XS_Designer_Calculations!BG65="MAX WSE"),VLOOKUP(XS_Designer_Calculations!BA65,$C$3:$C$11,2,TRUE),IF(XS_Designer_Calculations!BE65&lt;&gt;0,VLOOKUP(XS_Designer_Calculations!BF65,$C$3:$C$11,2,TRUE),""))</f>
        <v>#N/A</v>
      </c>
      <c r="D67" s="19"/>
      <c r="E67" s="19"/>
      <c r="F67" s="19"/>
      <c r="G67" s="19"/>
      <c r="H67" s="19"/>
      <c r="I67" s="19"/>
      <c r="J67" s="19"/>
      <c r="K67" s="19"/>
      <c r="L67" s="19"/>
      <c r="M67" s="19"/>
      <c r="P67" s="2"/>
      <c r="S67" s="2"/>
      <c r="V67" s="1"/>
      <c r="W67" s="1"/>
      <c r="AD67" s="3">
        <v>63</v>
      </c>
      <c r="AE67" s="3" t="str">
        <f t="shared" si="13"/>
        <v>Left</v>
      </c>
      <c r="AF67" s="3" t="str">
        <f t="shared" si="14"/>
        <v>LOB</v>
      </c>
      <c r="AG67" s="3" t="str">
        <f>IF(XS_Designer_Summary!$AB$24&gt;=XS_Designer_Summary!AD67,"Y","N")</f>
        <v>Y</v>
      </c>
      <c r="AH67" s="45">
        <v>1</v>
      </c>
      <c r="AI67" s="45">
        <f>IF(AG67="Y",$O$19/XS_Designer_Summary!$AB$24,0)</f>
        <v>0.27201249999999999</v>
      </c>
      <c r="AJ67" s="45">
        <f t="shared" si="15"/>
        <v>0.27201249999999999</v>
      </c>
      <c r="AK67" s="14">
        <f t="shared" si="38"/>
        <v>-9.7924500000000325</v>
      </c>
      <c r="AL67" s="14">
        <f>IF(AG67="Y",LININTERP(AK67,XS_Designer_Calculations!$AY$4:$AY$104,XS_Designer_Calculations!$AZ$4:$AZ$104),AL66)</f>
        <v>2.0968240000000007</v>
      </c>
      <c r="AM67" s="14">
        <f t="shared" si="16"/>
        <v>2.9031759999999993</v>
      </c>
      <c r="AN67" s="14">
        <f t="shared" si="17"/>
        <v>0.78896025369843736</v>
      </c>
      <c r="AO67" s="46">
        <f t="shared" si="18"/>
        <v>0.27206689706083842</v>
      </c>
      <c r="AP67" s="46">
        <f t="shared" si="19"/>
        <v>2.8998759577943565</v>
      </c>
      <c r="AQ67" s="46">
        <f t="shared" si="20"/>
        <v>8.6035107064681964E-3</v>
      </c>
      <c r="AR67" s="14">
        <f>IFERROR(IF(AG67="Y",VLOOKUP(AK67,XS_Designer_Calculations!$R$5:$T$104,3,TRUE),0),0)</f>
        <v>0.1</v>
      </c>
      <c r="AS67" s="46">
        <f t="shared" si="21"/>
        <v>0.01</v>
      </c>
      <c r="AT67" s="14">
        <f t="shared" si="22"/>
        <v>23.841132524218899</v>
      </c>
      <c r="AU67" s="14">
        <f>AT67*XS_Designer_Calculations!$I$7^0.5</f>
        <v>2.3841132524218902</v>
      </c>
      <c r="AV67" s="14">
        <f t="shared" si="23"/>
        <v>3.0218420272070698</v>
      </c>
      <c r="AW67" s="14">
        <f t="shared" si="24"/>
        <v>1.8095225976636784</v>
      </c>
      <c r="AX67" s="14">
        <f t="shared" si="25"/>
        <v>5</v>
      </c>
      <c r="AY67" s="46">
        <f t="shared" si="26"/>
        <v>2.9004558749999996</v>
      </c>
      <c r="AZ67" s="14">
        <f>((AS67*AP67)/(1.65*XS_Designer!$S$99))*12</f>
        <v>10.156851550216796</v>
      </c>
      <c r="BA67" s="14">
        <f>(AW67/((1.65*62.4)*XS_Designer!$AA$53))*12</f>
        <v>3.5150011609628571</v>
      </c>
      <c r="BB67" s="14">
        <f t="shared" si="27"/>
        <v>5.7012247290619777</v>
      </c>
      <c r="BC67" s="14">
        <f t="shared" si="28"/>
        <v>9.2655002422504129</v>
      </c>
      <c r="BD67" s="14">
        <f>IF(ISNUMBER(LININTERP(AW67,Permissible_Shear!$T$178:$T$188,Permissible_Shear!$V$178:$V$188)),LININTERP(AW67,Permissible_Shear!$T$178:$T$188,Permissible_Shear!$V$178:$V$188),0)</f>
        <v>5.9020683729977605</v>
      </c>
      <c r="BE67" s="14">
        <f>LININTERP(AW67,Permissible_Shear!$S$205:$S$222,Permissible_Shear!$V$205:$V$222)</f>
        <v>5.9672581176989947</v>
      </c>
      <c r="BF67" s="14">
        <f>INDEX($AZ$3:$BE$204,ROW(BF67)-2,MATCH(XS_Designer!$W$5,XS_Designer_Summary!$AZ$2:$BE$2,0))</f>
        <v>5.7012247290619777</v>
      </c>
      <c r="BG67" s="79">
        <f t="shared" si="29"/>
        <v>3.0218420272070698</v>
      </c>
      <c r="BH67" s="79">
        <f t="shared" si="30"/>
        <v>0</v>
      </c>
      <c r="BI67" s="79">
        <f t="shared" si="31"/>
        <v>0</v>
      </c>
      <c r="BJ67" s="79">
        <f t="shared" si="32"/>
        <v>1.8095225976636784</v>
      </c>
      <c r="BK67" s="79">
        <f t="shared" si="33"/>
        <v>0</v>
      </c>
      <c r="BL67" s="79">
        <f t="shared" si="34"/>
        <v>0</v>
      </c>
      <c r="BM67" s="124">
        <f t="shared" si="35"/>
        <v>2.8998759577943565</v>
      </c>
      <c r="BN67" s="124">
        <f t="shared" si="36"/>
        <v>0</v>
      </c>
      <c r="BO67" s="124">
        <f t="shared" si="37"/>
        <v>0</v>
      </c>
    </row>
    <row r="68" spans="1:67" ht="15">
      <c r="A68" s="2"/>
      <c r="B68" s="2"/>
      <c r="C68" s="19" t="e">
        <f>IF(OR(XS_Designer_Calculations!BE66&lt;&gt;0,XS_Designer_Calculations!BG66="MAX WSE"),VLOOKUP(XS_Designer_Calculations!BA66,$C$3:$C$11,2,TRUE),IF(XS_Designer_Calculations!BE66&lt;&gt;0,VLOOKUP(XS_Designer_Calculations!BF66,$C$3:$C$11,2,TRUE),""))</f>
        <v>#N/A</v>
      </c>
      <c r="D68" s="19"/>
      <c r="E68" s="19"/>
      <c r="F68" s="19"/>
      <c r="G68" s="19"/>
      <c r="H68" s="19"/>
      <c r="I68" s="19"/>
      <c r="J68" s="19"/>
      <c r="K68" s="19"/>
      <c r="L68" s="19"/>
      <c r="M68" s="19"/>
      <c r="P68" s="2"/>
      <c r="S68" s="2"/>
      <c r="V68" s="1"/>
      <c r="W68" s="1"/>
      <c r="AD68" s="3">
        <v>64</v>
      </c>
      <c r="AE68" s="3" t="str">
        <f t="shared" si="13"/>
        <v>Left</v>
      </c>
      <c r="AF68" s="3" t="str">
        <f t="shared" si="14"/>
        <v>LOB</v>
      </c>
      <c r="AG68" s="3" t="str">
        <f>IF(XS_Designer_Summary!$AB$24&gt;=XS_Designer_Summary!AD68,"Y","N")</f>
        <v>Y</v>
      </c>
      <c r="AH68" s="45">
        <v>1</v>
      </c>
      <c r="AI68" s="45">
        <f>IF(AG68="Y",$O$19/XS_Designer_Summary!$AB$24,0)</f>
        <v>0.27201249999999999</v>
      </c>
      <c r="AJ68" s="45">
        <f t="shared" si="15"/>
        <v>0.27201249999999999</v>
      </c>
      <c r="AK68" s="14">
        <f t="shared" si="38"/>
        <v>-9.5204375000000319</v>
      </c>
      <c r="AL68" s="14">
        <f>IF(AG68="Y",LININTERP(AK68,XS_Designer_Calculations!$AY$4:$AY$104,XS_Designer_Calculations!$AZ$4:$AZ$104),AL67)</f>
        <v>2.0913837500000008</v>
      </c>
      <c r="AM68" s="14">
        <f t="shared" si="16"/>
        <v>2.9086162499999992</v>
      </c>
      <c r="AN68" s="14">
        <f t="shared" si="17"/>
        <v>0.79044006970156222</v>
      </c>
      <c r="AO68" s="46">
        <f t="shared" si="18"/>
        <v>0.27206689706083842</v>
      </c>
      <c r="AP68" s="46">
        <f t="shared" si="19"/>
        <v>2.9053151200706622</v>
      </c>
      <c r="AQ68" s="46">
        <f t="shared" si="20"/>
        <v>8.6035107064681964E-3</v>
      </c>
      <c r="AR68" s="14">
        <f>IFERROR(IF(AG68="Y",VLOOKUP(AK68,XS_Designer_Calculations!$R$5:$T$104,3,TRUE),0),0)</f>
        <v>0.1</v>
      </c>
      <c r="AS68" s="46">
        <f t="shared" si="21"/>
        <v>0.01</v>
      </c>
      <c r="AT68" s="14">
        <f t="shared" si="22"/>
        <v>23.915708614866112</v>
      </c>
      <c r="AU68" s="14">
        <f>AT68*XS_Designer_Calculations!$I$7^0.5</f>
        <v>2.3915708614866111</v>
      </c>
      <c r="AV68" s="14">
        <f t="shared" si="23"/>
        <v>3.0256194658623143</v>
      </c>
      <c r="AW68" s="14">
        <f t="shared" si="24"/>
        <v>1.8129166349240933</v>
      </c>
      <c r="AX68" s="14">
        <f t="shared" si="25"/>
        <v>5</v>
      </c>
      <c r="AY68" s="46">
        <f t="shared" si="26"/>
        <v>2.9058961249999991</v>
      </c>
      <c r="AZ68" s="14">
        <f>((AS68*AP68)/(1.65*XS_Designer!$S$99))*12</f>
        <v>10.175902283628163</v>
      </c>
      <c r="BA68" s="14">
        <f>(AW68/((1.65*62.4)*XS_Designer!$AA$53))*12</f>
        <v>3.5215940849341365</v>
      </c>
      <c r="BB68" s="14">
        <f t="shared" si="27"/>
        <v>5.7123573763981881</v>
      </c>
      <c r="BC68" s="14">
        <f t="shared" si="28"/>
        <v>9.2782672606714129</v>
      </c>
      <c r="BD68" s="14">
        <f>IF(ISNUMBER(LININTERP(AW68,Permissible_Shear!$T$178:$T$188,Permissible_Shear!$V$178:$V$188)),LININTERP(AW68,Permissible_Shear!$T$178:$T$188,Permissible_Shear!$V$178:$V$188),0)</f>
        <v>5.9126699080078406</v>
      </c>
      <c r="BE68" s="14">
        <f>LININTERP(AW68,Permissible_Shear!$S$205:$S$222,Permissible_Shear!$V$205:$V$222)</f>
        <v>5.9778644841377915</v>
      </c>
      <c r="BF68" s="14">
        <f>INDEX($AZ$3:$BE$204,ROW(BF68)-2,MATCH(XS_Designer!$W$5,XS_Designer_Summary!$AZ$2:$BE$2,0))</f>
        <v>5.7123573763981881</v>
      </c>
      <c r="BG68" s="79">
        <f t="shared" si="29"/>
        <v>3.0256194658623143</v>
      </c>
      <c r="BH68" s="79">
        <f t="shared" si="30"/>
        <v>0</v>
      </c>
      <c r="BI68" s="79">
        <f t="shared" si="31"/>
        <v>0</v>
      </c>
      <c r="BJ68" s="79">
        <f t="shared" si="32"/>
        <v>1.8129166349240933</v>
      </c>
      <c r="BK68" s="79">
        <f t="shared" si="33"/>
        <v>0</v>
      </c>
      <c r="BL68" s="79">
        <f t="shared" si="34"/>
        <v>0</v>
      </c>
      <c r="BM68" s="124">
        <f t="shared" si="35"/>
        <v>2.9053151200706622</v>
      </c>
      <c r="BN68" s="124">
        <f t="shared" si="36"/>
        <v>0</v>
      </c>
      <c r="BO68" s="124">
        <f t="shared" si="37"/>
        <v>0</v>
      </c>
    </row>
    <row r="69" spans="1:67">
      <c r="AD69" s="3">
        <v>65</v>
      </c>
      <c r="AE69" s="3" t="str">
        <f t="shared" si="13"/>
        <v>Left</v>
      </c>
      <c r="AF69" s="3" t="str">
        <f t="shared" si="14"/>
        <v>LOB</v>
      </c>
      <c r="AG69" s="3" t="str">
        <f>IF(XS_Designer_Summary!$AB$24&gt;=XS_Designer_Summary!AD69,"Y","N")</f>
        <v>Y</v>
      </c>
      <c r="AH69" s="45">
        <v>1</v>
      </c>
      <c r="AI69" s="45">
        <f>IF(AG69="Y",$O$19/XS_Designer_Summary!$AB$24,0)</f>
        <v>0.27201249999999999</v>
      </c>
      <c r="AJ69" s="45">
        <f t="shared" si="15"/>
        <v>0.27201249999999999</v>
      </c>
      <c r="AK69" s="14">
        <f t="shared" si="38"/>
        <v>-9.2484250000000312</v>
      </c>
      <c r="AL69" s="14">
        <f>IF(AG69="Y",LININTERP(AK69,XS_Designer_Calculations!$AY$4:$AY$104,XS_Designer_Calculations!$AZ$4:$AZ$104),AL68)</f>
        <v>2.0859435000000008</v>
      </c>
      <c r="AM69" s="14">
        <f t="shared" si="16"/>
        <v>2.9140564999999992</v>
      </c>
      <c r="AN69" s="14">
        <f t="shared" si="17"/>
        <v>0.7919198857046873</v>
      </c>
      <c r="AO69" s="46">
        <f t="shared" si="18"/>
        <v>0.27206689706083842</v>
      </c>
      <c r="AP69" s="46">
        <f t="shared" si="19"/>
        <v>2.9107542823469688</v>
      </c>
      <c r="AQ69" s="46">
        <f t="shared" si="20"/>
        <v>8.6035107064681964E-3</v>
      </c>
      <c r="AR69" s="14">
        <f>IFERROR(IF(AG69="Y",VLOOKUP(AK69,XS_Designer_Calculations!$R$5:$T$104,3,TRUE),0),0)</f>
        <v>0.1</v>
      </c>
      <c r="AS69" s="46">
        <f t="shared" si="21"/>
        <v>0.01</v>
      </c>
      <c r="AT69" s="14">
        <f t="shared" si="22"/>
        <v>23.990377841676747</v>
      </c>
      <c r="AU69" s="14">
        <f>AT69*XS_Designer_Calculations!$I$7^0.5</f>
        <v>2.3990377841676747</v>
      </c>
      <c r="AV69" s="14">
        <f t="shared" si="23"/>
        <v>3.0293945479508939</v>
      </c>
      <c r="AW69" s="14">
        <f t="shared" si="24"/>
        <v>1.8163106721845086</v>
      </c>
      <c r="AX69" s="14">
        <f t="shared" si="25"/>
        <v>5</v>
      </c>
      <c r="AY69" s="46">
        <f t="shared" si="26"/>
        <v>2.9113363749999994</v>
      </c>
      <c r="AZ69" s="14">
        <f>((AS69*AP69)/(1.65*XS_Designer!$S$99))*12</f>
        <v>10.194953017039536</v>
      </c>
      <c r="BA69" s="14">
        <f>(AW69/((1.65*62.4)*XS_Designer!$AA$53))*12</f>
        <v>3.5281870089054168</v>
      </c>
      <c r="BB69" s="14">
        <f t="shared" si="27"/>
        <v>5.7234908983102448</v>
      </c>
      <c r="BC69" s="14">
        <f t="shared" si="28"/>
        <v>9.2910279645707554</v>
      </c>
      <c r="BD69" s="14">
        <f>IF(ISNUMBER(LININTERP(AW69,Permissible_Shear!$T$178:$T$188,Permissible_Shear!$V$178:$V$188)),LININTERP(AW69,Permissible_Shear!$T$178:$T$188,Permissible_Shear!$V$178:$V$188),0)</f>
        <v>5.9232714430179234</v>
      </c>
      <c r="BE69" s="14">
        <f>LININTERP(AW69,Permissible_Shear!$S$205:$S$222,Permissible_Shear!$V$205:$V$222)</f>
        <v>5.98847085057659</v>
      </c>
      <c r="BF69" s="14">
        <f>INDEX($AZ$3:$BE$204,ROW(BF69)-2,MATCH(XS_Designer!$W$5,XS_Designer_Summary!$AZ$2:$BE$2,0))</f>
        <v>5.7234908983102448</v>
      </c>
      <c r="BG69" s="79">
        <f t="shared" si="29"/>
        <v>3.0293945479508939</v>
      </c>
      <c r="BH69" s="79">
        <f t="shared" si="30"/>
        <v>0</v>
      </c>
      <c r="BI69" s="79">
        <f t="shared" si="31"/>
        <v>0</v>
      </c>
      <c r="BJ69" s="79">
        <f t="shared" si="32"/>
        <v>1.8163106721845086</v>
      </c>
      <c r="BK69" s="79">
        <f t="shared" si="33"/>
        <v>0</v>
      </c>
      <c r="BL69" s="79">
        <f t="shared" si="34"/>
        <v>0</v>
      </c>
      <c r="BM69" s="124">
        <f t="shared" si="35"/>
        <v>2.9107542823469688</v>
      </c>
      <c r="BN69" s="124">
        <f t="shared" si="36"/>
        <v>0</v>
      </c>
      <c r="BO69" s="124">
        <f t="shared" si="37"/>
        <v>0</v>
      </c>
    </row>
    <row r="70" spans="1:67">
      <c r="AD70" s="3">
        <v>66</v>
      </c>
      <c r="AE70" s="3" t="str">
        <f t="shared" si="13"/>
        <v>Left</v>
      </c>
      <c r="AF70" s="3" t="str">
        <f t="shared" si="14"/>
        <v>LOB</v>
      </c>
      <c r="AG70" s="3" t="str">
        <f>IF(XS_Designer_Summary!$AB$24&gt;=XS_Designer_Summary!AD70,"Y","N")</f>
        <v>Y</v>
      </c>
      <c r="AH70" s="45">
        <v>1</v>
      </c>
      <c r="AI70" s="45">
        <f>IF(AG70="Y",$O$19/XS_Designer_Summary!$AB$24,0)</f>
        <v>0.27201249999999999</v>
      </c>
      <c r="AJ70" s="45">
        <f t="shared" si="15"/>
        <v>0.27201249999999999</v>
      </c>
      <c r="AK70" s="14">
        <f t="shared" si="38"/>
        <v>-8.9764125000000305</v>
      </c>
      <c r="AL70" s="14">
        <f>IF(AG70="Y",LININTERP(AK70,XS_Designer_Calculations!$AY$4:$AY$104,XS_Designer_Calculations!$AZ$4:$AZ$104),AL69)</f>
        <v>2.0805032500000005</v>
      </c>
      <c r="AM70" s="14">
        <f t="shared" si="16"/>
        <v>2.9194967499999995</v>
      </c>
      <c r="AN70" s="14">
        <f t="shared" si="17"/>
        <v>0.79339970170781227</v>
      </c>
      <c r="AO70" s="46">
        <f t="shared" si="18"/>
        <v>0.27206689706083842</v>
      </c>
      <c r="AP70" s="46">
        <f t="shared" si="19"/>
        <v>2.9161934446232745</v>
      </c>
      <c r="AQ70" s="46">
        <f t="shared" si="20"/>
        <v>8.6035107064681964E-3</v>
      </c>
      <c r="AR70" s="14">
        <f>IFERROR(IF(AG70="Y",VLOOKUP(AK70,XS_Designer_Calculations!$R$5:$T$104,3,TRUE),0),0)</f>
        <v>0.1</v>
      </c>
      <c r="AS70" s="46">
        <f t="shared" si="21"/>
        <v>0.01</v>
      </c>
      <c r="AT70" s="14">
        <f t="shared" si="22"/>
        <v>24.065140146601813</v>
      </c>
      <c r="AU70" s="14">
        <f>AT70*XS_Designer_Calculations!$I$7^0.5</f>
        <v>2.4065140146601816</v>
      </c>
      <c r="AV70" s="14">
        <f t="shared" si="23"/>
        <v>3.0331672793424316</v>
      </c>
      <c r="AW70" s="14">
        <f t="shared" si="24"/>
        <v>1.8197047094449232</v>
      </c>
      <c r="AX70" s="14">
        <f t="shared" si="25"/>
        <v>5</v>
      </c>
      <c r="AY70" s="46">
        <f t="shared" si="26"/>
        <v>2.9167766249999993</v>
      </c>
      <c r="AZ70" s="14">
        <f>((AS70*AP70)/(1.65*XS_Designer!$S$99))*12</f>
        <v>10.214003750450903</v>
      </c>
      <c r="BA70" s="14">
        <f>(AW70/((1.65*62.4)*XS_Designer!$AA$53))*12</f>
        <v>3.5347799328766967</v>
      </c>
      <c r="BB70" s="14">
        <f t="shared" si="27"/>
        <v>5.7346252932339201</v>
      </c>
      <c r="BC70" s="14">
        <f t="shared" si="28"/>
        <v>9.3037823688514329</v>
      </c>
      <c r="BD70" s="14">
        <f>IF(ISNUMBER(LININTERP(AW70,Permissible_Shear!$T$178:$T$188,Permissible_Shear!$V$178:$V$188)),LININTERP(AW70,Permissible_Shear!$T$178:$T$188,Permissible_Shear!$V$178:$V$188),0)</f>
        <v>5.9338729780280035</v>
      </c>
      <c r="BE70" s="14">
        <f>LININTERP(AW70,Permissible_Shear!$S$205:$S$222,Permissible_Shear!$V$205:$V$222)</f>
        <v>5.999077217015385</v>
      </c>
      <c r="BF70" s="14">
        <f>INDEX($AZ$3:$BE$204,ROW(BF70)-2,MATCH(XS_Designer!$W$5,XS_Designer_Summary!$AZ$2:$BE$2,0))</f>
        <v>5.7346252932339201</v>
      </c>
      <c r="BG70" s="79">
        <f t="shared" si="29"/>
        <v>3.0331672793424316</v>
      </c>
      <c r="BH70" s="79">
        <f t="shared" si="30"/>
        <v>0</v>
      </c>
      <c r="BI70" s="79">
        <f t="shared" si="31"/>
        <v>0</v>
      </c>
      <c r="BJ70" s="79">
        <f t="shared" si="32"/>
        <v>1.8197047094449232</v>
      </c>
      <c r="BK70" s="79">
        <f t="shared" si="33"/>
        <v>0</v>
      </c>
      <c r="BL70" s="79">
        <f t="shared" si="34"/>
        <v>0</v>
      </c>
      <c r="BM70" s="124">
        <f t="shared" si="35"/>
        <v>2.9161934446232745</v>
      </c>
      <c r="BN70" s="124">
        <f t="shared" si="36"/>
        <v>0</v>
      </c>
      <c r="BO70" s="124">
        <f t="shared" si="37"/>
        <v>0</v>
      </c>
    </row>
    <row r="71" spans="1:67">
      <c r="AD71" s="3">
        <v>67</v>
      </c>
      <c r="AE71" s="3" t="str">
        <f t="shared" si="13"/>
        <v>Left</v>
      </c>
      <c r="AF71" s="3" t="str">
        <f t="shared" si="14"/>
        <v>LOB</v>
      </c>
      <c r="AG71" s="3" t="str">
        <f>IF(XS_Designer_Summary!$AB$24&gt;=XS_Designer_Summary!AD71,"Y","N")</f>
        <v>Y</v>
      </c>
      <c r="AH71" s="45">
        <v>1</v>
      </c>
      <c r="AI71" s="45">
        <f>IF(AG71="Y",$O$19/XS_Designer_Summary!$AB$24,0)</f>
        <v>0.27201249999999999</v>
      </c>
      <c r="AJ71" s="45">
        <f t="shared" si="15"/>
        <v>0.27201249999999999</v>
      </c>
      <c r="AK71" s="14">
        <f t="shared" si="38"/>
        <v>-8.7044000000000299</v>
      </c>
      <c r="AL71" s="14">
        <f>IF(AG71="Y",LININTERP(AK71,XS_Designer_Calculations!$AY$4:$AY$104,XS_Designer_Calculations!$AZ$4:$AZ$104),AL70)</f>
        <v>2.0750630000000005</v>
      </c>
      <c r="AM71" s="14">
        <f t="shared" si="16"/>
        <v>2.9249369999999995</v>
      </c>
      <c r="AN71" s="14">
        <f t="shared" si="17"/>
        <v>0.79487951771093723</v>
      </c>
      <c r="AO71" s="46">
        <f t="shared" si="18"/>
        <v>0.27206689706083842</v>
      </c>
      <c r="AP71" s="46">
        <f t="shared" si="19"/>
        <v>2.9216326068995806</v>
      </c>
      <c r="AQ71" s="46">
        <f t="shared" si="20"/>
        <v>8.6035107064681964E-3</v>
      </c>
      <c r="AR71" s="14">
        <f>IFERROR(IF(AG71="Y",VLOOKUP(AK71,XS_Designer_Calculations!$R$5:$T$104,3,TRUE),0),0)</f>
        <v>0.1</v>
      </c>
      <c r="AS71" s="46">
        <f t="shared" si="21"/>
        <v>0.01</v>
      </c>
      <c r="AT71" s="14">
        <f t="shared" si="22"/>
        <v>24.139995471736782</v>
      </c>
      <c r="AU71" s="14">
        <f>AT71*XS_Designer_Calculations!$I$7^0.5</f>
        <v>2.4139995471736784</v>
      </c>
      <c r="AV71" s="14">
        <f t="shared" si="23"/>
        <v>3.0369376658810121</v>
      </c>
      <c r="AW71" s="14">
        <f t="shared" si="24"/>
        <v>1.8230987467053381</v>
      </c>
      <c r="AX71" s="14">
        <f t="shared" si="25"/>
        <v>5</v>
      </c>
      <c r="AY71" s="46">
        <f t="shared" si="26"/>
        <v>2.9222168749999993</v>
      </c>
      <c r="AZ71" s="14">
        <f>((AS71*AP71)/(1.65*XS_Designer!$S$99))*12</f>
        <v>10.233054483862272</v>
      </c>
      <c r="BA71" s="14">
        <f>(AW71/((1.65*62.4)*XS_Designer!$AA$53))*12</f>
        <v>3.541372856847977</v>
      </c>
      <c r="BB71" s="14">
        <f t="shared" si="27"/>
        <v>5.7457605596106829</v>
      </c>
      <c r="BC71" s="14">
        <f t="shared" si="28"/>
        <v>9.3165304883535622</v>
      </c>
      <c r="BD71" s="14">
        <f>IF(ISNUMBER(LININTERP(AW71,Permissible_Shear!$T$178:$T$188,Permissible_Shear!$V$178:$V$188)),LININTERP(AW71,Permissible_Shear!$T$178:$T$188,Permissible_Shear!$V$178:$V$188),0)</f>
        <v>5.9444745130380845</v>
      </c>
      <c r="BE71" s="14">
        <f>LININTERP(AW71,Permissible_Shear!$S$205:$S$222,Permissible_Shear!$V$205:$V$222)</f>
        <v>6.0096835834541817</v>
      </c>
      <c r="BF71" s="14">
        <f>INDEX($AZ$3:$BE$204,ROW(BF71)-2,MATCH(XS_Designer!$W$5,XS_Designer_Summary!$AZ$2:$BE$2,0))</f>
        <v>5.7457605596106829</v>
      </c>
      <c r="BG71" s="79">
        <f t="shared" si="29"/>
        <v>3.0369376658810121</v>
      </c>
      <c r="BH71" s="79">
        <f t="shared" si="30"/>
        <v>0</v>
      </c>
      <c r="BI71" s="79">
        <f t="shared" si="31"/>
        <v>0</v>
      </c>
      <c r="BJ71" s="79">
        <f t="shared" si="32"/>
        <v>1.8230987467053381</v>
      </c>
      <c r="BK71" s="79">
        <f t="shared" si="33"/>
        <v>0</v>
      </c>
      <c r="BL71" s="79">
        <f t="shared" si="34"/>
        <v>0</v>
      </c>
      <c r="BM71" s="124">
        <f t="shared" si="35"/>
        <v>2.9216326068995806</v>
      </c>
      <c r="BN71" s="124">
        <f t="shared" si="36"/>
        <v>0</v>
      </c>
      <c r="BO71" s="124">
        <f t="shared" si="37"/>
        <v>0</v>
      </c>
    </row>
    <row r="72" spans="1:67">
      <c r="AD72" s="3">
        <v>68</v>
      </c>
      <c r="AE72" s="3" t="str">
        <f t="shared" si="13"/>
        <v>Left</v>
      </c>
      <c r="AF72" s="3" t="str">
        <f t="shared" si="14"/>
        <v>LOB</v>
      </c>
      <c r="AG72" s="3" t="str">
        <f>IF(XS_Designer_Summary!$AB$24&gt;=XS_Designer_Summary!AD72,"Y","N")</f>
        <v>Y</v>
      </c>
      <c r="AH72" s="45">
        <v>1</v>
      </c>
      <c r="AI72" s="45">
        <f>IF(AG72="Y",$O$19/XS_Designer_Summary!$AB$24,0)</f>
        <v>0.27201249999999999</v>
      </c>
      <c r="AJ72" s="45">
        <f t="shared" si="15"/>
        <v>0.27201249999999999</v>
      </c>
      <c r="AK72" s="14">
        <f t="shared" si="38"/>
        <v>-8.4323875000000292</v>
      </c>
      <c r="AL72" s="14">
        <f>IF(AG72="Y",LININTERP(AK72,XS_Designer_Calculations!$AY$4:$AY$104,XS_Designer_Calculations!$AZ$4:$AZ$104),AL71)</f>
        <v>2.0696227500000006</v>
      </c>
      <c r="AM72" s="14">
        <f t="shared" si="16"/>
        <v>2.9303772499999994</v>
      </c>
      <c r="AN72" s="14">
        <f t="shared" si="17"/>
        <v>0.79635933371406242</v>
      </c>
      <c r="AO72" s="46">
        <f t="shared" si="18"/>
        <v>0.27206689706083842</v>
      </c>
      <c r="AP72" s="46">
        <f t="shared" si="19"/>
        <v>2.9270717691758876</v>
      </c>
      <c r="AQ72" s="46">
        <f t="shared" si="20"/>
        <v>8.6035107064681964E-3</v>
      </c>
      <c r="AR72" s="14">
        <f>IFERROR(IF(AG72="Y",VLOOKUP(AK72,XS_Designer_Calculations!$R$5:$T$104,3,TRUE),0),0)</f>
        <v>0.1</v>
      </c>
      <c r="AS72" s="46">
        <f t="shared" si="21"/>
        <v>0.01</v>
      </c>
      <c r="AT72" s="14">
        <f t="shared" si="22"/>
        <v>24.214943759320953</v>
      </c>
      <c r="AU72" s="14">
        <f>AT72*XS_Designer_Calculations!$I$7^0.5</f>
        <v>2.4214943759320953</v>
      </c>
      <c r="AV72" s="14">
        <f t="shared" si="23"/>
        <v>3.0407057133853437</v>
      </c>
      <c r="AW72" s="14">
        <f t="shared" si="24"/>
        <v>1.8264927839657541</v>
      </c>
      <c r="AX72" s="14">
        <f t="shared" si="25"/>
        <v>5</v>
      </c>
      <c r="AY72" s="46">
        <f t="shared" si="26"/>
        <v>2.9276571249999996</v>
      </c>
      <c r="AZ72" s="14">
        <f>((AS72*AP72)/(1.65*XS_Designer!$S$99))*12</f>
        <v>10.252105217273646</v>
      </c>
      <c r="BA72" s="14">
        <f>(AW72/((1.65*62.4)*XS_Designer!$AA$53))*12</f>
        <v>3.5479657808192586</v>
      </c>
      <c r="BB72" s="14">
        <f t="shared" si="27"/>
        <v>5.7568966958876846</v>
      </c>
      <c r="BC72" s="14">
        <f t="shared" si="28"/>
        <v>9.3292723378547784</v>
      </c>
      <c r="BD72" s="14">
        <f>IF(ISNUMBER(LININTERP(AW72,Permissible_Shear!$T$178:$T$188,Permissible_Shear!$V$178:$V$188)),LININTERP(AW72,Permissible_Shear!$T$178:$T$188,Permissible_Shear!$V$178:$V$188),0)</f>
        <v>5.955076048048169</v>
      </c>
      <c r="BE72" s="14">
        <f>LININTERP(AW72,Permissible_Shear!$S$205:$S$222,Permissible_Shear!$V$205:$V$222)</f>
        <v>6.0202899498929821</v>
      </c>
      <c r="BF72" s="14">
        <f>INDEX($AZ$3:$BE$204,ROW(BF72)-2,MATCH(XS_Designer!$W$5,XS_Designer_Summary!$AZ$2:$BE$2,0))</f>
        <v>5.7568966958876846</v>
      </c>
      <c r="BG72" s="79">
        <f t="shared" si="29"/>
        <v>3.0407057133853437</v>
      </c>
      <c r="BH72" s="79">
        <f t="shared" si="30"/>
        <v>0</v>
      </c>
      <c r="BI72" s="79">
        <f t="shared" si="31"/>
        <v>0</v>
      </c>
      <c r="BJ72" s="79">
        <f t="shared" si="32"/>
        <v>1.8264927839657541</v>
      </c>
      <c r="BK72" s="79">
        <f t="shared" si="33"/>
        <v>0</v>
      </c>
      <c r="BL72" s="79">
        <f t="shared" si="34"/>
        <v>0</v>
      </c>
      <c r="BM72" s="124">
        <f t="shared" si="35"/>
        <v>2.9270717691758876</v>
      </c>
      <c r="BN72" s="124">
        <f t="shared" si="36"/>
        <v>0</v>
      </c>
      <c r="BO72" s="124">
        <f t="shared" si="37"/>
        <v>0</v>
      </c>
    </row>
    <row r="73" spans="1:67">
      <c r="AD73" s="3">
        <v>69</v>
      </c>
      <c r="AE73" s="3" t="str">
        <f t="shared" si="13"/>
        <v>Left</v>
      </c>
      <c r="AF73" s="3" t="str">
        <f t="shared" si="14"/>
        <v>LOB</v>
      </c>
      <c r="AG73" s="3" t="str">
        <f>IF(XS_Designer_Summary!$AB$24&gt;=XS_Designer_Summary!AD73,"Y","N")</f>
        <v>Y</v>
      </c>
      <c r="AH73" s="45">
        <v>1</v>
      </c>
      <c r="AI73" s="45">
        <f>IF(AG73="Y",$O$19/XS_Designer_Summary!$AB$24,0)</f>
        <v>0.27201249999999999</v>
      </c>
      <c r="AJ73" s="45">
        <f t="shared" si="15"/>
        <v>0.27201249999999999</v>
      </c>
      <c r="AK73" s="14">
        <f t="shared" si="38"/>
        <v>-8.1603750000000286</v>
      </c>
      <c r="AL73" s="14">
        <f>IF(AG73="Y",LININTERP(AK73,XS_Designer_Calculations!$AY$4:$AY$104,XS_Designer_Calculations!$AZ$4:$AZ$104),AL72)</f>
        <v>2.0641825000000007</v>
      </c>
      <c r="AM73" s="14">
        <f t="shared" si="16"/>
        <v>2.9358174999999993</v>
      </c>
      <c r="AN73" s="14">
        <f t="shared" si="17"/>
        <v>0.79783914971718728</v>
      </c>
      <c r="AO73" s="46">
        <f t="shared" si="18"/>
        <v>0.27206689706083842</v>
      </c>
      <c r="AP73" s="46">
        <f t="shared" si="19"/>
        <v>2.9325109314521933</v>
      </c>
      <c r="AQ73" s="46">
        <f t="shared" si="20"/>
        <v>8.6035107064681964E-3</v>
      </c>
      <c r="AR73" s="14">
        <f>IFERROR(IF(AG73="Y",VLOOKUP(AK73,XS_Designer_Calculations!$R$5:$T$104,3,TRUE),0),0)</f>
        <v>0.1</v>
      </c>
      <c r="AS73" s="46">
        <f t="shared" si="21"/>
        <v>0.01</v>
      </c>
      <c r="AT73" s="14">
        <f t="shared" si="22"/>
        <v>24.289984951736795</v>
      </c>
      <c r="AU73" s="14">
        <f>AT73*XS_Designer_Calculations!$I$7^0.5</f>
        <v>2.4289984951736798</v>
      </c>
      <c r="AV73" s="14">
        <f t="shared" si="23"/>
        <v>3.0444714276489129</v>
      </c>
      <c r="AW73" s="14">
        <f t="shared" si="24"/>
        <v>1.8298868212261687</v>
      </c>
      <c r="AX73" s="14">
        <f t="shared" si="25"/>
        <v>5</v>
      </c>
      <c r="AY73" s="46">
        <f t="shared" si="26"/>
        <v>2.9330973749999991</v>
      </c>
      <c r="AZ73" s="14">
        <f>((AS73*AP73)/(1.65*XS_Designer!$S$99))*12</f>
        <v>10.271155950685014</v>
      </c>
      <c r="BA73" s="14">
        <f>(AW73/((1.65*62.4)*XS_Designer!$AA$53))*12</f>
        <v>3.554558704790538</v>
      </c>
      <c r="BB73" s="14">
        <f t="shared" si="27"/>
        <v>5.7680337005177238</v>
      </c>
      <c r="BC73" s="14">
        <f t="shared" si="28"/>
        <v>9.3420079320705991</v>
      </c>
      <c r="BD73" s="14">
        <f>IF(ISNUMBER(LININTERP(AW73,Permissible_Shear!$T$178:$T$188,Permissible_Shear!$V$178:$V$188)),LININTERP(AW73,Permissible_Shear!$T$178:$T$188,Permissible_Shear!$V$178:$V$188),0)</f>
        <v>5.96567758305825</v>
      </c>
      <c r="BE73" s="14">
        <f>LININTERP(AW73,Permissible_Shear!$S$205:$S$222,Permissible_Shear!$V$205:$V$222)</f>
        <v>6.030896316331777</v>
      </c>
      <c r="BF73" s="14">
        <f>INDEX($AZ$3:$BE$204,ROW(BF73)-2,MATCH(XS_Designer!$W$5,XS_Designer_Summary!$AZ$2:$BE$2,0))</f>
        <v>5.7680337005177238</v>
      </c>
      <c r="BG73" s="79">
        <f t="shared" si="29"/>
        <v>3.0444714276489129</v>
      </c>
      <c r="BH73" s="79">
        <f t="shared" si="30"/>
        <v>0</v>
      </c>
      <c r="BI73" s="79">
        <f t="shared" si="31"/>
        <v>0</v>
      </c>
      <c r="BJ73" s="79">
        <f t="shared" si="32"/>
        <v>1.8298868212261687</v>
      </c>
      <c r="BK73" s="79">
        <f t="shared" si="33"/>
        <v>0</v>
      </c>
      <c r="BL73" s="79">
        <f t="shared" si="34"/>
        <v>0</v>
      </c>
      <c r="BM73" s="124">
        <f t="shared" si="35"/>
        <v>2.9325109314521933</v>
      </c>
      <c r="BN73" s="124">
        <f t="shared" si="36"/>
        <v>0</v>
      </c>
      <c r="BO73" s="124">
        <f t="shared" si="37"/>
        <v>0</v>
      </c>
    </row>
    <row r="74" spans="1:67">
      <c r="AD74" s="3">
        <v>70</v>
      </c>
      <c r="AE74" s="3" t="str">
        <f t="shared" si="13"/>
        <v>Left</v>
      </c>
      <c r="AF74" s="3" t="str">
        <f t="shared" si="14"/>
        <v>LOB</v>
      </c>
      <c r="AG74" s="3" t="str">
        <f>IF(XS_Designer_Summary!$AB$24&gt;=XS_Designer_Summary!AD74,"Y","N")</f>
        <v>Y</v>
      </c>
      <c r="AH74" s="45">
        <v>1</v>
      </c>
      <c r="AI74" s="45">
        <f>IF(AG74="Y",$O$19/XS_Designer_Summary!$AB$24,0)</f>
        <v>0.27201249999999999</v>
      </c>
      <c r="AJ74" s="45">
        <f t="shared" si="15"/>
        <v>0.27201249999999999</v>
      </c>
      <c r="AK74" s="14">
        <f t="shared" si="38"/>
        <v>-7.8883625000000288</v>
      </c>
      <c r="AL74" s="14">
        <f>IF(AG74="Y",LININTERP(AK74,XS_Designer_Calculations!$AY$4:$AY$104,XS_Designer_Calculations!$AZ$4:$AZ$104),AL73)</f>
        <v>2.0587422500000008</v>
      </c>
      <c r="AM74" s="14">
        <f t="shared" si="16"/>
        <v>2.9412577499999992</v>
      </c>
      <c r="AN74" s="14">
        <f t="shared" si="17"/>
        <v>0.79931896572031236</v>
      </c>
      <c r="AO74" s="46">
        <f t="shared" si="18"/>
        <v>0.27206689706083753</v>
      </c>
      <c r="AP74" s="46">
        <f t="shared" si="19"/>
        <v>2.9379500937285092</v>
      </c>
      <c r="AQ74" s="46">
        <f t="shared" si="20"/>
        <v>8.6035107064681669E-3</v>
      </c>
      <c r="AR74" s="14">
        <f>IFERROR(IF(AG74="Y",VLOOKUP(AK74,XS_Designer_Calculations!$R$5:$T$104,3,TRUE),0),0)</f>
        <v>0.1</v>
      </c>
      <c r="AS74" s="46">
        <f t="shared" si="21"/>
        <v>0.01</v>
      </c>
      <c r="AT74" s="14">
        <f t="shared" si="22"/>
        <v>24.365118991509448</v>
      </c>
      <c r="AU74" s="14">
        <f>AT74*XS_Designer_Calculations!$I$7^0.5</f>
        <v>2.4365118991509451</v>
      </c>
      <c r="AV74" s="14">
        <f t="shared" si="23"/>
        <v>3.048234814440145</v>
      </c>
      <c r="AW74" s="14">
        <f t="shared" si="24"/>
        <v>1.8332808584865898</v>
      </c>
      <c r="AX74" s="14">
        <f t="shared" si="25"/>
        <v>5</v>
      </c>
      <c r="AY74" s="46">
        <f t="shared" si="26"/>
        <v>2.9385376249999995</v>
      </c>
      <c r="AZ74" s="14">
        <f>((AS74*AP74)/(1.65*XS_Designer!$S$99))*12</f>
        <v>10.290206684096418</v>
      </c>
      <c r="BA74" s="14">
        <f>(AW74/((1.65*62.4)*XS_Designer!$AA$53))*12</f>
        <v>3.5611516287618299</v>
      </c>
      <c r="BB74" s="14">
        <f t="shared" si="27"/>
        <v>5.7791715719592078</v>
      </c>
      <c r="BC74" s="14">
        <f t="shared" si="28"/>
        <v>9.3547372856548137</v>
      </c>
      <c r="BD74" s="14">
        <f>IF(ISNUMBER(LININTERP(AW74,Permissible_Shear!$T$178:$T$188,Permissible_Shear!$V$178:$V$188)),LININTERP(AW74,Permissible_Shear!$T$178:$T$188,Permissible_Shear!$V$178:$V$188),0)</f>
        <v>5.9762791180683497</v>
      </c>
      <c r="BE74" s="14">
        <f>LININTERP(AW74,Permissible_Shear!$S$205:$S$222,Permissible_Shear!$V$205:$V$222)</f>
        <v>6.0415026827705933</v>
      </c>
      <c r="BF74" s="14">
        <f>INDEX($AZ$3:$BE$204,ROW(BF74)-2,MATCH(XS_Designer!$W$5,XS_Designer_Summary!$AZ$2:$BE$2,0))</f>
        <v>5.7791715719592078</v>
      </c>
      <c r="BG74" s="79">
        <f t="shared" si="29"/>
        <v>3.048234814440145</v>
      </c>
      <c r="BH74" s="79">
        <f t="shared" si="30"/>
        <v>0</v>
      </c>
      <c r="BI74" s="79">
        <f t="shared" si="31"/>
        <v>0</v>
      </c>
      <c r="BJ74" s="79">
        <f t="shared" si="32"/>
        <v>1.8332808584865898</v>
      </c>
      <c r="BK74" s="79">
        <f t="shared" si="33"/>
        <v>0</v>
      </c>
      <c r="BL74" s="79">
        <f t="shared" si="34"/>
        <v>0</v>
      </c>
      <c r="BM74" s="124">
        <f t="shared" si="35"/>
        <v>2.9379500937285092</v>
      </c>
      <c r="BN74" s="124">
        <f t="shared" si="36"/>
        <v>0</v>
      </c>
      <c r="BO74" s="124">
        <f t="shared" si="37"/>
        <v>0</v>
      </c>
    </row>
    <row r="75" spans="1:67">
      <c r="AD75" s="3">
        <v>71</v>
      </c>
      <c r="AE75" s="3" t="str">
        <f t="shared" si="13"/>
        <v>Left</v>
      </c>
      <c r="AF75" s="3" t="str">
        <f t="shared" si="14"/>
        <v>LOB</v>
      </c>
      <c r="AG75" s="3" t="str">
        <f>IF(XS_Designer_Summary!$AB$24&gt;=XS_Designer_Summary!AD75,"Y","N")</f>
        <v>Y</v>
      </c>
      <c r="AH75" s="45">
        <v>1</v>
      </c>
      <c r="AI75" s="45">
        <f>IF(AG75="Y",$O$19/XS_Designer_Summary!$AB$24,0)</f>
        <v>0.27201249999999999</v>
      </c>
      <c r="AJ75" s="45">
        <f t="shared" si="15"/>
        <v>0.27201249999999999</v>
      </c>
      <c r="AK75" s="14">
        <f t="shared" si="38"/>
        <v>-7.616350000000029</v>
      </c>
      <c r="AL75" s="14">
        <f>IF(AG75="Y",LININTERP(AK75,XS_Designer_Calculations!$AY$4:$AY$104,XS_Designer_Calculations!$AZ$4:$AZ$104),AL74)</f>
        <v>2.0533020000000004</v>
      </c>
      <c r="AM75" s="14">
        <f t="shared" si="16"/>
        <v>2.9466979999999996</v>
      </c>
      <c r="AN75" s="14">
        <f t="shared" si="17"/>
        <v>0.80079878172343733</v>
      </c>
      <c r="AO75" s="46">
        <f t="shared" si="18"/>
        <v>0.27206689706083753</v>
      </c>
      <c r="AP75" s="46">
        <f t="shared" si="19"/>
        <v>2.9433892560048154</v>
      </c>
      <c r="AQ75" s="46">
        <f t="shared" si="20"/>
        <v>8.6035107064681669E-3</v>
      </c>
      <c r="AR75" s="14">
        <f>IFERROR(IF(AG75="Y",VLOOKUP(AK75,XS_Designer_Calculations!$R$5:$T$104,3,TRUE),0),0)</f>
        <v>0.1</v>
      </c>
      <c r="AS75" s="46">
        <f t="shared" si="21"/>
        <v>0.01</v>
      </c>
      <c r="AT75" s="14">
        <f t="shared" si="22"/>
        <v>24.440345821305836</v>
      </c>
      <c r="AU75" s="14">
        <f>AT75*XS_Designer_Calculations!$I$7^0.5</f>
        <v>2.444034582130584</v>
      </c>
      <c r="AV75" s="14">
        <f t="shared" si="23"/>
        <v>3.051995879502539</v>
      </c>
      <c r="AW75" s="14">
        <f t="shared" si="24"/>
        <v>1.8366748957470049</v>
      </c>
      <c r="AX75" s="14">
        <f t="shared" si="25"/>
        <v>5</v>
      </c>
      <c r="AY75" s="46">
        <f t="shared" si="26"/>
        <v>2.9439778749999994</v>
      </c>
      <c r="AZ75" s="14">
        <f>((AS75*AP75)/(1.65*XS_Designer!$S$99))*12</f>
        <v>10.309257417507787</v>
      </c>
      <c r="BA75" s="14">
        <f>(AW75/((1.65*62.4)*XS_Designer!$AA$53))*12</f>
        <v>3.5677445527331102</v>
      </c>
      <c r="BB75" s="14">
        <f t="shared" si="27"/>
        <v>5.7903103086761307</v>
      </c>
      <c r="BC75" s="14">
        <f t="shared" si="28"/>
        <v>9.3674604131998436</v>
      </c>
      <c r="BD75" s="14">
        <f>IF(ISNUMBER(LININTERP(AW75,Permissible_Shear!$T$178:$T$188,Permissible_Shear!$V$178:$V$188)),LININTERP(AW75,Permissible_Shear!$T$178:$T$188,Permissible_Shear!$V$178:$V$188),0)</f>
        <v>5.9868806530784315</v>
      </c>
      <c r="BE75" s="14">
        <f>LININTERP(AW75,Permissible_Shear!$S$205:$S$222,Permissible_Shear!$V$205:$V$222)</f>
        <v>6.0521090492093901</v>
      </c>
      <c r="BF75" s="14">
        <f>INDEX($AZ$3:$BE$204,ROW(BF75)-2,MATCH(XS_Designer!$W$5,XS_Designer_Summary!$AZ$2:$BE$2,0))</f>
        <v>5.7903103086761307</v>
      </c>
      <c r="BG75" s="79">
        <f t="shared" si="29"/>
        <v>3.051995879502539</v>
      </c>
      <c r="BH75" s="79">
        <f t="shared" si="30"/>
        <v>0</v>
      </c>
      <c r="BI75" s="79">
        <f t="shared" si="31"/>
        <v>0</v>
      </c>
      <c r="BJ75" s="79">
        <f t="shared" si="32"/>
        <v>1.8366748957470049</v>
      </c>
      <c r="BK75" s="79">
        <f t="shared" si="33"/>
        <v>0</v>
      </c>
      <c r="BL75" s="79">
        <f t="shared" si="34"/>
        <v>0</v>
      </c>
      <c r="BM75" s="124">
        <f t="shared" si="35"/>
        <v>2.9433892560048154</v>
      </c>
      <c r="BN75" s="124">
        <f t="shared" si="36"/>
        <v>0</v>
      </c>
      <c r="BO75" s="124">
        <f t="shared" si="37"/>
        <v>0</v>
      </c>
    </row>
    <row r="76" spans="1:67">
      <c r="AD76" s="3">
        <v>72</v>
      </c>
      <c r="AE76" s="3" t="str">
        <f t="shared" si="13"/>
        <v>Left</v>
      </c>
      <c r="AF76" s="3" t="str">
        <f t="shared" si="14"/>
        <v>LOB</v>
      </c>
      <c r="AG76" s="3" t="str">
        <f>IF(XS_Designer_Summary!$AB$24&gt;=XS_Designer_Summary!AD76,"Y","N")</f>
        <v>Y</v>
      </c>
      <c r="AH76" s="45">
        <v>1</v>
      </c>
      <c r="AI76" s="45">
        <f>IF(AG76="Y",$O$19/XS_Designer_Summary!$AB$24,0)</f>
        <v>0.27201249999999999</v>
      </c>
      <c r="AJ76" s="45">
        <f t="shared" si="15"/>
        <v>0.27201249999999999</v>
      </c>
      <c r="AK76" s="14">
        <f t="shared" si="38"/>
        <v>-7.3443375000000293</v>
      </c>
      <c r="AL76" s="14">
        <f>IF(AG76="Y",LININTERP(AK76,XS_Designer_Calculations!$AY$4:$AY$104,XS_Designer_Calculations!$AZ$4:$AZ$104),AL75)</f>
        <v>2.0478617500000005</v>
      </c>
      <c r="AM76" s="14">
        <f t="shared" si="16"/>
        <v>2.9521382499999995</v>
      </c>
      <c r="AN76" s="14">
        <f t="shared" si="17"/>
        <v>0.80227859772656229</v>
      </c>
      <c r="AO76" s="46">
        <f t="shared" si="18"/>
        <v>0.27206689706083753</v>
      </c>
      <c r="AP76" s="46">
        <f t="shared" si="19"/>
        <v>2.9488284182811215</v>
      </c>
      <c r="AQ76" s="46">
        <f t="shared" si="20"/>
        <v>8.6035107064681669E-3</v>
      </c>
      <c r="AR76" s="14">
        <f>IFERROR(IF(AG76="Y",VLOOKUP(AK76,XS_Designer_Calculations!$R$5:$T$104,3,TRUE),0),0)</f>
        <v>0.1</v>
      </c>
      <c r="AS76" s="46">
        <f t="shared" si="21"/>
        <v>0.01</v>
      </c>
      <c r="AT76" s="14">
        <f t="shared" si="22"/>
        <v>24.51566538393438</v>
      </c>
      <c r="AU76" s="14">
        <f>AT76*XS_Designer_Calculations!$I$7^0.5</f>
        <v>2.451566538393438</v>
      </c>
      <c r="AV76" s="14">
        <f t="shared" si="23"/>
        <v>3.0557546285548507</v>
      </c>
      <c r="AW76" s="14">
        <f t="shared" si="24"/>
        <v>1.8400689330074198</v>
      </c>
      <c r="AX76" s="14">
        <f t="shared" si="25"/>
        <v>5</v>
      </c>
      <c r="AY76" s="46">
        <f t="shared" si="26"/>
        <v>2.9494181249999993</v>
      </c>
      <c r="AZ76" s="14">
        <f>((AS76*AP76)/(1.65*XS_Designer!$S$99))*12</f>
        <v>10.328308150919156</v>
      </c>
      <c r="BA76" s="14">
        <f>(AW76/((1.65*62.4)*XS_Designer!$AA$53))*12</f>
        <v>3.5743374767043905</v>
      </c>
      <c r="BB76" s="14">
        <f t="shared" si="27"/>
        <v>5.8014499091380358</v>
      </c>
      <c r="BC76" s="14">
        <f t="shared" si="28"/>
        <v>9.3801773292371191</v>
      </c>
      <c r="BD76" s="14">
        <f>IF(ISNUMBER(LININTERP(AW76,Permissible_Shear!$T$178:$T$188,Permissible_Shear!$V$178:$V$188)),LININTERP(AW76,Permissible_Shear!$T$178:$T$188,Permissible_Shear!$V$178:$V$188),0)</f>
        <v>5.9974821880885116</v>
      </c>
      <c r="BE76" s="14">
        <f>LININTERP(AW76,Permissible_Shear!$S$205:$S$222,Permissible_Shear!$V$205:$V$222)</f>
        <v>6.0627154156481868</v>
      </c>
      <c r="BF76" s="14">
        <f>INDEX($AZ$3:$BE$204,ROW(BF76)-2,MATCH(XS_Designer!$W$5,XS_Designer_Summary!$AZ$2:$BE$2,0))</f>
        <v>5.8014499091380358</v>
      </c>
      <c r="BG76" s="79">
        <f t="shared" si="29"/>
        <v>3.0557546285548507</v>
      </c>
      <c r="BH76" s="79">
        <f t="shared" si="30"/>
        <v>0</v>
      </c>
      <c r="BI76" s="79">
        <f t="shared" si="31"/>
        <v>0</v>
      </c>
      <c r="BJ76" s="79">
        <f t="shared" si="32"/>
        <v>1.8400689330074198</v>
      </c>
      <c r="BK76" s="79">
        <f t="shared" si="33"/>
        <v>0</v>
      </c>
      <c r="BL76" s="79">
        <f t="shared" si="34"/>
        <v>0</v>
      </c>
      <c r="BM76" s="124">
        <f t="shared" si="35"/>
        <v>2.9488284182811215</v>
      </c>
      <c r="BN76" s="124">
        <f t="shared" si="36"/>
        <v>0</v>
      </c>
      <c r="BO76" s="124">
        <f t="shared" si="37"/>
        <v>0</v>
      </c>
    </row>
    <row r="77" spans="1:67">
      <c r="AD77" s="3">
        <v>73</v>
      </c>
      <c r="AE77" s="3" t="str">
        <f t="shared" si="13"/>
        <v>Left</v>
      </c>
      <c r="AF77" s="3" t="str">
        <f t="shared" si="14"/>
        <v>LOB</v>
      </c>
      <c r="AG77" s="3" t="str">
        <f>IF(XS_Designer_Summary!$AB$24&gt;=XS_Designer_Summary!AD77,"Y","N")</f>
        <v>Y</v>
      </c>
      <c r="AH77" s="45">
        <v>1</v>
      </c>
      <c r="AI77" s="45">
        <f>IF(AG77="Y",$O$19/XS_Designer_Summary!$AB$24,0)</f>
        <v>0.27201249999999999</v>
      </c>
      <c r="AJ77" s="45">
        <f t="shared" si="15"/>
        <v>0.27201249999999999</v>
      </c>
      <c r="AK77" s="14">
        <f t="shared" si="38"/>
        <v>-7.0723250000000295</v>
      </c>
      <c r="AL77" s="14">
        <f>IF(AG77="Y",LININTERP(AK77,XS_Designer_Calculations!$AY$4:$AY$104,XS_Designer_Calculations!$AZ$4:$AZ$104),AL76)</f>
        <v>2.0424215000000006</v>
      </c>
      <c r="AM77" s="14">
        <f t="shared" si="16"/>
        <v>2.9575784999999994</v>
      </c>
      <c r="AN77" s="14">
        <f t="shared" si="17"/>
        <v>0.80375841372968737</v>
      </c>
      <c r="AO77" s="46">
        <f t="shared" si="18"/>
        <v>0.27206689706083753</v>
      </c>
      <c r="AP77" s="46">
        <f t="shared" si="19"/>
        <v>2.9542675805574281</v>
      </c>
      <c r="AQ77" s="46">
        <f t="shared" si="20"/>
        <v>8.6035107064681669E-3</v>
      </c>
      <c r="AR77" s="14">
        <f>IFERROR(IF(AG77="Y",VLOOKUP(AK77,XS_Designer_Calculations!$R$5:$T$104,3,TRUE),0),0)</f>
        <v>0.1</v>
      </c>
      <c r="AS77" s="46">
        <f t="shared" si="21"/>
        <v>0.01</v>
      </c>
      <c r="AT77" s="14">
        <f t="shared" si="22"/>
        <v>24.591077622344233</v>
      </c>
      <c r="AU77" s="14">
        <f>AT77*XS_Designer_Calculations!$I$7^0.5</f>
        <v>2.4591077622344235</v>
      </c>
      <c r="AV77" s="14">
        <f t="shared" si="23"/>
        <v>3.0595110672912322</v>
      </c>
      <c r="AW77" s="14">
        <f t="shared" si="24"/>
        <v>1.8434629702678351</v>
      </c>
      <c r="AX77" s="14">
        <f t="shared" si="25"/>
        <v>5</v>
      </c>
      <c r="AY77" s="46">
        <f t="shared" si="26"/>
        <v>2.9548583749999997</v>
      </c>
      <c r="AZ77" s="14">
        <f>((AS77*AP77)/(1.65*XS_Designer!$S$99))*12</f>
        <v>10.347358884330529</v>
      </c>
      <c r="BA77" s="14">
        <f>(AW77/((1.65*62.4)*XS_Designer!$AA$53))*12</f>
        <v>3.5809304006756708</v>
      </c>
      <c r="BB77" s="14">
        <f t="shared" si="27"/>
        <v>5.8125903718199918</v>
      </c>
      <c r="BC77" s="14">
        <f t="shared" si="28"/>
        <v>9.3928880482374453</v>
      </c>
      <c r="BD77" s="14">
        <f>IF(ISNUMBER(LININTERP(AW77,Permissible_Shear!$T$178:$T$188,Permissible_Shear!$V$178:$V$188)),LININTERP(AW77,Permissible_Shear!$T$178:$T$188,Permissible_Shear!$V$178:$V$188),0)</f>
        <v>6.0080837230985944</v>
      </c>
      <c r="BE77" s="14">
        <f>LININTERP(AW77,Permissible_Shear!$S$205:$S$222,Permissible_Shear!$V$205:$V$222)</f>
        <v>6.0733217820869854</v>
      </c>
      <c r="BF77" s="14">
        <f>INDEX($AZ$3:$BE$204,ROW(BF77)-2,MATCH(XS_Designer!$W$5,XS_Designer_Summary!$AZ$2:$BE$2,0))</f>
        <v>5.8125903718199918</v>
      </c>
      <c r="BG77" s="79">
        <f t="shared" si="29"/>
        <v>3.0595110672912322</v>
      </c>
      <c r="BH77" s="79">
        <f t="shared" si="30"/>
        <v>0</v>
      </c>
      <c r="BI77" s="79">
        <f t="shared" si="31"/>
        <v>0</v>
      </c>
      <c r="BJ77" s="79">
        <f t="shared" si="32"/>
        <v>1.8434629702678351</v>
      </c>
      <c r="BK77" s="79">
        <f t="shared" si="33"/>
        <v>0</v>
      </c>
      <c r="BL77" s="79">
        <f t="shared" si="34"/>
        <v>0</v>
      </c>
      <c r="BM77" s="124">
        <f t="shared" si="35"/>
        <v>2.9542675805574281</v>
      </c>
      <c r="BN77" s="124">
        <f t="shared" si="36"/>
        <v>0</v>
      </c>
      <c r="BO77" s="124">
        <f t="shared" si="37"/>
        <v>0</v>
      </c>
    </row>
    <row r="78" spans="1:67">
      <c r="AD78" s="3">
        <v>74</v>
      </c>
      <c r="AE78" s="3" t="str">
        <f t="shared" si="13"/>
        <v>Left</v>
      </c>
      <c r="AF78" s="3" t="str">
        <f t="shared" si="14"/>
        <v>LOB</v>
      </c>
      <c r="AG78" s="3" t="str">
        <f>IF(XS_Designer_Summary!$AB$24&gt;=XS_Designer_Summary!AD78,"Y","N")</f>
        <v>Y</v>
      </c>
      <c r="AH78" s="45">
        <v>1</v>
      </c>
      <c r="AI78" s="45">
        <f>IF(AG78="Y",$O$19/XS_Designer_Summary!$AB$24,0)</f>
        <v>0.27201249999999999</v>
      </c>
      <c r="AJ78" s="45">
        <f t="shared" si="15"/>
        <v>0.27201249999999999</v>
      </c>
      <c r="AK78" s="14">
        <f t="shared" si="38"/>
        <v>-6.8003125000000297</v>
      </c>
      <c r="AL78" s="14">
        <f>IF(AG78="Y",LININTERP(AK78,XS_Designer_Calculations!$AY$4:$AY$104,XS_Designer_Calculations!$AZ$4:$AZ$104),AL77)</f>
        <v>2.0369812500000006</v>
      </c>
      <c r="AM78" s="14">
        <f t="shared" si="16"/>
        <v>2.9630187499999994</v>
      </c>
      <c r="AN78" s="14">
        <f t="shared" si="17"/>
        <v>0.80523822973281223</v>
      </c>
      <c r="AO78" s="46">
        <f t="shared" si="18"/>
        <v>0.27206689706083753</v>
      </c>
      <c r="AP78" s="46">
        <f t="shared" si="19"/>
        <v>2.9597067428337338</v>
      </c>
      <c r="AQ78" s="46">
        <f t="shared" si="20"/>
        <v>8.6035107064681669E-3</v>
      </c>
      <c r="AR78" s="14">
        <f>IFERROR(IF(AG78="Y",VLOOKUP(AK78,XS_Designer_Calculations!$R$5:$T$104,3,TRUE),0),0)</f>
        <v>0.1</v>
      </c>
      <c r="AS78" s="46">
        <f t="shared" si="21"/>
        <v>0.01</v>
      </c>
      <c r="AT78" s="14">
        <f t="shared" si="22"/>
        <v>24.666582479624619</v>
      </c>
      <c r="AU78" s="14">
        <f>AT78*XS_Designer_Calculations!$I$7^0.5</f>
        <v>2.4666582479624619</v>
      </c>
      <c r="AV78" s="14">
        <f t="shared" si="23"/>
        <v>3.063265201381371</v>
      </c>
      <c r="AW78" s="14">
        <f t="shared" si="24"/>
        <v>1.84685700752825</v>
      </c>
      <c r="AX78" s="14">
        <f t="shared" si="25"/>
        <v>5</v>
      </c>
      <c r="AY78" s="46">
        <f t="shared" si="26"/>
        <v>2.9602986249999992</v>
      </c>
      <c r="AZ78" s="14">
        <f>((AS78*AP78)/(1.65*XS_Designer!$S$99))*12</f>
        <v>10.366409617741896</v>
      </c>
      <c r="BA78" s="14">
        <f>(AW78/((1.65*62.4)*XS_Designer!$AA$53))*12</f>
        <v>3.5875233246469511</v>
      </c>
      <c r="BB78" s="14">
        <f t="shared" si="27"/>
        <v>5.8237316952025591</v>
      </c>
      <c r="BC78" s="14">
        <f t="shared" si="28"/>
        <v>9.4055925846113642</v>
      </c>
      <c r="BD78" s="14">
        <f>IF(ISNUMBER(LININTERP(AW78,Permissible_Shear!$T$178:$T$188,Permissible_Shear!$V$178:$V$188)),LININTERP(AW78,Permissible_Shear!$T$178:$T$188,Permissible_Shear!$V$178:$V$188),0)</f>
        <v>6.0186852581086754</v>
      </c>
      <c r="BE78" s="14">
        <f>LININTERP(AW78,Permissible_Shear!$S$205:$S$222,Permissible_Shear!$V$205:$V$222)</f>
        <v>6.0839281485257812</v>
      </c>
      <c r="BF78" s="14">
        <f>INDEX($AZ$3:$BE$204,ROW(BF78)-2,MATCH(XS_Designer!$W$5,XS_Designer_Summary!$AZ$2:$BE$2,0))</f>
        <v>5.8237316952025591</v>
      </c>
      <c r="BG78" s="79">
        <f t="shared" si="29"/>
        <v>3.063265201381371</v>
      </c>
      <c r="BH78" s="79">
        <f t="shared" si="30"/>
        <v>0</v>
      </c>
      <c r="BI78" s="79">
        <f t="shared" si="31"/>
        <v>0</v>
      </c>
      <c r="BJ78" s="79">
        <f t="shared" si="32"/>
        <v>1.84685700752825</v>
      </c>
      <c r="BK78" s="79">
        <f t="shared" si="33"/>
        <v>0</v>
      </c>
      <c r="BL78" s="79">
        <f t="shared" si="34"/>
        <v>0</v>
      </c>
      <c r="BM78" s="124">
        <f t="shared" si="35"/>
        <v>2.9597067428337338</v>
      </c>
      <c r="BN78" s="124">
        <f t="shared" si="36"/>
        <v>0</v>
      </c>
      <c r="BO78" s="124">
        <f t="shared" si="37"/>
        <v>0</v>
      </c>
    </row>
    <row r="79" spans="1:67">
      <c r="AD79" s="3">
        <v>75</v>
      </c>
      <c r="AE79" s="3" t="str">
        <f t="shared" si="13"/>
        <v>Left</v>
      </c>
      <c r="AF79" s="3" t="str">
        <f t="shared" si="14"/>
        <v>LOB</v>
      </c>
      <c r="AG79" s="3" t="str">
        <f>IF(XS_Designer_Summary!$AB$24&gt;=XS_Designer_Summary!AD79,"Y","N")</f>
        <v>Y</v>
      </c>
      <c r="AH79" s="45">
        <v>1</v>
      </c>
      <c r="AI79" s="45">
        <f>IF(AG79="Y",$O$19/XS_Designer_Summary!$AB$24,0)</f>
        <v>0.27201249999999999</v>
      </c>
      <c r="AJ79" s="45">
        <f t="shared" si="15"/>
        <v>0.27201249999999999</v>
      </c>
      <c r="AK79" s="14">
        <f t="shared" si="38"/>
        <v>-6.52830000000003</v>
      </c>
      <c r="AL79" s="14">
        <f>IF(AG79="Y",LININTERP(AK79,XS_Designer_Calculations!$AY$4:$AY$104,XS_Designer_Calculations!$AZ$4:$AZ$104),AL78)</f>
        <v>2.0315410000000007</v>
      </c>
      <c r="AM79" s="14">
        <f t="shared" si="16"/>
        <v>2.9684589999999993</v>
      </c>
      <c r="AN79" s="14">
        <f t="shared" si="17"/>
        <v>0.80671804573593731</v>
      </c>
      <c r="AO79" s="46">
        <f t="shared" si="18"/>
        <v>0.27206689706083753</v>
      </c>
      <c r="AP79" s="46">
        <f t="shared" si="19"/>
        <v>2.9651459051100404</v>
      </c>
      <c r="AQ79" s="46">
        <f t="shared" si="20"/>
        <v>8.6035107064681669E-3</v>
      </c>
      <c r="AR79" s="14">
        <f>IFERROR(IF(AG79="Y",VLOOKUP(AK79,XS_Designer_Calculations!$R$5:$T$104,3,TRUE),0),0)</f>
        <v>0.1</v>
      </c>
      <c r="AS79" s="46">
        <f t="shared" si="21"/>
        <v>0.01</v>
      </c>
      <c r="AT79" s="14">
        <f t="shared" si="22"/>
        <v>24.742179899004359</v>
      </c>
      <c r="AU79" s="14">
        <f>AT79*XS_Designer_Calculations!$I$7^0.5</f>
        <v>2.4742179899004362</v>
      </c>
      <c r="AV79" s="14">
        <f t="shared" si="23"/>
        <v>3.0670170364706593</v>
      </c>
      <c r="AW79" s="14">
        <f t="shared" si="24"/>
        <v>1.8502510447886653</v>
      </c>
      <c r="AX79" s="14">
        <f t="shared" si="25"/>
        <v>5</v>
      </c>
      <c r="AY79" s="46">
        <f t="shared" si="26"/>
        <v>2.9657388749999996</v>
      </c>
      <c r="AZ79" s="14">
        <f>((AS79*AP79)/(1.65*XS_Designer!$S$99))*12</f>
        <v>10.385460351153267</v>
      </c>
      <c r="BA79" s="14">
        <f>(AW79/((1.65*62.4)*XS_Designer!$AA$53))*12</f>
        <v>3.5941162486182314</v>
      </c>
      <c r="BB79" s="14">
        <f t="shared" si="27"/>
        <v>5.834873877771761</v>
      </c>
      <c r="BC79" s="14">
        <f t="shared" si="28"/>
        <v>9.4182909527095191</v>
      </c>
      <c r="BD79" s="14">
        <f>IF(ISNUMBER(LININTERP(AW79,Permissible_Shear!$T$178:$T$188,Permissible_Shear!$V$178:$V$188)),LININTERP(AW79,Permissible_Shear!$T$178:$T$188,Permissible_Shear!$V$178:$V$188),0)</f>
        <v>6.0292867931187573</v>
      </c>
      <c r="BE79" s="14">
        <f>LININTERP(AW79,Permissible_Shear!$S$205:$S$222,Permissible_Shear!$V$205:$V$222)</f>
        <v>6.0945345149645789</v>
      </c>
      <c r="BF79" s="14">
        <f>INDEX($AZ$3:$BE$204,ROW(BF79)-2,MATCH(XS_Designer!$W$5,XS_Designer_Summary!$AZ$2:$BE$2,0))</f>
        <v>5.834873877771761</v>
      </c>
      <c r="BG79" s="79">
        <f t="shared" si="29"/>
        <v>3.0670170364706593</v>
      </c>
      <c r="BH79" s="79">
        <f t="shared" si="30"/>
        <v>0</v>
      </c>
      <c r="BI79" s="79">
        <f t="shared" si="31"/>
        <v>0</v>
      </c>
      <c r="BJ79" s="79">
        <f t="shared" si="32"/>
        <v>1.8502510447886653</v>
      </c>
      <c r="BK79" s="79">
        <f t="shared" si="33"/>
        <v>0</v>
      </c>
      <c r="BL79" s="79">
        <f t="shared" si="34"/>
        <v>0</v>
      </c>
      <c r="BM79" s="124">
        <f t="shared" si="35"/>
        <v>2.9651459051100404</v>
      </c>
      <c r="BN79" s="124">
        <f t="shared" si="36"/>
        <v>0</v>
      </c>
      <c r="BO79" s="124">
        <f t="shared" si="37"/>
        <v>0</v>
      </c>
    </row>
    <row r="80" spans="1:67">
      <c r="AD80" s="3">
        <v>76</v>
      </c>
      <c r="AE80" s="3" t="str">
        <f t="shared" si="13"/>
        <v>Left</v>
      </c>
      <c r="AF80" s="3" t="str">
        <f t="shared" si="14"/>
        <v>LOB</v>
      </c>
      <c r="AG80" s="3" t="str">
        <f>IF(XS_Designer_Summary!$AB$24&gt;=XS_Designer_Summary!AD80,"Y","N")</f>
        <v>Y</v>
      </c>
      <c r="AH80" s="45">
        <v>1</v>
      </c>
      <c r="AI80" s="45">
        <f>IF(AG80="Y",$O$19/XS_Designer_Summary!$AB$24,0)</f>
        <v>0.27201249999999999</v>
      </c>
      <c r="AJ80" s="45">
        <f t="shared" si="15"/>
        <v>0.27201249999999999</v>
      </c>
      <c r="AK80" s="14">
        <f t="shared" si="38"/>
        <v>-6.2562875000000302</v>
      </c>
      <c r="AL80" s="14">
        <f>IF(AG80="Y",LININTERP(AK80,XS_Designer_Calculations!$AY$4:$AY$104,XS_Designer_Calculations!$AZ$4:$AZ$104),AL79)</f>
        <v>2.0261007500000003</v>
      </c>
      <c r="AM80" s="14">
        <f t="shared" si="16"/>
        <v>2.9738992499999997</v>
      </c>
      <c r="AN80" s="14">
        <f t="shared" si="17"/>
        <v>0.80819786173906238</v>
      </c>
      <c r="AO80" s="46">
        <f t="shared" si="18"/>
        <v>0.27206689706083753</v>
      </c>
      <c r="AP80" s="46">
        <f t="shared" si="19"/>
        <v>2.970585067386347</v>
      </c>
      <c r="AQ80" s="46">
        <f t="shared" si="20"/>
        <v>8.6035107064681669E-3</v>
      </c>
      <c r="AR80" s="14">
        <f>IFERROR(IF(AG80="Y",VLOOKUP(AK80,XS_Designer_Calculations!$R$5:$T$104,3,TRUE),0),0)</f>
        <v>0.1</v>
      </c>
      <c r="AS80" s="46">
        <f t="shared" si="21"/>
        <v>0.01</v>
      </c>
      <c r="AT80" s="14">
        <f t="shared" si="22"/>
        <v>24.817869823851172</v>
      </c>
      <c r="AU80" s="14">
        <f>AT80*XS_Designer_Calculations!$I$7^0.5</f>
        <v>2.4817869823851173</v>
      </c>
      <c r="AV80" s="14">
        <f t="shared" si="23"/>
        <v>3.0707665781803266</v>
      </c>
      <c r="AW80" s="14">
        <f t="shared" si="24"/>
        <v>1.8536450820490806</v>
      </c>
      <c r="AX80" s="14">
        <f t="shared" si="25"/>
        <v>5</v>
      </c>
      <c r="AY80" s="46">
        <f t="shared" si="26"/>
        <v>2.9711791249999995</v>
      </c>
      <c r="AZ80" s="14">
        <f>((AS80*AP80)/(1.65*XS_Designer!$S$99))*12</f>
        <v>10.404511084564639</v>
      </c>
      <c r="BA80" s="14">
        <f>(AW80/((1.65*62.4)*XS_Designer!$AA$53))*12</f>
        <v>3.6007091725895126</v>
      </c>
      <c r="BB80" s="14">
        <f t="shared" si="27"/>
        <v>5.8460169180190551</v>
      </c>
      <c r="BC80" s="14">
        <f t="shared" si="28"/>
        <v>9.4309831668230117</v>
      </c>
      <c r="BD80" s="14">
        <f>IF(ISNUMBER(LININTERP(AW80,Permissible_Shear!$T$178:$T$188,Permissible_Shear!$V$178:$V$188)),LININTERP(AW80,Permissible_Shear!$T$178:$T$188,Permissible_Shear!$V$178:$V$188),0)</f>
        <v>6.0398883281288409</v>
      </c>
      <c r="BE80" s="14">
        <f>LININTERP(AW80,Permissible_Shear!$S$205:$S$222,Permissible_Shear!$V$205:$V$222)</f>
        <v>6.1051408814033774</v>
      </c>
      <c r="BF80" s="14">
        <f>INDEX($AZ$3:$BE$204,ROW(BF80)-2,MATCH(XS_Designer!$W$5,XS_Designer_Summary!$AZ$2:$BE$2,0))</f>
        <v>5.8460169180190551</v>
      </c>
      <c r="BG80" s="79">
        <f t="shared" si="29"/>
        <v>3.0707665781803266</v>
      </c>
      <c r="BH80" s="79">
        <f t="shared" si="30"/>
        <v>0</v>
      </c>
      <c r="BI80" s="79">
        <f t="shared" si="31"/>
        <v>0</v>
      </c>
      <c r="BJ80" s="79">
        <f t="shared" si="32"/>
        <v>1.8536450820490806</v>
      </c>
      <c r="BK80" s="79">
        <f t="shared" si="33"/>
        <v>0</v>
      </c>
      <c r="BL80" s="79">
        <f t="shared" si="34"/>
        <v>0</v>
      </c>
      <c r="BM80" s="124">
        <f t="shared" si="35"/>
        <v>2.970585067386347</v>
      </c>
      <c r="BN80" s="124">
        <f t="shared" si="36"/>
        <v>0</v>
      </c>
      <c r="BO80" s="124">
        <f t="shared" si="37"/>
        <v>0</v>
      </c>
    </row>
    <row r="81" spans="30:67">
      <c r="AD81" s="3">
        <v>77</v>
      </c>
      <c r="AE81" s="3" t="str">
        <f t="shared" si="13"/>
        <v>Left</v>
      </c>
      <c r="AF81" s="3" t="str">
        <f t="shared" si="14"/>
        <v>LOB</v>
      </c>
      <c r="AG81" s="3" t="str">
        <f>IF(XS_Designer_Summary!$AB$24&gt;=XS_Designer_Summary!AD81,"Y","N")</f>
        <v>Y</v>
      </c>
      <c r="AH81" s="45">
        <v>1</v>
      </c>
      <c r="AI81" s="45">
        <f>IF(AG81="Y",$O$19/XS_Designer_Summary!$AB$24,0)</f>
        <v>0.27201249999999999</v>
      </c>
      <c r="AJ81" s="45">
        <f t="shared" si="15"/>
        <v>0.27201249999999999</v>
      </c>
      <c r="AK81" s="14">
        <f t="shared" si="38"/>
        <v>-5.9842750000000304</v>
      </c>
      <c r="AL81" s="14">
        <f>IF(AG81="Y",LININTERP(AK81,XS_Designer_Calculations!$AY$4:$AY$104,XS_Designer_Calculations!$AZ$4:$AZ$104),AL80)</f>
        <v>2.0206605000000004</v>
      </c>
      <c r="AM81" s="14">
        <f t="shared" si="16"/>
        <v>2.9793394999999996</v>
      </c>
      <c r="AN81" s="14">
        <f t="shared" si="17"/>
        <v>0.80967767774218735</v>
      </c>
      <c r="AO81" s="46">
        <f t="shared" si="18"/>
        <v>0.27206689706083753</v>
      </c>
      <c r="AP81" s="46">
        <f t="shared" si="19"/>
        <v>2.9760242296626531</v>
      </c>
      <c r="AQ81" s="46">
        <f t="shared" si="20"/>
        <v>8.6035107064681669E-3</v>
      </c>
      <c r="AR81" s="14">
        <f>IFERROR(IF(AG81="Y",VLOOKUP(AK81,XS_Designer_Calculations!$R$5:$T$104,3,TRUE),0),0)</f>
        <v>0.1</v>
      </c>
      <c r="AS81" s="46">
        <f t="shared" si="21"/>
        <v>0.01</v>
      </c>
      <c r="AT81" s="14">
        <f t="shared" si="22"/>
        <v>24.893652197671145</v>
      </c>
      <c r="AU81" s="14">
        <f>AT81*XS_Designer_Calculations!$I$7^0.5</f>
        <v>2.4893652197671146</v>
      </c>
      <c r="AV81" s="14">
        <f t="shared" si="23"/>
        <v>3.0745138321075998</v>
      </c>
      <c r="AW81" s="14">
        <f t="shared" si="24"/>
        <v>1.8570391193094955</v>
      </c>
      <c r="AX81" s="14">
        <f t="shared" si="25"/>
        <v>5</v>
      </c>
      <c r="AY81" s="46">
        <f t="shared" si="26"/>
        <v>2.9766193749999994</v>
      </c>
      <c r="AZ81" s="14">
        <f>((AS81*AP81)/(1.65*XS_Designer!$S$99))*12</f>
        <v>10.423561817976008</v>
      </c>
      <c r="BA81" s="14">
        <f>(AW81/((1.65*62.4)*XS_Designer!$AA$53))*12</f>
        <v>3.607302096560792</v>
      </c>
      <c r="BB81" s="14">
        <f t="shared" si="27"/>
        <v>5.8571608144412979</v>
      </c>
      <c r="BC81" s="14">
        <f t="shared" si="28"/>
        <v>9.443669241183752</v>
      </c>
      <c r="BD81" s="14">
        <f>IF(ISNUMBER(LININTERP(AW81,Permissible_Shear!$T$178:$T$188,Permissible_Shear!$V$178:$V$188)),LININTERP(AW81,Permissible_Shear!$T$178:$T$188,Permissible_Shear!$V$178:$V$188),0)</f>
        <v>6.050489863138921</v>
      </c>
      <c r="BE81" s="14">
        <f>LININTERP(AW81,Permissible_Shear!$S$205:$S$222,Permissible_Shear!$V$205:$V$222)</f>
        <v>6.1157472478421742</v>
      </c>
      <c r="BF81" s="14">
        <f>INDEX($AZ$3:$BE$204,ROW(BF81)-2,MATCH(XS_Designer!$W$5,XS_Designer_Summary!$AZ$2:$BE$2,0))</f>
        <v>5.8571608144412979</v>
      </c>
      <c r="BG81" s="79">
        <f t="shared" si="29"/>
        <v>3.0745138321075998</v>
      </c>
      <c r="BH81" s="79">
        <f t="shared" si="30"/>
        <v>0</v>
      </c>
      <c r="BI81" s="79">
        <f t="shared" si="31"/>
        <v>0</v>
      </c>
      <c r="BJ81" s="79">
        <f t="shared" si="32"/>
        <v>1.8570391193094955</v>
      </c>
      <c r="BK81" s="79">
        <f t="shared" si="33"/>
        <v>0</v>
      </c>
      <c r="BL81" s="79">
        <f t="shared" si="34"/>
        <v>0</v>
      </c>
      <c r="BM81" s="124">
        <f t="shared" si="35"/>
        <v>2.9760242296626531</v>
      </c>
      <c r="BN81" s="124">
        <f t="shared" si="36"/>
        <v>0</v>
      </c>
      <c r="BO81" s="124">
        <f t="shared" si="37"/>
        <v>0</v>
      </c>
    </row>
    <row r="82" spans="30:67">
      <c r="AD82" s="3">
        <v>78</v>
      </c>
      <c r="AE82" s="3" t="str">
        <f t="shared" si="13"/>
        <v>Left</v>
      </c>
      <c r="AF82" s="3" t="str">
        <f t="shared" si="14"/>
        <v>LOB</v>
      </c>
      <c r="AG82" s="3" t="str">
        <f>IF(XS_Designer_Summary!$AB$24&gt;=XS_Designer_Summary!AD82,"Y","N")</f>
        <v>Y</v>
      </c>
      <c r="AH82" s="45">
        <v>1</v>
      </c>
      <c r="AI82" s="45">
        <f>IF(AG82="Y",$O$19/XS_Designer_Summary!$AB$24,0)</f>
        <v>0.27201249999999999</v>
      </c>
      <c r="AJ82" s="45">
        <f t="shared" si="15"/>
        <v>0.27201249999999999</v>
      </c>
      <c r="AK82" s="14">
        <f t="shared" si="38"/>
        <v>-5.7122625000000307</v>
      </c>
      <c r="AL82" s="14">
        <f>IF(AG82="Y",LININTERP(AK82,XS_Designer_Calculations!$AY$4:$AY$104,XS_Designer_Calculations!$AZ$4:$AZ$104),AL81)</f>
        <v>2.0152202500000005</v>
      </c>
      <c r="AM82" s="14">
        <f t="shared" si="16"/>
        <v>2.9847797499999995</v>
      </c>
      <c r="AN82" s="14">
        <f t="shared" si="17"/>
        <v>0.81115749374531243</v>
      </c>
      <c r="AO82" s="46">
        <f t="shared" si="18"/>
        <v>0.27206689706083753</v>
      </c>
      <c r="AP82" s="46">
        <f t="shared" si="19"/>
        <v>2.9814633919389597</v>
      </c>
      <c r="AQ82" s="46">
        <f t="shared" si="20"/>
        <v>8.6035107064681669E-3</v>
      </c>
      <c r="AR82" s="14">
        <f>IFERROR(IF(AG82="Y",VLOOKUP(AK82,XS_Designer_Calculations!$R$5:$T$104,3,TRUE),0),0)</f>
        <v>0.1</v>
      </c>
      <c r="AS82" s="46">
        <f t="shared" si="21"/>
        <v>0.01</v>
      </c>
      <c r="AT82" s="14">
        <f t="shared" si="22"/>
        <v>24.969526964108088</v>
      </c>
      <c r="AU82" s="14">
        <f>AT82*XS_Designer_Calculations!$I$7^0.5</f>
        <v>2.4969526964108089</v>
      </c>
      <c r="AV82" s="14">
        <f t="shared" si="23"/>
        <v>3.0782588038258365</v>
      </c>
      <c r="AW82" s="14">
        <f t="shared" si="24"/>
        <v>1.8604331565699108</v>
      </c>
      <c r="AX82" s="14">
        <f t="shared" si="25"/>
        <v>5</v>
      </c>
      <c r="AY82" s="46">
        <f t="shared" si="26"/>
        <v>2.9820596249999998</v>
      </c>
      <c r="AZ82" s="14">
        <f>((AS82*AP82)/(1.65*XS_Designer!$S$99))*12</f>
        <v>10.442612551387381</v>
      </c>
      <c r="BA82" s="14">
        <f>(AW82/((1.65*62.4)*XS_Designer!$AA$53))*12</f>
        <v>3.6138950205320732</v>
      </c>
      <c r="BB82" s="14">
        <f t="shared" si="27"/>
        <v>5.8683055655407212</v>
      </c>
      <c r="BC82" s="14">
        <f t="shared" si="28"/>
        <v>9.4563491899648167</v>
      </c>
      <c r="BD82" s="14">
        <f>IF(ISNUMBER(LININTERP(AW82,Permissible_Shear!$T$178:$T$188,Permissible_Shear!$V$178:$V$188)),LININTERP(AW82,Permissible_Shear!$T$178:$T$188,Permissible_Shear!$V$178:$V$188),0)</f>
        <v>6.0610913981490029</v>
      </c>
      <c r="BE82" s="14">
        <f>LININTERP(AW82,Permissible_Shear!$S$205:$S$222,Permissible_Shear!$V$205:$V$222)</f>
        <v>6.1263536142809718</v>
      </c>
      <c r="BF82" s="14">
        <f>INDEX($AZ$3:$BE$204,ROW(BF82)-2,MATCH(XS_Designer!$W$5,XS_Designer_Summary!$AZ$2:$BE$2,0))</f>
        <v>5.8683055655407212</v>
      </c>
      <c r="BG82" s="79">
        <f t="shared" si="29"/>
        <v>3.0782588038258365</v>
      </c>
      <c r="BH82" s="79">
        <f t="shared" si="30"/>
        <v>0</v>
      </c>
      <c r="BI82" s="79">
        <f t="shared" si="31"/>
        <v>0</v>
      </c>
      <c r="BJ82" s="79">
        <f t="shared" si="32"/>
        <v>1.8604331565699108</v>
      </c>
      <c r="BK82" s="79">
        <f t="shared" si="33"/>
        <v>0</v>
      </c>
      <c r="BL82" s="79">
        <f t="shared" si="34"/>
        <v>0</v>
      </c>
      <c r="BM82" s="124">
        <f t="shared" si="35"/>
        <v>2.9814633919389597</v>
      </c>
      <c r="BN82" s="124">
        <f t="shared" si="36"/>
        <v>0</v>
      </c>
      <c r="BO82" s="124">
        <f t="shared" si="37"/>
        <v>0</v>
      </c>
    </row>
    <row r="83" spans="30:67">
      <c r="AD83" s="3">
        <v>79</v>
      </c>
      <c r="AE83" s="3" t="str">
        <f t="shared" si="13"/>
        <v>Left</v>
      </c>
      <c r="AF83" s="3" t="str">
        <f t="shared" si="14"/>
        <v>LOB</v>
      </c>
      <c r="AG83" s="3" t="str">
        <f>IF(XS_Designer_Summary!$AB$24&gt;=XS_Designer_Summary!AD83,"Y","N")</f>
        <v>Y</v>
      </c>
      <c r="AH83" s="45">
        <v>1</v>
      </c>
      <c r="AI83" s="45">
        <f>IF(AG83="Y",$O$19/XS_Designer_Summary!$AB$24,0)</f>
        <v>0.27201249999999999</v>
      </c>
      <c r="AJ83" s="45">
        <f t="shared" si="15"/>
        <v>0.27201249999999999</v>
      </c>
      <c r="AK83" s="14">
        <f t="shared" si="38"/>
        <v>-5.4402500000000309</v>
      </c>
      <c r="AL83" s="14">
        <f>IF(AG83="Y",LININTERP(AK83,XS_Designer_Calculations!$AY$4:$AY$104,XS_Designer_Calculations!$AZ$4:$AZ$104),AL82)</f>
        <v>2.0097800000000006</v>
      </c>
      <c r="AM83" s="14">
        <f t="shared" si="16"/>
        <v>2.9902199999999994</v>
      </c>
      <c r="AN83" s="14">
        <f t="shared" si="17"/>
        <v>0.81263730974843729</v>
      </c>
      <c r="AO83" s="46">
        <f t="shared" si="18"/>
        <v>0.27206689706083753</v>
      </c>
      <c r="AP83" s="46">
        <f t="shared" si="19"/>
        <v>2.9869025542152654</v>
      </c>
      <c r="AQ83" s="46">
        <f t="shared" si="20"/>
        <v>8.6035107064681669E-3</v>
      </c>
      <c r="AR83" s="14">
        <f>IFERROR(IF(AG83="Y",VLOOKUP(AK83,XS_Designer_Calculations!$R$5:$T$104,3,TRUE),0),0)</f>
        <v>0.1</v>
      </c>
      <c r="AS83" s="46">
        <f t="shared" si="21"/>
        <v>0.01</v>
      </c>
      <c r="AT83" s="14">
        <f t="shared" si="22"/>
        <v>25.045494066943</v>
      </c>
      <c r="AU83" s="14">
        <f>AT83*XS_Designer_Calculations!$I$7^0.5</f>
        <v>2.5045494066943004</v>
      </c>
      <c r="AV83" s="14">
        <f t="shared" si="23"/>
        <v>3.0820014988846833</v>
      </c>
      <c r="AW83" s="14">
        <f t="shared" si="24"/>
        <v>1.8638271938303257</v>
      </c>
      <c r="AX83" s="14">
        <f t="shared" si="25"/>
        <v>5</v>
      </c>
      <c r="AY83" s="46">
        <f t="shared" si="26"/>
        <v>2.9874998749999992</v>
      </c>
      <c r="AZ83" s="14">
        <f>((AS83*AP83)/(1.65*XS_Designer!$S$99))*12</f>
        <v>10.461663284798748</v>
      </c>
      <c r="BA83" s="14">
        <f>(AW83/((1.65*62.4)*XS_Designer!$AA$53))*12</f>
        <v>3.6204879445033527</v>
      </c>
      <c r="BB83" s="14">
        <f t="shared" si="27"/>
        <v>5.8794511698249092</v>
      </c>
      <c r="BC83" s="14">
        <f t="shared" si="28"/>
        <v>9.4690230272808016</v>
      </c>
      <c r="BD83" s="14">
        <f>IF(ISNUMBER(LININTERP(AW83,Permissible_Shear!$T$178:$T$188,Permissible_Shear!$V$178:$V$188)),LININTERP(AW83,Permissible_Shear!$T$178:$T$188,Permissible_Shear!$V$178:$V$188),0)</f>
        <v>6.0716929331590848</v>
      </c>
      <c r="BE83" s="14">
        <f>LININTERP(AW83,Permissible_Shear!$S$205:$S$222,Permissible_Shear!$V$205:$V$222)</f>
        <v>6.1369599807197677</v>
      </c>
      <c r="BF83" s="14">
        <f>INDEX($AZ$3:$BE$204,ROW(BF83)-2,MATCH(XS_Designer!$W$5,XS_Designer_Summary!$AZ$2:$BE$2,0))</f>
        <v>5.8794511698249092</v>
      </c>
      <c r="BG83" s="79">
        <f t="shared" si="29"/>
        <v>3.0820014988846833</v>
      </c>
      <c r="BH83" s="79">
        <f t="shared" si="30"/>
        <v>0</v>
      </c>
      <c r="BI83" s="79">
        <f t="shared" si="31"/>
        <v>0</v>
      </c>
      <c r="BJ83" s="79">
        <f t="shared" si="32"/>
        <v>1.8638271938303257</v>
      </c>
      <c r="BK83" s="79">
        <f t="shared" si="33"/>
        <v>0</v>
      </c>
      <c r="BL83" s="79">
        <f t="shared" si="34"/>
        <v>0</v>
      </c>
      <c r="BM83" s="124">
        <f t="shared" si="35"/>
        <v>2.9869025542152654</v>
      </c>
      <c r="BN83" s="124">
        <f t="shared" si="36"/>
        <v>0</v>
      </c>
      <c r="BO83" s="124">
        <f t="shared" si="37"/>
        <v>0</v>
      </c>
    </row>
    <row r="84" spans="30:67">
      <c r="AD84" s="3">
        <v>80</v>
      </c>
      <c r="AE84" s="3" t="str">
        <f t="shared" si="13"/>
        <v>Left</v>
      </c>
      <c r="AF84" s="3" t="str">
        <f t="shared" si="14"/>
        <v>LOB</v>
      </c>
      <c r="AG84" s="3" t="str">
        <f>IF(XS_Designer_Summary!$AB$24&gt;=XS_Designer_Summary!AD84,"Y","N")</f>
        <v>Y</v>
      </c>
      <c r="AH84" s="45">
        <v>1</v>
      </c>
      <c r="AI84" s="45">
        <f>IF(AG84="Y",$O$19/XS_Designer_Summary!$AB$24,0)</f>
        <v>0.27201249999999999</v>
      </c>
      <c r="AJ84" s="45">
        <f t="shared" si="15"/>
        <v>0.27201249999999999</v>
      </c>
      <c r="AK84" s="14">
        <f t="shared" si="38"/>
        <v>-5.1682375000000311</v>
      </c>
      <c r="AL84" s="14">
        <f>IF(AG84="Y",LININTERP(AK84,XS_Designer_Calculations!$AY$4:$AY$104,XS_Designer_Calculations!$AZ$4:$AZ$104),AL83)</f>
        <v>2.0043397500000006</v>
      </c>
      <c r="AM84" s="14">
        <f t="shared" si="16"/>
        <v>2.9956602499999994</v>
      </c>
      <c r="AN84" s="14">
        <f t="shared" si="17"/>
        <v>0.81411712575156236</v>
      </c>
      <c r="AO84" s="46">
        <f t="shared" si="18"/>
        <v>0.27206689706083753</v>
      </c>
      <c r="AP84" s="46">
        <f t="shared" si="19"/>
        <v>2.992341716491572</v>
      </c>
      <c r="AQ84" s="46">
        <f t="shared" si="20"/>
        <v>8.6035107064681669E-3</v>
      </c>
      <c r="AR84" s="14">
        <f>IFERROR(IF(AG84="Y",VLOOKUP(AK84,XS_Designer_Calculations!$R$5:$T$104,3,TRUE),0),0)</f>
        <v>0.1</v>
      </c>
      <c r="AS84" s="46">
        <f t="shared" si="21"/>
        <v>0.01</v>
      </c>
      <c r="AT84" s="14">
        <f t="shared" si="22"/>
        <v>25.121553450093479</v>
      </c>
      <c r="AU84" s="14">
        <f>AT84*XS_Designer_Calculations!$I$7^0.5</f>
        <v>2.5121553450093481</v>
      </c>
      <c r="AV84" s="14">
        <f t="shared" si="23"/>
        <v>3.0857419228102105</v>
      </c>
      <c r="AW84" s="14">
        <f t="shared" si="24"/>
        <v>1.867221231090741</v>
      </c>
      <c r="AX84" s="14">
        <f t="shared" si="25"/>
        <v>5</v>
      </c>
      <c r="AY84" s="46">
        <f t="shared" si="26"/>
        <v>2.9929401249999996</v>
      </c>
      <c r="AZ84" s="14">
        <f>((AS84*AP84)/(1.65*XS_Designer!$S$99))*12</f>
        <v>10.480714018210119</v>
      </c>
      <c r="BA84" s="14">
        <f>(AW84/((1.65*62.4)*XS_Designer!$AA$53))*12</f>
        <v>3.6270808684746338</v>
      </c>
      <c r="BB84" s="14">
        <f t="shared" si="27"/>
        <v>5.8905976258067563</v>
      </c>
      <c r="BC84" s="14">
        <f t="shared" si="28"/>
        <v>9.4816907671881676</v>
      </c>
      <c r="BD84" s="14">
        <f>IF(ISNUMBER(LININTERP(AW84,Permissible_Shear!$T$178:$T$188,Permissible_Shear!$V$178:$V$188)),LININTERP(AW84,Permissible_Shear!$T$178:$T$188,Permissible_Shear!$V$178:$V$188),0)</f>
        <v>6.0822944681691666</v>
      </c>
      <c r="BE84" s="14">
        <f>LININTERP(AW84,Permissible_Shear!$S$205:$S$222,Permissible_Shear!$V$205:$V$222)</f>
        <v>6.1475663471585662</v>
      </c>
      <c r="BF84" s="14">
        <f>INDEX($AZ$3:$BE$204,ROW(BF84)-2,MATCH(XS_Designer!$W$5,XS_Designer_Summary!$AZ$2:$BE$2,0))</f>
        <v>5.8905976258067563</v>
      </c>
      <c r="BG84" s="79">
        <f t="shared" si="29"/>
        <v>3.0857419228102105</v>
      </c>
      <c r="BH84" s="79">
        <f t="shared" si="30"/>
        <v>0</v>
      </c>
      <c r="BI84" s="79">
        <f t="shared" si="31"/>
        <v>0</v>
      </c>
      <c r="BJ84" s="79">
        <f t="shared" si="32"/>
        <v>1.867221231090741</v>
      </c>
      <c r="BK84" s="79">
        <f t="shared" si="33"/>
        <v>0</v>
      </c>
      <c r="BL84" s="79">
        <f t="shared" si="34"/>
        <v>0</v>
      </c>
      <c r="BM84" s="124">
        <f t="shared" si="35"/>
        <v>2.992341716491572</v>
      </c>
      <c r="BN84" s="124">
        <f t="shared" si="36"/>
        <v>0</v>
      </c>
      <c r="BO84" s="124">
        <f t="shared" si="37"/>
        <v>0</v>
      </c>
    </row>
    <row r="85" spans="30:67">
      <c r="AD85" s="3">
        <v>81</v>
      </c>
      <c r="AE85" s="3" t="str">
        <f t="shared" si="13"/>
        <v>Left</v>
      </c>
      <c r="AF85" s="3" t="str">
        <f t="shared" si="14"/>
        <v>Channel</v>
      </c>
      <c r="AG85" s="3" t="str">
        <f>IF(XS_Designer_Summary!$AB$24&gt;=XS_Designer_Summary!AD85,"Y","N")</f>
        <v>Y</v>
      </c>
      <c r="AH85" s="45">
        <v>1</v>
      </c>
      <c r="AI85" s="45">
        <f>IF(AG85="Y",$O$19/XS_Designer_Summary!$AB$24,0)</f>
        <v>0.27201249999999999</v>
      </c>
      <c r="AJ85" s="45">
        <f t="shared" si="15"/>
        <v>0.27201249999999999</v>
      </c>
      <c r="AK85" s="14">
        <f t="shared" si="38"/>
        <v>-4.8962250000000314</v>
      </c>
      <c r="AL85" s="14">
        <f>IF(AG85="Y",LININTERP(AK85,XS_Designer_Calculations!$AY$4:$AY$104,XS_Designer_Calculations!$AZ$4:$AZ$104),AL84)</f>
        <v>1.9484875000000157</v>
      </c>
      <c r="AM85" s="14">
        <f t="shared" si="16"/>
        <v>3.0515124999999843</v>
      </c>
      <c r="AN85" s="14">
        <f t="shared" si="17"/>
        <v>0.82245328882968527</v>
      </c>
      <c r="AO85" s="46">
        <f t="shared" si="18"/>
        <v>0.27768736735096666</v>
      </c>
      <c r="AP85" s="46">
        <f t="shared" si="19"/>
        <v>2.9617958377998295</v>
      </c>
      <c r="AQ85" s="46">
        <f t="shared" si="20"/>
        <v>2.2214989388077344E-3</v>
      </c>
      <c r="AR85" s="14">
        <f>IFERROR(IF(AG85="Y",VLOOKUP(AK85,XS_Designer_Calculations!$R$5:$T$104,3,TRUE),0),0)</f>
        <v>0.04</v>
      </c>
      <c r="AS85" s="46">
        <f t="shared" si="21"/>
        <v>0.01</v>
      </c>
      <c r="AT85" s="14">
        <f t="shared" si="22"/>
        <v>63.014448354820637</v>
      </c>
      <c r="AU85" s="14">
        <f>AT85*XS_Designer_Calculations!$I$7^0.5</f>
        <v>6.301444835482064</v>
      </c>
      <c r="AV85" s="14">
        <f t="shared" si="23"/>
        <v>7.6617662316710309</v>
      </c>
      <c r="AW85" s="14">
        <f t="shared" si="24"/>
        <v>1.8481606027870936</v>
      </c>
      <c r="AX85" s="14">
        <f t="shared" si="25"/>
        <v>5</v>
      </c>
      <c r="AY85" s="46">
        <f t="shared" si="26"/>
        <v>3.0235863749999918</v>
      </c>
      <c r="AZ85" s="14">
        <f>((AS85*AP85)/(1.65*XS_Designer!$S$99))*12</f>
        <v>10.373726698801143</v>
      </c>
      <c r="BA85" s="14">
        <f>(AW85/((1.65*62.4)*XS_Designer!$AA$53))*12</f>
        <v>3.5900555609694909</v>
      </c>
      <c r="BB85" s="14">
        <f t="shared" si="27"/>
        <v>6.005081468346666</v>
      </c>
      <c r="BC85" s="14">
        <f t="shared" si="28"/>
        <v>9.6113945844954944</v>
      </c>
      <c r="BD85" s="14">
        <f>IF(ISNUMBER(LININTERP(AW85,Permissible_Shear!$T$178:$T$188,Permissible_Shear!$V$178:$V$188)),LININTERP(AW85,Permissible_Shear!$T$178:$T$188,Permissible_Shear!$V$178:$V$188),0)</f>
        <v>6.0227571376183064</v>
      </c>
      <c r="BE85" s="14">
        <f>LININTERP(AW85,Permissible_Shear!$S$205:$S$222,Permissible_Shear!$V$205:$V$222)</f>
        <v>6.0880018837096674</v>
      </c>
      <c r="BF85" s="14">
        <f>INDEX($AZ$3:$BE$204,ROW(BF85)-2,MATCH(XS_Designer!$W$5,XS_Designer_Summary!$AZ$2:$BE$2,0))</f>
        <v>6.005081468346666</v>
      </c>
      <c r="BG85" s="79">
        <f t="shared" si="29"/>
        <v>0</v>
      </c>
      <c r="BH85" s="79">
        <f t="shared" si="30"/>
        <v>0</v>
      </c>
      <c r="BI85" s="79">
        <f t="shared" si="31"/>
        <v>7.6617662316710309</v>
      </c>
      <c r="BJ85" s="79">
        <f t="shared" si="32"/>
        <v>0</v>
      </c>
      <c r="BK85" s="79">
        <f t="shared" si="33"/>
        <v>0</v>
      </c>
      <c r="BL85" s="79">
        <f t="shared" si="34"/>
        <v>1.8481606027870936</v>
      </c>
      <c r="BM85" s="124">
        <f t="shared" si="35"/>
        <v>0</v>
      </c>
      <c r="BN85" s="124">
        <f t="shared" si="36"/>
        <v>0</v>
      </c>
      <c r="BO85" s="124">
        <f t="shared" si="37"/>
        <v>2.9617958377998295</v>
      </c>
    </row>
    <row r="86" spans="30:67">
      <c r="AD86" s="3">
        <v>82</v>
      </c>
      <c r="AE86" s="3" t="str">
        <f t="shared" si="13"/>
        <v>Left</v>
      </c>
      <c r="AF86" s="3" t="str">
        <f t="shared" si="14"/>
        <v>Channel</v>
      </c>
      <c r="AG86" s="3" t="str">
        <f>IF(XS_Designer_Summary!$AB$24&gt;=XS_Designer_Summary!AD86,"Y","N")</f>
        <v>Y</v>
      </c>
      <c r="AH86" s="45">
        <v>1</v>
      </c>
      <c r="AI86" s="45">
        <f>IF(AG86="Y",$O$19/XS_Designer_Summary!$AB$24,0)</f>
        <v>0.27201249999999999</v>
      </c>
      <c r="AJ86" s="45">
        <f t="shared" si="15"/>
        <v>0.27201249999999999</v>
      </c>
      <c r="AK86" s="14">
        <f t="shared" si="38"/>
        <v>-4.6242125000000316</v>
      </c>
      <c r="AL86" s="14">
        <f>IF(AG86="Y",LININTERP(AK86,XS_Designer_Calculations!$AY$4:$AY$104,XS_Designer_Calculations!$AZ$4:$AZ$104),AL85)</f>
        <v>1.8124812500000158</v>
      </c>
      <c r="AM86" s="14">
        <f t="shared" si="16"/>
        <v>3.1875187499999842</v>
      </c>
      <c r="AN86" s="14">
        <f t="shared" si="17"/>
        <v>0.84854724394530812</v>
      </c>
      <c r="AO86" s="46">
        <f t="shared" si="18"/>
        <v>0.30411922036483052</v>
      </c>
      <c r="AP86" s="46">
        <f t="shared" si="19"/>
        <v>2.7901795977490846</v>
      </c>
      <c r="AQ86" s="46">
        <f t="shared" si="20"/>
        <v>2.4329537629186452E-3</v>
      </c>
      <c r="AR86" s="14">
        <f>IFERROR(IF(AG86="Y",VLOOKUP(AK86,XS_Designer_Calculations!$R$5:$T$104,3,TRUE),0),0)</f>
        <v>0.04</v>
      </c>
      <c r="AS86" s="46">
        <f t="shared" si="21"/>
        <v>0.01</v>
      </c>
      <c r="AT86" s="14">
        <f t="shared" si="22"/>
        <v>62.477400445845696</v>
      </c>
      <c r="AU86" s="14">
        <f>AT86*XS_Designer_Calculations!$I$7^0.5</f>
        <v>6.2477400445845701</v>
      </c>
      <c r="AV86" s="14">
        <f t="shared" si="23"/>
        <v>7.3628664628451252</v>
      </c>
      <c r="AW86" s="14">
        <f t="shared" si="24"/>
        <v>1.7410720689954289</v>
      </c>
      <c r="AX86" s="14">
        <f t="shared" si="25"/>
        <v>5</v>
      </c>
      <c r="AY86" s="46">
        <f t="shared" si="26"/>
        <v>3.119515624999984</v>
      </c>
      <c r="AZ86" s="14">
        <f>((AS86*AP86)/(1.65*XS_Designer!$S$99))*12</f>
        <v>9.7726386870478485</v>
      </c>
      <c r="BA86" s="14">
        <f>(AW86/((1.65*62.4)*XS_Designer!$AA$53))*12</f>
        <v>3.3820358760594971</v>
      </c>
      <c r="BB86" s="14">
        <f t="shared" si="27"/>
        <v>6.2842271899670079</v>
      </c>
      <c r="BC86" s="14">
        <f t="shared" si="28"/>
        <v>9.924645613395306</v>
      </c>
      <c r="BD86" s="14">
        <f>IF(ISNUMBER(LININTERP(AW86,Permissible_Shear!$T$178:$T$188,Permissible_Shear!$V$178:$V$188)),LININTERP(AW86,Permissible_Shear!$T$178:$T$188,Permissible_Shear!$V$178:$V$188),0)</f>
        <v>5.6882579105733457</v>
      </c>
      <c r="BE86" s="14">
        <f>LININTERP(AW86,Permissible_Shear!$S$205:$S$222,Permissible_Shear!$V$205:$V$222)</f>
        <v>5.7533502156107152</v>
      </c>
      <c r="BF86" s="14">
        <f>INDEX($AZ$3:$BE$204,ROW(BF86)-2,MATCH(XS_Designer!$W$5,XS_Designer_Summary!$AZ$2:$BE$2,0))</f>
        <v>6.2842271899670079</v>
      </c>
      <c r="BG86" s="79">
        <f t="shared" si="29"/>
        <v>0</v>
      </c>
      <c r="BH86" s="79">
        <f t="shared" si="30"/>
        <v>0</v>
      </c>
      <c r="BI86" s="79">
        <f t="shared" si="31"/>
        <v>7.3628664628451252</v>
      </c>
      <c r="BJ86" s="79">
        <f t="shared" si="32"/>
        <v>0</v>
      </c>
      <c r="BK86" s="79">
        <f t="shared" si="33"/>
        <v>0</v>
      </c>
      <c r="BL86" s="79">
        <f t="shared" si="34"/>
        <v>1.7410720689954289</v>
      </c>
      <c r="BM86" s="124">
        <f t="shared" si="35"/>
        <v>0</v>
      </c>
      <c r="BN86" s="124">
        <f t="shared" si="36"/>
        <v>0</v>
      </c>
      <c r="BO86" s="124">
        <f t="shared" si="37"/>
        <v>2.7901795977490846</v>
      </c>
    </row>
    <row r="87" spans="30:67">
      <c r="AD87" s="3">
        <v>83</v>
      </c>
      <c r="AE87" s="3" t="str">
        <f t="shared" si="13"/>
        <v>Left</v>
      </c>
      <c r="AF87" s="3" t="str">
        <f t="shared" si="14"/>
        <v>Channel</v>
      </c>
      <c r="AG87" s="3" t="str">
        <f>IF(XS_Designer_Summary!$AB$24&gt;=XS_Designer_Summary!AD87,"Y","N")</f>
        <v>Y</v>
      </c>
      <c r="AH87" s="45">
        <v>1</v>
      </c>
      <c r="AI87" s="45">
        <f>IF(AG87="Y",$O$19/XS_Designer_Summary!$AB$24,0)</f>
        <v>0.27201249999999999</v>
      </c>
      <c r="AJ87" s="45">
        <f t="shared" si="15"/>
        <v>0.27201249999999999</v>
      </c>
      <c r="AK87" s="14">
        <f t="shared" si="38"/>
        <v>-4.3522000000000318</v>
      </c>
      <c r="AL87" s="14">
        <f>IF(AG87="Y",LININTERP(AK87,XS_Designer_Calculations!$AY$4:$AY$104,XS_Designer_Calculations!$AZ$4:$AZ$104),AL86)</f>
        <v>1.6764750000000159</v>
      </c>
      <c r="AM87" s="14">
        <f t="shared" si="16"/>
        <v>3.3235249999999841</v>
      </c>
      <c r="AN87" s="14">
        <f t="shared" si="17"/>
        <v>0.88554264402343319</v>
      </c>
      <c r="AO87" s="46">
        <f t="shared" si="18"/>
        <v>0.30411922036483052</v>
      </c>
      <c r="AP87" s="46">
        <f t="shared" si="19"/>
        <v>2.9118272858950176</v>
      </c>
      <c r="AQ87" s="46">
        <f t="shared" si="20"/>
        <v>2.4329537629186452E-3</v>
      </c>
      <c r="AR87" s="14">
        <f>IFERROR(IF(AG87="Y",VLOOKUP(AK87,XS_Designer_Calculations!$R$5:$T$104,3,TRUE),0),0)</f>
        <v>0.04</v>
      </c>
      <c r="AS87" s="46">
        <f t="shared" si="21"/>
        <v>0.01</v>
      </c>
      <c r="AT87" s="14">
        <f t="shared" si="22"/>
        <v>67.082932423443395</v>
      </c>
      <c r="AU87" s="14">
        <f>AT87*XS_Designer_Calculations!$I$7^0.5</f>
        <v>6.7082932423443395</v>
      </c>
      <c r="AV87" s="14">
        <f t="shared" si="23"/>
        <v>7.5753474862209176</v>
      </c>
      <c r="AW87" s="14">
        <f t="shared" si="24"/>
        <v>1.8169802263984909</v>
      </c>
      <c r="AX87" s="14">
        <f t="shared" si="25"/>
        <v>5</v>
      </c>
      <c r="AY87" s="46">
        <f t="shared" si="26"/>
        <v>3.2555218749999844</v>
      </c>
      <c r="AZ87" s="14">
        <f>((AS87*AP87)/(1.65*XS_Designer!$S$99))*12</f>
        <v>10.198711225290165</v>
      </c>
      <c r="BA87" s="14">
        <f>(AW87/((1.65*62.4)*XS_Designer!$AA$53))*12</f>
        <v>3.5294876192666882</v>
      </c>
      <c r="BB87" s="14">
        <f t="shared" si="27"/>
        <v>6.5638737582524609</v>
      </c>
      <c r="BC87" s="14">
        <f t="shared" si="28"/>
        <v>10.23438003082785</v>
      </c>
      <c r="BD87" s="14">
        <f>IF(ISNUMBER(LININTERP(AW87,Permissible_Shear!$T$178:$T$188,Permissible_Shear!$V$178:$V$188)),LININTERP(AW87,Permissible_Shear!$T$178:$T$188,Permissible_Shear!$V$178:$V$188),0)</f>
        <v>5.9253628468229049</v>
      </c>
      <c r="BE87" s="14">
        <f>LININTERP(AW87,Permissible_Shear!$S$205:$S$222,Permissible_Shear!$V$205:$V$222)</f>
        <v>5.9905632074952848</v>
      </c>
      <c r="BF87" s="14">
        <f>INDEX($AZ$3:$BE$204,ROW(BF87)-2,MATCH(XS_Designer!$W$5,XS_Designer_Summary!$AZ$2:$BE$2,0))</f>
        <v>6.5638737582524609</v>
      </c>
      <c r="BG87" s="79">
        <f t="shared" si="29"/>
        <v>0</v>
      </c>
      <c r="BH87" s="79">
        <f t="shared" si="30"/>
        <v>0</v>
      </c>
      <c r="BI87" s="79">
        <f t="shared" si="31"/>
        <v>7.5753474862209176</v>
      </c>
      <c r="BJ87" s="79">
        <f t="shared" si="32"/>
        <v>0</v>
      </c>
      <c r="BK87" s="79">
        <f t="shared" si="33"/>
        <v>0</v>
      </c>
      <c r="BL87" s="79">
        <f t="shared" si="34"/>
        <v>1.8169802263984909</v>
      </c>
      <c r="BM87" s="124">
        <f t="shared" si="35"/>
        <v>0</v>
      </c>
      <c r="BN87" s="124">
        <f t="shared" si="36"/>
        <v>0</v>
      </c>
      <c r="BO87" s="124">
        <f t="shared" si="37"/>
        <v>2.9118272858950176</v>
      </c>
    </row>
    <row r="88" spans="30:67">
      <c r="AD88" s="3">
        <v>84</v>
      </c>
      <c r="AE88" s="3" t="str">
        <f t="shared" si="13"/>
        <v>Left</v>
      </c>
      <c r="AF88" s="3" t="str">
        <f t="shared" si="14"/>
        <v>Channel</v>
      </c>
      <c r="AG88" s="3" t="str">
        <f>IF(XS_Designer_Summary!$AB$24&gt;=XS_Designer_Summary!AD88,"Y","N")</f>
        <v>Y</v>
      </c>
      <c r="AH88" s="45">
        <v>1</v>
      </c>
      <c r="AI88" s="45">
        <f>IF(AG88="Y",$O$19/XS_Designer_Summary!$AB$24,0)</f>
        <v>0.27201249999999999</v>
      </c>
      <c r="AJ88" s="45">
        <f t="shared" si="15"/>
        <v>0.27201249999999999</v>
      </c>
      <c r="AK88" s="14">
        <f t="shared" si="38"/>
        <v>-4.0801875000000321</v>
      </c>
      <c r="AL88" s="14">
        <f>IF(AG88="Y",LININTERP(AK88,XS_Designer_Calculations!$AY$4:$AY$104,XS_Designer_Calculations!$AZ$4:$AZ$104),AL87)</f>
        <v>1.540468750000016</v>
      </c>
      <c r="AM88" s="14">
        <f t="shared" si="16"/>
        <v>3.459531249999984</v>
      </c>
      <c r="AN88" s="14">
        <f t="shared" si="17"/>
        <v>0.92253804410155804</v>
      </c>
      <c r="AO88" s="46">
        <f t="shared" si="18"/>
        <v>0.30411922036483052</v>
      </c>
      <c r="AP88" s="46">
        <f t="shared" si="19"/>
        <v>3.0334749740409492</v>
      </c>
      <c r="AQ88" s="46">
        <f t="shared" si="20"/>
        <v>2.4329537629186452E-3</v>
      </c>
      <c r="AR88" s="14">
        <f>IFERROR(IF(AG88="Y",VLOOKUP(AK88,XS_Designer_Calculations!$R$5:$T$104,3,TRUE),0),0)</f>
        <v>0.04</v>
      </c>
      <c r="AS88" s="46">
        <f t="shared" si="21"/>
        <v>0.01</v>
      </c>
      <c r="AT88" s="14">
        <f t="shared" si="22"/>
        <v>71.818563446934419</v>
      </c>
      <c r="AU88" s="14">
        <f>AT88*XS_Designer_Calculations!$I$7^0.5</f>
        <v>7.1818563446934425</v>
      </c>
      <c r="AV88" s="14">
        <f t="shared" si="23"/>
        <v>7.7848890792224328</v>
      </c>
      <c r="AW88" s="14">
        <f t="shared" si="24"/>
        <v>1.8928883838015522</v>
      </c>
      <c r="AX88" s="14">
        <f t="shared" si="25"/>
        <v>5</v>
      </c>
      <c r="AY88" s="46">
        <f t="shared" si="26"/>
        <v>3.3915281249999838</v>
      </c>
      <c r="AZ88" s="14">
        <f>((AS88*AP88)/(1.65*XS_Designer!$S$99))*12</f>
        <v>10.624783763532475</v>
      </c>
      <c r="BA88" s="14">
        <f>(AW88/((1.65*62.4)*XS_Designer!$AA$53))*12</f>
        <v>3.6769393624738784</v>
      </c>
      <c r="BB88" s="14">
        <f t="shared" si="27"/>
        <v>6.8440015101254232</v>
      </c>
      <c r="BC88" s="14">
        <f t="shared" si="28"/>
        <v>10.54077892962261</v>
      </c>
      <c r="BD88" s="14">
        <f>IF(ISNUMBER(LININTERP(AW88,Permissible_Shear!$T$178:$T$188,Permissible_Shear!$V$178:$V$188)),LININTERP(AW88,Permissible_Shear!$T$178:$T$188,Permissible_Shear!$V$178:$V$188),0)</f>
        <v>6.1624677830724615</v>
      </c>
      <c r="BE88" s="14">
        <f>LININTERP(AW88,Permissible_Shear!$S$205:$S$222,Permissible_Shear!$V$205:$V$222)</f>
        <v>6.2277761993798508</v>
      </c>
      <c r="BF88" s="14">
        <f>INDEX($AZ$3:$BE$204,ROW(BF88)-2,MATCH(XS_Designer!$W$5,XS_Designer_Summary!$AZ$2:$BE$2,0))</f>
        <v>6.8440015101254232</v>
      </c>
      <c r="BG88" s="79">
        <f t="shared" si="29"/>
        <v>0</v>
      </c>
      <c r="BH88" s="79">
        <f t="shared" si="30"/>
        <v>0</v>
      </c>
      <c r="BI88" s="79">
        <f t="shared" si="31"/>
        <v>7.7848890792224328</v>
      </c>
      <c r="BJ88" s="79">
        <f t="shared" si="32"/>
        <v>0</v>
      </c>
      <c r="BK88" s="79">
        <f t="shared" si="33"/>
        <v>0</v>
      </c>
      <c r="BL88" s="79">
        <f t="shared" si="34"/>
        <v>1.8928883838015522</v>
      </c>
      <c r="BM88" s="124">
        <f t="shared" si="35"/>
        <v>0</v>
      </c>
      <c r="BN88" s="124">
        <f t="shared" si="36"/>
        <v>0</v>
      </c>
      <c r="BO88" s="124">
        <f t="shared" si="37"/>
        <v>3.0334749740409492</v>
      </c>
    </row>
    <row r="89" spans="30:67">
      <c r="AD89" s="3">
        <v>85</v>
      </c>
      <c r="AE89" s="3" t="str">
        <f t="shared" si="13"/>
        <v>Left</v>
      </c>
      <c r="AF89" s="3" t="str">
        <f t="shared" si="14"/>
        <v>Channel</v>
      </c>
      <c r="AG89" s="3" t="str">
        <f>IF(XS_Designer_Summary!$AB$24&gt;=XS_Designer_Summary!AD89,"Y","N")</f>
        <v>Y</v>
      </c>
      <c r="AH89" s="45">
        <v>1</v>
      </c>
      <c r="AI89" s="45">
        <f>IF(AG89="Y",$O$19/XS_Designer_Summary!$AB$24,0)</f>
        <v>0.27201249999999999</v>
      </c>
      <c r="AJ89" s="45">
        <f t="shared" si="15"/>
        <v>0.27201249999999999</v>
      </c>
      <c r="AK89" s="14">
        <f t="shared" si="38"/>
        <v>-3.8081750000000323</v>
      </c>
      <c r="AL89" s="14">
        <f>IF(AG89="Y",LININTERP(AK89,XS_Designer_Calculations!$AY$4:$AY$104,XS_Designer_Calculations!$AZ$4:$AZ$104),AL88)</f>
        <v>1.4044625000000162</v>
      </c>
      <c r="AM89" s="14">
        <f t="shared" si="16"/>
        <v>3.5955374999999838</v>
      </c>
      <c r="AN89" s="14">
        <f t="shared" si="17"/>
        <v>0.95953344417968311</v>
      </c>
      <c r="AO89" s="46">
        <f t="shared" si="18"/>
        <v>0.30411922036483052</v>
      </c>
      <c r="AP89" s="46">
        <f t="shared" si="19"/>
        <v>3.1551226621868822</v>
      </c>
      <c r="AQ89" s="46">
        <f t="shared" si="20"/>
        <v>2.4329537629186452E-3</v>
      </c>
      <c r="AR89" s="14">
        <f>IFERROR(IF(AG89="Y",VLOOKUP(AK89,XS_Designer_Calculations!$R$5:$T$104,3,TRUE),0),0)</f>
        <v>0.04</v>
      </c>
      <c r="AS89" s="46">
        <f t="shared" si="21"/>
        <v>0.01</v>
      </c>
      <c r="AT89" s="14">
        <f t="shared" si="22"/>
        <v>76.682530018112786</v>
      </c>
      <c r="AU89" s="14">
        <f>AT89*XS_Designer_Calculations!$I$7^0.5</f>
        <v>7.6682530018112791</v>
      </c>
      <c r="AV89" s="14">
        <f t="shared" si="23"/>
        <v>7.9916474494195064</v>
      </c>
      <c r="AW89" s="14">
        <f t="shared" si="24"/>
        <v>1.9687965412046147</v>
      </c>
      <c r="AX89" s="14">
        <f t="shared" si="25"/>
        <v>5</v>
      </c>
      <c r="AY89" s="46">
        <f t="shared" si="26"/>
        <v>3.5275343749999841</v>
      </c>
      <c r="AZ89" s="14">
        <f>((AS89*AP89)/(1.65*XS_Designer!$S$99))*12</f>
        <v>11.050856301774793</v>
      </c>
      <c r="BA89" s="14">
        <f>(AW89/((1.65*62.4)*XS_Designer!$AA$53))*12</f>
        <v>3.8243911056810704</v>
      </c>
      <c r="BB89" s="14">
        <f t="shared" si="27"/>
        <v>7.1245922985711001</v>
      </c>
      <c r="BC89" s="14">
        <f t="shared" si="28"/>
        <v>10.844007351985184</v>
      </c>
      <c r="BD89" s="14">
        <f>IF(ISNUMBER(LININTERP(AW89,Permissible_Shear!$T$178:$T$188,Permissible_Shear!$V$178:$V$188)),LININTERP(AW89,Permissible_Shear!$T$178:$T$188,Permissible_Shear!$V$178:$V$188),0)</f>
        <v>6.3995727193220233</v>
      </c>
      <c r="BE89" s="14">
        <f>LININTERP(AW89,Permissible_Shear!$S$205:$S$222,Permissible_Shear!$V$205:$V$222)</f>
        <v>6.4649891912644213</v>
      </c>
      <c r="BF89" s="14">
        <f>INDEX($AZ$3:$BE$204,ROW(BF89)-2,MATCH(XS_Designer!$W$5,XS_Designer_Summary!$AZ$2:$BE$2,0))</f>
        <v>7.1245922985711001</v>
      </c>
      <c r="BG89" s="79">
        <f t="shared" si="29"/>
        <v>0</v>
      </c>
      <c r="BH89" s="79">
        <f t="shared" si="30"/>
        <v>0</v>
      </c>
      <c r="BI89" s="79">
        <f t="shared" si="31"/>
        <v>7.9916474494195064</v>
      </c>
      <c r="BJ89" s="79">
        <f t="shared" si="32"/>
        <v>0</v>
      </c>
      <c r="BK89" s="79">
        <f t="shared" si="33"/>
        <v>0</v>
      </c>
      <c r="BL89" s="79">
        <f t="shared" si="34"/>
        <v>1.9687965412046147</v>
      </c>
      <c r="BM89" s="124">
        <f t="shared" si="35"/>
        <v>0</v>
      </c>
      <c r="BN89" s="124">
        <f t="shared" si="36"/>
        <v>0</v>
      </c>
      <c r="BO89" s="124">
        <f t="shared" si="37"/>
        <v>3.1551226621868822</v>
      </c>
    </row>
    <row r="90" spans="30:67">
      <c r="AD90" s="3">
        <v>86</v>
      </c>
      <c r="AE90" s="3" t="str">
        <f t="shared" si="13"/>
        <v>Left</v>
      </c>
      <c r="AF90" s="3" t="str">
        <f t="shared" si="14"/>
        <v>Channel</v>
      </c>
      <c r="AG90" s="3" t="str">
        <f>IF(XS_Designer_Summary!$AB$24&gt;=XS_Designer_Summary!AD90,"Y","N")</f>
        <v>Y</v>
      </c>
      <c r="AH90" s="45">
        <v>1</v>
      </c>
      <c r="AI90" s="45">
        <f>IF(AG90="Y",$O$19/XS_Designer_Summary!$AB$24,0)</f>
        <v>0.27201249999999999</v>
      </c>
      <c r="AJ90" s="45">
        <f t="shared" si="15"/>
        <v>0.27201249999999999</v>
      </c>
      <c r="AK90" s="14">
        <f t="shared" si="38"/>
        <v>-3.5361625000000325</v>
      </c>
      <c r="AL90" s="14">
        <f>IF(AG90="Y",LININTERP(AK90,XS_Designer_Calculations!$AY$4:$AY$104,XS_Designer_Calculations!$AZ$4:$AZ$104),AL89)</f>
        <v>1.2684562500000163</v>
      </c>
      <c r="AM90" s="14">
        <f t="shared" si="16"/>
        <v>3.7315437499999837</v>
      </c>
      <c r="AN90" s="14">
        <f t="shared" si="17"/>
        <v>0.99652884425780797</v>
      </c>
      <c r="AO90" s="46">
        <f t="shared" si="18"/>
        <v>0.30411922036483052</v>
      </c>
      <c r="AP90" s="46">
        <f t="shared" si="19"/>
        <v>3.2767703503328138</v>
      </c>
      <c r="AQ90" s="46">
        <f t="shared" si="20"/>
        <v>2.4329537629186452E-3</v>
      </c>
      <c r="AR90" s="14">
        <f>IFERROR(IF(AG90="Y",VLOOKUP(AK90,XS_Designer_Calculations!$R$5:$T$104,3,TRUE),0),0)</f>
        <v>0.04</v>
      </c>
      <c r="AS90" s="46">
        <f t="shared" si="21"/>
        <v>0.01</v>
      </c>
      <c r="AT90" s="14">
        <f t="shared" si="22"/>
        <v>81.67316055080957</v>
      </c>
      <c r="AU90" s="14">
        <f>AT90*XS_Designer_Calculations!$I$7^0.5</f>
        <v>8.167316055080958</v>
      </c>
      <c r="AV90" s="14">
        <f t="shared" si="23"/>
        <v>8.195764831236561</v>
      </c>
      <c r="AW90" s="14">
        <f t="shared" si="24"/>
        <v>2.0447046986076756</v>
      </c>
      <c r="AX90" s="14">
        <f t="shared" si="25"/>
        <v>5</v>
      </c>
      <c r="AY90" s="46">
        <f t="shared" si="26"/>
        <v>3.6635406249999836</v>
      </c>
      <c r="AZ90" s="14">
        <f>((AS90*AP90)/(1.65*XS_Designer!$S$99))*12</f>
        <v>11.476928840017104</v>
      </c>
      <c r="BA90" s="14">
        <f>(AW90/((1.65*62.4)*XS_Designer!$AA$53))*12</f>
        <v>3.9718428488882589</v>
      </c>
      <c r="BB90" s="14">
        <f t="shared" si="27"/>
        <v>7.4056293226954164</v>
      </c>
      <c r="BC90" s="14">
        <f t="shared" si="28"/>
        <v>11.144216263474013</v>
      </c>
      <c r="BD90" s="14">
        <f>IF(ISNUMBER(LININTERP(AW90,Permissible_Shear!$T$178:$T$188,Permissible_Shear!$V$178:$V$188)),LININTERP(AW90,Permissible_Shear!$T$178:$T$188,Permissible_Shear!$V$178:$V$188),0)</f>
        <v>6.6366776555715781</v>
      </c>
      <c r="BE90" s="14">
        <f>LININTERP(AW90,Permissible_Shear!$S$205:$S$222,Permissible_Shear!$V$205:$V$222)</f>
        <v>6.7022021831489864</v>
      </c>
      <c r="BF90" s="14">
        <f>INDEX($AZ$3:$BE$204,ROW(BF90)-2,MATCH(XS_Designer!$W$5,XS_Designer_Summary!$AZ$2:$BE$2,0))</f>
        <v>7.4056293226954164</v>
      </c>
      <c r="BG90" s="79">
        <f t="shared" si="29"/>
        <v>0</v>
      </c>
      <c r="BH90" s="79">
        <f t="shared" si="30"/>
        <v>0</v>
      </c>
      <c r="BI90" s="79">
        <f t="shared" si="31"/>
        <v>8.195764831236561</v>
      </c>
      <c r="BJ90" s="79">
        <f t="shared" si="32"/>
        <v>0</v>
      </c>
      <c r="BK90" s="79">
        <f t="shared" si="33"/>
        <v>0</v>
      </c>
      <c r="BL90" s="79">
        <f t="shared" si="34"/>
        <v>2.0447046986076756</v>
      </c>
      <c r="BM90" s="124">
        <f t="shared" si="35"/>
        <v>0</v>
      </c>
      <c r="BN90" s="124">
        <f t="shared" si="36"/>
        <v>0</v>
      </c>
      <c r="BO90" s="124">
        <f t="shared" si="37"/>
        <v>3.2767703503328138</v>
      </c>
    </row>
    <row r="91" spans="30:67">
      <c r="AD91" s="3">
        <v>87</v>
      </c>
      <c r="AE91" s="3" t="str">
        <f t="shared" si="13"/>
        <v>Left</v>
      </c>
      <c r="AF91" s="3" t="str">
        <f t="shared" si="14"/>
        <v>Channel</v>
      </c>
      <c r="AG91" s="3" t="str">
        <f>IF(XS_Designer_Summary!$AB$24&gt;=XS_Designer_Summary!AD91,"Y","N")</f>
        <v>Y</v>
      </c>
      <c r="AH91" s="45">
        <v>1</v>
      </c>
      <c r="AI91" s="45">
        <f>IF(AG91="Y",$O$19/XS_Designer_Summary!$AB$24,0)</f>
        <v>0.27201249999999999</v>
      </c>
      <c r="AJ91" s="45">
        <f t="shared" si="15"/>
        <v>0.27201249999999999</v>
      </c>
      <c r="AK91" s="14">
        <f t="shared" si="38"/>
        <v>-3.2641500000000327</v>
      </c>
      <c r="AL91" s="14">
        <f>IF(AG91="Y",LININTERP(AK91,XS_Designer_Calculations!$AY$4:$AY$104,XS_Designer_Calculations!$AZ$4:$AZ$104),AL90)</f>
        <v>1.1324500000000164</v>
      </c>
      <c r="AM91" s="14">
        <f t="shared" si="16"/>
        <v>3.8675499999999836</v>
      </c>
      <c r="AN91" s="14">
        <f t="shared" si="17"/>
        <v>1.0335242443359332</v>
      </c>
      <c r="AO91" s="46">
        <f t="shared" si="18"/>
        <v>0.30411922036483052</v>
      </c>
      <c r="AP91" s="46">
        <f t="shared" si="19"/>
        <v>3.3984180384787468</v>
      </c>
      <c r="AQ91" s="46">
        <f t="shared" si="20"/>
        <v>2.4329537629186452E-3</v>
      </c>
      <c r="AR91" s="14">
        <f>IFERROR(IF(AG91="Y",VLOOKUP(AK91,XS_Designer_Calculations!$R$5:$T$104,3,TRUE),0),0)</f>
        <v>0.04</v>
      </c>
      <c r="AS91" s="46">
        <f t="shared" si="21"/>
        <v>0.01</v>
      </c>
      <c r="AT91" s="14">
        <f t="shared" si="22"/>
        <v>86.78886730055838</v>
      </c>
      <c r="AU91" s="14">
        <f>AT91*XS_Designer_Calculations!$I$7^0.5</f>
        <v>8.6788867300558383</v>
      </c>
      <c r="AV91" s="14">
        <f t="shared" si="23"/>
        <v>8.3973712059674561</v>
      </c>
      <c r="AW91" s="14">
        <f t="shared" si="24"/>
        <v>2.1206128560107378</v>
      </c>
      <c r="AX91" s="14">
        <f t="shared" si="25"/>
        <v>5</v>
      </c>
      <c r="AY91" s="46">
        <f t="shared" si="26"/>
        <v>3.7995468749999843</v>
      </c>
      <c r="AZ91" s="14">
        <f>((AS91*AP91)/(1.65*XS_Designer!$S$99))*12</f>
        <v>11.90300137825942</v>
      </c>
      <c r="BA91" s="14">
        <f>(AW91/((1.65*62.4)*XS_Designer!$AA$53))*12</f>
        <v>4.1192945920954509</v>
      </c>
      <c r="BB91" s="14">
        <f t="shared" si="27"/>
        <v>7.6870969823473878</v>
      </c>
      <c r="BC91" s="14">
        <f t="shared" si="28"/>
        <v>11.441544221298031</v>
      </c>
      <c r="BD91" s="14">
        <f>IF(ISNUMBER(LININTERP(AW91,Permissible_Shear!$T$178:$T$188,Permissible_Shear!$V$178:$V$188)),LININTERP(AW91,Permissible_Shear!$T$178:$T$188,Permissible_Shear!$V$178:$V$188),0)</f>
        <v>6.8737825918211382</v>
      </c>
      <c r="BE91" s="14">
        <f>LININTERP(AW91,Permissible_Shear!$S$205:$S$222,Permissible_Shear!$V$205:$V$222)</f>
        <v>6.939415175033556</v>
      </c>
      <c r="BF91" s="14">
        <f>INDEX($AZ$3:$BE$204,ROW(BF91)-2,MATCH(XS_Designer!$W$5,XS_Designer_Summary!$AZ$2:$BE$2,0))</f>
        <v>7.6870969823473878</v>
      </c>
      <c r="BG91" s="79">
        <f t="shared" si="29"/>
        <v>0</v>
      </c>
      <c r="BH91" s="79">
        <f t="shared" si="30"/>
        <v>0</v>
      </c>
      <c r="BI91" s="79">
        <f t="shared" si="31"/>
        <v>8.3973712059674561</v>
      </c>
      <c r="BJ91" s="79">
        <f t="shared" si="32"/>
        <v>0</v>
      </c>
      <c r="BK91" s="79">
        <f t="shared" si="33"/>
        <v>0</v>
      </c>
      <c r="BL91" s="79">
        <f t="shared" si="34"/>
        <v>2.1206128560107378</v>
      </c>
      <c r="BM91" s="124">
        <f t="shared" si="35"/>
        <v>0</v>
      </c>
      <c r="BN91" s="124">
        <f t="shared" si="36"/>
        <v>0</v>
      </c>
      <c r="BO91" s="124">
        <f t="shared" si="37"/>
        <v>3.3984180384787468</v>
      </c>
    </row>
    <row r="92" spans="30:67">
      <c r="AD92" s="3">
        <v>88</v>
      </c>
      <c r="AE92" s="3" t="str">
        <f t="shared" si="13"/>
        <v>Left</v>
      </c>
      <c r="AF92" s="3" t="str">
        <f t="shared" si="14"/>
        <v>Channel</v>
      </c>
      <c r="AG92" s="3" t="str">
        <f>IF(XS_Designer_Summary!$AB$24&gt;=XS_Designer_Summary!AD92,"Y","N")</f>
        <v>Y</v>
      </c>
      <c r="AH92" s="45">
        <v>1</v>
      </c>
      <c r="AI92" s="45">
        <f>IF(AG92="Y",$O$19/XS_Designer_Summary!$AB$24,0)</f>
        <v>0.27201249999999999</v>
      </c>
      <c r="AJ92" s="45">
        <f t="shared" si="15"/>
        <v>0.27201249999999999</v>
      </c>
      <c r="AK92" s="14">
        <f t="shared" si="38"/>
        <v>-2.992137500000033</v>
      </c>
      <c r="AL92" s="14">
        <f>IF(AG92="Y",LININTERP(AK92,XS_Designer_Calculations!$AY$4:$AY$104,XS_Designer_Calculations!$AZ$4:$AZ$104),AL91)</f>
        <v>0.9964437500000165</v>
      </c>
      <c r="AM92" s="14">
        <f t="shared" si="16"/>
        <v>4.0035562499999831</v>
      </c>
      <c r="AN92" s="14">
        <f t="shared" si="17"/>
        <v>1.0705196444140579</v>
      </c>
      <c r="AO92" s="46">
        <f t="shared" si="18"/>
        <v>0.3041192203648303</v>
      </c>
      <c r="AP92" s="46">
        <f t="shared" si="19"/>
        <v>3.5200657266246811</v>
      </c>
      <c r="AQ92" s="46">
        <f t="shared" si="20"/>
        <v>2.4329537629186435E-3</v>
      </c>
      <c r="AR92" s="14">
        <f>IFERROR(IF(AG92="Y",VLOOKUP(AK92,XS_Designer_Calculations!$R$5:$T$104,3,TRUE),0),0)</f>
        <v>0.04</v>
      </c>
      <c r="AS92" s="46">
        <f t="shared" si="21"/>
        <v>0.01</v>
      </c>
      <c r="AT92" s="14">
        <f t="shared" si="22"/>
        <v>92.028139270140926</v>
      </c>
      <c r="AU92" s="14">
        <f>AT92*XS_Designer_Calculations!$I$7^0.5</f>
        <v>9.202813927014093</v>
      </c>
      <c r="AV92" s="14">
        <f t="shared" si="23"/>
        <v>8.5965857563045418</v>
      </c>
      <c r="AW92" s="14">
        <f t="shared" si="24"/>
        <v>2.1965210134138009</v>
      </c>
      <c r="AX92" s="14">
        <f t="shared" si="25"/>
        <v>5</v>
      </c>
      <c r="AY92" s="46">
        <f t="shared" si="26"/>
        <v>3.9355531249999833</v>
      </c>
      <c r="AZ92" s="14">
        <f>((AS92*AP92)/(1.65*XS_Designer!$S$99))*12</f>
        <v>12.329073916501741</v>
      </c>
      <c r="BA92" s="14">
        <f>(AW92/((1.65*62.4)*XS_Designer!$AA$53))*12</f>
        <v>4.2667463353026447</v>
      </c>
      <c r="BB92" s="14">
        <f t="shared" si="27"/>
        <v>7.9689807530139749</v>
      </c>
      <c r="BC92" s="14">
        <f t="shared" si="28"/>
        <v>11.736118793333446</v>
      </c>
      <c r="BD92" s="14">
        <f>IF(ISNUMBER(LININTERP(AW92,Permissible_Shear!$T$178:$T$188,Permissible_Shear!$V$178:$V$188)),LININTERP(AW92,Permissible_Shear!$T$178:$T$188,Permissible_Shear!$V$178:$V$188),0)</f>
        <v>7.1108875280707009</v>
      </c>
      <c r="BE92" s="14">
        <f>LININTERP(AW92,Permissible_Shear!$S$205:$S$222,Permissible_Shear!$V$205:$V$222)</f>
        <v>7.1766281669181282</v>
      </c>
      <c r="BF92" s="14">
        <f>INDEX($AZ$3:$BE$204,ROW(BF92)-2,MATCH(XS_Designer!$W$5,XS_Designer_Summary!$AZ$2:$BE$2,0))</f>
        <v>7.9689807530139749</v>
      </c>
      <c r="BG92" s="79">
        <f t="shared" si="29"/>
        <v>0</v>
      </c>
      <c r="BH92" s="79">
        <f t="shared" si="30"/>
        <v>0</v>
      </c>
      <c r="BI92" s="79">
        <f t="shared" si="31"/>
        <v>8.5965857563045418</v>
      </c>
      <c r="BJ92" s="79">
        <f t="shared" si="32"/>
        <v>0</v>
      </c>
      <c r="BK92" s="79">
        <f t="shared" si="33"/>
        <v>0</v>
      </c>
      <c r="BL92" s="79">
        <f t="shared" si="34"/>
        <v>2.1965210134138009</v>
      </c>
      <c r="BM92" s="124">
        <f t="shared" si="35"/>
        <v>0</v>
      </c>
      <c r="BN92" s="124">
        <f t="shared" si="36"/>
        <v>0</v>
      </c>
      <c r="BO92" s="124">
        <f t="shared" si="37"/>
        <v>3.5200657266246811</v>
      </c>
    </row>
    <row r="93" spans="30:67">
      <c r="AD93" s="3">
        <v>89</v>
      </c>
      <c r="AE93" s="3" t="str">
        <f t="shared" si="13"/>
        <v>Left</v>
      </c>
      <c r="AF93" s="3" t="str">
        <f t="shared" si="14"/>
        <v>Channel</v>
      </c>
      <c r="AG93" s="3" t="str">
        <f>IF(XS_Designer_Summary!$AB$24&gt;=XS_Designer_Summary!AD93,"Y","N")</f>
        <v>Y</v>
      </c>
      <c r="AH93" s="45">
        <v>1</v>
      </c>
      <c r="AI93" s="45">
        <f>IF(AG93="Y",$O$19/XS_Designer_Summary!$AB$24,0)</f>
        <v>0.27201249999999999</v>
      </c>
      <c r="AJ93" s="45">
        <f t="shared" si="15"/>
        <v>0.27201249999999999</v>
      </c>
      <c r="AK93" s="14">
        <f t="shared" si="38"/>
        <v>-2.7201250000000332</v>
      </c>
      <c r="AL93" s="14">
        <f>IF(AG93="Y",LININTERP(AK93,XS_Designer_Calculations!$AY$4:$AY$104,XS_Designer_Calculations!$AZ$4:$AZ$104),AL92)</f>
        <v>0.86043750000001662</v>
      </c>
      <c r="AM93" s="14">
        <f t="shared" si="16"/>
        <v>4.1395624999999834</v>
      </c>
      <c r="AN93" s="14">
        <f t="shared" si="17"/>
        <v>1.1075150444921831</v>
      </c>
      <c r="AO93" s="46">
        <f t="shared" si="18"/>
        <v>0.30411922036483069</v>
      </c>
      <c r="AP93" s="46">
        <f t="shared" si="19"/>
        <v>3.6417134147706096</v>
      </c>
      <c r="AQ93" s="46">
        <f t="shared" si="20"/>
        <v>2.4329537629186465E-3</v>
      </c>
      <c r="AR93" s="14">
        <f>IFERROR(IF(AG93="Y",VLOOKUP(AK93,XS_Designer_Calculations!$R$5:$T$104,3,TRUE),0),0)</f>
        <v>0.04</v>
      </c>
      <c r="AS93" s="46">
        <f t="shared" si="21"/>
        <v>0.01</v>
      </c>
      <c r="AT93" s="14">
        <f t="shared" si="22"/>
        <v>97.389535942936988</v>
      </c>
      <c r="AU93" s="14">
        <f>AT93*XS_Designer_Calculations!$I$7^0.5</f>
        <v>9.7389535942936991</v>
      </c>
      <c r="AV93" s="14">
        <f t="shared" si="23"/>
        <v>8.7935181040896797</v>
      </c>
      <c r="AW93" s="14">
        <f t="shared" si="24"/>
        <v>2.2724291708168605</v>
      </c>
      <c r="AX93" s="14">
        <f t="shared" si="25"/>
        <v>5</v>
      </c>
      <c r="AY93" s="46">
        <f t="shared" si="26"/>
        <v>4.0715593749999837</v>
      </c>
      <c r="AZ93" s="14">
        <f>((AS93*AP93)/(1.65*XS_Designer!$S$99))*12</f>
        <v>12.75514645474404</v>
      </c>
      <c r="BA93" s="14">
        <f>(AW93/((1.65*62.4)*XS_Designer!$AA$53))*12</f>
        <v>4.4141980785098305</v>
      </c>
      <c r="BB93" s="14">
        <f t="shared" si="27"/>
        <v>8.2512670775660908</v>
      </c>
      <c r="BC93" s="14">
        <f t="shared" si="28"/>
        <v>12.028057772292902</v>
      </c>
      <c r="BD93" s="14">
        <f>IF(ISNUMBER(LININTERP(AW93,Permissible_Shear!$T$178:$T$188,Permissible_Shear!$V$178:$V$188)),LININTERP(AW93,Permissible_Shear!$T$178:$T$188,Permissible_Shear!$V$178:$V$188),0)</f>
        <v>7.347992464320253</v>
      </c>
      <c r="BE93" s="14">
        <f>LININTERP(AW93,Permissible_Shear!$S$205:$S$222,Permissible_Shear!$V$205:$V$222)</f>
        <v>7.4138411588026889</v>
      </c>
      <c r="BF93" s="14">
        <f>INDEX($AZ$3:$BE$204,ROW(BF93)-2,MATCH(XS_Designer!$W$5,XS_Designer_Summary!$AZ$2:$BE$2,0))</f>
        <v>8.2512670775660908</v>
      </c>
      <c r="BG93" s="79">
        <f t="shared" si="29"/>
        <v>0</v>
      </c>
      <c r="BH93" s="79">
        <f t="shared" si="30"/>
        <v>0</v>
      </c>
      <c r="BI93" s="79">
        <f t="shared" si="31"/>
        <v>8.7935181040896797</v>
      </c>
      <c r="BJ93" s="79">
        <f t="shared" si="32"/>
        <v>0</v>
      </c>
      <c r="BK93" s="79">
        <f t="shared" si="33"/>
        <v>0</v>
      </c>
      <c r="BL93" s="79">
        <f t="shared" si="34"/>
        <v>2.2724291708168605</v>
      </c>
      <c r="BM93" s="124">
        <f t="shared" si="35"/>
        <v>0</v>
      </c>
      <c r="BN93" s="124">
        <f t="shared" si="36"/>
        <v>0</v>
      </c>
      <c r="BO93" s="124">
        <f t="shared" si="37"/>
        <v>3.6417134147706096</v>
      </c>
    </row>
    <row r="94" spans="30:67">
      <c r="AD94" s="3">
        <v>90</v>
      </c>
      <c r="AE94" s="3" t="str">
        <f t="shared" si="13"/>
        <v>Left</v>
      </c>
      <c r="AF94" s="3" t="str">
        <f t="shared" si="14"/>
        <v>Channel</v>
      </c>
      <c r="AG94" s="3" t="str">
        <f>IF(XS_Designer_Summary!$AB$24&gt;=XS_Designer_Summary!AD94,"Y","N")</f>
        <v>Y</v>
      </c>
      <c r="AH94" s="45">
        <v>1</v>
      </c>
      <c r="AI94" s="45">
        <f>IF(AG94="Y",$O$19/XS_Designer_Summary!$AB$24,0)</f>
        <v>0.27201249999999999</v>
      </c>
      <c r="AJ94" s="45">
        <f t="shared" si="15"/>
        <v>0.27201249999999999</v>
      </c>
      <c r="AK94" s="14">
        <f t="shared" si="38"/>
        <v>-2.4481125000000334</v>
      </c>
      <c r="AL94" s="14">
        <f>IF(AG94="Y",LININTERP(AK94,XS_Designer_Calculations!$AY$4:$AY$104,XS_Designer_Calculations!$AZ$4:$AZ$104),AL93)</f>
        <v>0.72443125000001674</v>
      </c>
      <c r="AM94" s="14">
        <f t="shared" si="16"/>
        <v>4.2755687499999837</v>
      </c>
      <c r="AN94" s="14">
        <f t="shared" si="17"/>
        <v>1.1445104445703078</v>
      </c>
      <c r="AO94" s="46">
        <f t="shared" si="18"/>
        <v>0.30411922036483069</v>
      </c>
      <c r="AP94" s="46">
        <f t="shared" si="19"/>
        <v>3.7633611029165412</v>
      </c>
      <c r="AQ94" s="46">
        <f t="shared" si="20"/>
        <v>2.4329537629186465E-3</v>
      </c>
      <c r="AR94" s="14">
        <f>IFERROR(IF(AG94="Y",VLOOKUP(AK94,XS_Designer_Calculations!$R$5:$T$104,3,TRUE),0),0)</f>
        <v>0.04</v>
      </c>
      <c r="AS94" s="46">
        <f t="shared" si="21"/>
        <v>0.01</v>
      </c>
      <c r="AT94" s="14">
        <f t="shared" si="22"/>
        <v>102.87168172272608</v>
      </c>
      <c r="AU94" s="14">
        <f>AT94*XS_Designer_Calculations!$I$7^0.5</f>
        <v>10.287168172272608</v>
      </c>
      <c r="AV94" s="14">
        <f t="shared" si="23"/>
        <v>8.9882693697345832</v>
      </c>
      <c r="AW94" s="14">
        <f t="shared" si="24"/>
        <v>2.3483373282199218</v>
      </c>
      <c r="AX94" s="14">
        <f t="shared" si="25"/>
        <v>5</v>
      </c>
      <c r="AY94" s="46">
        <f t="shared" si="26"/>
        <v>4.2075656249999831</v>
      </c>
      <c r="AZ94" s="14">
        <f>((AS94*AP94)/(1.65*XS_Designer!$S$99))*12</f>
        <v>13.181218992986352</v>
      </c>
      <c r="BA94" s="14">
        <f>(AW94/((1.65*62.4)*XS_Designer!$AA$53))*12</f>
        <v>4.5616498217170207</v>
      </c>
      <c r="BB94" s="14">
        <f t="shared" si="27"/>
        <v>8.5339432721055424</v>
      </c>
      <c r="BC94" s="14">
        <f t="shared" si="28"/>
        <v>12.317470220363132</v>
      </c>
      <c r="BD94" s="14">
        <f>IF(ISNUMBER(LININTERP(AW94,Permissible_Shear!$T$178:$T$188,Permissible_Shear!$V$178:$V$188)),LININTERP(AW94,Permissible_Shear!$T$178:$T$188,Permissible_Shear!$V$178:$V$188),0)</f>
        <v>7.5861033256433554</v>
      </c>
      <c r="BE94" s="14">
        <f>LININTERP(AW94,Permissible_Shear!$S$205:$S$222,Permissible_Shear!$V$205:$V$222)</f>
        <v>7.6510541506872558</v>
      </c>
      <c r="BF94" s="14">
        <f>INDEX($AZ$3:$BE$204,ROW(BF94)-2,MATCH(XS_Designer!$W$5,XS_Designer_Summary!$AZ$2:$BE$2,0))</f>
        <v>8.5339432721055424</v>
      </c>
      <c r="BG94" s="79">
        <f t="shared" si="29"/>
        <v>0</v>
      </c>
      <c r="BH94" s="79">
        <f t="shared" si="30"/>
        <v>0</v>
      </c>
      <c r="BI94" s="79">
        <f t="shared" si="31"/>
        <v>8.9882693697345832</v>
      </c>
      <c r="BJ94" s="79">
        <f t="shared" si="32"/>
        <v>0</v>
      </c>
      <c r="BK94" s="79">
        <f t="shared" si="33"/>
        <v>0</v>
      </c>
      <c r="BL94" s="79">
        <f t="shared" si="34"/>
        <v>2.3483373282199218</v>
      </c>
      <c r="BM94" s="124">
        <f t="shared" si="35"/>
        <v>0</v>
      </c>
      <c r="BN94" s="124">
        <f t="shared" si="36"/>
        <v>0</v>
      </c>
      <c r="BO94" s="124">
        <f t="shared" si="37"/>
        <v>3.7633611029165412</v>
      </c>
    </row>
    <row r="95" spans="30:67">
      <c r="AD95" s="3">
        <v>91</v>
      </c>
      <c r="AE95" s="3" t="str">
        <f t="shared" si="13"/>
        <v>Left</v>
      </c>
      <c r="AF95" s="3" t="str">
        <f t="shared" si="14"/>
        <v>Channel</v>
      </c>
      <c r="AG95" s="3" t="str">
        <f>IF(XS_Designer_Summary!$AB$24&gt;=XS_Designer_Summary!AD95,"Y","N")</f>
        <v>Y</v>
      </c>
      <c r="AH95" s="45">
        <v>1</v>
      </c>
      <c r="AI95" s="45">
        <f>IF(AG95="Y",$O$19/XS_Designer_Summary!$AB$24,0)</f>
        <v>0.27201249999999999</v>
      </c>
      <c r="AJ95" s="45">
        <f t="shared" si="15"/>
        <v>0.27201249999999999</v>
      </c>
      <c r="AK95" s="14">
        <f t="shared" si="38"/>
        <v>-2.1761000000000337</v>
      </c>
      <c r="AL95" s="14">
        <f>IF(AG95="Y",LININTERP(AK95,XS_Designer_Calculations!$AY$4:$AY$104,XS_Designer_Calculations!$AZ$4:$AZ$104),AL94)</f>
        <v>0.58842500000001663</v>
      </c>
      <c r="AM95" s="14">
        <f t="shared" si="16"/>
        <v>4.4115749999999831</v>
      </c>
      <c r="AN95" s="14">
        <f t="shared" si="17"/>
        <v>1.181505844648433</v>
      </c>
      <c r="AO95" s="46">
        <f t="shared" si="18"/>
        <v>0.3041192203648303</v>
      </c>
      <c r="AP95" s="46">
        <f t="shared" si="19"/>
        <v>3.8850087910624791</v>
      </c>
      <c r="AQ95" s="46">
        <f t="shared" si="20"/>
        <v>2.4329537629186435E-3</v>
      </c>
      <c r="AR95" s="14">
        <f>IFERROR(IF(AG95="Y",VLOOKUP(AK95,XS_Designer_Calculations!$R$5:$T$104,3,TRUE),0),0)</f>
        <v>0.04</v>
      </c>
      <c r="AS95" s="46">
        <f t="shared" si="21"/>
        <v>0.01</v>
      </c>
      <c r="AT95" s="14">
        <f t="shared" si="22"/>
        <v>108.47326097977204</v>
      </c>
      <c r="AU95" s="14">
        <f>AT95*XS_Designer_Calculations!$I$7^0.5</f>
        <v>10.847326097977204</v>
      </c>
      <c r="AV95" s="14">
        <f t="shared" si="23"/>
        <v>9.1809330839196281</v>
      </c>
      <c r="AW95" s="14">
        <f t="shared" si="24"/>
        <v>2.4242454856229871</v>
      </c>
      <c r="AX95" s="14">
        <f t="shared" si="25"/>
        <v>5</v>
      </c>
      <c r="AY95" s="46">
        <f t="shared" si="26"/>
        <v>4.3435718749999834</v>
      </c>
      <c r="AZ95" s="14">
        <f>((AS95*AP95)/(1.65*XS_Designer!$S$99))*12</f>
        <v>13.607291531228682</v>
      </c>
      <c r="BA95" s="14">
        <f>(AW95/((1.65*62.4)*XS_Designer!$AA$53))*12</f>
        <v>4.7091015649242181</v>
      </c>
      <c r="BB95" s="14">
        <f t="shared" si="27"/>
        <v>8.8169974436850733</v>
      </c>
      <c r="BC95" s="14">
        <f t="shared" si="28"/>
        <v>12.604457372610794</v>
      </c>
      <c r="BD95" s="14">
        <f>IF(ISNUMBER(LININTERP(AW95,Permissible_Shear!$T$178:$T$188,Permissible_Shear!$V$178:$V$188)),LININTERP(AW95,Permissible_Shear!$T$178:$T$188,Permissible_Shear!$V$178:$V$188),0)</f>
        <v>7.8323668216622213</v>
      </c>
      <c r="BE95" s="14">
        <f>LININTERP(AW95,Permissible_Shear!$S$205:$S$222,Permissible_Shear!$V$205:$V$222)</f>
        <v>7.8882671425718351</v>
      </c>
      <c r="BF95" s="14">
        <f>INDEX($AZ$3:$BE$204,ROW(BF95)-2,MATCH(XS_Designer!$W$5,XS_Designer_Summary!$AZ$2:$BE$2,0))</f>
        <v>8.8169974436850733</v>
      </c>
      <c r="BG95" s="79">
        <f t="shared" si="29"/>
        <v>0</v>
      </c>
      <c r="BH95" s="79">
        <f t="shared" si="30"/>
        <v>0</v>
      </c>
      <c r="BI95" s="79">
        <f t="shared" si="31"/>
        <v>9.1809330839196281</v>
      </c>
      <c r="BJ95" s="79">
        <f t="shared" si="32"/>
        <v>0</v>
      </c>
      <c r="BK95" s="79">
        <f t="shared" si="33"/>
        <v>0</v>
      </c>
      <c r="BL95" s="79">
        <f t="shared" si="34"/>
        <v>2.4242454856229871</v>
      </c>
      <c r="BM95" s="124">
        <f t="shared" si="35"/>
        <v>0</v>
      </c>
      <c r="BN95" s="124">
        <f t="shared" si="36"/>
        <v>0</v>
      </c>
      <c r="BO95" s="124">
        <f t="shared" si="37"/>
        <v>3.8850087910624791</v>
      </c>
    </row>
    <row r="96" spans="30:67">
      <c r="AD96" s="3">
        <v>92</v>
      </c>
      <c r="AE96" s="3" t="str">
        <f t="shared" si="13"/>
        <v>Left</v>
      </c>
      <c r="AF96" s="3" t="str">
        <f t="shared" si="14"/>
        <v>Channel</v>
      </c>
      <c r="AG96" s="3" t="str">
        <f>IF(XS_Designer_Summary!$AB$24&gt;=XS_Designer_Summary!AD96,"Y","N")</f>
        <v>Y</v>
      </c>
      <c r="AH96" s="45">
        <v>1</v>
      </c>
      <c r="AI96" s="45">
        <f>IF(AG96="Y",$O$19/XS_Designer_Summary!$AB$24,0)</f>
        <v>0.27201249999999999</v>
      </c>
      <c r="AJ96" s="45">
        <f t="shared" si="15"/>
        <v>0.27201249999999999</v>
      </c>
      <c r="AK96" s="14">
        <f t="shared" si="38"/>
        <v>-1.9040875000000337</v>
      </c>
      <c r="AL96" s="14">
        <f>IF(AG96="Y",LININTERP(AK96,XS_Designer_Calculations!$AY$4:$AY$104,XS_Designer_Calculations!$AZ$4:$AZ$104),AL95)</f>
        <v>0.47670937500000848</v>
      </c>
      <c r="AM96" s="14">
        <f t="shared" si="16"/>
        <v>4.5232906249999916</v>
      </c>
      <c r="AN96" s="14">
        <f t="shared" si="17"/>
        <v>1.215197567910153</v>
      </c>
      <c r="AO96" s="46">
        <f t="shared" si="18"/>
        <v>0.29405982558893096</v>
      </c>
      <c r="AP96" s="46">
        <f t="shared" si="19"/>
        <v>4.1324841483409207</v>
      </c>
      <c r="AQ96" s="46">
        <f t="shared" si="20"/>
        <v>2.3524786047114487E-3</v>
      </c>
      <c r="AR96" s="14">
        <f>IFERROR(IF(AG96="Y",VLOOKUP(AK96,XS_Designer_Calculations!$R$5:$T$104,3,TRUE),0),0)</f>
        <v>0.04</v>
      </c>
      <c r="AS96" s="46">
        <f t="shared" si="21"/>
        <v>0.01</v>
      </c>
      <c r="AT96" s="14">
        <f t="shared" si="22"/>
        <v>116.2554104984156</v>
      </c>
      <c r="AU96" s="14">
        <f>AT96*XS_Designer_Calculations!$I$7^0.5</f>
        <v>11.62554104984156</v>
      </c>
      <c r="AV96" s="14">
        <f t="shared" si="23"/>
        <v>9.5667909127193944</v>
      </c>
      <c r="AW96" s="14">
        <f t="shared" si="24"/>
        <v>2.5786701085647343</v>
      </c>
      <c r="AX96" s="14">
        <f t="shared" si="25"/>
        <v>5</v>
      </c>
      <c r="AY96" s="46">
        <f t="shared" si="26"/>
        <v>4.4674328124999878</v>
      </c>
      <c r="AZ96" s="14">
        <f>((AS96*AP96)/(1.65*XS_Designer!$S$99))*12</f>
        <v>14.474077043022032</v>
      </c>
      <c r="BA96" s="14">
        <f>(AW96/((1.65*62.4)*XS_Designer!$AA$53))*12</f>
        <v>5.009071694958692</v>
      </c>
      <c r="BB96" s="14">
        <f t="shared" si="27"/>
        <v>9.0497731935462493</v>
      </c>
      <c r="BC96" s="14">
        <f t="shared" si="28"/>
        <v>12.838441040408307</v>
      </c>
      <c r="BD96" s="14">
        <f>IF(ISNUMBER(LININTERP(AW96,Permissible_Shear!$T$178:$T$188,Permissible_Shear!$V$178:$V$188)),LININTERP(AW96,Permissible_Shear!$T$178:$T$188,Permissible_Shear!$V$178:$V$188),0)</f>
        <v>8.3333557643274823</v>
      </c>
      <c r="BE96" s="14">
        <f>LININTERP(AW96,Permissible_Shear!$S$205:$S$222,Permissible_Shear!$V$205:$V$222)</f>
        <v>8.3708440892647946</v>
      </c>
      <c r="BF96" s="14">
        <f>INDEX($AZ$3:$BE$204,ROW(BF96)-2,MATCH(XS_Designer!$W$5,XS_Designer_Summary!$AZ$2:$BE$2,0))</f>
        <v>9.0497731935462493</v>
      </c>
      <c r="BG96" s="79">
        <f t="shared" si="29"/>
        <v>0</v>
      </c>
      <c r="BH96" s="79">
        <f t="shared" si="30"/>
        <v>0</v>
      </c>
      <c r="BI96" s="79">
        <f t="shared" si="31"/>
        <v>9.5667909127193944</v>
      </c>
      <c r="BJ96" s="79">
        <f t="shared" si="32"/>
        <v>0</v>
      </c>
      <c r="BK96" s="79">
        <f t="shared" si="33"/>
        <v>0</v>
      </c>
      <c r="BL96" s="79">
        <f t="shared" si="34"/>
        <v>2.5786701085647343</v>
      </c>
      <c r="BM96" s="124">
        <f t="shared" si="35"/>
        <v>0</v>
      </c>
      <c r="BN96" s="124">
        <f t="shared" si="36"/>
        <v>0</v>
      </c>
      <c r="BO96" s="124">
        <f t="shared" si="37"/>
        <v>4.1324841483409207</v>
      </c>
    </row>
    <row r="97" spans="30:67">
      <c r="AD97" s="3">
        <v>93</v>
      </c>
      <c r="AE97" s="3" t="str">
        <f t="shared" si="13"/>
        <v>Left</v>
      </c>
      <c r="AF97" s="3" t="str">
        <f t="shared" si="14"/>
        <v>Channel</v>
      </c>
      <c r="AG97" s="3" t="str">
        <f>IF(XS_Designer_Summary!$AB$24&gt;=XS_Designer_Summary!AD97,"Y","N")</f>
        <v>Y</v>
      </c>
      <c r="AH97" s="45">
        <v>1</v>
      </c>
      <c r="AI97" s="45">
        <f>IF(AG97="Y",$O$19/XS_Designer_Summary!$AB$24,0)</f>
        <v>0.27201249999999999</v>
      </c>
      <c r="AJ97" s="45">
        <f t="shared" si="15"/>
        <v>0.27201249999999999</v>
      </c>
      <c r="AK97" s="14">
        <f t="shared" si="38"/>
        <v>-1.6320750000000337</v>
      </c>
      <c r="AL97" s="14">
        <f>IF(AG97="Y",LININTERP(AK97,XS_Designer_Calculations!$AY$4:$AY$104,XS_Designer_Calculations!$AZ$4:$AZ$104),AL96)</f>
        <v>0.40870625000000849</v>
      </c>
      <c r="AM97" s="14">
        <f t="shared" si="16"/>
        <v>4.5912937499999913</v>
      </c>
      <c r="AN97" s="14">
        <f t="shared" si="17"/>
        <v>1.2396404411523412</v>
      </c>
      <c r="AO97" s="46">
        <f t="shared" si="18"/>
        <v>0.28038406724708093</v>
      </c>
      <c r="AP97" s="46">
        <f t="shared" si="19"/>
        <v>4.4212228366740298</v>
      </c>
      <c r="AQ97" s="46">
        <f t="shared" si="20"/>
        <v>2.2430725379766485E-3</v>
      </c>
      <c r="AR97" s="14">
        <f>IFERROR(IF(AG97="Y",VLOOKUP(AK97,XS_Designer_Calculations!$R$5:$T$104,3,TRUE),0),0)</f>
        <v>0.04</v>
      </c>
      <c r="AS97" s="46">
        <f t="shared" si="21"/>
        <v>0.01</v>
      </c>
      <c r="AT97" s="14">
        <f t="shared" si="22"/>
        <v>124.05553816054488</v>
      </c>
      <c r="AU97" s="14">
        <f>AT97*XS_Designer_Calculations!$I$7^0.5</f>
        <v>12.405553816054489</v>
      </c>
      <c r="AV97" s="14">
        <f t="shared" si="23"/>
        <v>10.007380692196982</v>
      </c>
      <c r="AW97" s="14">
        <f t="shared" si="24"/>
        <v>2.7588430500845949</v>
      </c>
      <c r="AX97" s="14">
        <f t="shared" si="25"/>
        <v>5</v>
      </c>
      <c r="AY97" s="46">
        <f t="shared" si="26"/>
        <v>4.557292187499991</v>
      </c>
      <c r="AZ97" s="14">
        <f>((AS97*AP97)/(1.65*XS_Designer!$S$99))*12</f>
        <v>15.485387884205142</v>
      </c>
      <c r="BA97" s="14">
        <f>(AW97/((1.65*62.4)*XS_Designer!$AA$53))*12</f>
        <v>5.3590579838473102</v>
      </c>
      <c r="BB97" s="14">
        <f t="shared" si="27"/>
        <v>9.1915862541659319</v>
      </c>
      <c r="BC97" s="14">
        <f t="shared" si="28"/>
        <v>12.980121657242275</v>
      </c>
      <c r="BD97" s="14">
        <f>IF(ISNUMBER(LININTERP(AW97,Permissible_Shear!$T$178:$T$188,Permissible_Shear!$V$178:$V$188)),LININTERP(AW97,Permissible_Shear!$T$178:$T$188,Permissible_Shear!$V$178:$V$188),0)</f>
        <v>8.9178781659329243</v>
      </c>
      <c r="BE97" s="14">
        <f>LININTERP(AW97,Permissible_Shear!$S$205:$S$222,Permissible_Shear!$V$205:$V$222)</f>
        <v>8.9338845315143587</v>
      </c>
      <c r="BF97" s="14">
        <f>INDEX($AZ$3:$BE$204,ROW(BF97)-2,MATCH(XS_Designer!$W$5,XS_Designer_Summary!$AZ$2:$BE$2,0))</f>
        <v>9.1915862541659319</v>
      </c>
      <c r="BG97" s="79">
        <f t="shared" si="29"/>
        <v>0</v>
      </c>
      <c r="BH97" s="79">
        <f t="shared" si="30"/>
        <v>0</v>
      </c>
      <c r="BI97" s="79">
        <f t="shared" si="31"/>
        <v>10.007380692196982</v>
      </c>
      <c r="BJ97" s="79">
        <f t="shared" si="32"/>
        <v>0</v>
      </c>
      <c r="BK97" s="79">
        <f t="shared" si="33"/>
        <v>0</v>
      </c>
      <c r="BL97" s="79">
        <f t="shared" si="34"/>
        <v>2.7588430500845949</v>
      </c>
      <c r="BM97" s="124">
        <f t="shared" si="35"/>
        <v>0</v>
      </c>
      <c r="BN97" s="124">
        <f t="shared" si="36"/>
        <v>0</v>
      </c>
      <c r="BO97" s="124">
        <f t="shared" si="37"/>
        <v>4.4212228366740298</v>
      </c>
    </row>
    <row r="98" spans="30:67">
      <c r="AD98" s="3">
        <v>94</v>
      </c>
      <c r="AE98" s="3" t="str">
        <f t="shared" si="13"/>
        <v>Left</v>
      </c>
      <c r="AF98" s="3" t="str">
        <f t="shared" si="14"/>
        <v>Channel</v>
      </c>
      <c r="AG98" s="3" t="str">
        <f>IF(XS_Designer_Summary!$AB$24&gt;=XS_Designer_Summary!AD98,"Y","N")</f>
        <v>Y</v>
      </c>
      <c r="AH98" s="45">
        <v>1</v>
      </c>
      <c r="AI98" s="45">
        <f>IF(AG98="Y",$O$19/XS_Designer_Summary!$AB$24,0)</f>
        <v>0.27201249999999999</v>
      </c>
      <c r="AJ98" s="45">
        <f t="shared" si="15"/>
        <v>0.27201249999999999</v>
      </c>
      <c r="AK98" s="14">
        <f t="shared" si="38"/>
        <v>-1.3600625000000337</v>
      </c>
      <c r="AL98" s="14">
        <f>IF(AG98="Y",LININTERP(AK98,XS_Designer_Calculations!$AY$4:$AY$104,XS_Designer_Calculations!$AZ$4:$AZ$104),AL97)</f>
        <v>0.34070312500000843</v>
      </c>
      <c r="AM98" s="14">
        <f t="shared" si="16"/>
        <v>4.6592968749999919</v>
      </c>
      <c r="AN98" s="14">
        <f t="shared" si="17"/>
        <v>1.2581381411914039</v>
      </c>
      <c r="AO98" s="46">
        <f t="shared" si="18"/>
        <v>0.28038406724708109</v>
      </c>
      <c r="AP98" s="46">
        <f t="shared" si="19"/>
        <v>4.4871955583792236</v>
      </c>
      <c r="AQ98" s="46">
        <f t="shared" si="20"/>
        <v>2.2430725379766498E-3</v>
      </c>
      <c r="AR98" s="14">
        <f>IFERROR(IF(AG98="Y",VLOOKUP(AK98,XS_Designer_Calculations!$R$5:$T$104,3,TRUE),0),0)</f>
        <v>0.04</v>
      </c>
      <c r="AS98" s="46">
        <f t="shared" si="21"/>
        <v>0.01</v>
      </c>
      <c r="AT98" s="14">
        <f t="shared" si="22"/>
        <v>127.15608401357935</v>
      </c>
      <c r="AU98" s="14">
        <f>AT98*XS_Designer_Calculations!$I$7^0.5</f>
        <v>12.715608401357935</v>
      </c>
      <c r="AV98" s="14">
        <f t="shared" si="23"/>
        <v>10.106687004430841</v>
      </c>
      <c r="AW98" s="14">
        <f t="shared" si="24"/>
        <v>2.8000100284286358</v>
      </c>
      <c r="AX98" s="14">
        <f t="shared" si="25"/>
        <v>5</v>
      </c>
      <c r="AY98" s="46">
        <f t="shared" si="26"/>
        <v>4.6252953124999916</v>
      </c>
      <c r="AZ98" s="14">
        <f>((AS98*AP98)/(1.65*XS_Designer!$S$99))*12</f>
        <v>15.716458161167294</v>
      </c>
      <c r="BA98" s="14">
        <f>(AW98/((1.65*62.4)*XS_Designer!$AA$53))*12</f>
        <v>5.4390249192475455</v>
      </c>
      <c r="BB98" s="14">
        <f t="shared" si="27"/>
        <v>9.3334875638179042</v>
      </c>
      <c r="BC98" s="14">
        <f t="shared" si="28"/>
        <v>13.121248289805198</v>
      </c>
      <c r="BD98" s="14">
        <f>IF(ISNUMBER(LININTERP(AW98,Permissible_Shear!$T$178:$T$188,Permissible_Shear!$V$178:$V$188)),LININTERP(AW98,Permissible_Shear!$T$178:$T$188,Permissible_Shear!$V$178:$V$188),0)</f>
        <v>9.0514332982714034</v>
      </c>
      <c r="BE98" s="14">
        <f>LININTERP(AW98,Permissible_Shear!$S$205:$S$222,Permissible_Shear!$V$205:$V$222)</f>
        <v>9.0625313388394879</v>
      </c>
      <c r="BF98" s="14">
        <f>INDEX($AZ$3:$BE$204,ROW(BF98)-2,MATCH(XS_Designer!$W$5,XS_Designer_Summary!$AZ$2:$BE$2,0))</f>
        <v>9.3334875638179042</v>
      </c>
      <c r="BG98" s="79">
        <f t="shared" si="29"/>
        <v>0</v>
      </c>
      <c r="BH98" s="79">
        <f t="shared" si="30"/>
        <v>0</v>
      </c>
      <c r="BI98" s="79">
        <f t="shared" si="31"/>
        <v>10.106687004430841</v>
      </c>
      <c r="BJ98" s="79">
        <f t="shared" si="32"/>
        <v>0</v>
      </c>
      <c r="BK98" s="79">
        <f t="shared" si="33"/>
        <v>0</v>
      </c>
      <c r="BL98" s="79">
        <f t="shared" si="34"/>
        <v>2.8000100284286358</v>
      </c>
      <c r="BM98" s="124">
        <f t="shared" si="35"/>
        <v>0</v>
      </c>
      <c r="BN98" s="124">
        <f t="shared" si="36"/>
        <v>0</v>
      </c>
      <c r="BO98" s="124">
        <f t="shared" si="37"/>
        <v>4.4871955583792236</v>
      </c>
    </row>
    <row r="99" spans="30:67">
      <c r="AD99" s="3">
        <v>95</v>
      </c>
      <c r="AE99" s="3" t="str">
        <f t="shared" si="13"/>
        <v>Left</v>
      </c>
      <c r="AF99" s="3" t="str">
        <f t="shared" si="14"/>
        <v>Channel</v>
      </c>
      <c r="AG99" s="3" t="str">
        <f>IF(XS_Designer_Summary!$AB$24&gt;=XS_Designer_Summary!AD99,"Y","N")</f>
        <v>Y</v>
      </c>
      <c r="AH99" s="45">
        <v>1</v>
      </c>
      <c r="AI99" s="45">
        <f>IF(AG99="Y",$O$19/XS_Designer_Summary!$AB$24,0)</f>
        <v>0.27201249999999999</v>
      </c>
      <c r="AJ99" s="45">
        <f t="shared" si="15"/>
        <v>0.27201249999999999</v>
      </c>
      <c r="AK99" s="14">
        <f t="shared" si="38"/>
        <v>-1.0880500000000337</v>
      </c>
      <c r="AL99" s="14">
        <f>IF(AG99="Y",LININTERP(AK99,XS_Designer_Calculations!$AY$4:$AY$104,XS_Designer_Calculations!$AZ$4:$AZ$104),AL98)</f>
        <v>0.27270000000000844</v>
      </c>
      <c r="AM99" s="14">
        <f t="shared" si="16"/>
        <v>4.7272999999999916</v>
      </c>
      <c r="AN99" s="14">
        <f t="shared" si="17"/>
        <v>1.2766358412304666</v>
      </c>
      <c r="AO99" s="46">
        <f t="shared" si="18"/>
        <v>0.28038406724708093</v>
      </c>
      <c r="AP99" s="46">
        <f t="shared" si="19"/>
        <v>4.5531682800844226</v>
      </c>
      <c r="AQ99" s="46">
        <f t="shared" si="20"/>
        <v>2.2430725379766485E-3</v>
      </c>
      <c r="AR99" s="14">
        <f>IFERROR(IF(AG99="Y",VLOOKUP(AK99,XS_Designer_Calculations!$R$5:$T$104,3,TRUE),0),0)</f>
        <v>0.04</v>
      </c>
      <c r="AS99" s="46">
        <f t="shared" si="21"/>
        <v>0.01</v>
      </c>
      <c r="AT99" s="14">
        <f t="shared" si="22"/>
        <v>130.2871704213039</v>
      </c>
      <c r="AU99" s="14">
        <f>AT99*XS_Designer_Calculations!$I$7^0.5</f>
        <v>13.02871704213039</v>
      </c>
      <c r="AV99" s="14">
        <f t="shared" si="23"/>
        <v>10.205507805242922</v>
      </c>
      <c r="AW99" s="14">
        <f t="shared" si="24"/>
        <v>2.8411770067726798</v>
      </c>
      <c r="AX99" s="14">
        <f t="shared" si="25"/>
        <v>5</v>
      </c>
      <c r="AY99" s="46">
        <f t="shared" si="26"/>
        <v>4.6932984374999922</v>
      </c>
      <c r="AZ99" s="14">
        <f>((AS99*AP99)/(1.65*XS_Designer!$S$99))*12</f>
        <v>15.94752843812946</v>
      </c>
      <c r="BA99" s="14">
        <f>(AW99/((1.65*62.4)*XS_Designer!$AA$53))*12</f>
        <v>5.5189918546477861</v>
      </c>
      <c r="BB99" s="14">
        <f t="shared" si="27"/>
        <v>9.4754758881242385</v>
      </c>
      <c r="BC99" s="14">
        <f t="shared" si="28"/>
        <v>13.261831143208521</v>
      </c>
      <c r="BD99" s="14">
        <f>IF(ISNUMBER(LININTERP(AW99,Permissible_Shear!$T$178:$T$188,Permissible_Shear!$V$178:$V$188)),LININTERP(AW99,Permissible_Shear!$T$178:$T$188,Permissible_Shear!$V$178:$V$188),0)</f>
        <v>9.1849884306098915</v>
      </c>
      <c r="BE99" s="14">
        <f>LININTERP(AW99,Permissible_Shear!$S$205:$S$222,Permissible_Shear!$V$205:$V$222)</f>
        <v>9.1911781461646243</v>
      </c>
      <c r="BF99" s="14">
        <f>INDEX($AZ$3:$BE$204,ROW(BF99)-2,MATCH(XS_Designer!$W$5,XS_Designer_Summary!$AZ$2:$BE$2,0))</f>
        <v>9.4754758881242385</v>
      </c>
      <c r="BG99" s="79">
        <f t="shared" si="29"/>
        <v>0</v>
      </c>
      <c r="BH99" s="79">
        <f t="shared" si="30"/>
        <v>0</v>
      </c>
      <c r="BI99" s="79">
        <f t="shared" si="31"/>
        <v>10.205507805242922</v>
      </c>
      <c r="BJ99" s="79">
        <f t="shared" si="32"/>
        <v>0</v>
      </c>
      <c r="BK99" s="79">
        <f t="shared" si="33"/>
        <v>0</v>
      </c>
      <c r="BL99" s="79">
        <f t="shared" si="34"/>
        <v>2.8411770067726798</v>
      </c>
      <c r="BM99" s="124">
        <f t="shared" si="35"/>
        <v>0</v>
      </c>
      <c r="BN99" s="124">
        <f t="shared" si="36"/>
        <v>0</v>
      </c>
      <c r="BO99" s="124">
        <f t="shared" si="37"/>
        <v>4.5531682800844226</v>
      </c>
    </row>
    <row r="100" spans="30:67">
      <c r="AD100" s="3">
        <v>96</v>
      </c>
      <c r="AE100" s="3" t="str">
        <f t="shared" si="13"/>
        <v>Left</v>
      </c>
      <c r="AF100" s="3" t="str">
        <f t="shared" si="14"/>
        <v>Channel</v>
      </c>
      <c r="AG100" s="3" t="str">
        <f>IF(XS_Designer_Summary!$AB$24&gt;=XS_Designer_Summary!AD100,"Y","N")</f>
        <v>Y</v>
      </c>
      <c r="AH100" s="45">
        <v>1</v>
      </c>
      <c r="AI100" s="45">
        <f>IF(AG100="Y",$O$19/XS_Designer_Summary!$AB$24,0)</f>
        <v>0.27201249999999999</v>
      </c>
      <c r="AJ100" s="45">
        <f t="shared" si="15"/>
        <v>0.27201249999999999</v>
      </c>
      <c r="AK100" s="14">
        <f t="shared" si="38"/>
        <v>-0.81603750000003372</v>
      </c>
      <c r="AL100" s="14">
        <f>IF(AG100="Y",LININTERP(AK100,XS_Designer_Calculations!$AY$4:$AY$104,XS_Designer_Calculations!$AZ$4:$AZ$104),AL99)</f>
        <v>0.20469687500000844</v>
      </c>
      <c r="AM100" s="14">
        <f t="shared" si="16"/>
        <v>4.7953031249999913</v>
      </c>
      <c r="AN100" s="14">
        <f t="shared" si="17"/>
        <v>1.2951335412695288</v>
      </c>
      <c r="AO100" s="46">
        <f t="shared" si="18"/>
        <v>0.28038406724708093</v>
      </c>
      <c r="AP100" s="46">
        <f t="shared" si="19"/>
        <v>4.6191410017896173</v>
      </c>
      <c r="AQ100" s="46">
        <f t="shared" si="20"/>
        <v>2.2430725379766485E-3</v>
      </c>
      <c r="AR100" s="14">
        <f>IFERROR(IF(AG100="Y",VLOOKUP(AK100,XS_Designer_Calculations!$R$5:$T$104,3,TRUE),0),0)</f>
        <v>0.04</v>
      </c>
      <c r="AS100" s="46">
        <f t="shared" si="21"/>
        <v>0.01</v>
      </c>
      <c r="AT100" s="14">
        <f t="shared" si="22"/>
        <v>133.44864915363499</v>
      </c>
      <c r="AU100" s="14">
        <f>AT100*XS_Designer_Calculations!$I$7^0.5</f>
        <v>13.3448649153635</v>
      </c>
      <c r="AV100" s="14">
        <f t="shared" si="23"/>
        <v>10.303852452375267</v>
      </c>
      <c r="AW100" s="14">
        <f t="shared" si="24"/>
        <v>2.8823439851167212</v>
      </c>
      <c r="AX100" s="14">
        <f t="shared" si="25"/>
        <v>5</v>
      </c>
      <c r="AY100" s="46">
        <f t="shared" si="26"/>
        <v>4.761301562499991</v>
      </c>
      <c r="AZ100" s="14">
        <f>((AS100*AP100)/(1.65*XS_Designer!$S$99))*12</f>
        <v>16.17859871509161</v>
      </c>
      <c r="BA100" s="14">
        <f>(AW100/((1.65*62.4)*XS_Designer!$AA$53))*12</f>
        <v>5.5989587900480222</v>
      </c>
      <c r="BB100" s="14">
        <f t="shared" si="27"/>
        <v>9.6175500274889529</v>
      </c>
      <c r="BC100" s="14">
        <f t="shared" si="28"/>
        <v>13.401880090727815</v>
      </c>
      <c r="BD100" s="14">
        <f>IF(ISNUMBER(LININTERP(AW100,Permissible_Shear!$T$178:$T$188,Permissible_Shear!$V$178:$V$188)),LININTERP(AW100,Permissible_Shear!$T$178:$T$188,Permissible_Shear!$V$178:$V$188),0)</f>
        <v>9.3185435629483724</v>
      </c>
      <c r="BE100" s="14">
        <f>LININTERP(AW100,Permissible_Shear!$S$205:$S$222,Permissible_Shear!$V$205:$V$222)</f>
        <v>9.3198249534897535</v>
      </c>
      <c r="BF100" s="14">
        <f>INDEX($AZ$3:$BE$204,ROW(BF100)-2,MATCH(XS_Designer!$W$5,XS_Designer_Summary!$AZ$2:$BE$2,0))</f>
        <v>9.6175500274889529</v>
      </c>
      <c r="BG100" s="79">
        <f t="shared" si="29"/>
        <v>0</v>
      </c>
      <c r="BH100" s="79">
        <f t="shared" si="30"/>
        <v>0</v>
      </c>
      <c r="BI100" s="79">
        <f t="shared" si="31"/>
        <v>10.303852452375267</v>
      </c>
      <c r="BJ100" s="79">
        <f t="shared" si="32"/>
        <v>0</v>
      </c>
      <c r="BK100" s="79">
        <f t="shared" si="33"/>
        <v>0</v>
      </c>
      <c r="BL100" s="79">
        <f t="shared" si="34"/>
        <v>2.8823439851167212</v>
      </c>
      <c r="BM100" s="124">
        <f t="shared" si="35"/>
        <v>0</v>
      </c>
      <c r="BN100" s="124">
        <f t="shared" si="36"/>
        <v>0</v>
      </c>
      <c r="BO100" s="124">
        <f t="shared" si="37"/>
        <v>4.6191410017896173</v>
      </c>
    </row>
    <row r="101" spans="30:67">
      <c r="AD101" s="3">
        <v>97</v>
      </c>
      <c r="AE101" s="3" t="str">
        <f t="shared" si="13"/>
        <v>Left</v>
      </c>
      <c r="AF101" s="3" t="str">
        <f t="shared" si="14"/>
        <v>Channel</v>
      </c>
      <c r="AG101" s="3" t="str">
        <f>IF(XS_Designer_Summary!$AB$24&gt;=XS_Designer_Summary!AD101,"Y","N")</f>
        <v>Y</v>
      </c>
      <c r="AH101" s="45">
        <v>1</v>
      </c>
      <c r="AI101" s="45">
        <f>IF(AG101="Y",$O$19/XS_Designer_Summary!$AB$24,0)</f>
        <v>0.27201249999999999</v>
      </c>
      <c r="AJ101" s="45">
        <f t="shared" si="15"/>
        <v>0.27201249999999999</v>
      </c>
      <c r="AK101" s="14">
        <f t="shared" si="38"/>
        <v>-0.54402500000003373</v>
      </c>
      <c r="AL101" s="14">
        <f>IF(AG101="Y",LININTERP(AK101,XS_Designer_Calculations!$AY$4:$AY$104,XS_Designer_Calculations!$AZ$4:$AZ$104),AL100)</f>
        <v>0.13669375000000844</v>
      </c>
      <c r="AM101" s="14">
        <f t="shared" si="16"/>
        <v>4.8633062499999919</v>
      </c>
      <c r="AN101" s="14">
        <f t="shared" si="17"/>
        <v>1.3136312413085913</v>
      </c>
      <c r="AO101" s="46">
        <f t="shared" si="18"/>
        <v>0.28038406724708109</v>
      </c>
      <c r="AP101" s="46">
        <f t="shared" si="19"/>
        <v>4.6851137234948101</v>
      </c>
      <c r="AQ101" s="46">
        <f t="shared" si="20"/>
        <v>2.2430725379766498E-3</v>
      </c>
      <c r="AR101" s="14">
        <f>IFERROR(IF(AG101="Y",VLOOKUP(AK101,XS_Designer_Calculations!$R$5:$T$104,3,TRUE),0),0)</f>
        <v>0.04</v>
      </c>
      <c r="AS101" s="46">
        <f t="shared" si="21"/>
        <v>0.01</v>
      </c>
      <c r="AT101" s="14">
        <f t="shared" si="22"/>
        <v>136.64037481708664</v>
      </c>
      <c r="AU101" s="14">
        <f>AT101*XS_Designer_Calculations!$I$7^0.5</f>
        <v>13.664037481708665</v>
      </c>
      <c r="AV101" s="14">
        <f t="shared" si="23"/>
        <v>10.401729992426985</v>
      </c>
      <c r="AW101" s="14">
        <f t="shared" si="24"/>
        <v>2.9235109634607612</v>
      </c>
      <c r="AX101" s="14">
        <f t="shared" si="25"/>
        <v>5</v>
      </c>
      <c r="AY101" s="46">
        <f t="shared" si="26"/>
        <v>4.8293046874999916</v>
      </c>
      <c r="AZ101" s="14">
        <f>((AS101*AP101)/(1.65*XS_Designer!$S$99))*12</f>
        <v>16.40966899205376</v>
      </c>
      <c r="BA101" s="14">
        <f>(AW101/((1.65*62.4)*XS_Designer!$AA$53))*12</f>
        <v>5.6789257254482548</v>
      </c>
      <c r="BB101" s="14">
        <f t="shared" si="27"/>
        <v>9.7597088156383247</v>
      </c>
      <c r="BC101" s="14">
        <f t="shared" si="28"/>
        <v>13.541404689138153</v>
      </c>
      <c r="BD101" s="14">
        <f>IF(ISNUMBER(LININTERP(AW101,Permissible_Shear!$T$178:$T$188,Permissible_Shear!$V$178:$V$188)),LININTERP(AW101,Permissible_Shear!$T$178:$T$188,Permissible_Shear!$V$178:$V$188),0)</f>
        <v>9.452098695286848</v>
      </c>
      <c r="BE101" s="14">
        <f>LININTERP(AW101,Permissible_Shear!$S$205:$S$222,Permissible_Shear!$V$205:$V$222)</f>
        <v>9.4484717608148792</v>
      </c>
      <c r="BF101" s="14">
        <f>INDEX($AZ$3:$BE$204,ROW(BF101)-2,MATCH(XS_Designer!$W$5,XS_Designer_Summary!$AZ$2:$BE$2,0))</f>
        <v>9.7597088156383247</v>
      </c>
      <c r="BG101" s="79">
        <f t="shared" si="29"/>
        <v>0</v>
      </c>
      <c r="BH101" s="79">
        <f t="shared" si="30"/>
        <v>0</v>
      </c>
      <c r="BI101" s="79">
        <f t="shared" si="31"/>
        <v>10.401729992426985</v>
      </c>
      <c r="BJ101" s="79">
        <f t="shared" si="32"/>
        <v>0</v>
      </c>
      <c r="BK101" s="79">
        <f t="shared" si="33"/>
        <v>0</v>
      </c>
      <c r="BL101" s="79">
        <f t="shared" si="34"/>
        <v>2.9235109634607612</v>
      </c>
      <c r="BM101" s="124">
        <f t="shared" si="35"/>
        <v>0</v>
      </c>
      <c r="BN101" s="124">
        <f t="shared" si="36"/>
        <v>0</v>
      </c>
      <c r="BO101" s="124">
        <f t="shared" si="37"/>
        <v>4.6851137234948101</v>
      </c>
    </row>
    <row r="102" spans="30:67">
      <c r="AD102" s="3">
        <v>98</v>
      </c>
      <c r="AE102" s="3" t="str">
        <f t="shared" si="13"/>
        <v>Left</v>
      </c>
      <c r="AF102" s="3" t="str">
        <f t="shared" si="14"/>
        <v>Channel</v>
      </c>
      <c r="AG102" s="3" t="str">
        <f>IF(XS_Designer_Summary!$AB$24&gt;=XS_Designer_Summary!AD102,"Y","N")</f>
        <v>Y</v>
      </c>
      <c r="AH102" s="45">
        <v>1</v>
      </c>
      <c r="AI102" s="45">
        <f>IF(AG102="Y",$O$19/XS_Designer_Summary!$AB$24,0)</f>
        <v>0.27201249999999999</v>
      </c>
      <c r="AJ102" s="45">
        <f t="shared" si="15"/>
        <v>0.27201249999999999</v>
      </c>
      <c r="AK102" s="14">
        <f t="shared" si="38"/>
        <v>-0.27201250000003374</v>
      </c>
      <c r="AL102" s="14">
        <f>IF(AG102="Y",LININTERP(AK102,XS_Designer_Calculations!$AY$4:$AY$104,XS_Designer_Calculations!$AZ$4:$AZ$104),AL101)</f>
        <v>6.8719265367324783E-2</v>
      </c>
      <c r="AM102" s="14">
        <f t="shared" si="16"/>
        <v>4.9312807346326748</v>
      </c>
      <c r="AN102" s="14">
        <f t="shared" si="17"/>
        <v>1.3321250460786964</v>
      </c>
      <c r="AO102" s="46">
        <f t="shared" si="18"/>
        <v>0.28037712231444423</v>
      </c>
      <c r="AP102" s="46">
        <f t="shared" si="19"/>
        <v>4.7511902365012224</v>
      </c>
      <c r="AQ102" s="46">
        <f t="shared" si="20"/>
        <v>2.2430169785155546E-3</v>
      </c>
      <c r="AR102" s="14">
        <f>IFERROR(IF(AG102="Y",VLOOKUP(AK102,XS_Designer_Calculations!$R$5:$T$104,3,TRUE),0),0)</f>
        <v>0.04</v>
      </c>
      <c r="AS102" s="46">
        <f t="shared" si="21"/>
        <v>0.01</v>
      </c>
      <c r="AT102" s="14">
        <f t="shared" si="22"/>
        <v>139.86383271247885</v>
      </c>
      <c r="AU102" s="14">
        <f>AT102*XS_Designer_Calculations!$I$7^0.5</f>
        <v>13.986383271247886</v>
      </c>
      <c r="AV102" s="14">
        <f t="shared" si="23"/>
        <v>10.499302083103112</v>
      </c>
      <c r="AW102" s="14">
        <f t="shared" si="24"/>
        <v>2.9647427075767627</v>
      </c>
      <c r="AX102" s="14">
        <f t="shared" si="25"/>
        <v>5</v>
      </c>
      <c r="AY102" s="46">
        <f t="shared" si="26"/>
        <v>4.8972934923163329</v>
      </c>
      <c r="AZ102" s="14">
        <f>((AS102*AP102)/(1.65*XS_Designer!$S$99))*12</f>
        <v>16.641102799337212</v>
      </c>
      <c r="BA102" s="14">
        <f>(AW102/((1.65*62.4)*XS_Designer!$AA$53))*12</f>
        <v>5.7590184684863308</v>
      </c>
      <c r="BB102" s="14">
        <f t="shared" si="27"/>
        <v>9.9018911936925083</v>
      </c>
      <c r="BC102" s="14">
        <f t="shared" si="28"/>
        <v>13.680355754699647</v>
      </c>
      <c r="BD102" s="14">
        <f>IF(ISNUMBER(LININTERP(AW102,Permissible_Shear!$T$178:$T$188,Permissible_Shear!$V$178:$V$188)),LININTERP(AW102,Permissible_Shear!$T$178:$T$188,Permissible_Shear!$V$178:$V$188),0)</f>
        <v>9.5858639426639609</v>
      </c>
      <c r="BE102" s="14">
        <f>LININTERP(AW102,Permissible_Shear!$S$205:$S$222,Permissible_Shear!$V$205:$V$222)</f>
        <v>9.5773209611773833</v>
      </c>
      <c r="BF102" s="14">
        <f>INDEX($AZ$3:$BE$204,ROW(BF102)-2,MATCH(XS_Designer!$W$5,XS_Designer_Summary!$AZ$2:$BE$2,0))</f>
        <v>9.9018911936925083</v>
      </c>
      <c r="BG102" s="79">
        <f t="shared" si="29"/>
        <v>0</v>
      </c>
      <c r="BH102" s="79">
        <f t="shared" si="30"/>
        <v>0</v>
      </c>
      <c r="BI102" s="79">
        <f t="shared" si="31"/>
        <v>10.499302083103112</v>
      </c>
      <c r="BJ102" s="79">
        <f t="shared" si="32"/>
        <v>0</v>
      </c>
      <c r="BK102" s="79">
        <f t="shared" si="33"/>
        <v>0</v>
      </c>
      <c r="BL102" s="79">
        <f t="shared" si="34"/>
        <v>2.9647427075767627</v>
      </c>
      <c r="BM102" s="124">
        <f t="shared" si="35"/>
        <v>0</v>
      </c>
      <c r="BN102" s="124">
        <f t="shared" si="36"/>
        <v>0</v>
      </c>
      <c r="BO102" s="124">
        <f t="shared" si="37"/>
        <v>4.7511902365012224</v>
      </c>
    </row>
    <row r="103" spans="30:67">
      <c r="AD103" s="3">
        <v>99</v>
      </c>
      <c r="AE103" s="3" t="str">
        <f t="shared" si="13"/>
        <v>Left</v>
      </c>
      <c r="AF103" s="3" t="str">
        <f t="shared" si="14"/>
        <v>Channel</v>
      </c>
      <c r="AG103" s="3" t="str">
        <f>IF(XS_Designer_Summary!$AB$24&gt;=XS_Designer_Summary!AD103,"Y","N")</f>
        <v>Y</v>
      </c>
      <c r="AH103" s="45">
        <v>1</v>
      </c>
      <c r="AI103" s="45">
        <f>IF(AG103="Y",$O$19/XS_Designer_Summary!$AB$24,0)</f>
        <v>0.27201249999999999</v>
      </c>
      <c r="AJ103" s="45">
        <f t="shared" si="15"/>
        <v>0.27201249999999999</v>
      </c>
      <c r="AK103" s="14">
        <f t="shared" si="38"/>
        <v>-3.3750779948604759E-14</v>
      </c>
      <c r="AL103" s="14">
        <f>IF(AG103="Y",LININTERP(AK103,XS_Designer_Calculations!$AY$4:$AY$104,XS_Designer_Calculations!$AZ$4:$AZ$104),AL102)</f>
        <v>3.3750779948604759E-14</v>
      </c>
      <c r="AM103" s="14">
        <f t="shared" si="16"/>
        <v>4.9999999999999662</v>
      </c>
      <c r="AN103" s="14">
        <f t="shared" si="17"/>
        <v>1.3507162504146304</v>
      </c>
      <c r="AO103" s="46">
        <f t="shared" si="18"/>
        <v>0.28055861702836754</v>
      </c>
      <c r="AP103" s="46">
        <f t="shared" si="19"/>
        <v>4.8143816244933166</v>
      </c>
      <c r="AQ103" s="46">
        <f t="shared" si="20"/>
        <v>2.2444689362269414E-3</v>
      </c>
      <c r="AR103" s="14">
        <f>IFERROR(IF(AG103="Y",VLOOKUP(AK103,XS_Designer_Calculations!$R$5:$T$104,3,TRUE),0),0)</f>
        <v>0.04</v>
      </c>
      <c r="AS103" s="46">
        <f t="shared" si="21"/>
        <v>0.01</v>
      </c>
      <c r="AT103" s="14">
        <f t="shared" si="22"/>
        <v>143.0704527515945</v>
      </c>
      <c r="AU103" s="14">
        <f>AT103*XS_Designer_Calculations!$I$7^0.5</f>
        <v>14.307045275159451</v>
      </c>
      <c r="AV103" s="14">
        <f t="shared" si="23"/>
        <v>10.592191565599071</v>
      </c>
      <c r="AW103" s="14">
        <f t="shared" si="24"/>
        <v>3.0041741336838292</v>
      </c>
      <c r="AX103" s="14">
        <f t="shared" si="25"/>
        <v>5</v>
      </c>
      <c r="AY103" s="46">
        <f t="shared" si="26"/>
        <v>4.9656403673163201</v>
      </c>
      <c r="AZ103" s="14">
        <f>((AS103*AP103)/(1.65*XS_Designer!$S$99))*12</f>
        <v>16.86243142043314</v>
      </c>
      <c r="BA103" s="14">
        <f>(AW103/((1.65*62.4)*XS_Designer!$AA$53))*12</f>
        <v>5.8356140902949294</v>
      </c>
      <c r="BB103" s="14">
        <f t="shared" si="27"/>
        <v>10.045715127288284</v>
      </c>
      <c r="BC103" s="14">
        <f t="shared" si="28"/>
        <v>13.820315260092446</v>
      </c>
      <c r="BD103" s="14">
        <f>IF(ISNUMBER(LININTERP(AW103,Permissible_Shear!$T$178:$T$188,Permissible_Shear!$V$178:$V$188)),LININTERP(AW103,Permissible_Shear!$T$178:$T$188,Permissible_Shear!$V$178:$V$188),0)</f>
        <v>9.7137885449510879</v>
      </c>
      <c r="BE103" s="14">
        <f>LININTERP(AW103,Permissible_Shear!$S$205:$S$222,Permissible_Shear!$V$205:$V$222)</f>
        <v>9.7005441677619668</v>
      </c>
      <c r="BF103" s="14">
        <f>INDEX($AZ$3:$BE$204,ROW(BF103)-2,MATCH(XS_Designer!$W$5,XS_Designer_Summary!$AZ$2:$BE$2,0))</f>
        <v>10.045715127288284</v>
      </c>
      <c r="BG103" s="79">
        <f t="shared" si="29"/>
        <v>0</v>
      </c>
      <c r="BH103" s="79">
        <f t="shared" si="30"/>
        <v>0</v>
      </c>
      <c r="BI103" s="79">
        <f t="shared" si="31"/>
        <v>10.592191565599071</v>
      </c>
      <c r="BJ103" s="79">
        <f t="shared" si="32"/>
        <v>0</v>
      </c>
      <c r="BK103" s="79">
        <f t="shared" si="33"/>
        <v>0</v>
      </c>
      <c r="BL103" s="79">
        <f t="shared" si="34"/>
        <v>3.0041741336838292</v>
      </c>
      <c r="BM103" s="124">
        <f t="shared" si="35"/>
        <v>0</v>
      </c>
      <c r="BN103" s="124">
        <f t="shared" si="36"/>
        <v>0</v>
      </c>
      <c r="BO103" s="124">
        <f t="shared" si="37"/>
        <v>4.8143816244933166</v>
      </c>
    </row>
    <row r="104" spans="30:67">
      <c r="AD104" s="3">
        <v>100</v>
      </c>
      <c r="AE104" s="3" t="str">
        <f t="shared" si="13"/>
        <v>Right</v>
      </c>
      <c r="AF104" s="3" t="str">
        <f t="shared" si="14"/>
        <v>Channel</v>
      </c>
      <c r="AG104" s="3" t="str">
        <f>IF(XS_Designer_Summary!$AB$24&gt;=XS_Designer_Summary!AD104,"Y","N")</f>
        <v>Y</v>
      </c>
      <c r="AH104" s="45">
        <v>1</v>
      </c>
      <c r="AI104" s="45">
        <f>IF(AG104="Y",$O$19/XS_Designer_Summary!$AB$24,0)</f>
        <v>0.27201249999999999</v>
      </c>
      <c r="AJ104" s="45">
        <f t="shared" si="15"/>
        <v>0.27201249999999999</v>
      </c>
      <c r="AK104" s="14">
        <f t="shared" si="38"/>
        <v>0.27201249999996624</v>
      </c>
      <c r="AL104" s="14">
        <f>IF(AG104="Y",LININTERP(AK104,XS_Designer_Calculations!$AY$4:$AY$104,XS_Designer_Calculations!$AZ$4:$AZ$104),AL103)</f>
        <v>6.8719265367307908E-2</v>
      </c>
      <c r="AM104" s="14">
        <f t="shared" si="16"/>
        <v>4.9312807346326917</v>
      </c>
      <c r="AN104" s="14">
        <f t="shared" si="17"/>
        <v>1.3321250460787013</v>
      </c>
      <c r="AO104" s="46">
        <f t="shared" si="18"/>
        <v>0.28037712231444423</v>
      </c>
      <c r="AP104" s="46">
        <f t="shared" si="19"/>
        <v>4.7511902365012402</v>
      </c>
      <c r="AQ104" s="46">
        <f t="shared" si="20"/>
        <v>2.2430169785155546E-3</v>
      </c>
      <c r="AR104" s="14">
        <f>IFERROR(IF(AG104="Y",VLOOKUP(AK104,XS_Designer_Calculations!$R$5:$T$104,3,TRUE),0),0)</f>
        <v>0.04</v>
      </c>
      <c r="AS104" s="46">
        <f t="shared" si="21"/>
        <v>0.01</v>
      </c>
      <c r="AT104" s="14">
        <f t="shared" si="22"/>
        <v>139.86383271247976</v>
      </c>
      <c r="AU104" s="14">
        <f>AT104*XS_Designer_Calculations!$I$7^0.5</f>
        <v>13.986383271247977</v>
      </c>
      <c r="AV104" s="14">
        <f t="shared" si="23"/>
        <v>10.499302083103142</v>
      </c>
      <c r="AW104" s="14">
        <f t="shared" si="24"/>
        <v>2.9647427075767743</v>
      </c>
      <c r="AX104" s="14">
        <f t="shared" si="25"/>
        <v>5</v>
      </c>
      <c r="AY104" s="46">
        <f t="shared" si="26"/>
        <v>4.8972934923163507</v>
      </c>
      <c r="AZ104" s="14">
        <f>((AS104*AP104)/(1.65*XS_Designer!$S$99))*12</f>
        <v>16.641102799337276</v>
      </c>
      <c r="BA104" s="14">
        <f>(AW104/((1.65*62.4)*XS_Designer!$AA$53))*12</f>
        <v>5.759018468486353</v>
      </c>
      <c r="BB104" s="14">
        <f t="shared" si="27"/>
        <v>9.9018911936925438</v>
      </c>
      <c r="BC104" s="14">
        <f t="shared" si="28"/>
        <v>13.680355754699685</v>
      </c>
      <c r="BD104" s="14">
        <f>IF(ISNUMBER(LININTERP(AW104,Permissible_Shear!$T$178:$T$188,Permissible_Shear!$V$178:$V$188)),LININTERP(AW104,Permissible_Shear!$T$178:$T$188,Permissible_Shear!$V$178:$V$188),0)</f>
        <v>9.5858639426639982</v>
      </c>
      <c r="BE104" s="14">
        <f>LININTERP(AW104,Permissible_Shear!$S$205:$S$222,Permissible_Shear!$V$205:$V$222)</f>
        <v>9.5773209611774206</v>
      </c>
      <c r="BF104" s="14">
        <f>INDEX($AZ$3:$BE$204,ROW(BF104)-2,MATCH(XS_Designer!$W$5,XS_Designer_Summary!$AZ$2:$BE$2,0))</f>
        <v>9.9018911936925438</v>
      </c>
      <c r="BG104" s="79">
        <f t="shared" si="29"/>
        <v>0</v>
      </c>
      <c r="BH104" s="79">
        <f t="shared" si="30"/>
        <v>0</v>
      </c>
      <c r="BI104" s="79">
        <f t="shared" si="31"/>
        <v>10.499302083103142</v>
      </c>
      <c r="BJ104" s="79">
        <f t="shared" si="32"/>
        <v>0</v>
      </c>
      <c r="BK104" s="79">
        <f t="shared" si="33"/>
        <v>0</v>
      </c>
      <c r="BL104" s="79">
        <f t="shared" si="34"/>
        <v>2.9647427075767743</v>
      </c>
      <c r="BM104" s="124">
        <f t="shared" si="35"/>
        <v>0</v>
      </c>
      <c r="BN104" s="124">
        <f t="shared" si="36"/>
        <v>0</v>
      </c>
      <c r="BO104" s="124">
        <f t="shared" si="37"/>
        <v>4.7511902365012402</v>
      </c>
    </row>
    <row r="105" spans="30:67">
      <c r="AD105" s="3">
        <v>101</v>
      </c>
      <c r="AE105" s="3" t="str">
        <f t="shared" si="13"/>
        <v>Right</v>
      </c>
      <c r="AF105" s="3" t="str">
        <f t="shared" si="14"/>
        <v>Channel</v>
      </c>
      <c r="AG105" s="3" t="str">
        <f>IF(XS_Designer_Summary!$AB$24&gt;=XS_Designer_Summary!AD105,"Y","N")</f>
        <v>Y</v>
      </c>
      <c r="AH105" s="45">
        <v>1</v>
      </c>
      <c r="AI105" s="45">
        <f>IF(AG105="Y",$O$19/XS_Designer_Summary!$AB$24,0)</f>
        <v>0.27201249999999999</v>
      </c>
      <c r="AJ105" s="45">
        <f t="shared" si="15"/>
        <v>0.27201249999999999</v>
      </c>
      <c r="AK105" s="14">
        <f t="shared" si="38"/>
        <v>0.54402499999996623</v>
      </c>
      <c r="AL105" s="14">
        <f>IF(AG105="Y",LININTERP(AK105,XS_Designer_Calculations!$AY$4:$AY$104,XS_Designer_Calculations!$AZ$4:$AZ$104),AL104)</f>
        <v>0.13669374999999157</v>
      </c>
      <c r="AM105" s="14">
        <f t="shared" si="16"/>
        <v>4.8633062500000088</v>
      </c>
      <c r="AN105" s="14">
        <f t="shared" si="17"/>
        <v>1.313631241308596</v>
      </c>
      <c r="AO105" s="46">
        <f t="shared" si="18"/>
        <v>0.28038406724708109</v>
      </c>
      <c r="AP105" s="46">
        <f t="shared" si="19"/>
        <v>4.685113723494827</v>
      </c>
      <c r="AQ105" s="46">
        <f t="shared" si="20"/>
        <v>2.2430725379766498E-3</v>
      </c>
      <c r="AR105" s="14">
        <f>IFERROR(IF(AG105="Y",VLOOKUP(AK105,XS_Designer_Calculations!$R$5:$T$104,3,TRUE),0),0)</f>
        <v>0.04</v>
      </c>
      <c r="AS105" s="46">
        <f t="shared" si="21"/>
        <v>0.01</v>
      </c>
      <c r="AT105" s="14">
        <f t="shared" si="22"/>
        <v>136.64037481708743</v>
      </c>
      <c r="AU105" s="14">
        <f>AT105*XS_Designer_Calculations!$I$7^0.5</f>
        <v>13.664037481708744</v>
      </c>
      <c r="AV105" s="14">
        <f t="shared" si="23"/>
        <v>10.401729992427009</v>
      </c>
      <c r="AW105" s="14">
        <f t="shared" si="24"/>
        <v>2.9235109634607723</v>
      </c>
      <c r="AX105" s="14">
        <f t="shared" si="25"/>
        <v>5</v>
      </c>
      <c r="AY105" s="46">
        <f t="shared" si="26"/>
        <v>4.8293046875000085</v>
      </c>
      <c r="AZ105" s="14">
        <f>((AS105*AP105)/(1.65*XS_Designer!$S$99))*12</f>
        <v>16.409668992053817</v>
      </c>
      <c r="BA105" s="14">
        <f>(AW105/((1.65*62.4)*XS_Designer!$AA$53))*12</f>
        <v>5.6789257254482761</v>
      </c>
      <c r="BB105" s="14">
        <f t="shared" si="27"/>
        <v>9.7597088156383585</v>
      </c>
      <c r="BC105" s="14">
        <f t="shared" si="28"/>
        <v>13.541404689138187</v>
      </c>
      <c r="BD105" s="14">
        <f>IF(ISNUMBER(LININTERP(AW105,Permissible_Shear!$T$178:$T$188,Permissible_Shear!$V$178:$V$188)),LININTERP(AW105,Permissible_Shear!$T$178:$T$188,Permissible_Shear!$V$178:$V$188),0)</f>
        <v>9.4520986952868835</v>
      </c>
      <c r="BE105" s="14">
        <f>LININTERP(AW105,Permissible_Shear!$S$205:$S$222,Permissible_Shear!$V$205:$V$222)</f>
        <v>9.4484717608149147</v>
      </c>
      <c r="BF105" s="14">
        <f>INDEX($AZ$3:$BE$204,ROW(BF105)-2,MATCH(XS_Designer!$W$5,XS_Designer_Summary!$AZ$2:$BE$2,0))</f>
        <v>9.7597088156383585</v>
      </c>
      <c r="BG105" s="79">
        <f t="shared" si="29"/>
        <v>0</v>
      </c>
      <c r="BH105" s="79">
        <f t="shared" si="30"/>
        <v>0</v>
      </c>
      <c r="BI105" s="79">
        <f t="shared" si="31"/>
        <v>10.401729992427009</v>
      </c>
      <c r="BJ105" s="79">
        <f t="shared" si="32"/>
        <v>0</v>
      </c>
      <c r="BK105" s="79">
        <f t="shared" si="33"/>
        <v>0</v>
      </c>
      <c r="BL105" s="79">
        <f t="shared" si="34"/>
        <v>2.9235109634607723</v>
      </c>
      <c r="BM105" s="124">
        <f t="shared" si="35"/>
        <v>0</v>
      </c>
      <c r="BN105" s="124">
        <f t="shared" si="36"/>
        <v>0</v>
      </c>
      <c r="BO105" s="124">
        <f t="shared" si="37"/>
        <v>4.685113723494827</v>
      </c>
    </row>
    <row r="106" spans="30:67">
      <c r="AD106" s="3">
        <v>102</v>
      </c>
      <c r="AE106" s="3" t="str">
        <f t="shared" si="13"/>
        <v>Right</v>
      </c>
      <c r="AF106" s="3" t="str">
        <f t="shared" si="14"/>
        <v>Channel</v>
      </c>
      <c r="AG106" s="3" t="str">
        <f>IF(XS_Designer_Summary!$AB$24&gt;=XS_Designer_Summary!AD106,"Y","N")</f>
        <v>Y</v>
      </c>
      <c r="AH106" s="45">
        <v>1</v>
      </c>
      <c r="AI106" s="45">
        <f>IF(AG106="Y",$O$19/XS_Designer_Summary!$AB$24,0)</f>
        <v>0.27201249999999999</v>
      </c>
      <c r="AJ106" s="45">
        <f t="shared" si="15"/>
        <v>0.27201249999999999</v>
      </c>
      <c r="AK106" s="14">
        <f t="shared" si="38"/>
        <v>0.81603749999996622</v>
      </c>
      <c r="AL106" s="14">
        <f>IF(AG106="Y",LININTERP(AK106,XS_Designer_Calculations!$AY$4:$AY$104,XS_Designer_Calculations!$AZ$4:$AZ$104),AL105)</f>
        <v>0.20469687499999156</v>
      </c>
      <c r="AM106" s="14">
        <f t="shared" si="16"/>
        <v>4.7953031250000082</v>
      </c>
      <c r="AN106" s="14">
        <f t="shared" si="17"/>
        <v>1.2951335412695335</v>
      </c>
      <c r="AO106" s="46">
        <f t="shared" si="18"/>
        <v>0.28038406724708093</v>
      </c>
      <c r="AP106" s="46">
        <f t="shared" si="19"/>
        <v>4.6191410017896342</v>
      </c>
      <c r="AQ106" s="46">
        <f t="shared" si="20"/>
        <v>2.2430725379766485E-3</v>
      </c>
      <c r="AR106" s="14">
        <f>IFERROR(IF(AG106="Y",VLOOKUP(AK106,XS_Designer_Calculations!$R$5:$T$104,3,TRUE),0),0)</f>
        <v>0.04</v>
      </c>
      <c r="AS106" s="46">
        <f t="shared" si="21"/>
        <v>0.01</v>
      </c>
      <c r="AT106" s="14">
        <f t="shared" si="22"/>
        <v>133.44864915363581</v>
      </c>
      <c r="AU106" s="14">
        <f>AT106*XS_Designer_Calculations!$I$7^0.5</f>
        <v>13.344864915363582</v>
      </c>
      <c r="AV106" s="14">
        <f t="shared" si="23"/>
        <v>10.303852452375294</v>
      </c>
      <c r="AW106" s="14">
        <f t="shared" si="24"/>
        <v>2.8823439851167318</v>
      </c>
      <c r="AX106" s="14">
        <f t="shared" si="25"/>
        <v>5</v>
      </c>
      <c r="AY106" s="46">
        <f t="shared" si="26"/>
        <v>4.7613015625000088</v>
      </c>
      <c r="AZ106" s="14">
        <f>((AS106*AP106)/(1.65*XS_Designer!$S$99))*12</f>
        <v>16.17859871509167</v>
      </c>
      <c r="BA106" s="14">
        <f>(AW106/((1.65*62.4)*XS_Designer!$AA$53))*12</f>
        <v>5.5989587900480426</v>
      </c>
      <c r="BB106" s="14">
        <f t="shared" si="27"/>
        <v>9.6175500274889902</v>
      </c>
      <c r="BC106" s="14">
        <f t="shared" si="28"/>
        <v>13.401880090727852</v>
      </c>
      <c r="BD106" s="14">
        <f>IF(ISNUMBER(LININTERP(AW106,Permissible_Shear!$T$178:$T$188,Permissible_Shear!$V$178:$V$188)),LININTERP(AW106,Permissible_Shear!$T$178:$T$188,Permissible_Shear!$V$178:$V$188),0)</f>
        <v>9.3185435629484061</v>
      </c>
      <c r="BE106" s="14">
        <f>LININTERP(AW106,Permissible_Shear!$S$205:$S$222,Permissible_Shear!$V$205:$V$222)</f>
        <v>9.3198249534897872</v>
      </c>
      <c r="BF106" s="14">
        <f>INDEX($AZ$3:$BE$204,ROW(BF106)-2,MATCH(XS_Designer!$W$5,XS_Designer_Summary!$AZ$2:$BE$2,0))</f>
        <v>9.6175500274889902</v>
      </c>
      <c r="BG106" s="79">
        <f t="shared" si="29"/>
        <v>0</v>
      </c>
      <c r="BH106" s="79">
        <f t="shared" si="30"/>
        <v>0</v>
      </c>
      <c r="BI106" s="79">
        <f t="shared" si="31"/>
        <v>10.303852452375294</v>
      </c>
      <c r="BJ106" s="79">
        <f t="shared" si="32"/>
        <v>0</v>
      </c>
      <c r="BK106" s="79">
        <f t="shared" si="33"/>
        <v>0</v>
      </c>
      <c r="BL106" s="79">
        <f t="shared" si="34"/>
        <v>2.8823439851167318</v>
      </c>
      <c r="BM106" s="124">
        <f t="shared" si="35"/>
        <v>0</v>
      </c>
      <c r="BN106" s="124">
        <f t="shared" si="36"/>
        <v>0</v>
      </c>
      <c r="BO106" s="124">
        <f t="shared" si="37"/>
        <v>4.6191410017896342</v>
      </c>
    </row>
    <row r="107" spans="30:67">
      <c r="AD107" s="3">
        <v>103</v>
      </c>
      <c r="AE107" s="3" t="str">
        <f t="shared" si="13"/>
        <v>Right</v>
      </c>
      <c r="AF107" s="3" t="str">
        <f t="shared" si="14"/>
        <v>Channel</v>
      </c>
      <c r="AG107" s="3" t="str">
        <f>IF(XS_Designer_Summary!$AB$24&gt;=XS_Designer_Summary!AD107,"Y","N")</f>
        <v>Y</v>
      </c>
      <c r="AH107" s="45">
        <v>1</v>
      </c>
      <c r="AI107" s="45">
        <f>IF(AG107="Y",$O$19/XS_Designer_Summary!$AB$24,0)</f>
        <v>0.27201249999999999</v>
      </c>
      <c r="AJ107" s="45">
        <f t="shared" si="15"/>
        <v>0.27201249999999999</v>
      </c>
      <c r="AK107" s="14">
        <f t="shared" si="38"/>
        <v>1.0880499999999662</v>
      </c>
      <c r="AL107" s="14">
        <f>IF(AG107="Y",LININTERP(AK107,XS_Designer_Calculations!$AY$4:$AY$104,XS_Designer_Calculations!$AZ$4:$AZ$104),AL106)</f>
        <v>0.27269999999999156</v>
      </c>
      <c r="AM107" s="14">
        <f t="shared" si="16"/>
        <v>4.7273000000000085</v>
      </c>
      <c r="AN107" s="14">
        <f t="shared" si="17"/>
        <v>1.276635841230471</v>
      </c>
      <c r="AO107" s="46">
        <f t="shared" si="18"/>
        <v>0.28038406724708093</v>
      </c>
      <c r="AP107" s="46">
        <f t="shared" si="19"/>
        <v>4.5531682800844386</v>
      </c>
      <c r="AQ107" s="46">
        <f t="shared" si="20"/>
        <v>2.2430725379766485E-3</v>
      </c>
      <c r="AR107" s="14">
        <f>IFERROR(IF(AG107="Y",VLOOKUP(AK107,XS_Designer_Calculations!$R$5:$T$104,3,TRUE),0),0)</f>
        <v>0.04</v>
      </c>
      <c r="AS107" s="46">
        <f t="shared" si="21"/>
        <v>0.01</v>
      </c>
      <c r="AT107" s="14">
        <f t="shared" si="22"/>
        <v>130.28717042130467</v>
      </c>
      <c r="AU107" s="14">
        <f>AT107*XS_Designer_Calculations!$I$7^0.5</f>
        <v>13.028717042130467</v>
      </c>
      <c r="AV107" s="14">
        <f t="shared" si="23"/>
        <v>10.205507805242947</v>
      </c>
      <c r="AW107" s="14">
        <f t="shared" si="24"/>
        <v>2.8411770067726896</v>
      </c>
      <c r="AX107" s="14">
        <f t="shared" si="25"/>
        <v>5</v>
      </c>
      <c r="AY107" s="46">
        <f t="shared" si="26"/>
        <v>4.6932984375000082</v>
      </c>
      <c r="AZ107" s="14">
        <f>((AS107*AP107)/(1.65*XS_Designer!$S$99))*12</f>
        <v>15.947528438129517</v>
      </c>
      <c r="BA107" s="14">
        <f>(AW107/((1.65*62.4)*XS_Designer!$AA$53))*12</f>
        <v>5.5189918546478047</v>
      </c>
      <c r="BB107" s="14">
        <f t="shared" si="27"/>
        <v>9.4754758881242722</v>
      </c>
      <c r="BC107" s="14">
        <f t="shared" si="28"/>
        <v>13.261831143208555</v>
      </c>
      <c r="BD107" s="14">
        <f>IF(ISNUMBER(LININTERP(AW107,Permissible_Shear!$T$178:$T$188,Permissible_Shear!$V$178:$V$188)),LININTERP(AW107,Permissible_Shear!$T$178:$T$188,Permissible_Shear!$V$178:$V$188),0)</f>
        <v>9.1849884306099234</v>
      </c>
      <c r="BE107" s="14">
        <f>LININTERP(AW107,Permissible_Shear!$S$205:$S$222,Permissible_Shear!$V$205:$V$222)</f>
        <v>9.1911781461646544</v>
      </c>
      <c r="BF107" s="14">
        <f>INDEX($AZ$3:$BE$204,ROW(BF107)-2,MATCH(XS_Designer!$W$5,XS_Designer_Summary!$AZ$2:$BE$2,0))</f>
        <v>9.4754758881242722</v>
      </c>
      <c r="BG107" s="79">
        <f t="shared" si="29"/>
        <v>0</v>
      </c>
      <c r="BH107" s="79">
        <f t="shared" si="30"/>
        <v>0</v>
      </c>
      <c r="BI107" s="79">
        <f t="shared" si="31"/>
        <v>10.205507805242947</v>
      </c>
      <c r="BJ107" s="79">
        <f t="shared" si="32"/>
        <v>0</v>
      </c>
      <c r="BK107" s="79">
        <f t="shared" si="33"/>
        <v>0</v>
      </c>
      <c r="BL107" s="79">
        <f t="shared" si="34"/>
        <v>2.8411770067726896</v>
      </c>
      <c r="BM107" s="124">
        <f t="shared" si="35"/>
        <v>0</v>
      </c>
      <c r="BN107" s="124">
        <f t="shared" si="36"/>
        <v>0</v>
      </c>
      <c r="BO107" s="124">
        <f t="shared" si="37"/>
        <v>4.5531682800844386</v>
      </c>
    </row>
    <row r="108" spans="30:67">
      <c r="AD108" s="3">
        <v>104</v>
      </c>
      <c r="AE108" s="3" t="str">
        <f t="shared" si="13"/>
        <v>Right</v>
      </c>
      <c r="AF108" s="3" t="str">
        <f t="shared" si="14"/>
        <v>Channel</v>
      </c>
      <c r="AG108" s="3" t="str">
        <f>IF(XS_Designer_Summary!$AB$24&gt;=XS_Designer_Summary!AD108,"Y","N")</f>
        <v>Y</v>
      </c>
      <c r="AH108" s="45">
        <v>1</v>
      </c>
      <c r="AI108" s="45">
        <f>IF(AG108="Y",$O$19/XS_Designer_Summary!$AB$24,0)</f>
        <v>0.27201249999999999</v>
      </c>
      <c r="AJ108" s="45">
        <f t="shared" si="15"/>
        <v>0.27201249999999999</v>
      </c>
      <c r="AK108" s="14">
        <f t="shared" si="38"/>
        <v>1.3600624999999662</v>
      </c>
      <c r="AL108" s="14">
        <f>IF(AG108="Y",LININTERP(AK108,XS_Designer_Calculations!$AY$4:$AY$104,XS_Designer_Calculations!$AZ$4:$AZ$104),AL107)</f>
        <v>0.34070312499999156</v>
      </c>
      <c r="AM108" s="14">
        <f t="shared" si="16"/>
        <v>4.6592968750000088</v>
      </c>
      <c r="AN108" s="14">
        <f t="shared" si="17"/>
        <v>1.2581381411914085</v>
      </c>
      <c r="AO108" s="46">
        <f t="shared" si="18"/>
        <v>0.28038406724708109</v>
      </c>
      <c r="AP108" s="46">
        <f t="shared" si="19"/>
        <v>4.4871955583792404</v>
      </c>
      <c r="AQ108" s="46">
        <f t="shared" si="20"/>
        <v>2.2430725379766498E-3</v>
      </c>
      <c r="AR108" s="14">
        <f>IFERROR(IF(AG108="Y",VLOOKUP(AK108,XS_Designer_Calculations!$R$5:$T$104,3,TRUE),0),0)</f>
        <v>0.04</v>
      </c>
      <c r="AS108" s="46">
        <f t="shared" si="21"/>
        <v>0.01</v>
      </c>
      <c r="AT108" s="14">
        <f t="shared" si="22"/>
        <v>127.15608401358017</v>
      </c>
      <c r="AU108" s="14">
        <f>AT108*XS_Designer_Calculations!$I$7^0.5</f>
        <v>12.715608401358018</v>
      </c>
      <c r="AV108" s="14">
        <f t="shared" si="23"/>
        <v>10.106687004430869</v>
      </c>
      <c r="AW108" s="14">
        <f t="shared" si="24"/>
        <v>2.800010028428646</v>
      </c>
      <c r="AX108" s="14">
        <f t="shared" si="25"/>
        <v>5</v>
      </c>
      <c r="AY108" s="46">
        <f t="shared" si="26"/>
        <v>4.6252953125000085</v>
      </c>
      <c r="AZ108" s="14">
        <f>((AS108*AP108)/(1.65*XS_Designer!$S$99))*12</f>
        <v>15.716458161167353</v>
      </c>
      <c r="BA108" s="14">
        <f>(AW108/((1.65*62.4)*XS_Designer!$AA$53))*12</f>
        <v>5.439024919247565</v>
      </c>
      <c r="BB108" s="14">
        <f t="shared" si="27"/>
        <v>9.3334875638179398</v>
      </c>
      <c r="BC108" s="14">
        <f t="shared" si="28"/>
        <v>13.121248289805235</v>
      </c>
      <c r="BD108" s="14">
        <f>IF(ISNUMBER(LININTERP(AW108,Permissible_Shear!$T$178:$T$188,Permissible_Shear!$V$178:$V$188)),LININTERP(AW108,Permissible_Shear!$T$178:$T$188,Permissible_Shear!$V$178:$V$188),0)</f>
        <v>9.0514332982714354</v>
      </c>
      <c r="BE108" s="14">
        <f>LININTERP(AW108,Permissible_Shear!$S$205:$S$222,Permissible_Shear!$V$205:$V$222)</f>
        <v>9.0625313388395199</v>
      </c>
      <c r="BF108" s="14">
        <f>INDEX($AZ$3:$BE$204,ROW(BF108)-2,MATCH(XS_Designer!$W$5,XS_Designer_Summary!$AZ$2:$BE$2,0))</f>
        <v>9.3334875638179398</v>
      </c>
      <c r="BG108" s="79">
        <f t="shared" si="29"/>
        <v>0</v>
      </c>
      <c r="BH108" s="79">
        <f t="shared" si="30"/>
        <v>0</v>
      </c>
      <c r="BI108" s="79">
        <f t="shared" si="31"/>
        <v>10.106687004430869</v>
      </c>
      <c r="BJ108" s="79">
        <f t="shared" si="32"/>
        <v>0</v>
      </c>
      <c r="BK108" s="79">
        <f t="shared" si="33"/>
        <v>0</v>
      </c>
      <c r="BL108" s="79">
        <f t="shared" si="34"/>
        <v>2.800010028428646</v>
      </c>
      <c r="BM108" s="124">
        <f t="shared" si="35"/>
        <v>0</v>
      </c>
      <c r="BN108" s="124">
        <f t="shared" si="36"/>
        <v>0</v>
      </c>
      <c r="BO108" s="124">
        <f t="shared" si="37"/>
        <v>4.4871955583792404</v>
      </c>
    </row>
    <row r="109" spans="30:67">
      <c r="AD109" s="3">
        <v>105</v>
      </c>
      <c r="AE109" s="3" t="str">
        <f t="shared" si="13"/>
        <v>Right</v>
      </c>
      <c r="AF109" s="3" t="str">
        <f t="shared" si="14"/>
        <v>Channel</v>
      </c>
      <c r="AG109" s="3" t="str">
        <f>IF(XS_Designer_Summary!$AB$24&gt;=XS_Designer_Summary!AD109,"Y","N")</f>
        <v>Y</v>
      </c>
      <c r="AH109" s="45">
        <v>1</v>
      </c>
      <c r="AI109" s="45">
        <f>IF(AG109="Y",$O$19/XS_Designer_Summary!$AB$24,0)</f>
        <v>0.27201249999999999</v>
      </c>
      <c r="AJ109" s="45">
        <f t="shared" si="15"/>
        <v>0.27201249999999999</v>
      </c>
      <c r="AK109" s="14">
        <f t="shared" si="38"/>
        <v>1.6320749999999662</v>
      </c>
      <c r="AL109" s="14">
        <f>IF(AG109="Y",LININTERP(AK109,XS_Designer_Calculations!$AY$4:$AY$104,XS_Designer_Calculations!$AZ$4:$AZ$104),AL108)</f>
        <v>0.40870624999999161</v>
      </c>
      <c r="AM109" s="14">
        <f t="shared" si="16"/>
        <v>4.5912937500000082</v>
      </c>
      <c r="AN109" s="14">
        <f t="shared" si="17"/>
        <v>1.2396404411523461</v>
      </c>
      <c r="AO109" s="46">
        <f t="shared" si="18"/>
        <v>0.28038406724708093</v>
      </c>
      <c r="AP109" s="46">
        <f t="shared" si="19"/>
        <v>4.4212228366740476</v>
      </c>
      <c r="AQ109" s="46">
        <f t="shared" si="20"/>
        <v>2.2430725379766485E-3</v>
      </c>
      <c r="AR109" s="14">
        <f>IFERROR(IF(AG109="Y",VLOOKUP(AK109,XS_Designer_Calculations!$R$5:$T$104,3,TRUE),0),0)</f>
        <v>0.04</v>
      </c>
      <c r="AS109" s="46">
        <f t="shared" si="21"/>
        <v>0.01</v>
      </c>
      <c r="AT109" s="14">
        <f t="shared" si="22"/>
        <v>124.05553816054568</v>
      </c>
      <c r="AU109" s="14">
        <f>AT109*XS_Designer_Calculations!$I$7^0.5</f>
        <v>12.405553816054569</v>
      </c>
      <c r="AV109" s="14">
        <f t="shared" si="23"/>
        <v>10.007380692197009</v>
      </c>
      <c r="AW109" s="14">
        <f t="shared" si="24"/>
        <v>2.7588430500846055</v>
      </c>
      <c r="AX109" s="14">
        <f t="shared" si="25"/>
        <v>5</v>
      </c>
      <c r="AY109" s="46">
        <f t="shared" si="26"/>
        <v>4.5572921875000088</v>
      </c>
      <c r="AZ109" s="14">
        <f>((AS109*AP109)/(1.65*XS_Designer!$S$99))*12</f>
        <v>15.485387884205206</v>
      </c>
      <c r="BA109" s="14">
        <f>(AW109/((1.65*62.4)*XS_Designer!$AA$53))*12</f>
        <v>5.3590579838473307</v>
      </c>
      <c r="BB109" s="14">
        <f t="shared" si="27"/>
        <v>9.1915862541659674</v>
      </c>
      <c r="BC109" s="14">
        <f t="shared" si="28"/>
        <v>12.980121657242305</v>
      </c>
      <c r="BD109" s="14">
        <f>IF(ISNUMBER(LININTERP(AW109,Permissible_Shear!$T$178:$T$188,Permissible_Shear!$V$178:$V$188)),LININTERP(AW109,Permissible_Shear!$T$178:$T$188,Permissible_Shear!$V$178:$V$188),0)</f>
        <v>8.917878165932958</v>
      </c>
      <c r="BE109" s="14">
        <f>LININTERP(AW109,Permissible_Shear!$S$205:$S$222,Permissible_Shear!$V$205:$V$222)</f>
        <v>8.9338845315143924</v>
      </c>
      <c r="BF109" s="14">
        <f>INDEX($AZ$3:$BE$204,ROW(BF109)-2,MATCH(XS_Designer!$W$5,XS_Designer_Summary!$AZ$2:$BE$2,0))</f>
        <v>9.1915862541659674</v>
      </c>
      <c r="BG109" s="79">
        <f t="shared" si="29"/>
        <v>0</v>
      </c>
      <c r="BH109" s="79">
        <f t="shared" si="30"/>
        <v>0</v>
      </c>
      <c r="BI109" s="79">
        <f t="shared" si="31"/>
        <v>10.007380692197009</v>
      </c>
      <c r="BJ109" s="79">
        <f t="shared" si="32"/>
        <v>0</v>
      </c>
      <c r="BK109" s="79">
        <f t="shared" si="33"/>
        <v>0</v>
      </c>
      <c r="BL109" s="79">
        <f t="shared" si="34"/>
        <v>2.7588430500846055</v>
      </c>
      <c r="BM109" s="124">
        <f t="shared" si="35"/>
        <v>0</v>
      </c>
      <c r="BN109" s="124">
        <f t="shared" si="36"/>
        <v>0</v>
      </c>
      <c r="BO109" s="124">
        <f t="shared" si="37"/>
        <v>4.4212228366740476</v>
      </c>
    </row>
    <row r="110" spans="30:67">
      <c r="AD110" s="3">
        <v>106</v>
      </c>
      <c r="AE110" s="3" t="str">
        <f t="shared" si="13"/>
        <v>Right</v>
      </c>
      <c r="AF110" s="3" t="str">
        <f t="shared" si="14"/>
        <v>Channel</v>
      </c>
      <c r="AG110" s="3" t="str">
        <f>IF(XS_Designer_Summary!$AB$24&gt;=XS_Designer_Summary!AD110,"Y","N")</f>
        <v>Y</v>
      </c>
      <c r="AH110" s="45">
        <v>1</v>
      </c>
      <c r="AI110" s="45">
        <f>IF(AG110="Y",$O$19/XS_Designer_Summary!$AB$24,0)</f>
        <v>0.27201249999999999</v>
      </c>
      <c r="AJ110" s="45">
        <f t="shared" si="15"/>
        <v>0.27201249999999999</v>
      </c>
      <c r="AK110" s="14">
        <f t="shared" si="38"/>
        <v>1.9040874999999662</v>
      </c>
      <c r="AL110" s="14">
        <f>IF(AG110="Y",LININTERP(AK110,XS_Designer_Calculations!$AY$4:$AY$104,XS_Designer_Calculations!$AZ$4:$AZ$104),AL109)</f>
        <v>0.47670937499999161</v>
      </c>
      <c r="AM110" s="14">
        <f t="shared" si="16"/>
        <v>4.5232906250000084</v>
      </c>
      <c r="AN110" s="14">
        <f t="shared" si="17"/>
        <v>1.2151975679101596</v>
      </c>
      <c r="AO110" s="46">
        <f t="shared" si="18"/>
        <v>0.29405982558892457</v>
      </c>
      <c r="AP110" s="46">
        <f t="shared" si="19"/>
        <v>4.1324841483410326</v>
      </c>
      <c r="AQ110" s="46">
        <f t="shared" si="20"/>
        <v>2.3524786047113976E-3</v>
      </c>
      <c r="AR110" s="14">
        <f>IFERROR(IF(AG110="Y",VLOOKUP(AK110,XS_Designer_Calculations!$R$5:$T$104,3,TRUE),0),0)</f>
        <v>0.04</v>
      </c>
      <c r="AS110" s="46">
        <f t="shared" si="21"/>
        <v>0.01</v>
      </c>
      <c r="AT110" s="14">
        <f t="shared" si="22"/>
        <v>116.25541049841834</v>
      </c>
      <c r="AU110" s="14">
        <f>AT110*XS_Designer_Calculations!$I$7^0.5</f>
        <v>11.625541049841836</v>
      </c>
      <c r="AV110" s="14">
        <f t="shared" si="23"/>
        <v>9.5667909127195685</v>
      </c>
      <c r="AW110" s="14">
        <f t="shared" si="24"/>
        <v>2.5786701085648041</v>
      </c>
      <c r="AX110" s="14">
        <f t="shared" si="25"/>
        <v>5</v>
      </c>
      <c r="AY110" s="46">
        <f t="shared" si="26"/>
        <v>4.4674328125000127</v>
      </c>
      <c r="AZ110" s="14">
        <f>((AS110*AP110)/(1.65*XS_Designer!$S$99))*12</f>
        <v>14.474077043022422</v>
      </c>
      <c r="BA110" s="14">
        <f>(AW110/((1.65*62.4)*XS_Designer!$AA$53))*12</f>
        <v>5.0090716949588279</v>
      </c>
      <c r="BB110" s="14">
        <f t="shared" si="27"/>
        <v>9.0497731935462866</v>
      </c>
      <c r="BC110" s="14">
        <f t="shared" si="28"/>
        <v>12.838441040408346</v>
      </c>
      <c r="BD110" s="14">
        <f>IF(ISNUMBER(LININTERP(AW110,Permissible_Shear!$T$178:$T$188,Permissible_Shear!$V$178:$V$188)),LININTERP(AW110,Permissible_Shear!$T$178:$T$188,Permissible_Shear!$V$178:$V$188),0)</f>
        <v>8.3333557643277096</v>
      </c>
      <c r="BE110" s="14">
        <f>LININTERP(AW110,Permissible_Shear!$S$205:$S$222,Permissible_Shear!$V$205:$V$222)</f>
        <v>8.3708440892650131</v>
      </c>
      <c r="BF110" s="14">
        <f>INDEX($AZ$3:$BE$204,ROW(BF110)-2,MATCH(XS_Designer!$W$5,XS_Designer_Summary!$AZ$2:$BE$2,0))</f>
        <v>9.0497731935462866</v>
      </c>
      <c r="BG110" s="79">
        <f t="shared" si="29"/>
        <v>0</v>
      </c>
      <c r="BH110" s="79">
        <f t="shared" si="30"/>
        <v>0</v>
      </c>
      <c r="BI110" s="79">
        <f t="shared" si="31"/>
        <v>9.5667909127195685</v>
      </c>
      <c r="BJ110" s="79">
        <f t="shared" si="32"/>
        <v>0</v>
      </c>
      <c r="BK110" s="79">
        <f t="shared" si="33"/>
        <v>0</v>
      </c>
      <c r="BL110" s="79">
        <f t="shared" si="34"/>
        <v>2.5786701085648041</v>
      </c>
      <c r="BM110" s="124">
        <f t="shared" si="35"/>
        <v>0</v>
      </c>
      <c r="BN110" s="124">
        <f t="shared" si="36"/>
        <v>0</v>
      </c>
      <c r="BO110" s="124">
        <f t="shared" si="37"/>
        <v>4.1324841483410326</v>
      </c>
    </row>
    <row r="111" spans="30:67">
      <c r="AD111" s="3">
        <v>107</v>
      </c>
      <c r="AE111" s="3" t="str">
        <f t="shared" si="13"/>
        <v>Right</v>
      </c>
      <c r="AF111" s="3" t="str">
        <f t="shared" si="14"/>
        <v>Channel</v>
      </c>
      <c r="AG111" s="3" t="str">
        <f>IF(XS_Designer_Summary!$AB$24&gt;=XS_Designer_Summary!AD111,"Y","N")</f>
        <v>Y</v>
      </c>
      <c r="AH111" s="45">
        <v>1</v>
      </c>
      <c r="AI111" s="45">
        <f>IF(AG111="Y",$O$19/XS_Designer_Summary!$AB$24,0)</f>
        <v>0.27201249999999999</v>
      </c>
      <c r="AJ111" s="45">
        <f t="shared" si="15"/>
        <v>0.27201249999999999</v>
      </c>
      <c r="AK111" s="14">
        <f t="shared" si="38"/>
        <v>2.1760999999999662</v>
      </c>
      <c r="AL111" s="14">
        <f>IF(AG111="Y",LININTERP(AK111,XS_Designer_Calculations!$AY$4:$AY$104,XS_Designer_Calculations!$AZ$4:$AZ$104),AL110)</f>
        <v>0.58842499999998321</v>
      </c>
      <c r="AM111" s="14">
        <f t="shared" si="16"/>
        <v>4.4115750000000169</v>
      </c>
      <c r="AN111" s="14">
        <f t="shared" si="17"/>
        <v>1.1815058446484419</v>
      </c>
      <c r="AO111" s="46">
        <f t="shared" si="18"/>
        <v>0.30411922036483069</v>
      </c>
      <c r="AP111" s="46">
        <f t="shared" si="19"/>
        <v>3.8850087910625031</v>
      </c>
      <c r="AQ111" s="46">
        <f t="shared" si="20"/>
        <v>2.4329537629186465E-3</v>
      </c>
      <c r="AR111" s="14">
        <f>IFERROR(IF(AG111="Y",VLOOKUP(AK111,XS_Designer_Calculations!$R$5:$T$104,3,TRUE),0),0)</f>
        <v>0.04</v>
      </c>
      <c r="AS111" s="46">
        <f t="shared" si="21"/>
        <v>0.01</v>
      </c>
      <c r="AT111" s="14">
        <f t="shared" si="22"/>
        <v>108.47326097977327</v>
      </c>
      <c r="AU111" s="14">
        <f>AT111*XS_Designer_Calculations!$I$7^0.5</f>
        <v>10.847326097977328</v>
      </c>
      <c r="AV111" s="14">
        <f t="shared" si="23"/>
        <v>9.1809330839196654</v>
      </c>
      <c r="AW111" s="14">
        <f t="shared" si="24"/>
        <v>2.4242454856230018</v>
      </c>
      <c r="AX111" s="14">
        <f t="shared" si="25"/>
        <v>5</v>
      </c>
      <c r="AY111" s="46">
        <f t="shared" si="26"/>
        <v>4.3435718750000163</v>
      </c>
      <c r="AZ111" s="14">
        <f>((AS111*AP111)/(1.65*XS_Designer!$S$99))*12</f>
        <v>13.607291531228768</v>
      </c>
      <c r="BA111" s="14">
        <f>(AW111/((1.65*62.4)*XS_Designer!$AA$53))*12</f>
        <v>4.7091015649242465</v>
      </c>
      <c r="BB111" s="14">
        <f t="shared" si="27"/>
        <v>8.8169974436851444</v>
      </c>
      <c r="BC111" s="14">
        <f t="shared" si="28"/>
        <v>12.604457372610865</v>
      </c>
      <c r="BD111" s="14">
        <f>IF(ISNUMBER(LININTERP(AW111,Permissible_Shear!$T$178:$T$188,Permissible_Shear!$V$178:$V$188)),LININTERP(AW111,Permissible_Shear!$T$178:$T$188,Permissible_Shear!$V$178:$V$188),0)</f>
        <v>7.8323668216622693</v>
      </c>
      <c r="BE111" s="14">
        <f>LININTERP(AW111,Permissible_Shear!$S$205:$S$222,Permissible_Shear!$V$205:$V$222)</f>
        <v>7.8882671425718813</v>
      </c>
      <c r="BF111" s="14">
        <f>INDEX($AZ$3:$BE$204,ROW(BF111)-2,MATCH(XS_Designer!$W$5,XS_Designer_Summary!$AZ$2:$BE$2,0))</f>
        <v>8.8169974436851444</v>
      </c>
      <c r="BG111" s="79">
        <f t="shared" si="29"/>
        <v>0</v>
      </c>
      <c r="BH111" s="79">
        <f t="shared" si="30"/>
        <v>0</v>
      </c>
      <c r="BI111" s="79">
        <f t="shared" si="31"/>
        <v>9.1809330839196654</v>
      </c>
      <c r="BJ111" s="79">
        <f t="shared" si="32"/>
        <v>0</v>
      </c>
      <c r="BK111" s="79">
        <f t="shared" si="33"/>
        <v>0</v>
      </c>
      <c r="BL111" s="79">
        <f t="shared" si="34"/>
        <v>2.4242454856230018</v>
      </c>
      <c r="BM111" s="124">
        <f t="shared" si="35"/>
        <v>0</v>
      </c>
      <c r="BN111" s="124">
        <f t="shared" si="36"/>
        <v>0</v>
      </c>
      <c r="BO111" s="124">
        <f t="shared" si="37"/>
        <v>3.8850087910625031</v>
      </c>
    </row>
    <row r="112" spans="30:67">
      <c r="AD112" s="3">
        <v>108</v>
      </c>
      <c r="AE112" s="3" t="str">
        <f t="shared" si="13"/>
        <v>Right</v>
      </c>
      <c r="AF112" s="3" t="str">
        <f t="shared" si="14"/>
        <v>Channel</v>
      </c>
      <c r="AG112" s="3" t="str">
        <f>IF(XS_Designer_Summary!$AB$24&gt;=XS_Designer_Summary!AD112,"Y","N")</f>
        <v>Y</v>
      </c>
      <c r="AH112" s="45">
        <v>1</v>
      </c>
      <c r="AI112" s="45">
        <f>IF(AG112="Y",$O$19/XS_Designer_Summary!$AB$24,0)</f>
        <v>0.27201249999999999</v>
      </c>
      <c r="AJ112" s="45">
        <f t="shared" si="15"/>
        <v>0.27201249999999999</v>
      </c>
      <c r="AK112" s="14">
        <f t="shared" si="38"/>
        <v>2.4481124999999659</v>
      </c>
      <c r="AL112" s="14">
        <f>IF(AG112="Y",LININTERP(AK112,XS_Designer_Calculations!$AY$4:$AY$104,XS_Designer_Calculations!$AZ$4:$AZ$104),AL111)</f>
        <v>0.7244312499999831</v>
      </c>
      <c r="AM112" s="14">
        <f t="shared" si="16"/>
        <v>4.2755687500000166</v>
      </c>
      <c r="AN112" s="14">
        <f t="shared" si="17"/>
        <v>1.1445104445703171</v>
      </c>
      <c r="AO112" s="46">
        <f t="shared" si="18"/>
        <v>0.3041192203648303</v>
      </c>
      <c r="AP112" s="46">
        <f t="shared" si="19"/>
        <v>3.7633611029165763</v>
      </c>
      <c r="AQ112" s="46">
        <f t="shared" si="20"/>
        <v>2.4329537629186435E-3</v>
      </c>
      <c r="AR112" s="14">
        <f>IFERROR(IF(AG112="Y",VLOOKUP(AK112,XS_Designer_Calculations!$R$5:$T$104,3,TRUE),0),0)</f>
        <v>0.04</v>
      </c>
      <c r="AS112" s="46">
        <f t="shared" si="21"/>
        <v>0.01</v>
      </c>
      <c r="AT112" s="14">
        <f t="shared" si="22"/>
        <v>102.87168172272757</v>
      </c>
      <c r="AU112" s="14">
        <f>AT112*XS_Designer_Calculations!$I$7^0.5</f>
        <v>10.287168172272757</v>
      </c>
      <c r="AV112" s="14">
        <f t="shared" si="23"/>
        <v>8.9882693697346401</v>
      </c>
      <c r="AW112" s="14">
        <f t="shared" si="24"/>
        <v>2.3483373282199436</v>
      </c>
      <c r="AX112" s="14">
        <f t="shared" si="25"/>
        <v>5</v>
      </c>
      <c r="AY112" s="46">
        <f t="shared" si="26"/>
        <v>4.2075656250000169</v>
      </c>
      <c r="AZ112" s="14">
        <f>((AS112*AP112)/(1.65*XS_Designer!$S$99))*12</f>
        <v>13.181218992986475</v>
      </c>
      <c r="BA112" s="14">
        <f>(AW112/((1.65*62.4)*XS_Designer!$AA$53))*12</f>
        <v>4.5616498217170625</v>
      </c>
      <c r="BB112" s="14">
        <f t="shared" si="27"/>
        <v>8.5339432721056099</v>
      </c>
      <c r="BC112" s="14">
        <f t="shared" si="28"/>
        <v>12.317470220363203</v>
      </c>
      <c r="BD112" s="14">
        <f>IF(ISNUMBER(LININTERP(AW112,Permissible_Shear!$T$178:$T$188,Permissible_Shear!$V$178:$V$188)),LININTERP(AW112,Permissible_Shear!$T$178:$T$188,Permissible_Shear!$V$178:$V$188),0)</f>
        <v>7.5861033256434256</v>
      </c>
      <c r="BE112" s="14">
        <f>LININTERP(AW112,Permissible_Shear!$S$205:$S$222,Permissible_Shear!$V$205:$V$222)</f>
        <v>7.6510541506873242</v>
      </c>
      <c r="BF112" s="14">
        <f>INDEX($AZ$3:$BE$204,ROW(BF112)-2,MATCH(XS_Designer!$W$5,XS_Designer_Summary!$AZ$2:$BE$2,0))</f>
        <v>8.5339432721056099</v>
      </c>
      <c r="BG112" s="79">
        <f t="shared" si="29"/>
        <v>0</v>
      </c>
      <c r="BH112" s="79">
        <f t="shared" si="30"/>
        <v>0</v>
      </c>
      <c r="BI112" s="79">
        <f t="shared" si="31"/>
        <v>8.9882693697346401</v>
      </c>
      <c r="BJ112" s="79">
        <f t="shared" si="32"/>
        <v>0</v>
      </c>
      <c r="BK112" s="79">
        <f t="shared" si="33"/>
        <v>0</v>
      </c>
      <c r="BL112" s="79">
        <f t="shared" si="34"/>
        <v>2.3483373282199436</v>
      </c>
      <c r="BM112" s="124">
        <f t="shared" si="35"/>
        <v>0</v>
      </c>
      <c r="BN112" s="124">
        <f t="shared" si="36"/>
        <v>0</v>
      </c>
      <c r="BO112" s="124">
        <f t="shared" si="37"/>
        <v>3.7633611029165763</v>
      </c>
    </row>
    <row r="113" spans="30:67">
      <c r="AD113" s="3">
        <v>109</v>
      </c>
      <c r="AE113" s="3" t="str">
        <f t="shared" si="13"/>
        <v>Right</v>
      </c>
      <c r="AF113" s="3" t="str">
        <f t="shared" si="14"/>
        <v>Channel</v>
      </c>
      <c r="AG113" s="3" t="str">
        <f>IF(XS_Designer_Summary!$AB$24&gt;=XS_Designer_Summary!AD113,"Y","N")</f>
        <v>Y</v>
      </c>
      <c r="AH113" s="45">
        <v>1</v>
      </c>
      <c r="AI113" s="45">
        <f>IF(AG113="Y",$O$19/XS_Designer_Summary!$AB$24,0)</f>
        <v>0.27201249999999999</v>
      </c>
      <c r="AJ113" s="45">
        <f t="shared" si="15"/>
        <v>0.27201249999999999</v>
      </c>
      <c r="AK113" s="14">
        <f t="shared" si="38"/>
        <v>2.7201249999999657</v>
      </c>
      <c r="AL113" s="14">
        <f>IF(AG113="Y",LININTERP(AK113,XS_Designer_Calculations!$AY$4:$AY$104,XS_Designer_Calculations!$AZ$4:$AZ$104),AL112)</f>
        <v>0.86043749999998298</v>
      </c>
      <c r="AM113" s="14">
        <f t="shared" si="16"/>
        <v>4.1395625000000171</v>
      </c>
      <c r="AN113" s="14">
        <f t="shared" si="17"/>
        <v>1.1075150444921922</v>
      </c>
      <c r="AO113" s="46">
        <f t="shared" si="18"/>
        <v>0.30411922036483069</v>
      </c>
      <c r="AP113" s="46">
        <f t="shared" si="19"/>
        <v>3.6417134147706394</v>
      </c>
      <c r="AQ113" s="46">
        <f t="shared" si="20"/>
        <v>2.4329537629186465E-3</v>
      </c>
      <c r="AR113" s="14">
        <f>IFERROR(IF(AG113="Y",VLOOKUP(AK113,XS_Designer_Calculations!$R$5:$T$104,3,TRUE),0),0)</f>
        <v>0.04</v>
      </c>
      <c r="AS113" s="46">
        <f t="shared" si="21"/>
        <v>0.01</v>
      </c>
      <c r="AT113" s="14">
        <f t="shared" si="22"/>
        <v>97.389535942938338</v>
      </c>
      <c r="AU113" s="14">
        <f>AT113*XS_Designer_Calculations!$I$7^0.5</f>
        <v>9.7389535942938341</v>
      </c>
      <c r="AV113" s="14">
        <f t="shared" si="23"/>
        <v>8.7935181040897294</v>
      </c>
      <c r="AW113" s="14">
        <f t="shared" si="24"/>
        <v>2.2724291708168791</v>
      </c>
      <c r="AX113" s="14">
        <f t="shared" si="25"/>
        <v>5</v>
      </c>
      <c r="AY113" s="46">
        <f t="shared" si="26"/>
        <v>4.0715593750000174</v>
      </c>
      <c r="AZ113" s="14">
        <f>((AS113*AP113)/(1.65*XS_Designer!$S$99))*12</f>
        <v>12.755146454744143</v>
      </c>
      <c r="BA113" s="14">
        <f>(AW113/((1.65*62.4)*XS_Designer!$AA$53))*12</f>
        <v>4.4141980785098669</v>
      </c>
      <c r="BB113" s="14">
        <f t="shared" si="27"/>
        <v>8.2512670775661601</v>
      </c>
      <c r="BC113" s="14">
        <f t="shared" si="28"/>
        <v>12.028057772292973</v>
      </c>
      <c r="BD113" s="14">
        <f>IF(ISNUMBER(LININTERP(AW113,Permissible_Shear!$T$178:$T$188,Permissible_Shear!$V$178:$V$188)),LININTERP(AW113,Permissible_Shear!$T$178:$T$188,Permissible_Shear!$V$178:$V$188),0)</f>
        <v>7.3479924643203107</v>
      </c>
      <c r="BE113" s="14">
        <f>LININTERP(AW113,Permissible_Shear!$S$205:$S$222,Permissible_Shear!$V$205:$V$222)</f>
        <v>7.4138411588027475</v>
      </c>
      <c r="BF113" s="14">
        <f>INDEX($AZ$3:$BE$204,ROW(BF113)-2,MATCH(XS_Designer!$W$5,XS_Designer_Summary!$AZ$2:$BE$2,0))</f>
        <v>8.2512670775661601</v>
      </c>
      <c r="BG113" s="79">
        <f t="shared" si="29"/>
        <v>0</v>
      </c>
      <c r="BH113" s="79">
        <f t="shared" si="30"/>
        <v>0</v>
      </c>
      <c r="BI113" s="79">
        <f t="shared" si="31"/>
        <v>8.7935181040897294</v>
      </c>
      <c r="BJ113" s="79">
        <f t="shared" si="32"/>
        <v>0</v>
      </c>
      <c r="BK113" s="79">
        <f t="shared" si="33"/>
        <v>0</v>
      </c>
      <c r="BL113" s="79">
        <f t="shared" si="34"/>
        <v>2.2724291708168791</v>
      </c>
      <c r="BM113" s="124">
        <f t="shared" si="35"/>
        <v>0</v>
      </c>
      <c r="BN113" s="124">
        <f t="shared" si="36"/>
        <v>0</v>
      </c>
      <c r="BO113" s="124">
        <f t="shared" si="37"/>
        <v>3.6417134147706394</v>
      </c>
    </row>
    <row r="114" spans="30:67">
      <c r="AD114" s="3">
        <v>110</v>
      </c>
      <c r="AE114" s="3" t="str">
        <f t="shared" si="13"/>
        <v>Right</v>
      </c>
      <c r="AF114" s="3" t="str">
        <f t="shared" si="14"/>
        <v>Channel</v>
      </c>
      <c r="AG114" s="3" t="str">
        <f>IF(XS_Designer_Summary!$AB$24&gt;=XS_Designer_Summary!AD114,"Y","N")</f>
        <v>Y</v>
      </c>
      <c r="AH114" s="45">
        <v>1</v>
      </c>
      <c r="AI114" s="45">
        <f>IF(AG114="Y",$O$19/XS_Designer_Summary!$AB$24,0)</f>
        <v>0.27201249999999999</v>
      </c>
      <c r="AJ114" s="45">
        <f t="shared" si="15"/>
        <v>0.27201249999999999</v>
      </c>
      <c r="AK114" s="14">
        <f t="shared" si="38"/>
        <v>2.9921374999999655</v>
      </c>
      <c r="AL114" s="14">
        <f>IF(AG114="Y",LININTERP(AK114,XS_Designer_Calculations!$AY$4:$AY$104,XS_Designer_Calculations!$AZ$4:$AZ$104),AL113)</f>
        <v>0.99644374999998286</v>
      </c>
      <c r="AM114" s="14">
        <f t="shared" si="16"/>
        <v>4.0035562500000168</v>
      </c>
      <c r="AN114" s="14">
        <f t="shared" si="17"/>
        <v>1.0705196444140672</v>
      </c>
      <c r="AO114" s="46">
        <f t="shared" si="18"/>
        <v>0.3041192203648303</v>
      </c>
      <c r="AP114" s="46">
        <f t="shared" si="19"/>
        <v>3.5200657266247117</v>
      </c>
      <c r="AQ114" s="46">
        <f t="shared" si="20"/>
        <v>2.4329537629186435E-3</v>
      </c>
      <c r="AR114" s="14">
        <f>IFERROR(IF(AG114="Y",VLOOKUP(AK114,XS_Designer_Calculations!$R$5:$T$104,3,TRUE),0),0)</f>
        <v>0.04</v>
      </c>
      <c r="AS114" s="46">
        <f t="shared" si="21"/>
        <v>0.01</v>
      </c>
      <c r="AT114" s="14">
        <f t="shared" si="22"/>
        <v>92.028139270142248</v>
      </c>
      <c r="AU114" s="14">
        <f>AT114*XS_Designer_Calculations!$I$7^0.5</f>
        <v>9.2028139270142244</v>
      </c>
      <c r="AV114" s="14">
        <f t="shared" si="23"/>
        <v>8.5965857563045898</v>
      </c>
      <c r="AW114" s="14">
        <f t="shared" si="24"/>
        <v>2.19652101341382</v>
      </c>
      <c r="AX114" s="14">
        <f t="shared" si="25"/>
        <v>5</v>
      </c>
      <c r="AY114" s="46">
        <f t="shared" si="26"/>
        <v>3.9355531250000175</v>
      </c>
      <c r="AZ114" s="14">
        <f>((AS114*AP114)/(1.65*XS_Designer!$S$99))*12</f>
        <v>12.329073916501848</v>
      </c>
      <c r="BA114" s="14">
        <f>(AW114/((1.65*62.4)*XS_Designer!$AA$53))*12</f>
        <v>4.2667463353026811</v>
      </c>
      <c r="BB114" s="14">
        <f t="shared" si="27"/>
        <v>7.9689807530140468</v>
      </c>
      <c r="BC114" s="14">
        <f t="shared" si="28"/>
        <v>11.736118793333519</v>
      </c>
      <c r="BD114" s="14">
        <f>IF(ISNUMBER(LININTERP(AW114,Permissible_Shear!$T$178:$T$188,Permissible_Shear!$V$178:$V$188)),LININTERP(AW114,Permissible_Shear!$T$178:$T$188,Permissible_Shear!$V$178:$V$188),0)</f>
        <v>7.1108875280707604</v>
      </c>
      <c r="BE114" s="14">
        <f>LININTERP(AW114,Permissible_Shear!$S$205:$S$222,Permissible_Shear!$V$205:$V$222)</f>
        <v>7.1766281669181877</v>
      </c>
      <c r="BF114" s="14">
        <f>INDEX($AZ$3:$BE$204,ROW(BF114)-2,MATCH(XS_Designer!$W$5,XS_Designer_Summary!$AZ$2:$BE$2,0))</f>
        <v>7.9689807530140468</v>
      </c>
      <c r="BG114" s="79">
        <f t="shared" si="29"/>
        <v>0</v>
      </c>
      <c r="BH114" s="79">
        <f t="shared" si="30"/>
        <v>0</v>
      </c>
      <c r="BI114" s="79">
        <f t="shared" si="31"/>
        <v>8.5965857563045898</v>
      </c>
      <c r="BJ114" s="79">
        <f t="shared" si="32"/>
        <v>0</v>
      </c>
      <c r="BK114" s="79">
        <f t="shared" si="33"/>
        <v>0</v>
      </c>
      <c r="BL114" s="79">
        <f t="shared" si="34"/>
        <v>2.19652101341382</v>
      </c>
      <c r="BM114" s="124">
        <f t="shared" si="35"/>
        <v>0</v>
      </c>
      <c r="BN114" s="124">
        <f t="shared" si="36"/>
        <v>0</v>
      </c>
      <c r="BO114" s="124">
        <f t="shared" si="37"/>
        <v>3.5200657266247117</v>
      </c>
    </row>
    <row r="115" spans="30:67">
      <c r="AD115" s="3">
        <v>111</v>
      </c>
      <c r="AE115" s="3" t="str">
        <f t="shared" si="13"/>
        <v>Right</v>
      </c>
      <c r="AF115" s="3" t="str">
        <f t="shared" si="14"/>
        <v>Channel</v>
      </c>
      <c r="AG115" s="3" t="str">
        <f>IF(XS_Designer_Summary!$AB$24&gt;=XS_Designer_Summary!AD115,"Y","N")</f>
        <v>Y</v>
      </c>
      <c r="AH115" s="45">
        <v>1</v>
      </c>
      <c r="AI115" s="45">
        <f>IF(AG115="Y",$O$19/XS_Designer_Summary!$AB$24,0)</f>
        <v>0.27201249999999999</v>
      </c>
      <c r="AJ115" s="45">
        <f t="shared" si="15"/>
        <v>0.27201249999999999</v>
      </c>
      <c r="AK115" s="14">
        <f t="shared" si="38"/>
        <v>3.2641499999999652</v>
      </c>
      <c r="AL115" s="14">
        <f>IF(AG115="Y",LININTERP(AK115,XS_Designer_Calculations!$AY$4:$AY$104,XS_Designer_Calculations!$AZ$4:$AZ$104),AL114)</f>
        <v>1.1324499999999826</v>
      </c>
      <c r="AM115" s="14">
        <f t="shared" si="16"/>
        <v>3.8675500000000174</v>
      </c>
      <c r="AN115" s="14">
        <f t="shared" si="17"/>
        <v>1.0335242443359423</v>
      </c>
      <c r="AO115" s="46">
        <f t="shared" si="18"/>
        <v>0.30411922036483052</v>
      </c>
      <c r="AP115" s="46">
        <f t="shared" si="19"/>
        <v>3.398418038478777</v>
      </c>
      <c r="AQ115" s="46">
        <f t="shared" si="20"/>
        <v>2.4329537629186452E-3</v>
      </c>
      <c r="AR115" s="14">
        <f>IFERROR(IF(AG115="Y",VLOOKUP(AK115,XS_Designer_Calculations!$R$5:$T$104,3,TRUE),0),0)</f>
        <v>0.04</v>
      </c>
      <c r="AS115" s="46">
        <f t="shared" si="21"/>
        <v>0.01</v>
      </c>
      <c r="AT115" s="14">
        <f t="shared" si="22"/>
        <v>86.788867300559659</v>
      </c>
      <c r="AU115" s="14">
        <f>AT115*XS_Designer_Calculations!$I$7^0.5</f>
        <v>8.6788867300559662</v>
      </c>
      <c r="AV115" s="14">
        <f t="shared" si="23"/>
        <v>8.3973712059675059</v>
      </c>
      <c r="AW115" s="14">
        <f t="shared" si="24"/>
        <v>2.1206128560107569</v>
      </c>
      <c r="AX115" s="14">
        <f t="shared" si="25"/>
        <v>5</v>
      </c>
      <c r="AY115" s="46">
        <f t="shared" si="26"/>
        <v>3.7995468750000176</v>
      </c>
      <c r="AZ115" s="14">
        <f>((AS115*AP115)/(1.65*XS_Designer!$S$99))*12</f>
        <v>11.903001378259527</v>
      </c>
      <c r="BA115" s="14">
        <f>(AW115/((1.65*62.4)*XS_Designer!$AA$53))*12</f>
        <v>4.1192945920954873</v>
      </c>
      <c r="BB115" s="14">
        <f t="shared" si="27"/>
        <v>7.6870969823474553</v>
      </c>
      <c r="BC115" s="14">
        <f t="shared" si="28"/>
        <v>11.441544221298104</v>
      </c>
      <c r="BD115" s="14">
        <f>IF(ISNUMBER(LININTERP(AW115,Permissible_Shear!$T$178:$T$188,Permissible_Shear!$V$178:$V$188)),LININTERP(AW115,Permissible_Shear!$T$178:$T$188,Permissible_Shear!$V$178:$V$188),0)</f>
        <v>6.8737825918211986</v>
      </c>
      <c r="BE115" s="14">
        <f>LININTERP(AW115,Permissible_Shear!$S$205:$S$222,Permissible_Shear!$V$205:$V$222)</f>
        <v>6.9394151750336155</v>
      </c>
      <c r="BF115" s="14">
        <f>INDEX($AZ$3:$BE$204,ROW(BF115)-2,MATCH(XS_Designer!$W$5,XS_Designer_Summary!$AZ$2:$BE$2,0))</f>
        <v>7.6870969823474553</v>
      </c>
      <c r="BG115" s="79">
        <f t="shared" si="29"/>
        <v>0</v>
      </c>
      <c r="BH115" s="79">
        <f t="shared" si="30"/>
        <v>0</v>
      </c>
      <c r="BI115" s="79">
        <f t="shared" si="31"/>
        <v>8.3973712059675059</v>
      </c>
      <c r="BJ115" s="79">
        <f t="shared" si="32"/>
        <v>0</v>
      </c>
      <c r="BK115" s="79">
        <f t="shared" si="33"/>
        <v>0</v>
      </c>
      <c r="BL115" s="79">
        <f t="shared" si="34"/>
        <v>2.1206128560107569</v>
      </c>
      <c r="BM115" s="124">
        <f t="shared" si="35"/>
        <v>0</v>
      </c>
      <c r="BN115" s="124">
        <f t="shared" si="36"/>
        <v>0</v>
      </c>
      <c r="BO115" s="124">
        <f t="shared" si="37"/>
        <v>3.398418038478777</v>
      </c>
    </row>
    <row r="116" spans="30:67">
      <c r="AD116" s="3">
        <v>112</v>
      </c>
      <c r="AE116" s="3" t="str">
        <f t="shared" si="13"/>
        <v>Right</v>
      </c>
      <c r="AF116" s="3" t="str">
        <f t="shared" si="14"/>
        <v>Channel</v>
      </c>
      <c r="AG116" s="3" t="str">
        <f>IF(XS_Designer_Summary!$AB$24&gt;=XS_Designer_Summary!AD116,"Y","N")</f>
        <v>Y</v>
      </c>
      <c r="AH116" s="45">
        <v>1</v>
      </c>
      <c r="AI116" s="45">
        <f>IF(AG116="Y",$O$19/XS_Designer_Summary!$AB$24,0)</f>
        <v>0.27201249999999999</v>
      </c>
      <c r="AJ116" s="45">
        <f t="shared" si="15"/>
        <v>0.27201249999999999</v>
      </c>
      <c r="AK116" s="14">
        <f t="shared" si="38"/>
        <v>3.536162499999965</v>
      </c>
      <c r="AL116" s="14">
        <f>IF(AG116="Y",LININTERP(AK116,XS_Designer_Calculations!$AY$4:$AY$104,XS_Designer_Calculations!$AZ$4:$AZ$104),AL115)</f>
        <v>1.2684562499999825</v>
      </c>
      <c r="AM116" s="14">
        <f t="shared" si="16"/>
        <v>3.7315437500000175</v>
      </c>
      <c r="AN116" s="14">
        <f t="shared" si="17"/>
        <v>0.99652884425781718</v>
      </c>
      <c r="AO116" s="46">
        <f t="shared" si="18"/>
        <v>0.30411922036483052</v>
      </c>
      <c r="AP116" s="46">
        <f t="shared" si="19"/>
        <v>3.2767703503328445</v>
      </c>
      <c r="AQ116" s="46">
        <f t="shared" si="20"/>
        <v>2.4329537629186452E-3</v>
      </c>
      <c r="AR116" s="14">
        <f>IFERROR(IF(AG116="Y",VLOOKUP(AK116,XS_Designer_Calculations!$R$5:$T$104,3,TRUE),0),0)</f>
        <v>0.04</v>
      </c>
      <c r="AS116" s="46">
        <f t="shared" si="21"/>
        <v>0.01</v>
      </c>
      <c r="AT116" s="14">
        <f t="shared" si="22"/>
        <v>81.673160550810834</v>
      </c>
      <c r="AU116" s="14">
        <f>AT116*XS_Designer_Calculations!$I$7^0.5</f>
        <v>8.1673160550810842</v>
      </c>
      <c r="AV116" s="14">
        <f t="shared" si="23"/>
        <v>8.1957648312366107</v>
      </c>
      <c r="AW116" s="14">
        <f t="shared" si="24"/>
        <v>2.0447046986076951</v>
      </c>
      <c r="AX116" s="14">
        <f t="shared" si="25"/>
        <v>5</v>
      </c>
      <c r="AY116" s="46">
        <f t="shared" si="26"/>
        <v>3.6635406250000173</v>
      </c>
      <c r="AZ116" s="14">
        <f>((AS116*AP116)/(1.65*XS_Designer!$S$99))*12</f>
        <v>11.476928840017212</v>
      </c>
      <c r="BA116" s="14">
        <f>(AW116/((1.65*62.4)*XS_Designer!$AA$53))*12</f>
        <v>3.9718428488882971</v>
      </c>
      <c r="BB116" s="14">
        <f t="shared" si="27"/>
        <v>7.4056293226954848</v>
      </c>
      <c r="BC116" s="14">
        <f t="shared" si="28"/>
        <v>11.144216263474085</v>
      </c>
      <c r="BD116" s="14">
        <f>IF(ISNUMBER(LININTERP(AW116,Permissible_Shear!$T$178:$T$188,Permissible_Shear!$V$178:$V$188)),LININTERP(AW116,Permissible_Shear!$T$178:$T$188,Permissible_Shear!$V$178:$V$188),0)</f>
        <v>6.6366776555716394</v>
      </c>
      <c r="BE116" s="14">
        <f>LININTERP(AW116,Permissible_Shear!$S$205:$S$222,Permissible_Shear!$V$205:$V$222)</f>
        <v>6.7022021831490477</v>
      </c>
      <c r="BF116" s="14">
        <f>INDEX($AZ$3:$BE$204,ROW(BF116)-2,MATCH(XS_Designer!$W$5,XS_Designer_Summary!$AZ$2:$BE$2,0))</f>
        <v>7.4056293226954848</v>
      </c>
      <c r="BG116" s="79">
        <f t="shared" si="29"/>
        <v>0</v>
      </c>
      <c r="BH116" s="79">
        <f t="shared" si="30"/>
        <v>0</v>
      </c>
      <c r="BI116" s="79">
        <f t="shared" si="31"/>
        <v>8.1957648312366107</v>
      </c>
      <c r="BJ116" s="79">
        <f t="shared" si="32"/>
        <v>0</v>
      </c>
      <c r="BK116" s="79">
        <f t="shared" si="33"/>
        <v>0</v>
      </c>
      <c r="BL116" s="79">
        <f t="shared" si="34"/>
        <v>2.0447046986076951</v>
      </c>
      <c r="BM116" s="124">
        <f t="shared" si="35"/>
        <v>0</v>
      </c>
      <c r="BN116" s="124">
        <f t="shared" si="36"/>
        <v>0</v>
      </c>
      <c r="BO116" s="124">
        <f t="shared" si="37"/>
        <v>3.2767703503328445</v>
      </c>
    </row>
    <row r="117" spans="30:67">
      <c r="AD117" s="3">
        <v>113</v>
      </c>
      <c r="AE117" s="3" t="str">
        <f t="shared" si="13"/>
        <v>Right</v>
      </c>
      <c r="AF117" s="3" t="str">
        <f t="shared" si="14"/>
        <v>Channel</v>
      </c>
      <c r="AG117" s="3" t="str">
        <f>IF(XS_Designer_Summary!$AB$24&gt;=XS_Designer_Summary!AD117,"Y","N")</f>
        <v>Y</v>
      </c>
      <c r="AH117" s="45">
        <v>1</v>
      </c>
      <c r="AI117" s="45">
        <f>IF(AG117="Y",$O$19/XS_Designer_Summary!$AB$24,0)</f>
        <v>0.27201249999999999</v>
      </c>
      <c r="AJ117" s="45">
        <f t="shared" si="15"/>
        <v>0.27201249999999999</v>
      </c>
      <c r="AK117" s="14">
        <f t="shared" si="38"/>
        <v>3.8081749999999648</v>
      </c>
      <c r="AL117" s="14">
        <f>IF(AG117="Y",LININTERP(AK117,XS_Designer_Calculations!$AY$4:$AY$104,XS_Designer_Calculations!$AZ$4:$AZ$104),AL116)</f>
        <v>1.4044624999999824</v>
      </c>
      <c r="AM117" s="14">
        <f t="shared" si="16"/>
        <v>3.5955375000000176</v>
      </c>
      <c r="AN117" s="14">
        <f t="shared" si="17"/>
        <v>0.95953344417969233</v>
      </c>
      <c r="AO117" s="46">
        <f t="shared" si="18"/>
        <v>0.30411922036483052</v>
      </c>
      <c r="AP117" s="46">
        <f t="shared" si="19"/>
        <v>3.1551226621869124</v>
      </c>
      <c r="AQ117" s="46">
        <f t="shared" si="20"/>
        <v>2.4329537629186452E-3</v>
      </c>
      <c r="AR117" s="14">
        <f>IFERROR(IF(AG117="Y",VLOOKUP(AK117,XS_Designer_Calculations!$R$5:$T$104,3,TRUE),0),0)</f>
        <v>0.04</v>
      </c>
      <c r="AS117" s="46">
        <f t="shared" si="21"/>
        <v>0.01</v>
      </c>
      <c r="AT117" s="14">
        <f t="shared" si="22"/>
        <v>76.682530018113994</v>
      </c>
      <c r="AU117" s="14">
        <f>AT117*XS_Designer_Calculations!$I$7^0.5</f>
        <v>7.6682530018113999</v>
      </c>
      <c r="AV117" s="14">
        <f t="shared" si="23"/>
        <v>7.9916474494195562</v>
      </c>
      <c r="AW117" s="14">
        <f t="shared" si="24"/>
        <v>1.9687965412046333</v>
      </c>
      <c r="AX117" s="14">
        <f t="shared" si="25"/>
        <v>5</v>
      </c>
      <c r="AY117" s="46">
        <f t="shared" si="26"/>
        <v>3.5275343750000179</v>
      </c>
      <c r="AZ117" s="14">
        <f>((AS117*AP117)/(1.65*XS_Designer!$S$99))*12</f>
        <v>11.0508563017749</v>
      </c>
      <c r="BA117" s="14">
        <f>(AW117/((1.65*62.4)*XS_Designer!$AA$53))*12</f>
        <v>3.8243911056811064</v>
      </c>
      <c r="BB117" s="14">
        <f t="shared" si="27"/>
        <v>7.124592298571172</v>
      </c>
      <c r="BC117" s="14">
        <f t="shared" si="28"/>
        <v>10.844007351985256</v>
      </c>
      <c r="BD117" s="14">
        <f>IF(ISNUMBER(LININTERP(AW117,Permissible_Shear!$T$178:$T$188,Permissible_Shear!$V$178:$V$188)),LININTERP(AW117,Permissible_Shear!$T$178:$T$188,Permissible_Shear!$V$178:$V$188),0)</f>
        <v>6.3995727193220802</v>
      </c>
      <c r="BE117" s="14">
        <f>LININTERP(AW117,Permissible_Shear!$S$205:$S$222,Permissible_Shear!$V$205:$V$222)</f>
        <v>6.464989191264479</v>
      </c>
      <c r="BF117" s="14">
        <f>INDEX($AZ$3:$BE$204,ROW(BF117)-2,MATCH(XS_Designer!$W$5,XS_Designer_Summary!$AZ$2:$BE$2,0))</f>
        <v>7.124592298571172</v>
      </c>
      <c r="BG117" s="79">
        <f t="shared" si="29"/>
        <v>0</v>
      </c>
      <c r="BH117" s="79">
        <f t="shared" si="30"/>
        <v>0</v>
      </c>
      <c r="BI117" s="79">
        <f t="shared" si="31"/>
        <v>7.9916474494195562</v>
      </c>
      <c r="BJ117" s="79">
        <f t="shared" si="32"/>
        <v>0</v>
      </c>
      <c r="BK117" s="79">
        <f t="shared" si="33"/>
        <v>0</v>
      </c>
      <c r="BL117" s="79">
        <f t="shared" si="34"/>
        <v>1.9687965412046333</v>
      </c>
      <c r="BM117" s="124">
        <f t="shared" si="35"/>
        <v>0</v>
      </c>
      <c r="BN117" s="124">
        <f t="shared" si="36"/>
        <v>0</v>
      </c>
      <c r="BO117" s="124">
        <f t="shared" si="37"/>
        <v>3.1551226621869124</v>
      </c>
    </row>
    <row r="118" spans="30:67">
      <c r="AD118" s="3">
        <v>114</v>
      </c>
      <c r="AE118" s="3" t="str">
        <f t="shared" si="13"/>
        <v>Right</v>
      </c>
      <c r="AF118" s="3" t="str">
        <f t="shared" si="14"/>
        <v>Channel</v>
      </c>
      <c r="AG118" s="3" t="str">
        <f>IF(XS_Designer_Summary!$AB$24&gt;=XS_Designer_Summary!AD118,"Y","N")</f>
        <v>Y</v>
      </c>
      <c r="AH118" s="45">
        <v>1</v>
      </c>
      <c r="AI118" s="45">
        <f>IF(AG118="Y",$O$19/XS_Designer_Summary!$AB$24,0)</f>
        <v>0.27201249999999999</v>
      </c>
      <c r="AJ118" s="45">
        <f t="shared" si="15"/>
        <v>0.27201249999999999</v>
      </c>
      <c r="AK118" s="14">
        <f t="shared" si="38"/>
        <v>4.0801874999999646</v>
      </c>
      <c r="AL118" s="14">
        <f>IF(AG118="Y",LININTERP(AK118,XS_Designer_Calculations!$AY$4:$AY$104,XS_Designer_Calculations!$AZ$4:$AZ$104),AL117)</f>
        <v>1.5404687499999823</v>
      </c>
      <c r="AM118" s="14">
        <f t="shared" si="16"/>
        <v>3.4595312500000177</v>
      </c>
      <c r="AN118" s="14">
        <f t="shared" si="17"/>
        <v>0.92253804410156726</v>
      </c>
      <c r="AO118" s="46">
        <f t="shared" si="18"/>
        <v>0.30411922036483052</v>
      </c>
      <c r="AP118" s="46">
        <f t="shared" si="19"/>
        <v>3.0334749740409799</v>
      </c>
      <c r="AQ118" s="46">
        <f t="shared" si="20"/>
        <v>2.4329537629186452E-3</v>
      </c>
      <c r="AR118" s="14">
        <f>IFERROR(IF(AG118="Y",VLOOKUP(AK118,XS_Designer_Calculations!$R$5:$T$104,3,TRUE),0),0)</f>
        <v>0.04</v>
      </c>
      <c r="AS118" s="46">
        <f t="shared" si="21"/>
        <v>0.01</v>
      </c>
      <c r="AT118" s="14">
        <f t="shared" si="22"/>
        <v>71.818563446935613</v>
      </c>
      <c r="AU118" s="14">
        <f>AT118*XS_Designer_Calculations!$I$7^0.5</f>
        <v>7.1818563446935615</v>
      </c>
      <c r="AV118" s="14">
        <f t="shared" si="23"/>
        <v>7.7848890792224843</v>
      </c>
      <c r="AW118" s="14">
        <f t="shared" si="24"/>
        <v>1.8928883838015713</v>
      </c>
      <c r="AX118" s="14">
        <f t="shared" si="25"/>
        <v>5</v>
      </c>
      <c r="AY118" s="46">
        <f t="shared" si="26"/>
        <v>3.3915281250000175</v>
      </c>
      <c r="AZ118" s="14">
        <f>((AS118*AP118)/(1.65*XS_Designer!$S$99))*12</f>
        <v>10.624783763532585</v>
      </c>
      <c r="BA118" s="14">
        <f>(AW118/((1.65*62.4)*XS_Designer!$AA$53))*12</f>
        <v>3.6769393624739148</v>
      </c>
      <c r="BB118" s="14">
        <f t="shared" si="27"/>
        <v>6.8440015101254943</v>
      </c>
      <c r="BC118" s="14">
        <f t="shared" si="28"/>
        <v>10.540778929622684</v>
      </c>
      <c r="BD118" s="14">
        <f>IF(ISNUMBER(LININTERP(AW118,Permissible_Shear!$T$178:$T$188,Permissible_Shear!$V$178:$V$188)),LININTERP(AW118,Permissible_Shear!$T$178:$T$188,Permissible_Shear!$V$178:$V$188),0)</f>
        <v>6.1624677830725219</v>
      </c>
      <c r="BE118" s="14">
        <f>LININTERP(AW118,Permissible_Shear!$S$205:$S$222,Permissible_Shear!$V$205:$V$222)</f>
        <v>6.2277761993799103</v>
      </c>
      <c r="BF118" s="14">
        <f>INDEX($AZ$3:$BE$204,ROW(BF118)-2,MATCH(XS_Designer!$W$5,XS_Designer_Summary!$AZ$2:$BE$2,0))</f>
        <v>6.8440015101254943</v>
      </c>
      <c r="BG118" s="79">
        <f t="shared" si="29"/>
        <v>0</v>
      </c>
      <c r="BH118" s="79">
        <f t="shared" si="30"/>
        <v>0</v>
      </c>
      <c r="BI118" s="79">
        <f t="shared" si="31"/>
        <v>7.7848890792224843</v>
      </c>
      <c r="BJ118" s="79">
        <f t="shared" si="32"/>
        <v>0</v>
      </c>
      <c r="BK118" s="79">
        <f t="shared" si="33"/>
        <v>0</v>
      </c>
      <c r="BL118" s="79">
        <f t="shared" si="34"/>
        <v>1.8928883838015713</v>
      </c>
      <c r="BM118" s="124">
        <f t="shared" si="35"/>
        <v>0</v>
      </c>
      <c r="BN118" s="124">
        <f t="shared" si="36"/>
        <v>0</v>
      </c>
      <c r="BO118" s="124">
        <f t="shared" si="37"/>
        <v>3.0334749740409799</v>
      </c>
    </row>
    <row r="119" spans="30:67">
      <c r="AD119" s="3">
        <v>115</v>
      </c>
      <c r="AE119" s="3" t="str">
        <f t="shared" si="13"/>
        <v>Right</v>
      </c>
      <c r="AF119" s="3" t="str">
        <f t="shared" si="14"/>
        <v>Channel</v>
      </c>
      <c r="AG119" s="3" t="str">
        <f>IF(XS_Designer_Summary!$AB$24&gt;=XS_Designer_Summary!AD119,"Y","N")</f>
        <v>Y</v>
      </c>
      <c r="AH119" s="45">
        <v>1</v>
      </c>
      <c r="AI119" s="45">
        <f>IF(AG119="Y",$O$19/XS_Designer_Summary!$AB$24,0)</f>
        <v>0.27201249999999999</v>
      </c>
      <c r="AJ119" s="45">
        <f t="shared" si="15"/>
        <v>0.27201249999999999</v>
      </c>
      <c r="AK119" s="14">
        <f t="shared" si="38"/>
        <v>4.3521999999999643</v>
      </c>
      <c r="AL119" s="14">
        <f>IF(AG119="Y",LININTERP(AK119,XS_Designer_Calculations!$AY$4:$AY$104,XS_Designer_Calculations!$AZ$4:$AZ$104),AL118)</f>
        <v>1.6764749999999822</v>
      </c>
      <c r="AM119" s="14">
        <f t="shared" si="16"/>
        <v>3.3235250000000178</v>
      </c>
      <c r="AN119" s="14">
        <f t="shared" si="17"/>
        <v>0.8855426440234424</v>
      </c>
      <c r="AO119" s="46">
        <f t="shared" si="18"/>
        <v>0.30411922036483052</v>
      </c>
      <c r="AP119" s="46">
        <f t="shared" si="19"/>
        <v>2.9118272858950478</v>
      </c>
      <c r="AQ119" s="46">
        <f t="shared" si="20"/>
        <v>2.4329537629186452E-3</v>
      </c>
      <c r="AR119" s="14">
        <f>IFERROR(IF(AG119="Y",VLOOKUP(AK119,XS_Designer_Calculations!$R$5:$T$104,3,TRUE),0),0)</f>
        <v>0.04</v>
      </c>
      <c r="AS119" s="46">
        <f t="shared" si="21"/>
        <v>0.01</v>
      </c>
      <c r="AT119" s="14">
        <f t="shared" si="22"/>
        <v>67.082932423444561</v>
      </c>
      <c r="AU119" s="14">
        <f>AT119*XS_Designer_Calculations!$I$7^0.5</f>
        <v>6.7082932423444568</v>
      </c>
      <c r="AV119" s="14">
        <f t="shared" si="23"/>
        <v>7.5753474862209709</v>
      </c>
      <c r="AW119" s="14">
        <f t="shared" si="24"/>
        <v>1.81698022639851</v>
      </c>
      <c r="AX119" s="14">
        <f t="shared" si="25"/>
        <v>5</v>
      </c>
      <c r="AY119" s="46">
        <f t="shared" si="26"/>
        <v>3.2555218750000181</v>
      </c>
      <c r="AZ119" s="14">
        <f>((AS119*AP119)/(1.65*XS_Designer!$S$99))*12</f>
        <v>10.198711225290271</v>
      </c>
      <c r="BA119" s="14">
        <f>(AW119/((1.65*62.4)*XS_Designer!$AA$53))*12</f>
        <v>3.5294876192667255</v>
      </c>
      <c r="BB119" s="14">
        <f t="shared" si="27"/>
        <v>6.5638737582525311</v>
      </c>
      <c r="BC119" s="14">
        <f t="shared" si="28"/>
        <v>10.234380030827928</v>
      </c>
      <c r="BD119" s="14">
        <f>IF(ISNUMBER(LININTERP(AW119,Permissible_Shear!$T$178:$T$188,Permissible_Shear!$V$178:$V$188)),LININTERP(AW119,Permissible_Shear!$T$178:$T$188,Permissible_Shear!$V$178:$V$188),0)</f>
        <v>5.9253628468229644</v>
      </c>
      <c r="BE119" s="14">
        <f>LININTERP(AW119,Permissible_Shear!$S$205:$S$222,Permissible_Shear!$V$205:$V$222)</f>
        <v>5.9905632074953434</v>
      </c>
      <c r="BF119" s="14">
        <f>INDEX($AZ$3:$BE$204,ROW(BF119)-2,MATCH(XS_Designer!$W$5,XS_Designer_Summary!$AZ$2:$BE$2,0))</f>
        <v>6.5638737582525311</v>
      </c>
      <c r="BG119" s="79">
        <f t="shared" si="29"/>
        <v>0</v>
      </c>
      <c r="BH119" s="79">
        <f t="shared" si="30"/>
        <v>0</v>
      </c>
      <c r="BI119" s="79">
        <f t="shared" si="31"/>
        <v>7.5753474862209709</v>
      </c>
      <c r="BJ119" s="79">
        <f t="shared" si="32"/>
        <v>0</v>
      </c>
      <c r="BK119" s="79">
        <f t="shared" si="33"/>
        <v>0</v>
      </c>
      <c r="BL119" s="79">
        <f t="shared" si="34"/>
        <v>1.81698022639851</v>
      </c>
      <c r="BM119" s="124">
        <f t="shared" si="35"/>
        <v>0</v>
      </c>
      <c r="BN119" s="124">
        <f t="shared" si="36"/>
        <v>0</v>
      </c>
      <c r="BO119" s="124">
        <f t="shared" si="37"/>
        <v>2.9118272858950478</v>
      </c>
    </row>
    <row r="120" spans="30:67">
      <c r="AD120" s="3">
        <v>116</v>
      </c>
      <c r="AE120" s="3" t="str">
        <f t="shared" si="13"/>
        <v>Right</v>
      </c>
      <c r="AF120" s="3" t="str">
        <f t="shared" si="14"/>
        <v>Channel</v>
      </c>
      <c r="AG120" s="3" t="str">
        <f>IF(XS_Designer_Summary!$AB$24&gt;=XS_Designer_Summary!AD120,"Y","N")</f>
        <v>Y</v>
      </c>
      <c r="AH120" s="45">
        <v>1</v>
      </c>
      <c r="AI120" s="45">
        <f>IF(AG120="Y",$O$19/XS_Designer_Summary!$AB$24,0)</f>
        <v>0.27201249999999999</v>
      </c>
      <c r="AJ120" s="45">
        <f t="shared" si="15"/>
        <v>0.27201249999999999</v>
      </c>
      <c r="AK120" s="14">
        <f t="shared" si="38"/>
        <v>4.6242124999999641</v>
      </c>
      <c r="AL120" s="14">
        <f>IF(AG120="Y",LININTERP(AK120,XS_Designer_Calculations!$AY$4:$AY$104,XS_Designer_Calculations!$AZ$4:$AZ$104),AL119)</f>
        <v>1.8124812499999821</v>
      </c>
      <c r="AM120" s="14">
        <f t="shared" si="16"/>
        <v>3.1875187500000179</v>
      </c>
      <c r="AN120" s="14">
        <f t="shared" si="17"/>
        <v>0.84854724394531733</v>
      </c>
      <c r="AO120" s="46">
        <f t="shared" si="18"/>
        <v>0.30411922036483069</v>
      </c>
      <c r="AP120" s="46">
        <f t="shared" si="19"/>
        <v>2.7901795977491135</v>
      </c>
      <c r="AQ120" s="46">
        <f t="shared" si="20"/>
        <v>2.4329537629186465E-3</v>
      </c>
      <c r="AR120" s="14">
        <f>IFERROR(IF(AG120="Y",VLOOKUP(AK120,XS_Designer_Calculations!$R$5:$T$104,3,TRUE),0),0)</f>
        <v>0.04</v>
      </c>
      <c r="AS120" s="46">
        <f t="shared" si="21"/>
        <v>0.01</v>
      </c>
      <c r="AT120" s="14">
        <f t="shared" si="22"/>
        <v>62.477400445846804</v>
      </c>
      <c r="AU120" s="14">
        <f>AT120*XS_Designer_Calculations!$I$7^0.5</f>
        <v>6.2477400445846811</v>
      </c>
      <c r="AV120" s="14">
        <f t="shared" si="23"/>
        <v>7.3628664628451759</v>
      </c>
      <c r="AW120" s="14">
        <f t="shared" si="24"/>
        <v>1.7410720689954469</v>
      </c>
      <c r="AX120" s="14">
        <f t="shared" si="25"/>
        <v>5</v>
      </c>
      <c r="AY120" s="46">
        <f t="shared" si="26"/>
        <v>3.1195156250000178</v>
      </c>
      <c r="AZ120" s="14">
        <f>((AS120*AP120)/(1.65*XS_Designer!$S$99))*12</f>
        <v>9.7726386870479516</v>
      </c>
      <c r="BA120" s="14">
        <f>(AW120/((1.65*62.4)*XS_Designer!$AA$53))*12</f>
        <v>3.3820358760595326</v>
      </c>
      <c r="BB120" s="14">
        <f t="shared" si="27"/>
        <v>6.2842271899670772</v>
      </c>
      <c r="BC120" s="14">
        <f t="shared" si="28"/>
        <v>9.9246456133953842</v>
      </c>
      <c r="BD120" s="14">
        <f>IF(ISNUMBER(LININTERP(AW120,Permissible_Shear!$T$178:$T$188,Permissible_Shear!$V$178:$V$188)),LININTERP(AW120,Permissible_Shear!$T$178:$T$188,Permissible_Shear!$V$178:$V$188),0)</f>
        <v>5.6882579105734017</v>
      </c>
      <c r="BE120" s="14">
        <f>LININTERP(AW120,Permissible_Shear!$S$205:$S$222,Permissible_Shear!$V$205:$V$222)</f>
        <v>5.7533502156107712</v>
      </c>
      <c r="BF120" s="14">
        <f>INDEX($AZ$3:$BE$204,ROW(BF120)-2,MATCH(XS_Designer!$W$5,XS_Designer_Summary!$AZ$2:$BE$2,0))</f>
        <v>6.2842271899670772</v>
      </c>
      <c r="BG120" s="79">
        <f t="shared" si="29"/>
        <v>0</v>
      </c>
      <c r="BH120" s="79">
        <f t="shared" si="30"/>
        <v>0</v>
      </c>
      <c r="BI120" s="79">
        <f t="shared" si="31"/>
        <v>7.3628664628451759</v>
      </c>
      <c r="BJ120" s="79">
        <f t="shared" si="32"/>
        <v>0</v>
      </c>
      <c r="BK120" s="79">
        <f t="shared" si="33"/>
        <v>0</v>
      </c>
      <c r="BL120" s="79">
        <f t="shared" si="34"/>
        <v>1.7410720689954469</v>
      </c>
      <c r="BM120" s="124">
        <f t="shared" si="35"/>
        <v>0</v>
      </c>
      <c r="BN120" s="124">
        <f t="shared" si="36"/>
        <v>0</v>
      </c>
      <c r="BO120" s="124">
        <f t="shared" si="37"/>
        <v>2.7901795977491135</v>
      </c>
    </row>
    <row r="121" spans="30:67">
      <c r="AD121" s="3">
        <v>117</v>
      </c>
      <c r="AE121" s="3" t="str">
        <f t="shared" si="13"/>
        <v>Right</v>
      </c>
      <c r="AF121" s="3" t="str">
        <f t="shared" si="14"/>
        <v>Channel</v>
      </c>
      <c r="AG121" s="3" t="str">
        <f>IF(XS_Designer_Summary!$AB$24&gt;=XS_Designer_Summary!AD121,"Y","N")</f>
        <v>Y</v>
      </c>
      <c r="AH121" s="45">
        <v>1</v>
      </c>
      <c r="AI121" s="45">
        <f>IF(AG121="Y",$O$19/XS_Designer_Summary!$AB$24,0)</f>
        <v>0.27201249999999999</v>
      </c>
      <c r="AJ121" s="45">
        <f t="shared" si="15"/>
        <v>0.27201249999999999</v>
      </c>
      <c r="AK121" s="14">
        <f t="shared" si="38"/>
        <v>4.8962249999999639</v>
      </c>
      <c r="AL121" s="14">
        <f>IF(AG121="Y",LININTERP(AK121,XS_Designer_Calculations!$AY$4:$AY$104,XS_Designer_Calculations!$AZ$4:$AZ$104),AL120)</f>
        <v>1.9484874999999824</v>
      </c>
      <c r="AM121" s="14">
        <f t="shared" si="16"/>
        <v>3.0515125000000176</v>
      </c>
      <c r="AN121" s="14">
        <f t="shared" si="17"/>
        <v>0.82245328882968993</v>
      </c>
      <c r="AO121" s="46">
        <f t="shared" si="18"/>
        <v>0.27768736735097305</v>
      </c>
      <c r="AP121" s="46">
        <f t="shared" si="19"/>
        <v>2.961795837799778</v>
      </c>
      <c r="AQ121" s="46">
        <f t="shared" si="20"/>
        <v>2.2214989388077856E-3</v>
      </c>
      <c r="AR121" s="14">
        <f>IFERROR(IF(AG121="Y",VLOOKUP(AK121,XS_Designer_Calculations!$R$5:$T$104,3,TRUE),0),0)</f>
        <v>0.04</v>
      </c>
      <c r="AS121" s="46">
        <f t="shared" si="21"/>
        <v>0.01</v>
      </c>
      <c r="AT121" s="14">
        <f t="shared" si="22"/>
        <v>63.014448354820267</v>
      </c>
      <c r="AU121" s="14">
        <f>AT121*XS_Designer_Calculations!$I$7^0.5</f>
        <v>6.3014448354820267</v>
      </c>
      <c r="AV121" s="14">
        <f t="shared" si="23"/>
        <v>7.661766231670943</v>
      </c>
      <c r="AW121" s="14">
        <f t="shared" si="24"/>
        <v>1.8481606027870614</v>
      </c>
      <c r="AX121" s="14">
        <f t="shared" si="25"/>
        <v>5</v>
      </c>
      <c r="AY121" s="46">
        <f t="shared" si="26"/>
        <v>3.0235863750000092</v>
      </c>
      <c r="AZ121" s="14">
        <f>((AS121*AP121)/(1.65*XS_Designer!$S$99))*12</f>
        <v>10.373726698800962</v>
      </c>
      <c r="BA121" s="14">
        <f>(AW121/((1.65*62.4)*XS_Designer!$AA$53))*12</f>
        <v>3.5900555609694282</v>
      </c>
      <c r="BB121" s="14">
        <f t="shared" si="27"/>
        <v>6.0050814683467353</v>
      </c>
      <c r="BC121" s="14">
        <f t="shared" si="28"/>
        <v>9.6113945844955726</v>
      </c>
      <c r="BD121" s="14">
        <f>IF(ISNUMBER(LININTERP(AW121,Permissible_Shear!$T$178:$T$188,Permissible_Shear!$V$178:$V$188)),LININTERP(AW121,Permissible_Shear!$T$178:$T$188,Permissible_Shear!$V$178:$V$188),0)</f>
        <v>6.0227571376182052</v>
      </c>
      <c r="BE121" s="14">
        <f>LININTERP(AW121,Permissible_Shear!$S$205:$S$222,Permissible_Shear!$V$205:$V$222)</f>
        <v>6.0880018837095671</v>
      </c>
      <c r="BF121" s="14">
        <f>INDEX($AZ$3:$BE$204,ROW(BF121)-2,MATCH(XS_Designer!$W$5,XS_Designer_Summary!$AZ$2:$BE$2,0))</f>
        <v>6.0050814683467353</v>
      </c>
      <c r="BG121" s="79">
        <f t="shared" si="29"/>
        <v>0</v>
      </c>
      <c r="BH121" s="79">
        <f t="shared" si="30"/>
        <v>0</v>
      </c>
      <c r="BI121" s="79">
        <f t="shared" si="31"/>
        <v>7.661766231670943</v>
      </c>
      <c r="BJ121" s="79">
        <f t="shared" si="32"/>
        <v>0</v>
      </c>
      <c r="BK121" s="79">
        <f t="shared" si="33"/>
        <v>0</v>
      </c>
      <c r="BL121" s="79">
        <f t="shared" si="34"/>
        <v>1.8481606027870614</v>
      </c>
      <c r="BM121" s="124">
        <f t="shared" si="35"/>
        <v>0</v>
      </c>
      <c r="BN121" s="124">
        <f t="shared" si="36"/>
        <v>0</v>
      </c>
      <c r="BO121" s="124">
        <f t="shared" si="37"/>
        <v>2.961795837799778</v>
      </c>
    </row>
    <row r="122" spans="30:67">
      <c r="AD122" s="3">
        <v>118</v>
      </c>
      <c r="AE122" s="3" t="str">
        <f t="shared" si="13"/>
        <v>Right</v>
      </c>
      <c r="AF122" s="3" t="str">
        <f t="shared" si="14"/>
        <v>ROB</v>
      </c>
      <c r="AG122" s="3" t="str">
        <f>IF(XS_Designer_Summary!$AB$24&gt;=XS_Designer_Summary!AD122,"Y","N")</f>
        <v>Y</v>
      </c>
      <c r="AH122" s="45">
        <v>1</v>
      </c>
      <c r="AI122" s="45">
        <f>IF(AG122="Y",$O$19/XS_Designer_Summary!$AB$24,0)</f>
        <v>0.27201249999999999</v>
      </c>
      <c r="AJ122" s="45">
        <f t="shared" si="15"/>
        <v>0.27201249999999999</v>
      </c>
      <c r="AK122" s="14">
        <f t="shared" si="38"/>
        <v>5.1682374999999636</v>
      </c>
      <c r="AL122" s="14">
        <f>IF(AG122="Y",LININTERP(AK122,XS_Designer_Calculations!$AY$4:$AY$104,XS_Designer_Calculations!$AZ$4:$AZ$104),AL121)</f>
        <v>2.0043397499999993</v>
      </c>
      <c r="AM122" s="14">
        <f t="shared" si="16"/>
        <v>2.9956602500000007</v>
      </c>
      <c r="AN122" s="14">
        <f t="shared" si="17"/>
        <v>0.81411712575156259</v>
      </c>
      <c r="AO122" s="46">
        <f t="shared" si="18"/>
        <v>0.27206689706083753</v>
      </c>
      <c r="AP122" s="46">
        <f t="shared" si="19"/>
        <v>2.9923417164915729</v>
      </c>
      <c r="AQ122" s="46">
        <f t="shared" si="20"/>
        <v>8.6035107064681669E-3</v>
      </c>
      <c r="AR122" s="14">
        <f>IFERROR(IF(AG122="Y",VLOOKUP(AK122,XS_Designer_Calculations!$R$5:$T$104,3,TRUE),0),0)</f>
        <v>0.1</v>
      </c>
      <c r="AS122" s="46">
        <f t="shared" si="21"/>
        <v>0.01</v>
      </c>
      <c r="AT122" s="14">
        <f t="shared" si="22"/>
        <v>25.121553450093487</v>
      </c>
      <c r="AU122" s="14">
        <f>AT122*XS_Designer_Calculations!$I$7^0.5</f>
        <v>2.512155345009349</v>
      </c>
      <c r="AV122" s="14">
        <f t="shared" si="23"/>
        <v>3.085741922810211</v>
      </c>
      <c r="AW122" s="14">
        <f t="shared" si="24"/>
        <v>1.8672212310907415</v>
      </c>
      <c r="AX122" s="14">
        <f t="shared" si="25"/>
        <v>5</v>
      </c>
      <c r="AY122" s="46">
        <f t="shared" si="26"/>
        <v>2.9929401250000005</v>
      </c>
      <c r="AZ122" s="14">
        <f>((AS122*AP122)/(1.65*XS_Designer!$S$99))*12</f>
        <v>10.480714018210122</v>
      </c>
      <c r="BA122" s="14">
        <f>(AW122/((1.65*62.4)*XS_Designer!$AA$53))*12</f>
        <v>3.6270808684746343</v>
      </c>
      <c r="BB122" s="14">
        <f t="shared" si="27"/>
        <v>5.8905976258067598</v>
      </c>
      <c r="BC122" s="14">
        <f t="shared" si="28"/>
        <v>9.4816907671881712</v>
      </c>
      <c r="BD122" s="14">
        <f>IF(ISNUMBER(LININTERP(AW122,Permissible_Shear!$T$178:$T$188,Permissible_Shear!$V$178:$V$188)),LININTERP(AW122,Permissible_Shear!$T$178:$T$188,Permissible_Shear!$V$178:$V$188),0)</f>
        <v>6.0822944681691684</v>
      </c>
      <c r="BE122" s="14">
        <f>LININTERP(AW122,Permissible_Shear!$S$205:$S$222,Permissible_Shear!$V$205:$V$222)</f>
        <v>6.147566347158568</v>
      </c>
      <c r="BF122" s="14">
        <f>INDEX($AZ$3:$BE$204,ROW(BF122)-2,MATCH(XS_Designer!$W$5,XS_Designer_Summary!$AZ$2:$BE$2,0))</f>
        <v>5.8905976258067598</v>
      </c>
      <c r="BG122" s="79">
        <f t="shared" si="29"/>
        <v>0</v>
      </c>
      <c r="BH122" s="79">
        <f t="shared" si="30"/>
        <v>3.085741922810211</v>
      </c>
      <c r="BI122" s="79">
        <f t="shared" si="31"/>
        <v>0</v>
      </c>
      <c r="BJ122" s="79">
        <f t="shared" si="32"/>
        <v>0</v>
      </c>
      <c r="BK122" s="79">
        <f t="shared" si="33"/>
        <v>1.8672212310907415</v>
      </c>
      <c r="BL122" s="79">
        <f t="shared" si="34"/>
        <v>0</v>
      </c>
      <c r="BM122" s="124">
        <f t="shared" si="35"/>
        <v>0</v>
      </c>
      <c r="BN122" s="124">
        <f t="shared" si="36"/>
        <v>2.9923417164915729</v>
      </c>
      <c r="BO122" s="124">
        <f t="shared" si="37"/>
        <v>0</v>
      </c>
    </row>
    <row r="123" spans="30:67">
      <c r="AD123" s="3">
        <v>119</v>
      </c>
      <c r="AE123" s="3" t="str">
        <f t="shared" si="13"/>
        <v>Right</v>
      </c>
      <c r="AF123" s="3" t="str">
        <f t="shared" si="14"/>
        <v>ROB</v>
      </c>
      <c r="AG123" s="3" t="str">
        <f>IF(XS_Designer_Summary!$AB$24&gt;=XS_Designer_Summary!AD123,"Y","N")</f>
        <v>Y</v>
      </c>
      <c r="AH123" s="45">
        <v>1</v>
      </c>
      <c r="AI123" s="45">
        <f>IF(AG123="Y",$O$19/XS_Designer_Summary!$AB$24,0)</f>
        <v>0.27201249999999999</v>
      </c>
      <c r="AJ123" s="45">
        <f t="shared" si="15"/>
        <v>0.27201249999999999</v>
      </c>
      <c r="AK123" s="14">
        <f t="shared" si="38"/>
        <v>5.4402499999999634</v>
      </c>
      <c r="AL123" s="14">
        <f>IF(AG123="Y",LININTERP(AK123,XS_Designer_Calculations!$AY$4:$AY$104,XS_Designer_Calculations!$AZ$4:$AZ$104),AL122)</f>
        <v>2.0097799999999992</v>
      </c>
      <c r="AM123" s="14">
        <f t="shared" si="16"/>
        <v>2.9902200000000008</v>
      </c>
      <c r="AN123" s="14">
        <f t="shared" si="17"/>
        <v>0.81263730974843773</v>
      </c>
      <c r="AO123" s="46">
        <f t="shared" si="18"/>
        <v>0.27206689706083753</v>
      </c>
      <c r="AP123" s="46">
        <f t="shared" si="19"/>
        <v>2.9869025542152672</v>
      </c>
      <c r="AQ123" s="46">
        <f t="shared" si="20"/>
        <v>8.6035107064681669E-3</v>
      </c>
      <c r="AR123" s="14">
        <f>IFERROR(IF(AG123="Y",VLOOKUP(AK123,XS_Designer_Calculations!$R$5:$T$104,3,TRUE),0),0)</f>
        <v>0.1</v>
      </c>
      <c r="AS123" s="46">
        <f t="shared" si="21"/>
        <v>0.01</v>
      </c>
      <c r="AT123" s="14">
        <f t="shared" si="22"/>
        <v>25.045494066943021</v>
      </c>
      <c r="AU123" s="14">
        <f>AT123*XS_Designer_Calculations!$I$7^0.5</f>
        <v>2.5045494066943021</v>
      </c>
      <c r="AV123" s="14">
        <f t="shared" si="23"/>
        <v>3.0820014988846838</v>
      </c>
      <c r="AW123" s="14">
        <f t="shared" si="24"/>
        <v>1.8638271938303268</v>
      </c>
      <c r="AX123" s="14">
        <f t="shared" si="25"/>
        <v>5</v>
      </c>
      <c r="AY123" s="46">
        <f t="shared" si="26"/>
        <v>2.987499875000001</v>
      </c>
      <c r="AZ123" s="14">
        <f>((AS123*AP123)/(1.65*XS_Designer!$S$99))*12</f>
        <v>10.461663284798755</v>
      </c>
      <c r="BA123" s="14">
        <f>(AW123/((1.65*62.4)*XS_Designer!$AA$53))*12</f>
        <v>3.6204879445033544</v>
      </c>
      <c r="BB123" s="14">
        <f t="shared" si="27"/>
        <v>5.8794511698249128</v>
      </c>
      <c r="BC123" s="14">
        <f t="shared" si="28"/>
        <v>9.4690230272808069</v>
      </c>
      <c r="BD123" s="14">
        <f>IF(ISNUMBER(LININTERP(AW123,Permissible_Shear!$T$178:$T$188,Permissible_Shear!$V$178:$V$188)),LININTERP(AW123,Permissible_Shear!$T$178:$T$188,Permissible_Shear!$V$178:$V$188),0)</f>
        <v>6.0716929331590883</v>
      </c>
      <c r="BE123" s="14">
        <f>LININTERP(AW123,Permissible_Shear!$S$205:$S$222,Permissible_Shear!$V$205:$V$222)</f>
        <v>6.1369599807197712</v>
      </c>
      <c r="BF123" s="14">
        <f>INDEX($AZ$3:$BE$204,ROW(BF123)-2,MATCH(XS_Designer!$W$5,XS_Designer_Summary!$AZ$2:$BE$2,0))</f>
        <v>5.8794511698249128</v>
      </c>
      <c r="BG123" s="79">
        <f t="shared" si="29"/>
        <v>0</v>
      </c>
      <c r="BH123" s="79">
        <f t="shared" si="30"/>
        <v>3.0820014988846838</v>
      </c>
      <c r="BI123" s="79">
        <f t="shared" si="31"/>
        <v>0</v>
      </c>
      <c r="BJ123" s="79">
        <f t="shared" si="32"/>
        <v>0</v>
      </c>
      <c r="BK123" s="79">
        <f t="shared" si="33"/>
        <v>1.8638271938303268</v>
      </c>
      <c r="BL123" s="79">
        <f t="shared" si="34"/>
        <v>0</v>
      </c>
      <c r="BM123" s="124">
        <f t="shared" si="35"/>
        <v>0</v>
      </c>
      <c r="BN123" s="124">
        <f t="shared" si="36"/>
        <v>2.9869025542152672</v>
      </c>
      <c r="BO123" s="124">
        <f t="shared" si="37"/>
        <v>0</v>
      </c>
    </row>
    <row r="124" spans="30:67">
      <c r="AD124" s="3">
        <v>120</v>
      </c>
      <c r="AE124" s="3" t="str">
        <f t="shared" si="13"/>
        <v>Right</v>
      </c>
      <c r="AF124" s="3" t="str">
        <f t="shared" si="14"/>
        <v>ROB</v>
      </c>
      <c r="AG124" s="3" t="str">
        <f>IF(XS_Designer_Summary!$AB$24&gt;=XS_Designer_Summary!AD124,"Y","N")</f>
        <v>Y</v>
      </c>
      <c r="AH124" s="45">
        <v>1</v>
      </c>
      <c r="AI124" s="45">
        <f>IF(AG124="Y",$O$19/XS_Designer_Summary!$AB$24,0)</f>
        <v>0.27201249999999999</v>
      </c>
      <c r="AJ124" s="45">
        <f t="shared" si="15"/>
        <v>0.27201249999999999</v>
      </c>
      <c r="AK124" s="14">
        <f t="shared" si="38"/>
        <v>5.7122624999999632</v>
      </c>
      <c r="AL124" s="14">
        <f>IF(AG124="Y",LININTERP(AK124,XS_Designer_Calculations!$AY$4:$AY$104,XS_Designer_Calculations!$AZ$4:$AZ$104),AL123)</f>
        <v>2.0152202499999992</v>
      </c>
      <c r="AM124" s="14">
        <f t="shared" si="16"/>
        <v>2.9847797500000008</v>
      </c>
      <c r="AN124" s="14">
        <f t="shared" si="17"/>
        <v>0.81115749374531265</v>
      </c>
      <c r="AO124" s="46">
        <f t="shared" si="18"/>
        <v>0.27206689706083753</v>
      </c>
      <c r="AP124" s="46">
        <f t="shared" si="19"/>
        <v>2.9814633919389606</v>
      </c>
      <c r="AQ124" s="46">
        <f t="shared" si="20"/>
        <v>8.6035107064681669E-3</v>
      </c>
      <c r="AR124" s="14">
        <f>IFERROR(IF(AG124="Y",VLOOKUP(AK124,XS_Designer_Calculations!$R$5:$T$104,3,TRUE),0),0)</f>
        <v>0.1</v>
      </c>
      <c r="AS124" s="46">
        <f t="shared" si="21"/>
        <v>0.01</v>
      </c>
      <c r="AT124" s="14">
        <f t="shared" si="22"/>
        <v>24.969526964108102</v>
      </c>
      <c r="AU124" s="14">
        <f>AT124*XS_Designer_Calculations!$I$7^0.5</f>
        <v>2.4969526964108102</v>
      </c>
      <c r="AV124" s="14">
        <f t="shared" si="23"/>
        <v>3.0782588038258374</v>
      </c>
      <c r="AW124" s="14">
        <f t="shared" si="24"/>
        <v>1.8604331565699113</v>
      </c>
      <c r="AX124" s="14">
        <f t="shared" si="25"/>
        <v>5</v>
      </c>
      <c r="AY124" s="46">
        <f t="shared" si="26"/>
        <v>2.9820596250000007</v>
      </c>
      <c r="AZ124" s="14">
        <f>((AS124*AP124)/(1.65*XS_Designer!$S$99))*12</f>
        <v>10.442612551387384</v>
      </c>
      <c r="BA124" s="14">
        <f>(AW124/((1.65*62.4)*XS_Designer!$AA$53))*12</f>
        <v>3.6138950205320737</v>
      </c>
      <c r="BB124" s="14">
        <f t="shared" si="27"/>
        <v>5.8683055655407248</v>
      </c>
      <c r="BC124" s="14">
        <f t="shared" si="28"/>
        <v>9.4563491899648202</v>
      </c>
      <c r="BD124" s="14">
        <f>IF(ISNUMBER(LININTERP(AW124,Permissible_Shear!$T$178:$T$188,Permissible_Shear!$V$178:$V$188)),LININTERP(AW124,Permissible_Shear!$T$178:$T$188,Permissible_Shear!$V$178:$V$188),0)</f>
        <v>6.0610913981490047</v>
      </c>
      <c r="BE124" s="14">
        <f>LININTERP(AW124,Permissible_Shear!$S$205:$S$222,Permissible_Shear!$V$205:$V$222)</f>
        <v>6.1263536142809727</v>
      </c>
      <c r="BF124" s="14">
        <f>INDEX($AZ$3:$BE$204,ROW(BF124)-2,MATCH(XS_Designer!$W$5,XS_Designer_Summary!$AZ$2:$BE$2,0))</f>
        <v>5.8683055655407248</v>
      </c>
      <c r="BG124" s="79">
        <f t="shared" si="29"/>
        <v>0</v>
      </c>
      <c r="BH124" s="79">
        <f t="shared" si="30"/>
        <v>3.0782588038258374</v>
      </c>
      <c r="BI124" s="79">
        <f t="shared" si="31"/>
        <v>0</v>
      </c>
      <c r="BJ124" s="79">
        <f t="shared" si="32"/>
        <v>0</v>
      </c>
      <c r="BK124" s="79">
        <f t="shared" si="33"/>
        <v>1.8604331565699113</v>
      </c>
      <c r="BL124" s="79">
        <f t="shared" si="34"/>
        <v>0</v>
      </c>
      <c r="BM124" s="124">
        <f t="shared" si="35"/>
        <v>0</v>
      </c>
      <c r="BN124" s="124">
        <f t="shared" si="36"/>
        <v>2.9814633919389606</v>
      </c>
      <c r="BO124" s="124">
        <f t="shared" si="37"/>
        <v>0</v>
      </c>
    </row>
    <row r="125" spans="30:67">
      <c r="AD125" s="3">
        <v>121</v>
      </c>
      <c r="AE125" s="3" t="str">
        <f t="shared" si="13"/>
        <v>Right</v>
      </c>
      <c r="AF125" s="3" t="str">
        <f t="shared" si="14"/>
        <v>ROB</v>
      </c>
      <c r="AG125" s="3" t="str">
        <f>IF(XS_Designer_Summary!$AB$24&gt;=XS_Designer_Summary!AD125,"Y","N")</f>
        <v>Y</v>
      </c>
      <c r="AH125" s="45">
        <v>1</v>
      </c>
      <c r="AI125" s="45">
        <f>IF(AG125="Y",$O$19/XS_Designer_Summary!$AB$24,0)</f>
        <v>0.27201249999999999</v>
      </c>
      <c r="AJ125" s="45">
        <f t="shared" si="15"/>
        <v>0.27201249999999999</v>
      </c>
      <c r="AK125" s="14">
        <f t="shared" si="38"/>
        <v>5.9842749999999629</v>
      </c>
      <c r="AL125" s="14">
        <f>IF(AG125="Y",LININTERP(AK125,XS_Designer_Calculations!$AY$4:$AY$104,XS_Designer_Calculations!$AZ$4:$AZ$104),AL124)</f>
        <v>2.0206604999999991</v>
      </c>
      <c r="AM125" s="14">
        <f t="shared" si="16"/>
        <v>2.9793395000000009</v>
      </c>
      <c r="AN125" s="14">
        <f t="shared" si="17"/>
        <v>0.8096776777421878</v>
      </c>
      <c r="AO125" s="46">
        <f t="shared" si="18"/>
        <v>0.27206689706083753</v>
      </c>
      <c r="AP125" s="46">
        <f t="shared" si="19"/>
        <v>2.9760242296626549</v>
      </c>
      <c r="AQ125" s="46">
        <f t="shared" si="20"/>
        <v>8.6035107064681669E-3</v>
      </c>
      <c r="AR125" s="14">
        <f>IFERROR(IF(AG125="Y",VLOOKUP(AK125,XS_Designer_Calculations!$R$5:$T$104,3,TRUE),0),0)</f>
        <v>0.1</v>
      </c>
      <c r="AS125" s="46">
        <f t="shared" si="21"/>
        <v>0.01</v>
      </c>
      <c r="AT125" s="14">
        <f t="shared" si="22"/>
        <v>24.893652197671159</v>
      </c>
      <c r="AU125" s="14">
        <f>AT125*XS_Designer_Calculations!$I$7^0.5</f>
        <v>2.4893652197671159</v>
      </c>
      <c r="AV125" s="14">
        <f t="shared" si="23"/>
        <v>3.0745138321075998</v>
      </c>
      <c r="AW125" s="14">
        <f t="shared" si="24"/>
        <v>1.8570391193094966</v>
      </c>
      <c r="AX125" s="14">
        <f t="shared" si="25"/>
        <v>5</v>
      </c>
      <c r="AY125" s="46">
        <f t="shared" si="26"/>
        <v>2.9766193750000012</v>
      </c>
      <c r="AZ125" s="14">
        <f>((AS125*AP125)/(1.65*XS_Designer!$S$99))*12</f>
        <v>10.423561817976015</v>
      </c>
      <c r="BA125" s="14">
        <f>(AW125/((1.65*62.4)*XS_Designer!$AA$53))*12</f>
        <v>3.6073020965607938</v>
      </c>
      <c r="BB125" s="14">
        <f t="shared" si="27"/>
        <v>5.8571608144412997</v>
      </c>
      <c r="BC125" s="14">
        <f t="shared" si="28"/>
        <v>9.4436692411837537</v>
      </c>
      <c r="BD125" s="14">
        <f>IF(ISNUMBER(LININTERP(AW125,Permissible_Shear!$T$178:$T$188,Permissible_Shear!$V$178:$V$188)),LININTERP(AW125,Permissible_Shear!$T$178:$T$188,Permissible_Shear!$V$178:$V$188),0)</f>
        <v>6.0504898631389246</v>
      </c>
      <c r="BE125" s="14">
        <f>LININTERP(AW125,Permissible_Shear!$S$205:$S$222,Permissible_Shear!$V$205:$V$222)</f>
        <v>6.1157472478421777</v>
      </c>
      <c r="BF125" s="14">
        <f>INDEX($AZ$3:$BE$204,ROW(BF125)-2,MATCH(XS_Designer!$W$5,XS_Designer_Summary!$AZ$2:$BE$2,0))</f>
        <v>5.8571608144412997</v>
      </c>
      <c r="BG125" s="79">
        <f t="shared" si="29"/>
        <v>0</v>
      </c>
      <c r="BH125" s="79">
        <f t="shared" si="30"/>
        <v>3.0745138321075998</v>
      </c>
      <c r="BI125" s="79">
        <f t="shared" si="31"/>
        <v>0</v>
      </c>
      <c r="BJ125" s="79">
        <f t="shared" si="32"/>
        <v>0</v>
      </c>
      <c r="BK125" s="79">
        <f t="shared" si="33"/>
        <v>1.8570391193094966</v>
      </c>
      <c r="BL125" s="79">
        <f t="shared" si="34"/>
        <v>0</v>
      </c>
      <c r="BM125" s="124">
        <f t="shared" si="35"/>
        <v>0</v>
      </c>
      <c r="BN125" s="124">
        <f t="shared" si="36"/>
        <v>2.9760242296626549</v>
      </c>
      <c r="BO125" s="124">
        <f t="shared" si="37"/>
        <v>0</v>
      </c>
    </row>
    <row r="126" spans="30:67">
      <c r="AD126" s="3">
        <v>122</v>
      </c>
      <c r="AE126" s="3" t="str">
        <f t="shared" si="13"/>
        <v>Right</v>
      </c>
      <c r="AF126" s="3" t="str">
        <f t="shared" si="14"/>
        <v>ROB</v>
      </c>
      <c r="AG126" s="3" t="str">
        <f>IF(XS_Designer_Summary!$AB$24&gt;=XS_Designer_Summary!AD126,"Y","N")</f>
        <v>Y</v>
      </c>
      <c r="AH126" s="45">
        <v>1</v>
      </c>
      <c r="AI126" s="45">
        <f>IF(AG126="Y",$O$19/XS_Designer_Summary!$AB$24,0)</f>
        <v>0.27201249999999999</v>
      </c>
      <c r="AJ126" s="45">
        <f t="shared" si="15"/>
        <v>0.27201249999999999</v>
      </c>
      <c r="AK126" s="14">
        <f t="shared" si="38"/>
        <v>6.2562874999999627</v>
      </c>
      <c r="AL126" s="14">
        <f>IF(AG126="Y",LININTERP(AK126,XS_Designer_Calculations!$AY$4:$AY$104,XS_Designer_Calculations!$AZ$4:$AZ$104),AL125)</f>
        <v>2.026100749999999</v>
      </c>
      <c r="AM126" s="14">
        <f t="shared" si="16"/>
        <v>2.973899250000001</v>
      </c>
      <c r="AN126" s="14">
        <f t="shared" si="17"/>
        <v>0.80819786173906272</v>
      </c>
      <c r="AO126" s="46">
        <f t="shared" si="18"/>
        <v>0.27206689706083753</v>
      </c>
      <c r="AP126" s="46">
        <f t="shared" si="19"/>
        <v>2.9705850673863483</v>
      </c>
      <c r="AQ126" s="46">
        <f t="shared" si="20"/>
        <v>8.6035107064681669E-3</v>
      </c>
      <c r="AR126" s="14">
        <f>IFERROR(IF(AG126="Y",VLOOKUP(AK126,XS_Designer_Calculations!$R$5:$T$104,3,TRUE),0),0)</f>
        <v>0.1</v>
      </c>
      <c r="AS126" s="46">
        <f t="shared" si="21"/>
        <v>0.01</v>
      </c>
      <c r="AT126" s="14">
        <f t="shared" si="22"/>
        <v>24.81786982385119</v>
      </c>
      <c r="AU126" s="14">
        <f>AT126*XS_Designer_Calculations!$I$7^0.5</f>
        <v>2.4817869823851191</v>
      </c>
      <c r="AV126" s="14">
        <f t="shared" si="23"/>
        <v>3.0707665781803275</v>
      </c>
      <c r="AW126" s="14">
        <f t="shared" si="24"/>
        <v>1.8536450820490813</v>
      </c>
      <c r="AX126" s="14">
        <f t="shared" si="25"/>
        <v>5</v>
      </c>
      <c r="AY126" s="46">
        <f t="shared" si="26"/>
        <v>2.9711791250000008</v>
      </c>
      <c r="AZ126" s="14">
        <f>((AS126*AP126)/(1.65*XS_Designer!$S$99))*12</f>
        <v>10.404511084564644</v>
      </c>
      <c r="BA126" s="14">
        <f>(AW126/((1.65*62.4)*XS_Designer!$AA$53))*12</f>
        <v>3.6007091725895135</v>
      </c>
      <c r="BB126" s="14">
        <f t="shared" si="27"/>
        <v>5.8460169180190578</v>
      </c>
      <c r="BC126" s="14">
        <f t="shared" si="28"/>
        <v>9.4309831668230171</v>
      </c>
      <c r="BD126" s="14">
        <f>IF(ISNUMBER(LININTERP(AW126,Permissible_Shear!$T$178:$T$188,Permissible_Shear!$V$178:$V$188)),LININTERP(AW126,Permissible_Shear!$T$178:$T$188,Permissible_Shear!$V$178:$V$188),0)</f>
        <v>6.0398883281288427</v>
      </c>
      <c r="BE126" s="14">
        <f>LININTERP(AW126,Permissible_Shear!$S$205:$S$222,Permissible_Shear!$V$205:$V$222)</f>
        <v>6.1051408814033792</v>
      </c>
      <c r="BF126" s="14">
        <f>INDEX($AZ$3:$BE$204,ROW(BF126)-2,MATCH(XS_Designer!$W$5,XS_Designer_Summary!$AZ$2:$BE$2,0))</f>
        <v>5.8460169180190578</v>
      </c>
      <c r="BG126" s="79">
        <f t="shared" si="29"/>
        <v>0</v>
      </c>
      <c r="BH126" s="79">
        <f t="shared" si="30"/>
        <v>3.0707665781803275</v>
      </c>
      <c r="BI126" s="79">
        <f t="shared" si="31"/>
        <v>0</v>
      </c>
      <c r="BJ126" s="79">
        <f t="shared" si="32"/>
        <v>0</v>
      </c>
      <c r="BK126" s="79">
        <f t="shared" si="33"/>
        <v>1.8536450820490813</v>
      </c>
      <c r="BL126" s="79">
        <f t="shared" si="34"/>
        <v>0</v>
      </c>
      <c r="BM126" s="124">
        <f t="shared" si="35"/>
        <v>0</v>
      </c>
      <c r="BN126" s="124">
        <f t="shared" si="36"/>
        <v>2.9705850673863483</v>
      </c>
      <c r="BO126" s="124">
        <f t="shared" si="37"/>
        <v>0</v>
      </c>
    </row>
    <row r="127" spans="30:67">
      <c r="AD127" s="3">
        <v>123</v>
      </c>
      <c r="AE127" s="3" t="str">
        <f t="shared" si="13"/>
        <v>Right</v>
      </c>
      <c r="AF127" s="3" t="str">
        <f t="shared" si="14"/>
        <v>ROB</v>
      </c>
      <c r="AG127" s="3" t="str">
        <f>IF(XS_Designer_Summary!$AB$24&gt;=XS_Designer_Summary!AD127,"Y","N")</f>
        <v>Y</v>
      </c>
      <c r="AH127" s="45">
        <v>1</v>
      </c>
      <c r="AI127" s="45">
        <f>IF(AG127="Y",$O$19/XS_Designer_Summary!$AB$24,0)</f>
        <v>0.27201249999999999</v>
      </c>
      <c r="AJ127" s="45">
        <f t="shared" si="15"/>
        <v>0.27201249999999999</v>
      </c>
      <c r="AK127" s="14">
        <f t="shared" si="38"/>
        <v>6.5282999999999625</v>
      </c>
      <c r="AL127" s="14">
        <f>IF(AG127="Y",LININTERP(AK127,XS_Designer_Calculations!$AY$4:$AY$104,XS_Designer_Calculations!$AZ$4:$AZ$104),AL126)</f>
        <v>2.0315409999999994</v>
      </c>
      <c r="AM127" s="14">
        <f t="shared" si="16"/>
        <v>2.9684590000000006</v>
      </c>
      <c r="AN127" s="14">
        <f t="shared" si="17"/>
        <v>0.80671804573593764</v>
      </c>
      <c r="AO127" s="46">
        <f t="shared" si="18"/>
        <v>0.27206689706083753</v>
      </c>
      <c r="AP127" s="46">
        <f t="shared" si="19"/>
        <v>2.9651459051100417</v>
      </c>
      <c r="AQ127" s="46">
        <f t="shared" si="20"/>
        <v>8.6035107064681669E-3</v>
      </c>
      <c r="AR127" s="14">
        <f>IFERROR(IF(AG127="Y",VLOOKUP(AK127,XS_Designer_Calculations!$R$5:$T$104,3,TRUE),0),0)</f>
        <v>0.1</v>
      </c>
      <c r="AS127" s="46">
        <f t="shared" si="21"/>
        <v>0.01</v>
      </c>
      <c r="AT127" s="14">
        <f t="shared" si="22"/>
        <v>24.742179899004377</v>
      </c>
      <c r="AU127" s="14">
        <f>AT127*XS_Designer_Calculations!$I$7^0.5</f>
        <v>2.474217989900438</v>
      </c>
      <c r="AV127" s="14">
        <f t="shared" si="23"/>
        <v>3.0670170364706602</v>
      </c>
      <c r="AW127" s="14">
        <f t="shared" si="24"/>
        <v>1.8502510447886662</v>
      </c>
      <c r="AX127" s="14">
        <f t="shared" si="25"/>
        <v>5</v>
      </c>
      <c r="AY127" s="46">
        <f t="shared" si="26"/>
        <v>2.9657388750000004</v>
      </c>
      <c r="AZ127" s="14">
        <f>((AS127*AP127)/(1.65*XS_Designer!$S$99))*12</f>
        <v>10.385460351153274</v>
      </c>
      <c r="BA127" s="14">
        <f>(AW127/((1.65*62.4)*XS_Designer!$AA$53))*12</f>
        <v>3.5941162486182332</v>
      </c>
      <c r="BB127" s="14">
        <f t="shared" si="27"/>
        <v>5.8348738777717637</v>
      </c>
      <c r="BC127" s="14">
        <f t="shared" si="28"/>
        <v>9.4182909527095227</v>
      </c>
      <c r="BD127" s="14">
        <f>IF(ISNUMBER(LININTERP(AW127,Permissible_Shear!$T$178:$T$188,Permissible_Shear!$V$178:$V$188)),LININTERP(AW127,Permissible_Shear!$T$178:$T$188,Permissible_Shear!$V$178:$V$188),0)</f>
        <v>6.0292867931187608</v>
      </c>
      <c r="BE127" s="14">
        <f>LININTERP(AW127,Permissible_Shear!$S$205:$S$222,Permissible_Shear!$V$205:$V$222)</f>
        <v>6.0945345149645824</v>
      </c>
      <c r="BF127" s="14">
        <f>INDEX($AZ$3:$BE$204,ROW(BF127)-2,MATCH(XS_Designer!$W$5,XS_Designer_Summary!$AZ$2:$BE$2,0))</f>
        <v>5.8348738777717637</v>
      </c>
      <c r="BG127" s="79">
        <f t="shared" si="29"/>
        <v>0</v>
      </c>
      <c r="BH127" s="79">
        <f t="shared" si="30"/>
        <v>3.0670170364706602</v>
      </c>
      <c r="BI127" s="79">
        <f t="shared" si="31"/>
        <v>0</v>
      </c>
      <c r="BJ127" s="79">
        <f t="shared" si="32"/>
        <v>0</v>
      </c>
      <c r="BK127" s="79">
        <f t="shared" si="33"/>
        <v>1.8502510447886662</v>
      </c>
      <c r="BL127" s="79">
        <f t="shared" si="34"/>
        <v>0</v>
      </c>
      <c r="BM127" s="124">
        <f t="shared" si="35"/>
        <v>0</v>
      </c>
      <c r="BN127" s="124">
        <f t="shared" si="36"/>
        <v>2.9651459051100417</v>
      </c>
      <c r="BO127" s="124">
        <f t="shared" si="37"/>
        <v>0</v>
      </c>
    </row>
    <row r="128" spans="30:67">
      <c r="AD128" s="3">
        <v>124</v>
      </c>
      <c r="AE128" s="3" t="str">
        <f t="shared" si="13"/>
        <v>Right</v>
      </c>
      <c r="AF128" s="3" t="str">
        <f t="shared" si="14"/>
        <v>ROB</v>
      </c>
      <c r="AG128" s="3" t="str">
        <f>IF(XS_Designer_Summary!$AB$24&gt;=XS_Designer_Summary!AD128,"Y","N")</f>
        <v>Y</v>
      </c>
      <c r="AH128" s="45">
        <v>1</v>
      </c>
      <c r="AI128" s="45">
        <f>IF(AG128="Y",$O$19/XS_Designer_Summary!$AB$24,0)</f>
        <v>0.27201249999999999</v>
      </c>
      <c r="AJ128" s="45">
        <f t="shared" si="15"/>
        <v>0.27201249999999999</v>
      </c>
      <c r="AK128" s="14">
        <f t="shared" si="38"/>
        <v>6.8003124999999622</v>
      </c>
      <c r="AL128" s="14">
        <f>IF(AG128="Y",LININTERP(AK128,XS_Designer_Calculations!$AY$4:$AY$104,XS_Designer_Calculations!$AZ$4:$AZ$104),AL127)</f>
        <v>2.0369812499999993</v>
      </c>
      <c r="AM128" s="14">
        <f t="shared" si="16"/>
        <v>2.9630187500000007</v>
      </c>
      <c r="AN128" s="14">
        <f t="shared" si="17"/>
        <v>0.80523822973281278</v>
      </c>
      <c r="AO128" s="46">
        <f t="shared" si="18"/>
        <v>0.27206689706083753</v>
      </c>
      <c r="AP128" s="46">
        <f t="shared" si="19"/>
        <v>2.959706742833736</v>
      </c>
      <c r="AQ128" s="46">
        <f t="shared" si="20"/>
        <v>8.6035107064681669E-3</v>
      </c>
      <c r="AR128" s="14">
        <f>IFERROR(IF(AG128="Y",VLOOKUP(AK128,XS_Designer_Calculations!$R$5:$T$104,3,TRUE),0),0)</f>
        <v>0.1</v>
      </c>
      <c r="AS128" s="46">
        <f t="shared" si="21"/>
        <v>0.01</v>
      </c>
      <c r="AT128" s="14">
        <f t="shared" si="22"/>
        <v>24.666582479624648</v>
      </c>
      <c r="AU128" s="14">
        <f>AT128*XS_Designer_Calculations!$I$7^0.5</f>
        <v>2.466658247962465</v>
      </c>
      <c r="AV128" s="14">
        <f t="shared" si="23"/>
        <v>3.0632652013813728</v>
      </c>
      <c r="AW128" s="14">
        <f t="shared" si="24"/>
        <v>1.8468570075282511</v>
      </c>
      <c r="AX128" s="14">
        <f t="shared" si="25"/>
        <v>5</v>
      </c>
      <c r="AY128" s="46">
        <f t="shared" si="26"/>
        <v>2.960298625000001</v>
      </c>
      <c r="AZ128" s="14">
        <f>((AS128*AP128)/(1.65*XS_Designer!$S$99))*12</f>
        <v>10.366409617741905</v>
      </c>
      <c r="BA128" s="14">
        <f>(AW128/((1.65*62.4)*XS_Designer!$AA$53))*12</f>
        <v>3.5875233246469529</v>
      </c>
      <c r="BB128" s="14">
        <f t="shared" si="27"/>
        <v>5.8237316952025617</v>
      </c>
      <c r="BC128" s="14">
        <f t="shared" si="28"/>
        <v>9.4055925846113677</v>
      </c>
      <c r="BD128" s="14">
        <f>IF(ISNUMBER(LININTERP(AW128,Permissible_Shear!$T$178:$T$188,Permissible_Shear!$V$178:$V$188)),LININTERP(AW128,Permissible_Shear!$T$178:$T$188,Permissible_Shear!$V$178:$V$188),0)</f>
        <v>6.0186852581086789</v>
      </c>
      <c r="BE128" s="14">
        <f>LININTERP(AW128,Permissible_Shear!$S$205:$S$222,Permissible_Shear!$V$205:$V$222)</f>
        <v>6.0839281485257857</v>
      </c>
      <c r="BF128" s="14">
        <f>INDEX($AZ$3:$BE$204,ROW(BF128)-2,MATCH(XS_Designer!$W$5,XS_Designer_Summary!$AZ$2:$BE$2,0))</f>
        <v>5.8237316952025617</v>
      </c>
      <c r="BG128" s="79">
        <f t="shared" si="29"/>
        <v>0</v>
      </c>
      <c r="BH128" s="79">
        <f t="shared" si="30"/>
        <v>3.0632652013813728</v>
      </c>
      <c r="BI128" s="79">
        <f t="shared" si="31"/>
        <v>0</v>
      </c>
      <c r="BJ128" s="79">
        <f t="shared" si="32"/>
        <v>0</v>
      </c>
      <c r="BK128" s="79">
        <f t="shared" si="33"/>
        <v>1.8468570075282511</v>
      </c>
      <c r="BL128" s="79">
        <f t="shared" si="34"/>
        <v>0</v>
      </c>
      <c r="BM128" s="124">
        <f t="shared" si="35"/>
        <v>0</v>
      </c>
      <c r="BN128" s="124">
        <f t="shared" si="36"/>
        <v>2.959706742833736</v>
      </c>
      <c r="BO128" s="124">
        <f t="shared" si="37"/>
        <v>0</v>
      </c>
    </row>
    <row r="129" spans="30:67">
      <c r="AD129" s="3">
        <v>125</v>
      </c>
      <c r="AE129" s="3" t="str">
        <f t="shared" si="13"/>
        <v>Right</v>
      </c>
      <c r="AF129" s="3" t="str">
        <f t="shared" si="14"/>
        <v>ROB</v>
      </c>
      <c r="AG129" s="3" t="str">
        <f>IF(XS_Designer_Summary!$AB$24&gt;=XS_Designer_Summary!AD129,"Y","N")</f>
        <v>Y</v>
      </c>
      <c r="AH129" s="45">
        <v>1</v>
      </c>
      <c r="AI129" s="45">
        <f>IF(AG129="Y",$O$19/XS_Designer_Summary!$AB$24,0)</f>
        <v>0.27201249999999999</v>
      </c>
      <c r="AJ129" s="45">
        <f t="shared" si="15"/>
        <v>0.27201249999999999</v>
      </c>
      <c r="AK129" s="14">
        <f t="shared" si="38"/>
        <v>7.072324999999962</v>
      </c>
      <c r="AL129" s="14">
        <f>IF(AG129="Y",LININTERP(AK129,XS_Designer_Calculations!$AY$4:$AY$104,XS_Designer_Calculations!$AZ$4:$AZ$104),AL128)</f>
        <v>2.0424214999999992</v>
      </c>
      <c r="AM129" s="14">
        <f t="shared" si="16"/>
        <v>2.9575785000000008</v>
      </c>
      <c r="AN129" s="14">
        <f t="shared" si="17"/>
        <v>0.80375841372968759</v>
      </c>
      <c r="AO129" s="46">
        <f t="shared" si="18"/>
        <v>0.27206689706083753</v>
      </c>
      <c r="AP129" s="46">
        <f t="shared" si="19"/>
        <v>2.954267580557429</v>
      </c>
      <c r="AQ129" s="46">
        <f t="shared" si="20"/>
        <v>8.6035107064681669E-3</v>
      </c>
      <c r="AR129" s="14">
        <f>IFERROR(IF(AG129="Y",VLOOKUP(AK129,XS_Designer_Calculations!$R$5:$T$104,3,TRUE),0),0)</f>
        <v>0.1</v>
      </c>
      <c r="AS129" s="46">
        <f t="shared" si="21"/>
        <v>0.01</v>
      </c>
      <c r="AT129" s="14">
        <f t="shared" si="22"/>
        <v>24.59107762234424</v>
      </c>
      <c r="AU129" s="14">
        <f>AT129*XS_Designer_Calculations!$I$7^0.5</f>
        <v>2.4591077622344244</v>
      </c>
      <c r="AV129" s="14">
        <f t="shared" si="23"/>
        <v>3.0595110672912322</v>
      </c>
      <c r="AW129" s="14">
        <f t="shared" si="24"/>
        <v>1.8434629702678356</v>
      </c>
      <c r="AX129" s="14">
        <f t="shared" si="25"/>
        <v>5</v>
      </c>
      <c r="AY129" s="46">
        <f t="shared" si="26"/>
        <v>2.9548583750000006</v>
      </c>
      <c r="AZ129" s="14">
        <f>((AS129*AP129)/(1.65*XS_Designer!$S$99))*12</f>
        <v>10.347358884330532</v>
      </c>
      <c r="BA129" s="14">
        <f>(AW129/((1.65*62.4)*XS_Designer!$AA$53))*12</f>
        <v>3.5809304006756717</v>
      </c>
      <c r="BB129" s="14">
        <f t="shared" si="27"/>
        <v>5.8125903718199936</v>
      </c>
      <c r="BC129" s="14">
        <f t="shared" si="28"/>
        <v>9.3928880482374488</v>
      </c>
      <c r="BD129" s="14">
        <f>IF(ISNUMBER(LININTERP(AW129,Permissible_Shear!$T$178:$T$188,Permissible_Shear!$V$178:$V$188)),LININTERP(AW129,Permissible_Shear!$T$178:$T$188,Permissible_Shear!$V$178:$V$188),0)</f>
        <v>6.0080837230985953</v>
      </c>
      <c r="BE129" s="14">
        <f>LININTERP(AW129,Permissible_Shear!$S$205:$S$222,Permissible_Shear!$V$205:$V$222)</f>
        <v>6.0733217820869863</v>
      </c>
      <c r="BF129" s="14">
        <f>INDEX($AZ$3:$BE$204,ROW(BF129)-2,MATCH(XS_Designer!$W$5,XS_Designer_Summary!$AZ$2:$BE$2,0))</f>
        <v>5.8125903718199936</v>
      </c>
      <c r="BG129" s="79">
        <f t="shared" si="29"/>
        <v>0</v>
      </c>
      <c r="BH129" s="79">
        <f t="shared" si="30"/>
        <v>3.0595110672912322</v>
      </c>
      <c r="BI129" s="79">
        <f t="shared" si="31"/>
        <v>0</v>
      </c>
      <c r="BJ129" s="79">
        <f t="shared" si="32"/>
        <v>0</v>
      </c>
      <c r="BK129" s="79">
        <f t="shared" si="33"/>
        <v>1.8434629702678356</v>
      </c>
      <c r="BL129" s="79">
        <f t="shared" si="34"/>
        <v>0</v>
      </c>
      <c r="BM129" s="124">
        <f t="shared" si="35"/>
        <v>0</v>
      </c>
      <c r="BN129" s="124">
        <f t="shared" si="36"/>
        <v>2.954267580557429</v>
      </c>
      <c r="BO129" s="124">
        <f t="shared" si="37"/>
        <v>0</v>
      </c>
    </row>
    <row r="130" spans="30:67">
      <c r="AD130" s="3">
        <v>126</v>
      </c>
      <c r="AE130" s="3" t="str">
        <f t="shared" si="13"/>
        <v>Right</v>
      </c>
      <c r="AF130" s="3" t="str">
        <f t="shared" si="14"/>
        <v>ROB</v>
      </c>
      <c r="AG130" s="3" t="str">
        <f>IF(XS_Designer_Summary!$AB$24&gt;=XS_Designer_Summary!AD130,"Y","N")</f>
        <v>Y</v>
      </c>
      <c r="AH130" s="45">
        <v>1</v>
      </c>
      <c r="AI130" s="45">
        <f>IF(AG130="Y",$O$19/XS_Designer_Summary!$AB$24,0)</f>
        <v>0.27201249999999999</v>
      </c>
      <c r="AJ130" s="45">
        <f t="shared" si="15"/>
        <v>0.27201249999999999</v>
      </c>
      <c r="AK130" s="14">
        <f t="shared" si="38"/>
        <v>7.3443374999999618</v>
      </c>
      <c r="AL130" s="14">
        <f>IF(AG130="Y",LININTERP(AK130,XS_Designer_Calculations!$AY$4:$AY$104,XS_Designer_Calculations!$AZ$4:$AZ$104),AL129)</f>
        <v>2.0478617499999991</v>
      </c>
      <c r="AM130" s="14">
        <f t="shared" si="16"/>
        <v>2.9521382500000009</v>
      </c>
      <c r="AN130" s="14">
        <f t="shared" si="17"/>
        <v>0.80227859772656274</v>
      </c>
      <c r="AO130" s="46">
        <f t="shared" si="18"/>
        <v>0.27206689706083753</v>
      </c>
      <c r="AP130" s="46">
        <f t="shared" si="19"/>
        <v>2.9488284182811233</v>
      </c>
      <c r="AQ130" s="46">
        <f t="shared" si="20"/>
        <v>8.6035107064681669E-3</v>
      </c>
      <c r="AR130" s="14">
        <f>IFERROR(IF(AG130="Y",VLOOKUP(AK130,XS_Designer_Calculations!$R$5:$T$104,3,TRUE),0),0)</f>
        <v>0.1</v>
      </c>
      <c r="AS130" s="46">
        <f t="shared" si="21"/>
        <v>0.01</v>
      </c>
      <c r="AT130" s="14">
        <f t="shared" si="22"/>
        <v>24.515665383934405</v>
      </c>
      <c r="AU130" s="14">
        <f>AT130*XS_Designer_Calculations!$I$7^0.5</f>
        <v>2.4515665383934406</v>
      </c>
      <c r="AV130" s="14">
        <f t="shared" si="23"/>
        <v>3.0557546285548525</v>
      </c>
      <c r="AW130" s="14">
        <f t="shared" si="24"/>
        <v>1.8400689330074209</v>
      </c>
      <c r="AX130" s="14">
        <f t="shared" si="25"/>
        <v>5</v>
      </c>
      <c r="AY130" s="46">
        <f t="shared" si="26"/>
        <v>2.9494181250000011</v>
      </c>
      <c r="AZ130" s="14">
        <f>((AS130*AP130)/(1.65*XS_Designer!$S$99))*12</f>
        <v>10.328308150919165</v>
      </c>
      <c r="BA130" s="14">
        <f>(AW130/((1.65*62.4)*XS_Designer!$AA$53))*12</f>
        <v>3.5743374767043923</v>
      </c>
      <c r="BB130" s="14">
        <f t="shared" si="27"/>
        <v>5.8014499091380394</v>
      </c>
      <c r="BC130" s="14">
        <f t="shared" si="28"/>
        <v>9.3801773292371227</v>
      </c>
      <c r="BD130" s="14">
        <f>IF(ISNUMBER(LININTERP(AW130,Permissible_Shear!$T$178:$T$188,Permissible_Shear!$V$178:$V$188)),LININTERP(AW130,Permissible_Shear!$T$178:$T$188,Permissible_Shear!$V$178:$V$188),0)</f>
        <v>5.9974821880885152</v>
      </c>
      <c r="BE130" s="14">
        <f>LININTERP(AW130,Permissible_Shear!$S$205:$S$222,Permissible_Shear!$V$205:$V$222)</f>
        <v>6.0627154156481904</v>
      </c>
      <c r="BF130" s="14">
        <f>INDEX($AZ$3:$BE$204,ROW(BF130)-2,MATCH(XS_Designer!$W$5,XS_Designer_Summary!$AZ$2:$BE$2,0))</f>
        <v>5.8014499091380394</v>
      </c>
      <c r="BG130" s="79">
        <f t="shared" si="29"/>
        <v>0</v>
      </c>
      <c r="BH130" s="79">
        <f t="shared" si="30"/>
        <v>3.0557546285548525</v>
      </c>
      <c r="BI130" s="79">
        <f t="shared" si="31"/>
        <v>0</v>
      </c>
      <c r="BJ130" s="79">
        <f t="shared" si="32"/>
        <v>0</v>
      </c>
      <c r="BK130" s="79">
        <f t="shared" si="33"/>
        <v>1.8400689330074209</v>
      </c>
      <c r="BL130" s="79">
        <f t="shared" si="34"/>
        <v>0</v>
      </c>
      <c r="BM130" s="124">
        <f t="shared" si="35"/>
        <v>0</v>
      </c>
      <c r="BN130" s="124">
        <f t="shared" si="36"/>
        <v>2.9488284182811233</v>
      </c>
      <c r="BO130" s="124">
        <f t="shared" si="37"/>
        <v>0</v>
      </c>
    </row>
    <row r="131" spans="30:67">
      <c r="AD131" s="3">
        <v>127</v>
      </c>
      <c r="AE131" s="3" t="str">
        <f t="shared" si="13"/>
        <v>Right</v>
      </c>
      <c r="AF131" s="3" t="str">
        <f t="shared" si="14"/>
        <v>ROB</v>
      </c>
      <c r="AG131" s="3" t="str">
        <f>IF(XS_Designer_Summary!$AB$24&gt;=XS_Designer_Summary!AD131,"Y","N")</f>
        <v>Y</v>
      </c>
      <c r="AH131" s="45">
        <v>1</v>
      </c>
      <c r="AI131" s="45">
        <f>IF(AG131="Y",$O$19/XS_Designer_Summary!$AB$24,0)</f>
        <v>0.27201249999999999</v>
      </c>
      <c r="AJ131" s="45">
        <f t="shared" si="15"/>
        <v>0.27201249999999999</v>
      </c>
      <c r="AK131" s="14">
        <f t="shared" si="38"/>
        <v>7.6163499999999615</v>
      </c>
      <c r="AL131" s="14">
        <f>IF(AG131="Y",LININTERP(AK131,XS_Designer_Calculations!$AY$4:$AY$104,XS_Designer_Calculations!$AZ$4:$AZ$104),AL130)</f>
        <v>2.0533019999999991</v>
      </c>
      <c r="AM131" s="14">
        <f t="shared" si="16"/>
        <v>2.9466980000000009</v>
      </c>
      <c r="AN131" s="14">
        <f t="shared" si="17"/>
        <v>0.80079878172343766</v>
      </c>
      <c r="AO131" s="46">
        <f t="shared" si="18"/>
        <v>0.27206689706083753</v>
      </c>
      <c r="AP131" s="46">
        <f t="shared" si="19"/>
        <v>2.9433892560048167</v>
      </c>
      <c r="AQ131" s="46">
        <f t="shared" si="20"/>
        <v>8.6035107064681669E-3</v>
      </c>
      <c r="AR131" s="14">
        <f>IFERROR(IF(AG131="Y",VLOOKUP(AK131,XS_Designer_Calculations!$R$5:$T$104,3,TRUE),0),0)</f>
        <v>0.1</v>
      </c>
      <c r="AS131" s="46">
        <f t="shared" si="21"/>
        <v>0.01</v>
      </c>
      <c r="AT131" s="14">
        <f t="shared" si="22"/>
        <v>24.440345821305854</v>
      </c>
      <c r="AU131" s="14">
        <f>AT131*XS_Designer_Calculations!$I$7^0.5</f>
        <v>2.4440345821305858</v>
      </c>
      <c r="AV131" s="14">
        <f t="shared" si="23"/>
        <v>3.0519958795025399</v>
      </c>
      <c r="AW131" s="14">
        <f t="shared" si="24"/>
        <v>1.8366748957470058</v>
      </c>
      <c r="AX131" s="14">
        <f t="shared" si="25"/>
        <v>5</v>
      </c>
      <c r="AY131" s="46">
        <f t="shared" si="26"/>
        <v>2.9439778750000007</v>
      </c>
      <c r="AZ131" s="14">
        <f>((AS131*AP131)/(1.65*XS_Designer!$S$99))*12</f>
        <v>10.309257417507792</v>
      </c>
      <c r="BA131" s="14">
        <f>(AW131/((1.65*62.4)*XS_Designer!$AA$53))*12</f>
        <v>3.567744552733112</v>
      </c>
      <c r="BB131" s="14">
        <f t="shared" si="27"/>
        <v>5.7903103086761334</v>
      </c>
      <c r="BC131" s="14">
        <f t="shared" si="28"/>
        <v>9.3674604131998471</v>
      </c>
      <c r="BD131" s="14">
        <f>IF(ISNUMBER(LININTERP(AW131,Permissible_Shear!$T$178:$T$188,Permissible_Shear!$V$178:$V$188)),LININTERP(AW131,Permissible_Shear!$T$178:$T$188,Permissible_Shear!$V$178:$V$188),0)</f>
        <v>5.9868806530784333</v>
      </c>
      <c r="BE131" s="14">
        <f>LININTERP(AW131,Permissible_Shear!$S$205:$S$222,Permissible_Shear!$V$205:$V$222)</f>
        <v>6.0521090492093936</v>
      </c>
      <c r="BF131" s="14">
        <f>INDEX($AZ$3:$BE$204,ROW(BF131)-2,MATCH(XS_Designer!$W$5,XS_Designer_Summary!$AZ$2:$BE$2,0))</f>
        <v>5.7903103086761334</v>
      </c>
      <c r="BG131" s="79">
        <f t="shared" si="29"/>
        <v>0</v>
      </c>
      <c r="BH131" s="79">
        <f t="shared" si="30"/>
        <v>3.0519958795025399</v>
      </c>
      <c r="BI131" s="79">
        <f t="shared" si="31"/>
        <v>0</v>
      </c>
      <c r="BJ131" s="79">
        <f t="shared" si="32"/>
        <v>0</v>
      </c>
      <c r="BK131" s="79">
        <f t="shared" si="33"/>
        <v>1.8366748957470058</v>
      </c>
      <c r="BL131" s="79">
        <f t="shared" si="34"/>
        <v>0</v>
      </c>
      <c r="BM131" s="124">
        <f t="shared" si="35"/>
        <v>0</v>
      </c>
      <c r="BN131" s="124">
        <f t="shared" si="36"/>
        <v>2.9433892560048167</v>
      </c>
      <c r="BO131" s="124">
        <f t="shared" si="37"/>
        <v>0</v>
      </c>
    </row>
    <row r="132" spans="30:67">
      <c r="AD132" s="3">
        <v>128</v>
      </c>
      <c r="AE132" s="3" t="str">
        <f t="shared" si="13"/>
        <v>Right</v>
      </c>
      <c r="AF132" s="3" t="str">
        <f t="shared" si="14"/>
        <v>ROB</v>
      </c>
      <c r="AG132" s="3" t="str">
        <f>IF(XS_Designer_Summary!$AB$24&gt;=XS_Designer_Summary!AD132,"Y","N")</f>
        <v>Y</v>
      </c>
      <c r="AH132" s="45">
        <v>1</v>
      </c>
      <c r="AI132" s="45">
        <f>IF(AG132="Y",$O$19/XS_Designer_Summary!$AB$24,0)</f>
        <v>0.27201249999999999</v>
      </c>
      <c r="AJ132" s="45">
        <f t="shared" si="15"/>
        <v>0.27201249999999999</v>
      </c>
      <c r="AK132" s="14">
        <f t="shared" si="38"/>
        <v>7.8883624999999613</v>
      </c>
      <c r="AL132" s="14">
        <f>IF(AG132="Y",LININTERP(AK132,XS_Designer_Calculations!$AY$4:$AY$104,XS_Designer_Calculations!$AZ$4:$AZ$104),AL131)</f>
        <v>2.058742249999999</v>
      </c>
      <c r="AM132" s="14">
        <f t="shared" si="16"/>
        <v>2.941257750000001</v>
      </c>
      <c r="AN132" s="14">
        <f t="shared" si="17"/>
        <v>0.79931896572031269</v>
      </c>
      <c r="AO132" s="46">
        <f t="shared" si="18"/>
        <v>0.27206689706083753</v>
      </c>
      <c r="AP132" s="46">
        <f t="shared" si="19"/>
        <v>2.9379500937285106</v>
      </c>
      <c r="AQ132" s="46">
        <f t="shared" si="20"/>
        <v>8.6035107064681669E-3</v>
      </c>
      <c r="AR132" s="14">
        <f>IFERROR(IF(AG132="Y",VLOOKUP(AK132,XS_Designer_Calculations!$R$5:$T$104,3,TRUE),0),0)</f>
        <v>0.1</v>
      </c>
      <c r="AS132" s="46">
        <f t="shared" si="21"/>
        <v>0.01</v>
      </c>
      <c r="AT132" s="14">
        <f t="shared" si="22"/>
        <v>24.365118991509465</v>
      </c>
      <c r="AU132" s="14">
        <f>AT132*XS_Designer_Calculations!$I$7^0.5</f>
        <v>2.4365118991509469</v>
      </c>
      <c r="AV132" s="14">
        <f t="shared" si="23"/>
        <v>3.0482348144401463</v>
      </c>
      <c r="AW132" s="14">
        <f t="shared" si="24"/>
        <v>1.8332808584865905</v>
      </c>
      <c r="AX132" s="14">
        <f t="shared" si="25"/>
        <v>5</v>
      </c>
      <c r="AY132" s="46">
        <f t="shared" si="26"/>
        <v>2.9385376250000008</v>
      </c>
      <c r="AZ132" s="14">
        <f>((AS132*AP132)/(1.65*XS_Designer!$S$99))*12</f>
        <v>10.290206684096422</v>
      </c>
      <c r="BA132" s="14">
        <f>(AW132/((1.65*62.4)*XS_Designer!$AA$53))*12</f>
        <v>3.5611516287618312</v>
      </c>
      <c r="BB132" s="14">
        <f t="shared" si="27"/>
        <v>5.7791715719592105</v>
      </c>
      <c r="BC132" s="14">
        <f t="shared" si="28"/>
        <v>9.3547372856548172</v>
      </c>
      <c r="BD132" s="14">
        <f>IF(ISNUMBER(LININTERP(AW132,Permissible_Shear!$T$178:$T$188,Permissible_Shear!$V$178:$V$188)),LININTERP(AW132,Permissible_Shear!$T$178:$T$188,Permissible_Shear!$V$178:$V$188),0)</f>
        <v>5.9762791180683514</v>
      </c>
      <c r="BE132" s="14">
        <f>LININTERP(AW132,Permissible_Shear!$S$205:$S$222,Permissible_Shear!$V$205:$V$222)</f>
        <v>6.0415026827705951</v>
      </c>
      <c r="BF132" s="14">
        <f>INDEX($AZ$3:$BE$204,ROW(BF132)-2,MATCH(XS_Designer!$W$5,XS_Designer_Summary!$AZ$2:$BE$2,0))</f>
        <v>5.7791715719592105</v>
      </c>
      <c r="BG132" s="79">
        <f t="shared" si="29"/>
        <v>0</v>
      </c>
      <c r="BH132" s="79">
        <f t="shared" si="30"/>
        <v>3.0482348144401463</v>
      </c>
      <c r="BI132" s="79">
        <f t="shared" si="31"/>
        <v>0</v>
      </c>
      <c r="BJ132" s="79">
        <f t="shared" si="32"/>
        <v>0</v>
      </c>
      <c r="BK132" s="79">
        <f t="shared" si="33"/>
        <v>1.8332808584865905</v>
      </c>
      <c r="BL132" s="79">
        <f t="shared" si="34"/>
        <v>0</v>
      </c>
      <c r="BM132" s="124">
        <f t="shared" si="35"/>
        <v>0</v>
      </c>
      <c r="BN132" s="124">
        <f t="shared" si="36"/>
        <v>2.9379500937285106</v>
      </c>
      <c r="BO132" s="124">
        <f t="shared" si="37"/>
        <v>0</v>
      </c>
    </row>
    <row r="133" spans="30:67">
      <c r="AD133" s="3">
        <v>129</v>
      </c>
      <c r="AE133" s="3" t="str">
        <f t="shared" si="13"/>
        <v>Right</v>
      </c>
      <c r="AF133" s="3" t="str">
        <f t="shared" si="14"/>
        <v>ROB</v>
      </c>
      <c r="AG133" s="3" t="str">
        <f>IF(XS_Designer_Summary!$AB$24&gt;=XS_Designer_Summary!AD133,"Y","N")</f>
        <v>Y</v>
      </c>
      <c r="AH133" s="45">
        <v>1</v>
      </c>
      <c r="AI133" s="45">
        <f>IF(AG133="Y",$O$19/XS_Designer_Summary!$AB$24,0)</f>
        <v>0.27201249999999999</v>
      </c>
      <c r="AJ133" s="45">
        <f t="shared" si="15"/>
        <v>0.27201249999999999</v>
      </c>
      <c r="AK133" s="14">
        <f t="shared" si="38"/>
        <v>8.1603749999999611</v>
      </c>
      <c r="AL133" s="14">
        <f>IF(AG133="Y",LININTERP(AK133,XS_Designer_Calculations!$AY$4:$AY$104,XS_Designer_Calculations!$AZ$4:$AZ$104),AL132)</f>
        <v>2.0641824999999994</v>
      </c>
      <c r="AM133" s="14">
        <f t="shared" si="16"/>
        <v>2.9358175000000006</v>
      </c>
      <c r="AN133" s="14">
        <f t="shared" si="17"/>
        <v>0.79783914971718772</v>
      </c>
      <c r="AO133" s="46">
        <f t="shared" si="18"/>
        <v>0.27206689706083842</v>
      </c>
      <c r="AP133" s="46">
        <f t="shared" si="19"/>
        <v>2.9325109314521951</v>
      </c>
      <c r="AQ133" s="46">
        <f t="shared" si="20"/>
        <v>8.6035107064681964E-3</v>
      </c>
      <c r="AR133" s="14">
        <f>IFERROR(IF(AG133="Y",VLOOKUP(AK133,XS_Designer_Calculations!$R$5:$T$104,3,TRUE),0),0)</f>
        <v>0.1</v>
      </c>
      <c r="AS133" s="46">
        <f t="shared" si="21"/>
        <v>0.01</v>
      </c>
      <c r="AT133" s="14">
        <f t="shared" si="22"/>
        <v>24.289984951736812</v>
      </c>
      <c r="AU133" s="14">
        <f>AT133*XS_Designer_Calculations!$I$7^0.5</f>
        <v>2.4289984951736816</v>
      </c>
      <c r="AV133" s="14">
        <f t="shared" si="23"/>
        <v>3.0444714276489133</v>
      </c>
      <c r="AW133" s="14">
        <f t="shared" si="24"/>
        <v>1.8298868212261699</v>
      </c>
      <c r="AX133" s="14">
        <f t="shared" si="25"/>
        <v>5</v>
      </c>
      <c r="AY133" s="46">
        <f t="shared" si="26"/>
        <v>2.9330973750000009</v>
      </c>
      <c r="AZ133" s="14">
        <f>((AS133*AP133)/(1.65*XS_Designer!$S$99))*12</f>
        <v>10.271155950685021</v>
      </c>
      <c r="BA133" s="14">
        <f>(AW133/((1.65*62.4)*XS_Designer!$AA$53))*12</f>
        <v>3.5545587047905403</v>
      </c>
      <c r="BB133" s="14">
        <f t="shared" si="27"/>
        <v>5.7680337005177265</v>
      </c>
      <c r="BC133" s="14">
        <f t="shared" si="28"/>
        <v>9.3420079320706009</v>
      </c>
      <c r="BD133" s="14">
        <f>IF(ISNUMBER(LININTERP(AW133,Permissible_Shear!$T$178:$T$188,Permissible_Shear!$V$178:$V$188)),LININTERP(AW133,Permissible_Shear!$T$178:$T$188,Permissible_Shear!$V$178:$V$188),0)</f>
        <v>5.9656775830582527</v>
      </c>
      <c r="BE133" s="14">
        <f>LININTERP(AW133,Permissible_Shear!$S$205:$S$222,Permissible_Shear!$V$205:$V$222)</f>
        <v>6.0308963163317806</v>
      </c>
      <c r="BF133" s="14">
        <f>INDEX($AZ$3:$BE$204,ROW(BF133)-2,MATCH(XS_Designer!$W$5,XS_Designer_Summary!$AZ$2:$BE$2,0))</f>
        <v>5.7680337005177265</v>
      </c>
      <c r="BG133" s="79">
        <f t="shared" si="29"/>
        <v>0</v>
      </c>
      <c r="BH133" s="79">
        <f t="shared" si="30"/>
        <v>3.0444714276489133</v>
      </c>
      <c r="BI133" s="79">
        <f t="shared" si="31"/>
        <v>0</v>
      </c>
      <c r="BJ133" s="79">
        <f t="shared" si="32"/>
        <v>0</v>
      </c>
      <c r="BK133" s="79">
        <f t="shared" si="33"/>
        <v>1.8298868212261699</v>
      </c>
      <c r="BL133" s="79">
        <f t="shared" si="34"/>
        <v>0</v>
      </c>
      <c r="BM133" s="124">
        <f t="shared" si="35"/>
        <v>0</v>
      </c>
      <c r="BN133" s="124">
        <f t="shared" si="36"/>
        <v>2.9325109314521951</v>
      </c>
      <c r="BO133" s="124">
        <f t="shared" si="37"/>
        <v>0</v>
      </c>
    </row>
    <row r="134" spans="30:67">
      <c r="AD134" s="3">
        <v>130</v>
      </c>
      <c r="AE134" s="3" t="str">
        <f t="shared" si="13"/>
        <v>Right</v>
      </c>
      <c r="AF134" s="3" t="str">
        <f t="shared" si="14"/>
        <v>ROB</v>
      </c>
      <c r="AG134" s="3" t="str">
        <f>IF(XS_Designer_Summary!$AB$24&gt;=XS_Designer_Summary!AD134,"Y","N")</f>
        <v>Y</v>
      </c>
      <c r="AH134" s="45">
        <v>1</v>
      </c>
      <c r="AI134" s="45">
        <f>IF(AG134="Y",$O$19/XS_Designer_Summary!$AB$24,0)</f>
        <v>0.27201249999999999</v>
      </c>
      <c r="AJ134" s="45">
        <f t="shared" si="15"/>
        <v>0.27201249999999999</v>
      </c>
      <c r="AK134" s="14">
        <f t="shared" si="38"/>
        <v>8.4323874999999617</v>
      </c>
      <c r="AL134" s="14">
        <f>IF(AG134="Y",LININTERP(AK134,XS_Designer_Calculations!$AY$4:$AY$104,XS_Designer_Calculations!$AZ$4:$AZ$104),AL133)</f>
        <v>2.0696227499999993</v>
      </c>
      <c r="AM134" s="14">
        <f t="shared" si="16"/>
        <v>2.9303772500000007</v>
      </c>
      <c r="AN134" s="14">
        <f t="shared" si="17"/>
        <v>0.79635933371406264</v>
      </c>
      <c r="AO134" s="46">
        <f t="shared" si="18"/>
        <v>0.27206689706083842</v>
      </c>
      <c r="AP134" s="46">
        <f t="shared" si="19"/>
        <v>2.9270717691758885</v>
      </c>
      <c r="AQ134" s="46">
        <f t="shared" si="20"/>
        <v>8.6035107064681964E-3</v>
      </c>
      <c r="AR134" s="14">
        <f>IFERROR(IF(AG134="Y",VLOOKUP(AK134,XS_Designer_Calculations!$R$5:$T$104,3,TRUE),0),0)</f>
        <v>0.1</v>
      </c>
      <c r="AS134" s="46">
        <f t="shared" si="21"/>
        <v>0.01</v>
      </c>
      <c r="AT134" s="14">
        <f t="shared" si="22"/>
        <v>24.214943759320967</v>
      </c>
      <c r="AU134" s="14">
        <f>AT134*XS_Designer_Calculations!$I$7^0.5</f>
        <v>2.421494375932097</v>
      </c>
      <c r="AV134" s="14">
        <f t="shared" si="23"/>
        <v>3.040705713385345</v>
      </c>
      <c r="AW134" s="14">
        <f t="shared" si="24"/>
        <v>1.8264927839657543</v>
      </c>
      <c r="AX134" s="14">
        <f t="shared" si="25"/>
        <v>5</v>
      </c>
      <c r="AY134" s="46">
        <f t="shared" si="26"/>
        <v>2.9276571250000005</v>
      </c>
      <c r="AZ134" s="14">
        <f>((AS134*AP134)/(1.65*XS_Designer!$S$99))*12</f>
        <v>10.252105217273648</v>
      </c>
      <c r="BA134" s="14">
        <f>(AW134/((1.65*62.4)*XS_Designer!$AA$53))*12</f>
        <v>3.5479657808192595</v>
      </c>
      <c r="BB134" s="14">
        <f t="shared" si="27"/>
        <v>5.7568966958876882</v>
      </c>
      <c r="BC134" s="14">
        <f t="shared" si="28"/>
        <v>9.3292723378547802</v>
      </c>
      <c r="BD134" s="14">
        <f>IF(ISNUMBER(LININTERP(AW134,Permissible_Shear!$T$178:$T$188,Permissible_Shear!$V$178:$V$188)),LININTERP(AW134,Permissible_Shear!$T$178:$T$188,Permissible_Shear!$V$178:$V$188),0)</f>
        <v>5.9550760480481699</v>
      </c>
      <c r="BE134" s="14">
        <f>LININTERP(AW134,Permissible_Shear!$S$205:$S$222,Permissible_Shear!$V$205:$V$222)</f>
        <v>6.0202899498929821</v>
      </c>
      <c r="BF134" s="14">
        <f>INDEX($AZ$3:$BE$204,ROW(BF134)-2,MATCH(XS_Designer!$W$5,XS_Designer_Summary!$AZ$2:$BE$2,0))</f>
        <v>5.7568966958876882</v>
      </c>
      <c r="BG134" s="79">
        <f t="shared" si="29"/>
        <v>0</v>
      </c>
      <c r="BH134" s="79">
        <f t="shared" si="30"/>
        <v>3.040705713385345</v>
      </c>
      <c r="BI134" s="79">
        <f t="shared" si="31"/>
        <v>0</v>
      </c>
      <c r="BJ134" s="79">
        <f t="shared" si="32"/>
        <v>0</v>
      </c>
      <c r="BK134" s="79">
        <f t="shared" si="33"/>
        <v>1.8264927839657543</v>
      </c>
      <c r="BL134" s="79">
        <f t="shared" si="34"/>
        <v>0</v>
      </c>
      <c r="BM134" s="124">
        <f t="shared" si="35"/>
        <v>0</v>
      </c>
      <c r="BN134" s="124">
        <f t="shared" si="36"/>
        <v>2.9270717691758885</v>
      </c>
      <c r="BO134" s="124">
        <f t="shared" si="37"/>
        <v>0</v>
      </c>
    </row>
    <row r="135" spans="30:67">
      <c r="AD135" s="3">
        <v>131</v>
      </c>
      <c r="AE135" s="3" t="str">
        <f t="shared" si="13"/>
        <v>Right</v>
      </c>
      <c r="AF135" s="3" t="str">
        <f t="shared" si="14"/>
        <v>ROB</v>
      </c>
      <c r="AG135" s="3" t="str">
        <f>IF(XS_Designer_Summary!$AB$24&gt;=XS_Designer_Summary!AD135,"Y","N")</f>
        <v>Y</v>
      </c>
      <c r="AH135" s="45">
        <v>1</v>
      </c>
      <c r="AI135" s="45">
        <f>IF(AG135="Y",$O$19/XS_Designer_Summary!$AB$24,0)</f>
        <v>0.27201249999999999</v>
      </c>
      <c r="AJ135" s="45">
        <f t="shared" si="15"/>
        <v>0.27201249999999999</v>
      </c>
      <c r="AK135" s="14">
        <f t="shared" si="38"/>
        <v>8.7043999999999624</v>
      </c>
      <c r="AL135" s="14">
        <f>IF(AG135="Y",LININTERP(AK135,XS_Designer_Calculations!$AY$4:$AY$104,XS_Designer_Calculations!$AZ$4:$AZ$104),AL134)</f>
        <v>2.0750629999999992</v>
      </c>
      <c r="AM135" s="14">
        <f t="shared" si="16"/>
        <v>2.9249370000000008</v>
      </c>
      <c r="AN135" s="14">
        <f t="shared" si="17"/>
        <v>0.79487951771093779</v>
      </c>
      <c r="AO135" s="46">
        <f t="shared" si="18"/>
        <v>0.27206689706083842</v>
      </c>
      <c r="AP135" s="46">
        <f t="shared" si="19"/>
        <v>2.9216326068995828</v>
      </c>
      <c r="AQ135" s="46">
        <f t="shared" si="20"/>
        <v>8.6035107064681964E-3</v>
      </c>
      <c r="AR135" s="14">
        <f>IFERROR(IF(AG135="Y",VLOOKUP(AK135,XS_Designer_Calculations!$R$5:$T$104,3,TRUE),0),0)</f>
        <v>0.1</v>
      </c>
      <c r="AS135" s="46">
        <f t="shared" si="21"/>
        <v>0.01</v>
      </c>
      <c r="AT135" s="14">
        <f t="shared" si="22"/>
        <v>24.13999547173681</v>
      </c>
      <c r="AU135" s="14">
        <f>AT135*XS_Designer_Calculations!$I$7^0.5</f>
        <v>2.413999547173681</v>
      </c>
      <c r="AV135" s="14">
        <f t="shared" si="23"/>
        <v>3.0369376658810134</v>
      </c>
      <c r="AW135" s="14">
        <f t="shared" si="24"/>
        <v>1.8230987467053397</v>
      </c>
      <c r="AX135" s="14">
        <f t="shared" si="25"/>
        <v>5</v>
      </c>
      <c r="AY135" s="46">
        <f t="shared" si="26"/>
        <v>2.922216875000001</v>
      </c>
      <c r="AZ135" s="14">
        <f>((AS135*AP135)/(1.65*XS_Designer!$S$99))*12</f>
        <v>10.233054483862281</v>
      </c>
      <c r="BA135" s="14">
        <f>(AW135/((1.65*62.4)*XS_Designer!$AA$53))*12</f>
        <v>3.5413728568479796</v>
      </c>
      <c r="BB135" s="14">
        <f t="shared" si="27"/>
        <v>5.7457605596106855</v>
      </c>
      <c r="BC135" s="14">
        <f t="shared" si="28"/>
        <v>9.316530488353564</v>
      </c>
      <c r="BD135" s="14">
        <f>IF(ISNUMBER(LININTERP(AW135,Permissible_Shear!$T$178:$T$188,Permissible_Shear!$V$178:$V$188)),LININTERP(AW135,Permissible_Shear!$T$178:$T$188,Permissible_Shear!$V$178:$V$188),0)</f>
        <v>5.9444745130380898</v>
      </c>
      <c r="BE135" s="14">
        <f>LININTERP(AW135,Permissible_Shear!$S$205:$S$222,Permissible_Shear!$V$205:$V$222)</f>
        <v>6.0096835834541871</v>
      </c>
      <c r="BF135" s="14">
        <f>INDEX($AZ$3:$BE$204,ROW(BF135)-2,MATCH(XS_Designer!$W$5,XS_Designer_Summary!$AZ$2:$BE$2,0))</f>
        <v>5.7457605596106855</v>
      </c>
      <c r="BG135" s="79">
        <f t="shared" si="29"/>
        <v>0</v>
      </c>
      <c r="BH135" s="79">
        <f t="shared" si="30"/>
        <v>3.0369376658810134</v>
      </c>
      <c r="BI135" s="79">
        <f t="shared" si="31"/>
        <v>0</v>
      </c>
      <c r="BJ135" s="79">
        <f t="shared" si="32"/>
        <v>0</v>
      </c>
      <c r="BK135" s="79">
        <f t="shared" si="33"/>
        <v>1.8230987467053397</v>
      </c>
      <c r="BL135" s="79">
        <f t="shared" si="34"/>
        <v>0</v>
      </c>
      <c r="BM135" s="124">
        <f t="shared" si="35"/>
        <v>0</v>
      </c>
      <c r="BN135" s="124">
        <f t="shared" si="36"/>
        <v>2.9216326068995828</v>
      </c>
      <c r="BO135" s="124">
        <f t="shared" si="37"/>
        <v>0</v>
      </c>
    </row>
    <row r="136" spans="30:67">
      <c r="AD136" s="3">
        <v>132</v>
      </c>
      <c r="AE136" s="3" t="str">
        <f t="shared" si="13"/>
        <v>Right</v>
      </c>
      <c r="AF136" s="3" t="str">
        <f t="shared" si="14"/>
        <v>ROB</v>
      </c>
      <c r="AG136" s="3" t="str">
        <f>IF(XS_Designer_Summary!$AB$24&gt;=XS_Designer_Summary!AD136,"Y","N")</f>
        <v>Y</v>
      </c>
      <c r="AH136" s="45">
        <v>1</v>
      </c>
      <c r="AI136" s="45">
        <f>IF(AG136="Y",$O$19/XS_Designer_Summary!$AB$24,0)</f>
        <v>0.27201249999999999</v>
      </c>
      <c r="AJ136" s="45">
        <f t="shared" si="15"/>
        <v>0.27201249999999999</v>
      </c>
      <c r="AK136" s="14">
        <f t="shared" si="38"/>
        <v>8.976412499999963</v>
      </c>
      <c r="AL136" s="14">
        <f>IF(AG136="Y",LININTERP(AK136,XS_Designer_Calculations!$AY$4:$AY$104,XS_Designer_Calculations!$AZ$4:$AZ$104),AL135)</f>
        <v>2.0805032499999991</v>
      </c>
      <c r="AM136" s="14">
        <f t="shared" si="16"/>
        <v>2.9194967500000009</v>
      </c>
      <c r="AN136" s="14">
        <f t="shared" si="17"/>
        <v>0.79339970170781271</v>
      </c>
      <c r="AO136" s="46">
        <f t="shared" si="18"/>
        <v>0.27206689706083842</v>
      </c>
      <c r="AP136" s="46">
        <f t="shared" si="19"/>
        <v>2.9161934446232762</v>
      </c>
      <c r="AQ136" s="46">
        <f t="shared" si="20"/>
        <v>8.6035107064681964E-3</v>
      </c>
      <c r="AR136" s="14">
        <f>IFERROR(IF(AG136="Y",VLOOKUP(AK136,XS_Designer_Calculations!$R$5:$T$104,3,TRUE),0),0)</f>
        <v>0.1</v>
      </c>
      <c r="AS136" s="46">
        <f t="shared" si="21"/>
        <v>0.01</v>
      </c>
      <c r="AT136" s="14">
        <f t="shared" si="22"/>
        <v>24.065140146601834</v>
      </c>
      <c r="AU136" s="14">
        <f>AT136*XS_Designer_Calculations!$I$7^0.5</f>
        <v>2.4065140146601838</v>
      </c>
      <c r="AV136" s="14">
        <f t="shared" si="23"/>
        <v>3.0331672793424325</v>
      </c>
      <c r="AW136" s="14">
        <f t="shared" si="24"/>
        <v>1.8197047094449244</v>
      </c>
      <c r="AX136" s="14">
        <f t="shared" si="25"/>
        <v>5</v>
      </c>
      <c r="AY136" s="46">
        <f t="shared" si="26"/>
        <v>2.9167766250000007</v>
      </c>
      <c r="AZ136" s="14">
        <f>((AS136*AP136)/(1.65*XS_Designer!$S$99))*12</f>
        <v>10.21400375045091</v>
      </c>
      <c r="BA136" s="14">
        <f>(AW136/((1.65*62.4)*XS_Designer!$AA$53))*12</f>
        <v>3.5347799328766989</v>
      </c>
      <c r="BB136" s="14">
        <f t="shared" si="27"/>
        <v>5.7346252932339237</v>
      </c>
      <c r="BC136" s="14">
        <f t="shared" si="28"/>
        <v>9.3037823688514365</v>
      </c>
      <c r="BD136" s="14">
        <f>IF(ISNUMBER(LININTERP(AW136,Permissible_Shear!$T$178:$T$188,Permissible_Shear!$V$178:$V$188)),LININTERP(AW136,Permissible_Shear!$T$178:$T$188,Permissible_Shear!$V$178:$V$188),0)</f>
        <v>5.9338729780280071</v>
      </c>
      <c r="BE136" s="14">
        <f>LININTERP(AW136,Permissible_Shear!$S$205:$S$222,Permissible_Shear!$V$205:$V$222)</f>
        <v>5.9990772170153885</v>
      </c>
      <c r="BF136" s="14">
        <f>INDEX($AZ$3:$BE$204,ROW(BF136)-2,MATCH(XS_Designer!$W$5,XS_Designer_Summary!$AZ$2:$BE$2,0))</f>
        <v>5.7346252932339237</v>
      </c>
      <c r="BG136" s="79">
        <f t="shared" si="29"/>
        <v>0</v>
      </c>
      <c r="BH136" s="79">
        <f t="shared" si="30"/>
        <v>3.0331672793424325</v>
      </c>
      <c r="BI136" s="79">
        <f t="shared" si="31"/>
        <v>0</v>
      </c>
      <c r="BJ136" s="79">
        <f t="shared" si="32"/>
        <v>0</v>
      </c>
      <c r="BK136" s="79">
        <f t="shared" si="33"/>
        <v>1.8197047094449244</v>
      </c>
      <c r="BL136" s="79">
        <f t="shared" si="34"/>
        <v>0</v>
      </c>
      <c r="BM136" s="124">
        <f t="shared" si="35"/>
        <v>0</v>
      </c>
      <c r="BN136" s="124">
        <f t="shared" si="36"/>
        <v>2.9161934446232762</v>
      </c>
      <c r="BO136" s="124">
        <f t="shared" si="37"/>
        <v>0</v>
      </c>
    </row>
    <row r="137" spans="30:67">
      <c r="AD137" s="3">
        <v>133</v>
      </c>
      <c r="AE137" s="3" t="str">
        <f t="shared" si="13"/>
        <v>Right</v>
      </c>
      <c r="AF137" s="3" t="str">
        <f t="shared" si="14"/>
        <v>ROB</v>
      </c>
      <c r="AG137" s="3" t="str">
        <f>IF(XS_Designer_Summary!$AB$24&gt;=XS_Designer_Summary!AD137,"Y","N")</f>
        <v>Y</v>
      </c>
      <c r="AH137" s="45">
        <v>1</v>
      </c>
      <c r="AI137" s="45">
        <f>IF(AG137="Y",$O$19/XS_Designer_Summary!$AB$24,0)</f>
        <v>0.27201249999999999</v>
      </c>
      <c r="AJ137" s="45">
        <f t="shared" si="15"/>
        <v>0.27201249999999999</v>
      </c>
      <c r="AK137" s="14">
        <f t="shared" si="38"/>
        <v>9.2484249999999637</v>
      </c>
      <c r="AL137" s="14">
        <f>IF(AG137="Y",LININTERP(AK137,XS_Designer_Calculations!$AY$4:$AY$104,XS_Designer_Calculations!$AZ$4:$AZ$104),AL136)</f>
        <v>2.0859434999999991</v>
      </c>
      <c r="AM137" s="14">
        <f t="shared" si="16"/>
        <v>2.9140565000000009</v>
      </c>
      <c r="AN137" s="14">
        <f t="shared" si="17"/>
        <v>0.79191988570468763</v>
      </c>
      <c r="AO137" s="46">
        <f t="shared" si="18"/>
        <v>0.27206689706083842</v>
      </c>
      <c r="AP137" s="46">
        <f t="shared" si="19"/>
        <v>2.9107542823469696</v>
      </c>
      <c r="AQ137" s="46">
        <f t="shared" si="20"/>
        <v>8.6035107064681964E-3</v>
      </c>
      <c r="AR137" s="14">
        <f>IFERROR(IF(AG137="Y",VLOOKUP(AK137,XS_Designer_Calculations!$R$5:$T$104,3,TRUE),0),0)</f>
        <v>0.1</v>
      </c>
      <c r="AS137" s="46">
        <f t="shared" si="21"/>
        <v>0.01</v>
      </c>
      <c r="AT137" s="14">
        <f t="shared" si="22"/>
        <v>23.990377841676764</v>
      </c>
      <c r="AU137" s="14">
        <f>AT137*XS_Designer_Calculations!$I$7^0.5</f>
        <v>2.3990377841676764</v>
      </c>
      <c r="AV137" s="14">
        <f t="shared" si="23"/>
        <v>3.0293945479508948</v>
      </c>
      <c r="AW137" s="14">
        <f t="shared" si="24"/>
        <v>1.816310672184509</v>
      </c>
      <c r="AX137" s="14">
        <f t="shared" si="25"/>
        <v>5</v>
      </c>
      <c r="AY137" s="46">
        <f t="shared" si="26"/>
        <v>2.9113363750000008</v>
      </c>
      <c r="AZ137" s="14">
        <f>((AS137*AP137)/(1.65*XS_Designer!$S$99))*12</f>
        <v>10.194953017039538</v>
      </c>
      <c r="BA137" s="14">
        <f>(AW137/((1.65*62.4)*XS_Designer!$AA$53))*12</f>
        <v>3.5281870089054186</v>
      </c>
      <c r="BB137" s="14">
        <f t="shared" si="27"/>
        <v>5.7234908983102493</v>
      </c>
      <c r="BC137" s="14">
        <f t="shared" si="28"/>
        <v>9.2910279645707607</v>
      </c>
      <c r="BD137" s="14">
        <f>IF(ISNUMBER(LININTERP(AW137,Permissible_Shear!$T$178:$T$188,Permissible_Shear!$V$178:$V$188)),LININTERP(AW137,Permissible_Shear!$T$178:$T$188,Permissible_Shear!$V$178:$V$188),0)</f>
        <v>5.9232714430179243</v>
      </c>
      <c r="BE137" s="14">
        <f>LININTERP(AW137,Permissible_Shear!$S$205:$S$222,Permissible_Shear!$V$205:$V$222)</f>
        <v>5.9884708505765909</v>
      </c>
      <c r="BF137" s="14">
        <f>INDEX($AZ$3:$BE$204,ROW(BF137)-2,MATCH(XS_Designer!$W$5,XS_Designer_Summary!$AZ$2:$BE$2,0))</f>
        <v>5.7234908983102493</v>
      </c>
      <c r="BG137" s="79">
        <f t="shared" si="29"/>
        <v>0</v>
      </c>
      <c r="BH137" s="79">
        <f t="shared" si="30"/>
        <v>3.0293945479508948</v>
      </c>
      <c r="BI137" s="79">
        <f t="shared" si="31"/>
        <v>0</v>
      </c>
      <c r="BJ137" s="79">
        <f t="shared" si="32"/>
        <v>0</v>
      </c>
      <c r="BK137" s="79">
        <f t="shared" si="33"/>
        <v>1.816310672184509</v>
      </c>
      <c r="BL137" s="79">
        <f t="shared" si="34"/>
        <v>0</v>
      </c>
      <c r="BM137" s="124">
        <f t="shared" si="35"/>
        <v>0</v>
      </c>
      <c r="BN137" s="124">
        <f t="shared" si="36"/>
        <v>2.9107542823469696</v>
      </c>
      <c r="BO137" s="124">
        <f t="shared" si="37"/>
        <v>0</v>
      </c>
    </row>
    <row r="138" spans="30:67">
      <c r="AD138" s="3">
        <v>134</v>
      </c>
      <c r="AE138" s="3" t="str">
        <f t="shared" si="13"/>
        <v>Right</v>
      </c>
      <c r="AF138" s="3" t="str">
        <f t="shared" si="14"/>
        <v>ROB</v>
      </c>
      <c r="AG138" s="3" t="str">
        <f>IF(XS_Designer_Summary!$AB$24&gt;=XS_Designer_Summary!AD138,"Y","N")</f>
        <v>Y</v>
      </c>
      <c r="AH138" s="45">
        <v>1</v>
      </c>
      <c r="AI138" s="45">
        <f>IF(AG138="Y",$O$19/XS_Designer_Summary!$AB$24,0)</f>
        <v>0.27201249999999999</v>
      </c>
      <c r="AJ138" s="45">
        <f t="shared" si="15"/>
        <v>0.27201249999999999</v>
      </c>
      <c r="AK138" s="14">
        <f t="shared" si="38"/>
        <v>9.5204374999999644</v>
      </c>
      <c r="AL138" s="14">
        <f>IF(AG138="Y",LININTERP(AK138,XS_Designer_Calculations!$AY$4:$AY$104,XS_Designer_Calculations!$AZ$4:$AZ$104),AL137)</f>
        <v>2.0913837499999994</v>
      </c>
      <c r="AM138" s="14">
        <f t="shared" si="16"/>
        <v>2.9086162500000006</v>
      </c>
      <c r="AN138" s="14">
        <f t="shared" si="17"/>
        <v>0.79044006970156266</v>
      </c>
      <c r="AO138" s="46">
        <f t="shared" si="18"/>
        <v>0.27206689706083842</v>
      </c>
      <c r="AP138" s="46">
        <f t="shared" si="19"/>
        <v>2.9053151200706635</v>
      </c>
      <c r="AQ138" s="46">
        <f t="shared" si="20"/>
        <v>8.6035107064681964E-3</v>
      </c>
      <c r="AR138" s="14">
        <f>IFERROR(IF(AG138="Y",VLOOKUP(AK138,XS_Designer_Calculations!$R$5:$T$104,3,TRUE),0),0)</f>
        <v>0.1</v>
      </c>
      <c r="AS138" s="46">
        <f t="shared" si="21"/>
        <v>0.01</v>
      </c>
      <c r="AT138" s="14">
        <f t="shared" si="22"/>
        <v>23.915708614866134</v>
      </c>
      <c r="AU138" s="14">
        <f>AT138*XS_Designer_Calculations!$I$7^0.5</f>
        <v>2.3915708614866134</v>
      </c>
      <c r="AV138" s="14">
        <f t="shared" si="23"/>
        <v>3.0256194658623152</v>
      </c>
      <c r="AW138" s="14">
        <f t="shared" si="24"/>
        <v>1.8129166349240942</v>
      </c>
      <c r="AX138" s="14">
        <f t="shared" si="25"/>
        <v>5</v>
      </c>
      <c r="AY138" s="46">
        <f t="shared" si="26"/>
        <v>2.9058961250000008</v>
      </c>
      <c r="AZ138" s="14">
        <f>((AS138*AP138)/(1.65*XS_Designer!$S$99))*12</f>
        <v>10.175902283628169</v>
      </c>
      <c r="BA138" s="14">
        <f>(AW138/((1.65*62.4)*XS_Designer!$AA$53))*12</f>
        <v>3.5215940849341383</v>
      </c>
      <c r="BB138" s="14">
        <f t="shared" si="27"/>
        <v>5.7123573763981907</v>
      </c>
      <c r="BC138" s="14">
        <f t="shared" si="28"/>
        <v>9.2782672606714165</v>
      </c>
      <c r="BD138" s="14">
        <f>IF(ISNUMBER(LININTERP(AW138,Permissible_Shear!$T$178:$T$188,Permissible_Shear!$V$178:$V$188)),LININTERP(AW138,Permissible_Shear!$T$178:$T$188,Permissible_Shear!$V$178:$V$188),0)</f>
        <v>5.9126699080078442</v>
      </c>
      <c r="BE138" s="14">
        <f>LININTERP(AW138,Permissible_Shear!$S$205:$S$222,Permissible_Shear!$V$205:$V$222)</f>
        <v>5.977864484137795</v>
      </c>
      <c r="BF138" s="14">
        <f>INDEX($AZ$3:$BE$204,ROW(BF138)-2,MATCH(XS_Designer!$W$5,XS_Designer_Summary!$AZ$2:$BE$2,0))</f>
        <v>5.7123573763981907</v>
      </c>
      <c r="BG138" s="79">
        <f t="shared" si="29"/>
        <v>0</v>
      </c>
      <c r="BH138" s="79">
        <f t="shared" si="30"/>
        <v>3.0256194658623152</v>
      </c>
      <c r="BI138" s="79">
        <f t="shared" si="31"/>
        <v>0</v>
      </c>
      <c r="BJ138" s="79">
        <f t="shared" si="32"/>
        <v>0</v>
      </c>
      <c r="BK138" s="79">
        <f t="shared" si="33"/>
        <v>1.8129166349240942</v>
      </c>
      <c r="BL138" s="79">
        <f t="shared" si="34"/>
        <v>0</v>
      </c>
      <c r="BM138" s="124">
        <f t="shared" si="35"/>
        <v>0</v>
      </c>
      <c r="BN138" s="124">
        <f t="shared" si="36"/>
        <v>2.9053151200706635</v>
      </c>
      <c r="BO138" s="124">
        <f t="shared" si="37"/>
        <v>0</v>
      </c>
    </row>
    <row r="139" spans="30:67">
      <c r="AD139" s="3">
        <v>135</v>
      </c>
      <c r="AE139" s="3" t="str">
        <f t="shared" si="13"/>
        <v>Right</v>
      </c>
      <c r="AF139" s="3" t="str">
        <f t="shared" si="14"/>
        <v>ROB</v>
      </c>
      <c r="AG139" s="3" t="str">
        <f>IF(XS_Designer_Summary!$AB$24&gt;=XS_Designer_Summary!AD139,"Y","N")</f>
        <v>Y</v>
      </c>
      <c r="AH139" s="45">
        <v>1</v>
      </c>
      <c r="AI139" s="45">
        <f>IF(AG139="Y",$O$19/XS_Designer_Summary!$AB$24,0)</f>
        <v>0.27201249999999999</v>
      </c>
      <c r="AJ139" s="45">
        <f t="shared" si="15"/>
        <v>0.27201249999999999</v>
      </c>
      <c r="AK139" s="14">
        <f t="shared" si="38"/>
        <v>9.792449999999965</v>
      </c>
      <c r="AL139" s="14">
        <f>IF(AG139="Y",LININTERP(AK139,XS_Designer_Calculations!$AY$4:$AY$104,XS_Designer_Calculations!$AZ$4:$AZ$104),AL138)</f>
        <v>2.0968239999999994</v>
      </c>
      <c r="AM139" s="14">
        <f t="shared" si="16"/>
        <v>2.9031760000000006</v>
      </c>
      <c r="AN139" s="14">
        <f t="shared" si="17"/>
        <v>0.78896025369843759</v>
      </c>
      <c r="AO139" s="46">
        <f t="shared" si="18"/>
        <v>0.27206689706083842</v>
      </c>
      <c r="AP139" s="46">
        <f t="shared" si="19"/>
        <v>2.8998759577943574</v>
      </c>
      <c r="AQ139" s="46">
        <f t="shared" si="20"/>
        <v>8.6035107064681964E-3</v>
      </c>
      <c r="AR139" s="14">
        <f>IFERROR(IF(AG139="Y",VLOOKUP(AK139,XS_Designer_Calculations!$R$5:$T$104,3,TRUE),0),0)</f>
        <v>0.1</v>
      </c>
      <c r="AS139" s="46">
        <f t="shared" si="21"/>
        <v>0.01</v>
      </c>
      <c r="AT139" s="14">
        <f t="shared" si="22"/>
        <v>23.84113252421891</v>
      </c>
      <c r="AU139" s="14">
        <f>AT139*XS_Designer_Calculations!$I$7^0.5</f>
        <v>2.3841132524218911</v>
      </c>
      <c r="AV139" s="14">
        <f t="shared" si="23"/>
        <v>3.0218420272070703</v>
      </c>
      <c r="AW139" s="14">
        <f t="shared" si="24"/>
        <v>1.8095225976636788</v>
      </c>
      <c r="AX139" s="14">
        <f t="shared" si="25"/>
        <v>5</v>
      </c>
      <c r="AY139" s="46">
        <f t="shared" si="26"/>
        <v>2.9004558750000005</v>
      </c>
      <c r="AZ139" s="14">
        <f>((AS139*AP139)/(1.65*XS_Designer!$S$99))*12</f>
        <v>10.156851550216798</v>
      </c>
      <c r="BA139" s="14">
        <f>(AW139/((1.65*62.4)*XS_Designer!$AA$53))*12</f>
        <v>3.515001160962858</v>
      </c>
      <c r="BB139" s="14">
        <f t="shared" si="27"/>
        <v>5.7012247290619813</v>
      </c>
      <c r="BC139" s="14">
        <f t="shared" si="28"/>
        <v>9.2655002422504165</v>
      </c>
      <c r="BD139" s="14">
        <f>IF(ISNUMBER(LININTERP(AW139,Permissible_Shear!$T$178:$T$188,Permissible_Shear!$V$178:$V$188)),LININTERP(AW139,Permissible_Shear!$T$178:$T$188,Permissible_Shear!$V$178:$V$188),0)</f>
        <v>5.9020683729977614</v>
      </c>
      <c r="BE139" s="14">
        <f>LININTERP(AW139,Permissible_Shear!$S$205:$S$222,Permissible_Shear!$V$205:$V$222)</f>
        <v>5.9672581176989965</v>
      </c>
      <c r="BF139" s="14">
        <f>INDEX($AZ$3:$BE$204,ROW(BF139)-2,MATCH(XS_Designer!$W$5,XS_Designer_Summary!$AZ$2:$BE$2,0))</f>
        <v>5.7012247290619813</v>
      </c>
      <c r="BG139" s="79">
        <f t="shared" si="29"/>
        <v>0</v>
      </c>
      <c r="BH139" s="79">
        <f t="shared" si="30"/>
        <v>3.0218420272070703</v>
      </c>
      <c r="BI139" s="79">
        <f t="shared" si="31"/>
        <v>0</v>
      </c>
      <c r="BJ139" s="79">
        <f t="shared" si="32"/>
        <v>0</v>
      </c>
      <c r="BK139" s="79">
        <f t="shared" si="33"/>
        <v>1.8095225976636788</v>
      </c>
      <c r="BL139" s="79">
        <f t="shared" si="34"/>
        <v>0</v>
      </c>
      <c r="BM139" s="124">
        <f t="shared" si="35"/>
        <v>0</v>
      </c>
      <c r="BN139" s="124">
        <f t="shared" si="36"/>
        <v>2.8998759577943574</v>
      </c>
      <c r="BO139" s="124">
        <f t="shared" si="37"/>
        <v>0</v>
      </c>
    </row>
    <row r="140" spans="30:67">
      <c r="AD140" s="3">
        <v>136</v>
      </c>
      <c r="AE140" s="3" t="str">
        <f t="shared" si="13"/>
        <v>Right</v>
      </c>
      <c r="AF140" s="3" t="str">
        <f t="shared" si="14"/>
        <v>ROB</v>
      </c>
      <c r="AG140" s="3" t="str">
        <f>IF(XS_Designer_Summary!$AB$24&gt;=XS_Designer_Summary!AD140,"Y","N")</f>
        <v>Y</v>
      </c>
      <c r="AH140" s="45">
        <v>1</v>
      </c>
      <c r="AI140" s="45">
        <f>IF(AG140="Y",$O$19/XS_Designer_Summary!$AB$24,0)</f>
        <v>0.27201249999999999</v>
      </c>
      <c r="AJ140" s="45">
        <f t="shared" si="15"/>
        <v>0.27201249999999999</v>
      </c>
      <c r="AK140" s="14">
        <f t="shared" si="38"/>
        <v>10.064462499999966</v>
      </c>
      <c r="AL140" s="14">
        <f>IF(AG140="Y",LININTERP(AK140,XS_Designer_Calculations!$AY$4:$AY$104,XS_Designer_Calculations!$AZ$4:$AZ$104),AL139)</f>
        <v>2.1022642499999993</v>
      </c>
      <c r="AM140" s="14">
        <f t="shared" si="16"/>
        <v>2.8977357500000007</v>
      </c>
      <c r="AN140" s="14">
        <f t="shared" si="17"/>
        <v>0.78748043769531273</v>
      </c>
      <c r="AO140" s="46">
        <f t="shared" si="18"/>
        <v>0.27206689706083842</v>
      </c>
      <c r="AP140" s="46">
        <f t="shared" si="19"/>
        <v>2.8944367955180517</v>
      </c>
      <c r="AQ140" s="46">
        <f t="shared" si="20"/>
        <v>8.6035107064681964E-3</v>
      </c>
      <c r="AR140" s="14">
        <f>IFERROR(IF(AG140="Y",VLOOKUP(AK140,XS_Designer_Calculations!$R$5:$T$104,3,TRUE),0),0)</f>
        <v>0.1</v>
      </c>
      <c r="AS140" s="46">
        <f t="shared" si="21"/>
        <v>0.01</v>
      </c>
      <c r="AT140" s="14">
        <f t="shared" si="22"/>
        <v>23.766649627929173</v>
      </c>
      <c r="AU140" s="14">
        <f>AT140*XS_Designer_Calculations!$I$7^0.5</f>
        <v>2.3766649627929173</v>
      </c>
      <c r="AV140" s="14">
        <f t="shared" si="23"/>
        <v>3.0180622260898402</v>
      </c>
      <c r="AW140" s="14">
        <f t="shared" si="24"/>
        <v>1.8061285604032642</v>
      </c>
      <c r="AX140" s="14">
        <f t="shared" si="25"/>
        <v>5</v>
      </c>
      <c r="AY140" s="46">
        <f t="shared" si="26"/>
        <v>2.895015625000001</v>
      </c>
      <c r="AZ140" s="14">
        <f>((AS140*AP140)/(1.65*XS_Designer!$S$99))*12</f>
        <v>10.137800816805431</v>
      </c>
      <c r="BA140" s="14">
        <f>(AW140/((1.65*62.4)*XS_Designer!$AA$53))*12</f>
        <v>3.5084082369915781</v>
      </c>
      <c r="BB140" s="14">
        <f t="shared" si="27"/>
        <v>5.69009295787159</v>
      </c>
      <c r="BC140" s="14">
        <f t="shared" si="28"/>
        <v>9.2527268943415102</v>
      </c>
      <c r="BD140" s="14">
        <f>IF(ISNUMBER(LININTERP(AW140,Permissible_Shear!$T$178:$T$188,Permissible_Shear!$V$178:$V$188)),LININTERP(AW140,Permissible_Shear!$T$178:$T$188,Permissible_Shear!$V$178:$V$188),0)</f>
        <v>5.8914668379876813</v>
      </c>
      <c r="BE140" s="14">
        <f>LININTERP(AW140,Permissible_Shear!$S$205:$S$222,Permissible_Shear!$V$205:$V$222)</f>
        <v>5.9566517512602006</v>
      </c>
      <c r="BF140" s="14">
        <f>INDEX($AZ$3:$BE$204,ROW(BF140)-2,MATCH(XS_Designer!$W$5,XS_Designer_Summary!$AZ$2:$BE$2,0))</f>
        <v>5.69009295787159</v>
      </c>
      <c r="BG140" s="79">
        <f t="shared" si="29"/>
        <v>0</v>
      </c>
      <c r="BH140" s="79">
        <f t="shared" si="30"/>
        <v>3.0180622260898402</v>
      </c>
      <c r="BI140" s="79">
        <f t="shared" si="31"/>
        <v>0</v>
      </c>
      <c r="BJ140" s="79">
        <f t="shared" si="32"/>
        <v>0</v>
      </c>
      <c r="BK140" s="79">
        <f t="shared" si="33"/>
        <v>1.8061285604032642</v>
      </c>
      <c r="BL140" s="79">
        <f t="shared" si="34"/>
        <v>0</v>
      </c>
      <c r="BM140" s="124">
        <f t="shared" si="35"/>
        <v>0</v>
      </c>
      <c r="BN140" s="124">
        <f t="shared" si="36"/>
        <v>2.8944367955180517</v>
      </c>
      <c r="BO140" s="124">
        <f t="shared" si="37"/>
        <v>0</v>
      </c>
    </row>
    <row r="141" spans="30:67">
      <c r="AD141" s="3">
        <v>137</v>
      </c>
      <c r="AE141" s="3" t="str">
        <f t="shared" si="13"/>
        <v>Right</v>
      </c>
      <c r="AF141" s="3" t="str">
        <f t="shared" si="14"/>
        <v>ROB</v>
      </c>
      <c r="AG141" s="3" t="str">
        <f>IF(XS_Designer_Summary!$AB$24&gt;=XS_Designer_Summary!AD141,"Y","N")</f>
        <v>Y</v>
      </c>
      <c r="AH141" s="45">
        <v>1</v>
      </c>
      <c r="AI141" s="45">
        <f>IF(AG141="Y",$O$19/XS_Designer_Summary!$AB$24,0)</f>
        <v>0.27201249999999999</v>
      </c>
      <c r="AJ141" s="45">
        <f t="shared" si="15"/>
        <v>0.27201249999999999</v>
      </c>
      <c r="AK141" s="14">
        <f t="shared" si="38"/>
        <v>10.336474999999966</v>
      </c>
      <c r="AL141" s="14">
        <f>IF(AG141="Y",LININTERP(AK141,XS_Designer_Calculations!$AY$4:$AY$104,XS_Designer_Calculations!$AZ$4:$AZ$104),AL140)</f>
        <v>2.1077044999999992</v>
      </c>
      <c r="AM141" s="14">
        <f t="shared" si="16"/>
        <v>2.8922955000000008</v>
      </c>
      <c r="AN141" s="14">
        <f t="shared" si="17"/>
        <v>0.78600062169218765</v>
      </c>
      <c r="AO141" s="46">
        <f t="shared" si="18"/>
        <v>0.27206689706083842</v>
      </c>
      <c r="AP141" s="46">
        <f t="shared" si="19"/>
        <v>2.8889976332417451</v>
      </c>
      <c r="AQ141" s="46">
        <f t="shared" si="20"/>
        <v>8.6035107064681964E-3</v>
      </c>
      <c r="AR141" s="14">
        <f>IFERROR(IF(AG141="Y",VLOOKUP(AK141,XS_Designer_Calculations!$R$5:$T$104,3,TRUE),0),0)</f>
        <v>0.1</v>
      </c>
      <c r="AS141" s="46">
        <f t="shared" si="21"/>
        <v>0.01</v>
      </c>
      <c r="AT141" s="14">
        <f t="shared" si="22"/>
        <v>23.692259984336701</v>
      </c>
      <c r="AU141" s="14">
        <f>AT141*XS_Designer_Calculations!$I$7^0.5</f>
        <v>2.3692259984336701</v>
      </c>
      <c r="AV141" s="14">
        <f t="shared" si="23"/>
        <v>3.0142800565894499</v>
      </c>
      <c r="AW141" s="14">
        <f t="shared" si="24"/>
        <v>1.8027345231428491</v>
      </c>
      <c r="AX141" s="14">
        <f t="shared" si="25"/>
        <v>5</v>
      </c>
      <c r="AY141" s="46">
        <f t="shared" si="26"/>
        <v>2.8895753750000006</v>
      </c>
      <c r="AZ141" s="14">
        <f>((AS141*AP141)/(1.65*XS_Designer!$S$99))*12</f>
        <v>10.11875008339406</v>
      </c>
      <c r="BA141" s="14">
        <f>(AW141/((1.65*62.4)*XS_Designer!$AA$53))*12</f>
        <v>3.5018153130202978</v>
      </c>
      <c r="BB141" s="14">
        <f t="shared" si="27"/>
        <v>5.6789620644027625</v>
      </c>
      <c r="BC141" s="14">
        <f t="shared" si="28"/>
        <v>9.2399472019148057</v>
      </c>
      <c r="BD141" s="14">
        <f>IF(ISNUMBER(LININTERP(AW141,Permissible_Shear!$T$178:$T$188,Permissible_Shear!$V$178:$V$188)),LININTERP(AW141,Permissible_Shear!$T$178:$T$188,Permissible_Shear!$V$178:$V$188),0)</f>
        <v>5.8808653029775995</v>
      </c>
      <c r="BE141" s="14">
        <f>LININTERP(AW141,Permissible_Shear!$S$205:$S$222,Permissible_Shear!$V$205:$V$222)</f>
        <v>5.946045384821403</v>
      </c>
      <c r="BF141" s="14">
        <f>INDEX($AZ$3:$BE$204,ROW(BF141)-2,MATCH(XS_Designer!$W$5,XS_Designer_Summary!$AZ$2:$BE$2,0))</f>
        <v>5.6789620644027625</v>
      </c>
      <c r="BG141" s="79">
        <f t="shared" si="29"/>
        <v>0</v>
      </c>
      <c r="BH141" s="79">
        <f t="shared" si="30"/>
        <v>3.0142800565894499</v>
      </c>
      <c r="BI141" s="79">
        <f t="shared" si="31"/>
        <v>0</v>
      </c>
      <c r="BJ141" s="79">
        <f t="shared" si="32"/>
        <v>0</v>
      </c>
      <c r="BK141" s="79">
        <f t="shared" si="33"/>
        <v>1.8027345231428491</v>
      </c>
      <c r="BL141" s="79">
        <f t="shared" si="34"/>
        <v>0</v>
      </c>
      <c r="BM141" s="124">
        <f t="shared" si="35"/>
        <v>0</v>
      </c>
      <c r="BN141" s="124">
        <f t="shared" si="36"/>
        <v>2.8889976332417451</v>
      </c>
      <c r="BO141" s="124">
        <f t="shared" si="37"/>
        <v>0</v>
      </c>
    </row>
    <row r="142" spans="30:67">
      <c r="AD142" s="3">
        <v>138</v>
      </c>
      <c r="AE142" s="3" t="str">
        <f t="shared" si="13"/>
        <v>Right</v>
      </c>
      <c r="AF142" s="3" t="str">
        <f t="shared" si="14"/>
        <v>ROB</v>
      </c>
      <c r="AG142" s="3" t="str">
        <f>IF(XS_Designer_Summary!$AB$24&gt;=XS_Designer_Summary!AD142,"Y","N")</f>
        <v>Y</v>
      </c>
      <c r="AH142" s="45">
        <v>1</v>
      </c>
      <c r="AI142" s="45">
        <f>IF(AG142="Y",$O$19/XS_Designer_Summary!$AB$24,0)</f>
        <v>0.27201249999999999</v>
      </c>
      <c r="AJ142" s="45">
        <f t="shared" si="15"/>
        <v>0.27201249999999999</v>
      </c>
      <c r="AK142" s="14">
        <f t="shared" si="38"/>
        <v>10.608487499999967</v>
      </c>
      <c r="AL142" s="14">
        <f>IF(AG142="Y",LININTERP(AK142,XS_Designer_Calculations!$AY$4:$AY$104,XS_Designer_Calculations!$AZ$4:$AZ$104),AL141)</f>
        <v>2.1131447499999991</v>
      </c>
      <c r="AM142" s="14">
        <f t="shared" si="16"/>
        <v>2.8868552500000009</v>
      </c>
      <c r="AN142" s="14">
        <f t="shared" si="17"/>
        <v>0.78452080568906268</v>
      </c>
      <c r="AO142" s="46">
        <f t="shared" si="18"/>
        <v>0.27206689706083842</v>
      </c>
      <c r="AP142" s="46">
        <f t="shared" si="19"/>
        <v>2.8835584709654389</v>
      </c>
      <c r="AQ142" s="46">
        <f t="shared" si="20"/>
        <v>8.6035107064681964E-3</v>
      </c>
      <c r="AR142" s="14">
        <f>IFERROR(IF(AG142="Y",VLOOKUP(AK142,XS_Designer_Calculations!$R$5:$T$104,3,TRUE),0),0)</f>
        <v>0.1</v>
      </c>
      <c r="AS142" s="46">
        <f t="shared" si="21"/>
        <v>0.01</v>
      </c>
      <c r="AT142" s="14">
        <f t="shared" si="22"/>
        <v>23.617963651927628</v>
      </c>
      <c r="AU142" s="14">
        <f>AT142*XS_Designer_Calculations!$I$7^0.5</f>
        <v>2.3617963651927627</v>
      </c>
      <c r="AV142" s="14">
        <f t="shared" si="23"/>
        <v>3.0104955127586992</v>
      </c>
      <c r="AW142" s="14">
        <f t="shared" si="24"/>
        <v>1.799340485882434</v>
      </c>
      <c r="AX142" s="14">
        <f t="shared" si="25"/>
        <v>5</v>
      </c>
      <c r="AY142" s="46">
        <f t="shared" si="26"/>
        <v>2.8841351250000007</v>
      </c>
      <c r="AZ142" s="14">
        <f>((AS142*AP142)/(1.65*XS_Designer!$S$99))*12</f>
        <v>10.099699349982689</v>
      </c>
      <c r="BA142" s="14">
        <f>(AW142/((1.65*62.4)*XS_Designer!$AA$53))*12</f>
        <v>3.4952223890490175</v>
      </c>
      <c r="BB142" s="14">
        <f t="shared" si="27"/>
        <v>5.6678320502370445</v>
      </c>
      <c r="BC142" s="14">
        <f t="shared" si="28"/>
        <v>9.2271611498763786</v>
      </c>
      <c r="BD142" s="14">
        <f>IF(ISNUMBER(LININTERP(AW142,Permissible_Shear!$T$178:$T$188,Permissible_Shear!$V$178:$V$188)),LININTERP(AW142,Permissible_Shear!$T$178:$T$188,Permissible_Shear!$V$178:$V$188),0)</f>
        <v>5.8702637679675185</v>
      </c>
      <c r="BE142" s="14">
        <f>LININTERP(AW142,Permissible_Shear!$S$205:$S$222,Permissible_Shear!$V$205:$V$222)</f>
        <v>5.9354390183826062</v>
      </c>
      <c r="BF142" s="14">
        <f>INDEX($AZ$3:$BE$204,ROW(BF142)-2,MATCH(XS_Designer!$W$5,XS_Designer_Summary!$AZ$2:$BE$2,0))</f>
        <v>5.6678320502370445</v>
      </c>
      <c r="BG142" s="79">
        <f t="shared" si="29"/>
        <v>0</v>
      </c>
      <c r="BH142" s="79">
        <f t="shared" si="30"/>
        <v>3.0104955127586992</v>
      </c>
      <c r="BI142" s="79">
        <f t="shared" si="31"/>
        <v>0</v>
      </c>
      <c r="BJ142" s="79">
        <f t="shared" si="32"/>
        <v>0</v>
      </c>
      <c r="BK142" s="79">
        <f t="shared" si="33"/>
        <v>1.799340485882434</v>
      </c>
      <c r="BL142" s="79">
        <f t="shared" si="34"/>
        <v>0</v>
      </c>
      <c r="BM142" s="124">
        <f t="shared" si="35"/>
        <v>0</v>
      </c>
      <c r="BN142" s="124">
        <f t="shared" si="36"/>
        <v>2.8835584709654389</v>
      </c>
      <c r="BO142" s="124">
        <f t="shared" si="37"/>
        <v>0</v>
      </c>
    </row>
    <row r="143" spans="30:67">
      <c r="AD143" s="3">
        <v>139</v>
      </c>
      <c r="AE143" s="3" t="str">
        <f t="shared" si="13"/>
        <v>Right</v>
      </c>
      <c r="AF143" s="3" t="str">
        <f t="shared" si="14"/>
        <v>ROB</v>
      </c>
      <c r="AG143" s="3" t="str">
        <f>IF(XS_Designer_Summary!$AB$24&gt;=XS_Designer_Summary!AD143,"Y","N")</f>
        <v>Y</v>
      </c>
      <c r="AH143" s="45">
        <v>1</v>
      </c>
      <c r="AI143" s="45">
        <f>IF(AG143="Y",$O$19/XS_Designer_Summary!$AB$24,0)</f>
        <v>0.27201249999999999</v>
      </c>
      <c r="AJ143" s="45">
        <f t="shared" si="15"/>
        <v>0.27201249999999999</v>
      </c>
      <c r="AK143" s="14">
        <f t="shared" si="38"/>
        <v>10.880499999999968</v>
      </c>
      <c r="AL143" s="14">
        <f>IF(AG143="Y",LININTERP(AK143,XS_Designer_Calculations!$AY$4:$AY$104,XS_Designer_Calculations!$AZ$4:$AZ$104),AL142)</f>
        <v>2.1185849999999995</v>
      </c>
      <c r="AM143" s="14">
        <f t="shared" si="16"/>
        <v>2.8814150000000005</v>
      </c>
      <c r="AN143" s="14">
        <f t="shared" si="17"/>
        <v>0.78304098968593772</v>
      </c>
      <c r="AO143" s="46">
        <f t="shared" si="18"/>
        <v>0.27206689706083842</v>
      </c>
      <c r="AP143" s="46">
        <f t="shared" si="19"/>
        <v>2.8781193086891328</v>
      </c>
      <c r="AQ143" s="46">
        <f t="shared" si="20"/>
        <v>8.6035107064681964E-3</v>
      </c>
      <c r="AR143" s="14">
        <f>IFERROR(IF(AG143="Y",VLOOKUP(AK143,XS_Designer_Calculations!$R$5:$T$104,3,TRUE),0),0)</f>
        <v>0.1</v>
      </c>
      <c r="AS143" s="46">
        <f t="shared" si="21"/>
        <v>0.01</v>
      </c>
      <c r="AT143" s="14">
        <f t="shared" si="22"/>
        <v>23.543760689335098</v>
      </c>
      <c r="AU143" s="14">
        <f>AT143*XS_Designer_Calculations!$I$7^0.5</f>
        <v>2.3543760689335098</v>
      </c>
      <c r="AV143" s="14">
        <f t="shared" si="23"/>
        <v>3.0067085886242091</v>
      </c>
      <c r="AW143" s="14">
        <f t="shared" si="24"/>
        <v>1.7959464486220187</v>
      </c>
      <c r="AX143" s="14">
        <f t="shared" si="25"/>
        <v>5</v>
      </c>
      <c r="AY143" s="46">
        <f t="shared" si="26"/>
        <v>2.8786948750000008</v>
      </c>
      <c r="AZ143" s="14">
        <f>((AS143*AP143)/(1.65*XS_Designer!$S$99))*12</f>
        <v>10.080648616571318</v>
      </c>
      <c r="BA143" s="14">
        <f>(AW143/((1.65*62.4)*XS_Designer!$AA$53))*12</f>
        <v>3.4886294650777372</v>
      </c>
      <c r="BB143" s="14">
        <f t="shared" si="27"/>
        <v>5.656702916961815</v>
      </c>
      <c r="BC143" s="14">
        <f t="shared" si="28"/>
        <v>9.2143687230678761</v>
      </c>
      <c r="BD143" s="14">
        <f>IF(ISNUMBER(LININTERP(AW143,Permissible_Shear!$T$178:$T$188,Permissible_Shear!$V$178:$V$188)),LININTERP(AW143,Permissible_Shear!$T$178:$T$188,Permissible_Shear!$V$178:$V$188),0)</f>
        <v>5.8596622329574348</v>
      </c>
      <c r="BE143" s="14">
        <f>LININTERP(AW143,Permissible_Shear!$S$205:$S$222,Permissible_Shear!$V$205:$V$222)</f>
        <v>5.9248326519438086</v>
      </c>
      <c r="BF143" s="14">
        <f>INDEX($AZ$3:$BE$204,ROW(BF143)-2,MATCH(XS_Designer!$W$5,XS_Designer_Summary!$AZ$2:$BE$2,0))</f>
        <v>5.656702916961815</v>
      </c>
      <c r="BG143" s="79">
        <f t="shared" si="29"/>
        <v>0</v>
      </c>
      <c r="BH143" s="79">
        <f t="shared" si="30"/>
        <v>3.0067085886242091</v>
      </c>
      <c r="BI143" s="79">
        <f t="shared" si="31"/>
        <v>0</v>
      </c>
      <c r="BJ143" s="79">
        <f t="shared" si="32"/>
        <v>0</v>
      </c>
      <c r="BK143" s="79">
        <f t="shared" si="33"/>
        <v>1.7959464486220187</v>
      </c>
      <c r="BL143" s="79">
        <f t="shared" si="34"/>
        <v>0</v>
      </c>
      <c r="BM143" s="124">
        <f t="shared" si="35"/>
        <v>0</v>
      </c>
      <c r="BN143" s="124">
        <f t="shared" si="36"/>
        <v>2.8781193086891328</v>
      </c>
      <c r="BO143" s="124">
        <f t="shared" si="37"/>
        <v>0</v>
      </c>
    </row>
    <row r="144" spans="30:67">
      <c r="AD144" s="3">
        <v>140</v>
      </c>
      <c r="AE144" s="3" t="str">
        <f t="shared" si="13"/>
        <v>Right</v>
      </c>
      <c r="AF144" s="3" t="str">
        <f t="shared" si="14"/>
        <v>ROB</v>
      </c>
      <c r="AG144" s="3" t="str">
        <f>IF(XS_Designer_Summary!$AB$24&gt;=XS_Designer_Summary!AD144,"Y","N")</f>
        <v>Y</v>
      </c>
      <c r="AH144" s="45">
        <v>1</v>
      </c>
      <c r="AI144" s="45">
        <f>IF(AG144="Y",$O$19/XS_Designer_Summary!$AB$24,0)</f>
        <v>0.27201249999999999</v>
      </c>
      <c r="AJ144" s="45">
        <f t="shared" si="15"/>
        <v>0.27201249999999999</v>
      </c>
      <c r="AK144" s="14">
        <f t="shared" si="38"/>
        <v>11.152512499999968</v>
      </c>
      <c r="AL144" s="14">
        <f>IF(AG144="Y",LININTERP(AK144,XS_Designer_Calculations!$AY$4:$AY$104,XS_Designer_Calculations!$AZ$4:$AZ$104),AL143)</f>
        <v>2.1240252499999994</v>
      </c>
      <c r="AM144" s="14">
        <f t="shared" si="16"/>
        <v>2.8759747500000006</v>
      </c>
      <c r="AN144" s="14">
        <f t="shared" si="17"/>
        <v>0.78156117368281253</v>
      </c>
      <c r="AO144" s="46">
        <f t="shared" si="18"/>
        <v>0.27206689706083842</v>
      </c>
      <c r="AP144" s="46">
        <f t="shared" si="19"/>
        <v>2.8726801464128258</v>
      </c>
      <c r="AQ144" s="46">
        <f t="shared" si="20"/>
        <v>8.6035107064681964E-3</v>
      </c>
      <c r="AR144" s="14">
        <f>IFERROR(IF(AG144="Y",VLOOKUP(AK144,XS_Designer_Calculations!$R$5:$T$104,3,TRUE),0),0)</f>
        <v>0.1</v>
      </c>
      <c r="AS144" s="46">
        <f t="shared" si="21"/>
        <v>0.01</v>
      </c>
      <c r="AT144" s="14">
        <f t="shared" si="22"/>
        <v>23.469651155339903</v>
      </c>
      <c r="AU144" s="14">
        <f>AT144*XS_Designer_Calculations!$I$7^0.5</f>
        <v>2.3469651155339903</v>
      </c>
      <c r="AV144" s="14">
        <f t="shared" si="23"/>
        <v>3.0029192781862508</v>
      </c>
      <c r="AW144" s="14">
        <f t="shared" si="24"/>
        <v>1.7925524113616031</v>
      </c>
      <c r="AX144" s="14">
        <f t="shared" si="25"/>
        <v>5</v>
      </c>
      <c r="AY144" s="46">
        <f t="shared" si="26"/>
        <v>2.8732546250000004</v>
      </c>
      <c r="AZ144" s="14">
        <f>((AS144*AP144)/(1.65*XS_Designer!$S$99))*12</f>
        <v>10.061597883159948</v>
      </c>
      <c r="BA144" s="14">
        <f>(AW144/((1.65*62.4)*XS_Designer!$AA$53))*12</f>
        <v>3.4820365411064556</v>
      </c>
      <c r="BB144" s="14">
        <f t="shared" si="27"/>
        <v>5.6455746661703259</v>
      </c>
      <c r="BC144" s="14">
        <f t="shared" si="28"/>
        <v>9.2015699062661174</v>
      </c>
      <c r="BD144" s="14">
        <f>IF(ISNUMBER(LININTERP(AW144,Permissible_Shear!$T$178:$T$188,Permissible_Shear!$V$178:$V$188)),LININTERP(AW144,Permissible_Shear!$T$178:$T$188,Permissible_Shear!$V$178:$V$188),0)</f>
        <v>5.8490606979473529</v>
      </c>
      <c r="BE144" s="14">
        <f>LININTERP(AW144,Permissible_Shear!$S$205:$S$222,Permissible_Shear!$V$205:$V$222)</f>
        <v>5.9142262855050101</v>
      </c>
      <c r="BF144" s="14">
        <f>INDEX($AZ$3:$BE$204,ROW(BF144)-2,MATCH(XS_Designer!$W$5,XS_Designer_Summary!$AZ$2:$BE$2,0))</f>
        <v>5.6455746661703259</v>
      </c>
      <c r="BG144" s="79">
        <f t="shared" si="29"/>
        <v>0</v>
      </c>
      <c r="BH144" s="79">
        <f t="shared" si="30"/>
        <v>3.0029192781862508</v>
      </c>
      <c r="BI144" s="79">
        <f t="shared" si="31"/>
        <v>0</v>
      </c>
      <c r="BJ144" s="79">
        <f t="shared" si="32"/>
        <v>0</v>
      </c>
      <c r="BK144" s="79">
        <f t="shared" si="33"/>
        <v>1.7925524113616031</v>
      </c>
      <c r="BL144" s="79">
        <f t="shared" si="34"/>
        <v>0</v>
      </c>
      <c r="BM144" s="124">
        <f t="shared" si="35"/>
        <v>0</v>
      </c>
      <c r="BN144" s="124">
        <f t="shared" si="36"/>
        <v>2.8726801464128258</v>
      </c>
      <c r="BO144" s="124">
        <f t="shared" si="37"/>
        <v>0</v>
      </c>
    </row>
    <row r="145" spans="30:67">
      <c r="AD145" s="3">
        <v>141</v>
      </c>
      <c r="AE145" s="3" t="str">
        <f t="shared" si="13"/>
        <v>Right</v>
      </c>
      <c r="AF145" s="3" t="str">
        <f t="shared" si="14"/>
        <v>ROB</v>
      </c>
      <c r="AG145" s="3" t="str">
        <f>IF(XS_Designer_Summary!$AB$24&gt;=XS_Designer_Summary!AD145,"Y","N")</f>
        <v>Y</v>
      </c>
      <c r="AH145" s="45">
        <v>1</v>
      </c>
      <c r="AI145" s="45">
        <f>IF(AG145="Y",$O$19/XS_Designer_Summary!$AB$24,0)</f>
        <v>0.27201249999999999</v>
      </c>
      <c r="AJ145" s="45">
        <f t="shared" si="15"/>
        <v>0.27201249999999999</v>
      </c>
      <c r="AK145" s="14">
        <f t="shared" si="38"/>
        <v>11.424524999999969</v>
      </c>
      <c r="AL145" s="14">
        <f>IF(AG145="Y",LININTERP(AK145,XS_Designer_Calculations!$AY$4:$AY$104,XS_Designer_Calculations!$AZ$4:$AZ$104),AL144)</f>
        <v>2.1294654999999993</v>
      </c>
      <c r="AM145" s="14">
        <f t="shared" si="16"/>
        <v>2.8705345000000007</v>
      </c>
      <c r="AN145" s="14">
        <f t="shared" si="17"/>
        <v>0.78008135767968767</v>
      </c>
      <c r="AO145" s="46">
        <f t="shared" si="18"/>
        <v>0.27206689706083842</v>
      </c>
      <c r="AP145" s="46">
        <f t="shared" si="19"/>
        <v>2.8672409841365201</v>
      </c>
      <c r="AQ145" s="46">
        <f t="shared" si="20"/>
        <v>8.6035107064681964E-3</v>
      </c>
      <c r="AR145" s="14">
        <f>IFERROR(IF(AG145="Y",VLOOKUP(AK145,XS_Designer_Calculations!$R$5:$T$104,3,TRUE),0),0)</f>
        <v>0.1</v>
      </c>
      <c r="AS145" s="46">
        <f t="shared" si="21"/>
        <v>0.01</v>
      </c>
      <c r="AT145" s="14">
        <f t="shared" si="22"/>
        <v>23.395635108871158</v>
      </c>
      <c r="AU145" s="14">
        <f>AT145*XS_Designer_Calculations!$I$7^0.5</f>
        <v>2.3395635108871158</v>
      </c>
      <c r="AV145" s="14">
        <f t="shared" si="23"/>
        <v>2.99912757541858</v>
      </c>
      <c r="AW145" s="14">
        <f t="shared" si="24"/>
        <v>1.7891583741011885</v>
      </c>
      <c r="AX145" s="14">
        <f t="shared" si="25"/>
        <v>5</v>
      </c>
      <c r="AY145" s="46">
        <f t="shared" si="26"/>
        <v>2.8678143750000009</v>
      </c>
      <c r="AZ145" s="14">
        <f>((AS145*AP145)/(1.65*XS_Designer!$S$99))*12</f>
        <v>10.042547149748579</v>
      </c>
      <c r="BA145" s="14">
        <f>(AW145/((1.65*62.4)*XS_Designer!$AA$53))*12</f>
        <v>3.4754436171351766</v>
      </c>
      <c r="BB145" s="14">
        <f t="shared" si="27"/>
        <v>5.6344472994617272</v>
      </c>
      <c r="BC145" s="14">
        <f t="shared" si="28"/>
        <v>9.1887646841826989</v>
      </c>
      <c r="BD145" s="14">
        <f>IF(ISNUMBER(LININTERP(AW145,Permissible_Shear!$T$178:$T$188,Permissible_Shear!$V$178:$V$188)),LININTERP(AW145,Permissible_Shear!$T$178:$T$188,Permissible_Shear!$V$178:$V$188),0)</f>
        <v>5.8384591629372729</v>
      </c>
      <c r="BE145" s="14">
        <f>LININTERP(AW145,Permissible_Shear!$S$205:$S$222,Permissible_Shear!$V$205:$V$222)</f>
        <v>5.9036199190662142</v>
      </c>
      <c r="BF145" s="14">
        <f>INDEX($AZ$3:$BE$204,ROW(BF145)-2,MATCH(XS_Designer!$W$5,XS_Designer_Summary!$AZ$2:$BE$2,0))</f>
        <v>5.6344472994617272</v>
      </c>
      <c r="BG145" s="79">
        <f t="shared" si="29"/>
        <v>0</v>
      </c>
      <c r="BH145" s="79">
        <f t="shared" si="30"/>
        <v>2.99912757541858</v>
      </c>
      <c r="BI145" s="79">
        <f t="shared" si="31"/>
        <v>0</v>
      </c>
      <c r="BJ145" s="79">
        <f t="shared" si="32"/>
        <v>0</v>
      </c>
      <c r="BK145" s="79">
        <f t="shared" si="33"/>
        <v>1.7891583741011885</v>
      </c>
      <c r="BL145" s="79">
        <f t="shared" si="34"/>
        <v>0</v>
      </c>
      <c r="BM145" s="124">
        <f t="shared" si="35"/>
        <v>0</v>
      </c>
      <c r="BN145" s="124">
        <f t="shared" si="36"/>
        <v>2.8672409841365201</v>
      </c>
      <c r="BO145" s="124">
        <f t="shared" si="37"/>
        <v>0</v>
      </c>
    </row>
    <row r="146" spans="30:67">
      <c r="AD146" s="3">
        <v>142</v>
      </c>
      <c r="AE146" s="3" t="str">
        <f t="shared" si="13"/>
        <v>Right</v>
      </c>
      <c r="AF146" s="3" t="str">
        <f t="shared" si="14"/>
        <v>ROB</v>
      </c>
      <c r="AG146" s="3" t="str">
        <f>IF(XS_Designer_Summary!$AB$24&gt;=XS_Designer_Summary!AD146,"Y","N")</f>
        <v>Y</v>
      </c>
      <c r="AH146" s="45">
        <v>1</v>
      </c>
      <c r="AI146" s="45">
        <f>IF(AG146="Y",$O$19/XS_Designer_Summary!$AB$24,0)</f>
        <v>0.27201249999999999</v>
      </c>
      <c r="AJ146" s="45">
        <f t="shared" si="15"/>
        <v>0.27201249999999999</v>
      </c>
      <c r="AK146" s="14">
        <f t="shared" si="38"/>
        <v>11.69653749999997</v>
      </c>
      <c r="AL146" s="14">
        <f>IF(AG146="Y",LININTERP(AK146,XS_Designer_Calculations!$AY$4:$AY$104,XS_Designer_Calculations!$AZ$4:$AZ$104),AL145)</f>
        <v>2.1349057499999993</v>
      </c>
      <c r="AM146" s="14">
        <f t="shared" si="16"/>
        <v>2.8650942500000007</v>
      </c>
      <c r="AN146" s="14">
        <f t="shared" si="17"/>
        <v>0.77860154167656259</v>
      </c>
      <c r="AO146" s="46">
        <f t="shared" si="18"/>
        <v>0.27206689706083842</v>
      </c>
      <c r="AP146" s="46">
        <f t="shared" si="19"/>
        <v>2.8618018218602135</v>
      </c>
      <c r="AQ146" s="46">
        <f t="shared" si="20"/>
        <v>8.6035107064681964E-3</v>
      </c>
      <c r="AR146" s="14">
        <f>IFERROR(IF(AG146="Y",VLOOKUP(AK146,XS_Designer_Calculations!$R$5:$T$104,3,TRUE),0),0)</f>
        <v>0.1</v>
      </c>
      <c r="AS146" s="46">
        <f t="shared" si="21"/>
        <v>0.01</v>
      </c>
      <c r="AT146" s="14">
        <f t="shared" si="22"/>
        <v>23.321712609006887</v>
      </c>
      <c r="AU146" s="14">
        <f>AT146*XS_Designer_Calculations!$I$7^0.5</f>
        <v>2.3321712609006888</v>
      </c>
      <c r="AV146" s="14">
        <f t="shared" si="23"/>
        <v>2.9953334742682691</v>
      </c>
      <c r="AW146" s="14">
        <f t="shared" si="24"/>
        <v>1.7857643368407734</v>
      </c>
      <c r="AX146" s="14">
        <f t="shared" si="25"/>
        <v>5</v>
      </c>
      <c r="AY146" s="46">
        <f t="shared" si="26"/>
        <v>2.8623741250000005</v>
      </c>
      <c r="AZ146" s="14">
        <f>((AS146*AP146)/(1.65*XS_Designer!$S$99))*12</f>
        <v>10.023496416337206</v>
      </c>
      <c r="BA146" s="14">
        <f>(AW146/((1.65*62.4)*XS_Designer!$AA$53))*12</f>
        <v>3.4688506931638963</v>
      </c>
      <c r="BB146" s="14">
        <f t="shared" si="27"/>
        <v>5.6233208184411021</v>
      </c>
      <c r="BC146" s="14">
        <f t="shared" si="28"/>
        <v>9.1759530414635844</v>
      </c>
      <c r="BD146" s="14">
        <f>IF(ISNUMBER(LININTERP(AW146,Permissible_Shear!$T$178:$T$188,Permissible_Shear!$V$178:$V$188)),LININTERP(AW146,Permissible_Shear!$T$178:$T$188,Permissible_Shear!$V$178:$V$188),0)</f>
        <v>5.827857627927191</v>
      </c>
      <c r="BE146" s="14">
        <f>LININTERP(AW146,Permissible_Shear!$S$205:$S$222,Permissible_Shear!$V$205:$V$222)</f>
        <v>5.8930135526274174</v>
      </c>
      <c r="BF146" s="14">
        <f>INDEX($AZ$3:$BE$204,ROW(BF146)-2,MATCH(XS_Designer!$W$5,XS_Designer_Summary!$AZ$2:$BE$2,0))</f>
        <v>5.6233208184411021</v>
      </c>
      <c r="BG146" s="79">
        <f t="shared" si="29"/>
        <v>0</v>
      </c>
      <c r="BH146" s="79">
        <f t="shared" si="30"/>
        <v>2.9953334742682691</v>
      </c>
      <c r="BI146" s="79">
        <f t="shared" si="31"/>
        <v>0</v>
      </c>
      <c r="BJ146" s="79">
        <f t="shared" si="32"/>
        <v>0</v>
      </c>
      <c r="BK146" s="79">
        <f t="shared" si="33"/>
        <v>1.7857643368407734</v>
      </c>
      <c r="BL146" s="79">
        <f t="shared" si="34"/>
        <v>0</v>
      </c>
      <c r="BM146" s="124">
        <f t="shared" si="35"/>
        <v>0</v>
      </c>
      <c r="BN146" s="124">
        <f t="shared" si="36"/>
        <v>2.8618018218602135</v>
      </c>
      <c r="BO146" s="124">
        <f t="shared" si="37"/>
        <v>0</v>
      </c>
    </row>
    <row r="147" spans="30:67">
      <c r="AD147" s="3">
        <v>143</v>
      </c>
      <c r="AE147" s="3" t="str">
        <f t="shared" si="13"/>
        <v>Right</v>
      </c>
      <c r="AF147" s="3" t="str">
        <f t="shared" si="14"/>
        <v>ROB</v>
      </c>
      <c r="AG147" s="3" t="str">
        <f>IF(XS_Designer_Summary!$AB$24&gt;=XS_Designer_Summary!AD147,"Y","N")</f>
        <v>Y</v>
      </c>
      <c r="AH147" s="45">
        <v>1</v>
      </c>
      <c r="AI147" s="45">
        <f>IF(AG147="Y",$O$19/XS_Designer_Summary!$AB$24,0)</f>
        <v>0.27201249999999999</v>
      </c>
      <c r="AJ147" s="45">
        <f t="shared" si="15"/>
        <v>0.27201249999999999</v>
      </c>
      <c r="AK147" s="14">
        <f t="shared" si="38"/>
        <v>11.96854999999997</v>
      </c>
      <c r="AL147" s="14">
        <f>IF(AG147="Y",LININTERP(AK147,XS_Designer_Calculations!$AY$4:$AY$104,XS_Designer_Calculations!$AZ$4:$AZ$104),AL146)</f>
        <v>2.1403459999999992</v>
      </c>
      <c r="AM147" s="14">
        <f t="shared" si="16"/>
        <v>2.8596540000000008</v>
      </c>
      <c r="AN147" s="14">
        <f t="shared" si="17"/>
        <v>0.77712172567343762</v>
      </c>
      <c r="AO147" s="46">
        <f t="shared" si="18"/>
        <v>0.27206689706083842</v>
      </c>
      <c r="AP147" s="46">
        <f t="shared" si="19"/>
        <v>2.8563626595839073</v>
      </c>
      <c r="AQ147" s="46">
        <f t="shared" si="20"/>
        <v>8.6035107064681964E-3</v>
      </c>
      <c r="AR147" s="14">
        <f>IFERROR(IF(AG147="Y",VLOOKUP(AK147,XS_Designer_Calculations!$R$5:$T$104,3,TRUE),0),0)</f>
        <v>0.1</v>
      </c>
      <c r="AS147" s="46">
        <f t="shared" si="21"/>
        <v>0.01</v>
      </c>
      <c r="AT147" s="14">
        <f t="shared" si="22"/>
        <v>23.247883714974776</v>
      </c>
      <c r="AU147" s="14">
        <f>AT147*XS_Designer_Calculations!$I$7^0.5</f>
        <v>2.3247883714974775</v>
      </c>
      <c r="AV147" s="14">
        <f t="shared" si="23"/>
        <v>2.9915369686555398</v>
      </c>
      <c r="AW147" s="14">
        <f t="shared" si="24"/>
        <v>1.7823702995803581</v>
      </c>
      <c r="AX147" s="14">
        <f t="shared" si="25"/>
        <v>5</v>
      </c>
      <c r="AY147" s="46">
        <f t="shared" si="26"/>
        <v>2.8569338750000006</v>
      </c>
      <c r="AZ147" s="14">
        <f>((AS147*AP147)/(1.65*XS_Designer!$S$99))*12</f>
        <v>10.004445682925837</v>
      </c>
      <c r="BA147" s="14">
        <f>(AW147/((1.65*62.4)*XS_Designer!$AA$53))*12</f>
        <v>3.4622577691926155</v>
      </c>
      <c r="BB147" s="14">
        <f t="shared" si="27"/>
        <v>5.6121952247195033</v>
      </c>
      <c r="BC147" s="14">
        <f t="shared" si="28"/>
        <v>9.1631349626886998</v>
      </c>
      <c r="BD147" s="14">
        <f>IF(ISNUMBER(LININTERP(AW147,Permissible_Shear!$T$178:$T$188,Permissible_Shear!$V$178:$V$188)),LININTERP(AW147,Permissible_Shear!$T$178:$T$188,Permissible_Shear!$V$178:$V$188),0)</f>
        <v>5.8172560929171082</v>
      </c>
      <c r="BE147" s="14">
        <f>LININTERP(AW147,Permissible_Shear!$S$205:$S$222,Permissible_Shear!$V$205:$V$222)</f>
        <v>5.8824071861886189</v>
      </c>
      <c r="BF147" s="14">
        <f>INDEX($AZ$3:$BE$204,ROW(BF147)-2,MATCH(XS_Designer!$W$5,XS_Designer_Summary!$AZ$2:$BE$2,0))</f>
        <v>5.6121952247195033</v>
      </c>
      <c r="BG147" s="79">
        <f t="shared" si="29"/>
        <v>0</v>
      </c>
      <c r="BH147" s="79">
        <f t="shared" si="30"/>
        <v>2.9915369686555398</v>
      </c>
      <c r="BI147" s="79">
        <f t="shared" si="31"/>
        <v>0</v>
      </c>
      <c r="BJ147" s="79">
        <f t="shared" si="32"/>
        <v>0</v>
      </c>
      <c r="BK147" s="79">
        <f t="shared" si="33"/>
        <v>1.7823702995803581</v>
      </c>
      <c r="BL147" s="79">
        <f t="shared" si="34"/>
        <v>0</v>
      </c>
      <c r="BM147" s="124">
        <f t="shared" si="35"/>
        <v>0</v>
      </c>
      <c r="BN147" s="124">
        <f t="shared" si="36"/>
        <v>2.8563626595839073</v>
      </c>
      <c r="BO147" s="124">
        <f t="shared" si="37"/>
        <v>0</v>
      </c>
    </row>
    <row r="148" spans="30:67">
      <c r="AD148" s="3">
        <v>144</v>
      </c>
      <c r="AE148" s="3" t="str">
        <f t="shared" si="13"/>
        <v>Right</v>
      </c>
      <c r="AF148" s="3" t="str">
        <f t="shared" si="14"/>
        <v>ROB</v>
      </c>
      <c r="AG148" s="3" t="str">
        <f>IF(XS_Designer_Summary!$AB$24&gt;=XS_Designer_Summary!AD148,"Y","N")</f>
        <v>Y</v>
      </c>
      <c r="AH148" s="45">
        <v>1</v>
      </c>
      <c r="AI148" s="45">
        <f>IF(AG148="Y",$O$19/XS_Designer_Summary!$AB$24,0)</f>
        <v>0.27201249999999999</v>
      </c>
      <c r="AJ148" s="45">
        <f t="shared" si="15"/>
        <v>0.27201249999999999</v>
      </c>
      <c r="AK148" s="14">
        <f t="shared" si="38"/>
        <v>12.240562499999971</v>
      </c>
      <c r="AL148" s="14">
        <f>IF(AG148="Y",LININTERP(AK148,XS_Designer_Calculations!$AY$4:$AY$104,XS_Designer_Calculations!$AZ$4:$AZ$104),AL147)</f>
        <v>2.1457862499999996</v>
      </c>
      <c r="AM148" s="14">
        <f t="shared" si="16"/>
        <v>2.8542137500000004</v>
      </c>
      <c r="AN148" s="14">
        <f t="shared" si="17"/>
        <v>0.77564190967031266</v>
      </c>
      <c r="AO148" s="46">
        <f t="shared" si="18"/>
        <v>0.27206689706083842</v>
      </c>
      <c r="AP148" s="46">
        <f t="shared" si="19"/>
        <v>2.8509234973076016</v>
      </c>
      <c r="AQ148" s="46">
        <f t="shared" si="20"/>
        <v>8.6035107064681964E-3</v>
      </c>
      <c r="AR148" s="14">
        <f>IFERROR(IF(AG148="Y",VLOOKUP(AK148,XS_Designer_Calculations!$R$5:$T$104,3,TRUE),0),0)</f>
        <v>0.1</v>
      </c>
      <c r="AS148" s="46">
        <f t="shared" si="21"/>
        <v>0.01</v>
      </c>
      <c r="AT148" s="14">
        <f t="shared" si="22"/>
        <v>23.174148486152774</v>
      </c>
      <c r="AU148" s="14">
        <f>AT148*XS_Designer_Calculations!$I$7^0.5</f>
        <v>2.3174148486152775</v>
      </c>
      <c r="AV148" s="14">
        <f t="shared" si="23"/>
        <v>2.9877380524735915</v>
      </c>
      <c r="AW148" s="14">
        <f t="shared" si="24"/>
        <v>1.7789762623199434</v>
      </c>
      <c r="AX148" s="14">
        <f t="shared" si="25"/>
        <v>5</v>
      </c>
      <c r="AY148" s="46">
        <f t="shared" si="26"/>
        <v>2.8514936250000007</v>
      </c>
      <c r="AZ148" s="14">
        <f>((AS148*AP148)/(1.65*XS_Designer!$S$99))*12</f>
        <v>9.98539494951447</v>
      </c>
      <c r="BA148" s="14">
        <f>(AW148/((1.65*62.4)*XS_Designer!$AA$53))*12</f>
        <v>3.4556648452213357</v>
      </c>
      <c r="BB148" s="14">
        <f t="shared" si="27"/>
        <v>5.6010705199139803</v>
      </c>
      <c r="BC148" s="14">
        <f t="shared" si="28"/>
        <v>9.1503104323715299</v>
      </c>
      <c r="BD148" s="14">
        <f>IF(ISNUMBER(LININTERP(AW148,Permissible_Shear!$T$178:$T$188,Permissible_Shear!$V$178:$V$188)),LININTERP(AW148,Permissible_Shear!$T$178:$T$188,Permissible_Shear!$V$178:$V$188),0)</f>
        <v>5.8066545579070281</v>
      </c>
      <c r="BE148" s="14">
        <f>LININTERP(AW148,Permissible_Shear!$S$205:$S$222,Permissible_Shear!$V$205:$V$222)</f>
        <v>5.8718008197498239</v>
      </c>
      <c r="BF148" s="14">
        <f>INDEX($AZ$3:$BE$204,ROW(BF148)-2,MATCH(XS_Designer!$W$5,XS_Designer_Summary!$AZ$2:$BE$2,0))</f>
        <v>5.6010705199139803</v>
      </c>
      <c r="BG148" s="79">
        <f t="shared" si="29"/>
        <v>0</v>
      </c>
      <c r="BH148" s="79">
        <f t="shared" si="30"/>
        <v>2.9877380524735915</v>
      </c>
      <c r="BI148" s="79">
        <f t="shared" si="31"/>
        <v>0</v>
      </c>
      <c r="BJ148" s="79">
        <f t="shared" si="32"/>
        <v>0</v>
      </c>
      <c r="BK148" s="79">
        <f t="shared" si="33"/>
        <v>1.7789762623199434</v>
      </c>
      <c r="BL148" s="79">
        <f t="shared" si="34"/>
        <v>0</v>
      </c>
      <c r="BM148" s="124">
        <f t="shared" si="35"/>
        <v>0</v>
      </c>
      <c r="BN148" s="124">
        <f t="shared" si="36"/>
        <v>2.8509234973076016</v>
      </c>
      <c r="BO148" s="124">
        <f t="shared" si="37"/>
        <v>0</v>
      </c>
    </row>
    <row r="149" spans="30:67">
      <c r="AD149" s="3">
        <v>145</v>
      </c>
      <c r="AE149" s="3" t="str">
        <f t="shared" si="13"/>
        <v>Right</v>
      </c>
      <c r="AF149" s="3" t="str">
        <f t="shared" si="14"/>
        <v>ROB</v>
      </c>
      <c r="AG149" s="3" t="str">
        <f>IF(XS_Designer_Summary!$AB$24&gt;=XS_Designer_Summary!AD149,"Y","N")</f>
        <v>Y</v>
      </c>
      <c r="AH149" s="45">
        <v>1</v>
      </c>
      <c r="AI149" s="45">
        <f>IF(AG149="Y",$O$19/XS_Designer_Summary!$AB$24,0)</f>
        <v>0.27201249999999999</v>
      </c>
      <c r="AJ149" s="45">
        <f t="shared" si="15"/>
        <v>0.27201249999999999</v>
      </c>
      <c r="AK149" s="14">
        <f t="shared" si="38"/>
        <v>12.512574999999972</v>
      </c>
      <c r="AL149" s="14">
        <f>IF(AG149="Y",LININTERP(AK149,XS_Designer_Calculations!$AY$4:$AY$104,XS_Designer_Calculations!$AZ$4:$AZ$104),AL148)</f>
        <v>2.1512264999999995</v>
      </c>
      <c r="AM149" s="14">
        <f t="shared" si="16"/>
        <v>2.8487735000000005</v>
      </c>
      <c r="AN149" s="14">
        <f t="shared" si="17"/>
        <v>0.77416209366718758</v>
      </c>
      <c r="AO149" s="46">
        <f t="shared" si="18"/>
        <v>0.27206689706083842</v>
      </c>
      <c r="AP149" s="46">
        <f t="shared" si="19"/>
        <v>2.8454843350312951</v>
      </c>
      <c r="AQ149" s="46">
        <f t="shared" si="20"/>
        <v>8.6035107064681964E-3</v>
      </c>
      <c r="AR149" s="14">
        <f>IFERROR(IF(AG149="Y",VLOOKUP(AK149,XS_Designer_Calculations!$R$5:$T$104,3,TRUE),0),0)</f>
        <v>0.1</v>
      </c>
      <c r="AS149" s="46">
        <f t="shared" si="21"/>
        <v>0.01</v>
      </c>
      <c r="AT149" s="14">
        <f t="shared" si="22"/>
        <v>23.100506982069771</v>
      </c>
      <c r="AU149" s="14">
        <f>AT149*XS_Designer_Calculations!$I$7^0.5</f>
        <v>2.3100506982069771</v>
      </c>
      <c r="AV149" s="14">
        <f t="shared" si="23"/>
        <v>2.9839367195884279</v>
      </c>
      <c r="AW149" s="14">
        <f t="shared" si="24"/>
        <v>1.7755822250595281</v>
      </c>
      <c r="AX149" s="14">
        <f t="shared" si="25"/>
        <v>5</v>
      </c>
      <c r="AY149" s="46">
        <f t="shared" si="26"/>
        <v>2.8460533750000003</v>
      </c>
      <c r="AZ149" s="14">
        <f>((AS149*AP149)/(1.65*XS_Designer!$S$99))*12</f>
        <v>9.9663442161030993</v>
      </c>
      <c r="BA149" s="14">
        <f>(AW149/((1.65*62.4)*XS_Designer!$AA$53))*12</f>
        <v>3.4490719212500554</v>
      </c>
      <c r="BB149" s="14">
        <f t="shared" si="27"/>
        <v>5.5899467056476251</v>
      </c>
      <c r="BC149" s="14">
        <f t="shared" si="28"/>
        <v>9.1374794349586974</v>
      </c>
      <c r="BD149" s="14">
        <f>IF(ISNUMBER(LININTERP(AW149,Permissible_Shear!$T$178:$T$188,Permissible_Shear!$V$178:$V$188)),LININTERP(AW149,Permissible_Shear!$T$178:$T$188,Permissible_Shear!$V$178:$V$188),0)</f>
        <v>5.7960530228969454</v>
      </c>
      <c r="BE149" s="14">
        <f>LININTERP(AW149,Permissible_Shear!$S$205:$S$222,Permissible_Shear!$V$205:$V$222)</f>
        <v>5.8611944533110254</v>
      </c>
      <c r="BF149" s="14">
        <f>INDEX($AZ$3:$BE$204,ROW(BF149)-2,MATCH(XS_Designer!$W$5,XS_Designer_Summary!$AZ$2:$BE$2,0))</f>
        <v>5.5899467056476251</v>
      </c>
      <c r="BG149" s="79">
        <f t="shared" si="29"/>
        <v>0</v>
      </c>
      <c r="BH149" s="79">
        <f t="shared" si="30"/>
        <v>2.9839367195884279</v>
      </c>
      <c r="BI149" s="79">
        <f t="shared" si="31"/>
        <v>0</v>
      </c>
      <c r="BJ149" s="79">
        <f t="shared" si="32"/>
        <v>0</v>
      </c>
      <c r="BK149" s="79">
        <f t="shared" si="33"/>
        <v>1.7755822250595281</v>
      </c>
      <c r="BL149" s="79">
        <f t="shared" si="34"/>
        <v>0</v>
      </c>
      <c r="BM149" s="124">
        <f t="shared" si="35"/>
        <v>0</v>
      </c>
      <c r="BN149" s="124">
        <f t="shared" si="36"/>
        <v>2.8454843350312951</v>
      </c>
      <c r="BO149" s="124">
        <f t="shared" si="37"/>
        <v>0</v>
      </c>
    </row>
    <row r="150" spans="30:67">
      <c r="AD150" s="3">
        <v>146</v>
      </c>
      <c r="AE150" s="3" t="str">
        <f t="shared" si="13"/>
        <v>Right</v>
      </c>
      <c r="AF150" s="3" t="str">
        <f t="shared" si="14"/>
        <v>ROB</v>
      </c>
      <c r="AG150" s="3" t="str">
        <f>IF(XS_Designer_Summary!$AB$24&gt;=XS_Designer_Summary!AD150,"Y","N")</f>
        <v>Y</v>
      </c>
      <c r="AH150" s="45">
        <v>1</v>
      </c>
      <c r="AI150" s="45">
        <f>IF(AG150="Y",$O$19/XS_Designer_Summary!$AB$24,0)</f>
        <v>0.27201249999999999</v>
      </c>
      <c r="AJ150" s="45">
        <f t="shared" si="15"/>
        <v>0.27201249999999999</v>
      </c>
      <c r="AK150" s="14">
        <f t="shared" si="38"/>
        <v>12.784587499999972</v>
      </c>
      <c r="AL150" s="14">
        <f>IF(AG150="Y",LININTERP(AK150,XS_Designer_Calculations!$AY$4:$AY$104,XS_Designer_Calculations!$AZ$4:$AZ$104),AL149)</f>
        <v>2.1566667499999994</v>
      </c>
      <c r="AM150" s="14">
        <f t="shared" si="16"/>
        <v>2.8433332500000006</v>
      </c>
      <c r="AN150" s="14">
        <f t="shared" si="17"/>
        <v>0.77268227766406272</v>
      </c>
      <c r="AO150" s="46">
        <f t="shared" si="18"/>
        <v>0.27206689706083842</v>
      </c>
      <c r="AP150" s="46">
        <f t="shared" si="19"/>
        <v>2.8400451727549894</v>
      </c>
      <c r="AQ150" s="46">
        <f t="shared" si="20"/>
        <v>8.6035107064681964E-3</v>
      </c>
      <c r="AR150" s="14">
        <f>IFERROR(IF(AG150="Y",VLOOKUP(AK150,XS_Designer_Calculations!$R$5:$T$104,3,TRUE),0),0)</f>
        <v>0.1</v>
      </c>
      <c r="AS150" s="46">
        <f t="shared" si="21"/>
        <v>0.01</v>
      </c>
      <c r="AT150" s="14">
        <f t="shared" si="22"/>
        <v>23.026959262406312</v>
      </c>
      <c r="AU150" s="14">
        <f>AT150*XS_Designer_Calculations!$I$7^0.5</f>
        <v>2.3026959262406312</v>
      </c>
      <c r="AV150" s="14">
        <f t="shared" si="23"/>
        <v>2.9801329638386878</v>
      </c>
      <c r="AW150" s="14">
        <f t="shared" si="24"/>
        <v>1.7721881877991135</v>
      </c>
      <c r="AX150" s="14">
        <f t="shared" si="25"/>
        <v>5</v>
      </c>
      <c r="AY150" s="46">
        <f t="shared" si="26"/>
        <v>2.8406131250000008</v>
      </c>
      <c r="AZ150" s="14">
        <f>((AS150*AP150)/(1.65*XS_Designer!$S$99))*12</f>
        <v>9.9472934826917303</v>
      </c>
      <c r="BA150" s="14">
        <f>(AW150/((1.65*62.4)*XS_Designer!$AA$53))*12</f>
        <v>3.4424789972787755</v>
      </c>
      <c r="BB150" s="14">
        <f t="shared" si="27"/>
        <v>5.5788237835495886</v>
      </c>
      <c r="BC150" s="14">
        <f t="shared" si="28"/>
        <v>9.1246419548295421</v>
      </c>
      <c r="BD150" s="14">
        <f>IF(ISNUMBER(LININTERP(AW150,Permissible_Shear!$T$178:$T$188,Permissible_Shear!$V$178:$V$188)),LININTERP(AW150,Permissible_Shear!$T$178:$T$188,Permissible_Shear!$V$178:$V$188),0)</f>
        <v>5.7854514878868653</v>
      </c>
      <c r="BE150" s="14">
        <f>LININTERP(AW150,Permissible_Shear!$S$205:$S$222,Permissible_Shear!$V$205:$V$222)</f>
        <v>5.8505880868722304</v>
      </c>
      <c r="BF150" s="14">
        <f>INDEX($AZ$3:$BE$204,ROW(BF150)-2,MATCH(XS_Designer!$W$5,XS_Designer_Summary!$AZ$2:$BE$2,0))</f>
        <v>5.5788237835495886</v>
      </c>
      <c r="BG150" s="79">
        <f t="shared" si="29"/>
        <v>0</v>
      </c>
      <c r="BH150" s="79">
        <f t="shared" si="30"/>
        <v>2.9801329638386878</v>
      </c>
      <c r="BI150" s="79">
        <f t="shared" si="31"/>
        <v>0</v>
      </c>
      <c r="BJ150" s="79">
        <f t="shared" si="32"/>
        <v>0</v>
      </c>
      <c r="BK150" s="79">
        <f t="shared" si="33"/>
        <v>1.7721881877991135</v>
      </c>
      <c r="BL150" s="79">
        <f t="shared" si="34"/>
        <v>0</v>
      </c>
      <c r="BM150" s="124">
        <f t="shared" si="35"/>
        <v>0</v>
      </c>
      <c r="BN150" s="124">
        <f t="shared" si="36"/>
        <v>2.8400451727549894</v>
      </c>
      <c r="BO150" s="124">
        <f t="shared" si="37"/>
        <v>0</v>
      </c>
    </row>
    <row r="151" spans="30:67">
      <c r="AD151" s="3">
        <v>147</v>
      </c>
      <c r="AE151" s="3" t="str">
        <f t="shared" si="13"/>
        <v>Right</v>
      </c>
      <c r="AF151" s="3" t="str">
        <f t="shared" si="14"/>
        <v>ROB</v>
      </c>
      <c r="AG151" s="3" t="str">
        <f>IF(XS_Designer_Summary!$AB$24&gt;=XS_Designer_Summary!AD151,"Y","N")</f>
        <v>Y</v>
      </c>
      <c r="AH151" s="45">
        <v>1</v>
      </c>
      <c r="AI151" s="45">
        <f>IF(AG151="Y",$O$19/XS_Designer_Summary!$AB$24,0)</f>
        <v>0.27201249999999999</v>
      </c>
      <c r="AJ151" s="45">
        <f t="shared" si="15"/>
        <v>0.27201249999999999</v>
      </c>
      <c r="AK151" s="14">
        <f t="shared" si="38"/>
        <v>13.056599999999973</v>
      </c>
      <c r="AL151" s="14">
        <f>IF(AG151="Y",LININTERP(AK151,XS_Designer_Calculations!$AY$4:$AY$104,XS_Designer_Calculations!$AZ$4:$AZ$104),AL150)</f>
        <v>2.1621069999999993</v>
      </c>
      <c r="AM151" s="14">
        <f t="shared" si="16"/>
        <v>2.8378930000000007</v>
      </c>
      <c r="AN151" s="14">
        <f t="shared" si="17"/>
        <v>0.77120246166093764</v>
      </c>
      <c r="AO151" s="46">
        <f t="shared" si="18"/>
        <v>0.27206689706083842</v>
      </c>
      <c r="AP151" s="46">
        <f t="shared" si="19"/>
        <v>2.8346060104786828</v>
      </c>
      <c r="AQ151" s="46">
        <f t="shared" si="20"/>
        <v>8.6035107064681964E-3</v>
      </c>
      <c r="AR151" s="14">
        <f>IFERROR(IF(AG151="Y",VLOOKUP(AK151,XS_Designer_Calculations!$R$5:$T$104,3,TRUE),0),0)</f>
        <v>0.1</v>
      </c>
      <c r="AS151" s="46">
        <f t="shared" si="21"/>
        <v>0.01</v>
      </c>
      <c r="AT151" s="14">
        <f t="shared" si="22"/>
        <v>22.953505386995207</v>
      </c>
      <c r="AU151" s="14">
        <f>AT151*XS_Designer_Calculations!$I$7^0.5</f>
        <v>2.295350538699521</v>
      </c>
      <c r="AV151" s="14">
        <f t="shared" si="23"/>
        <v>2.9763267790354662</v>
      </c>
      <c r="AW151" s="14">
        <f t="shared" si="24"/>
        <v>1.7687941505386979</v>
      </c>
      <c r="AX151" s="14">
        <f t="shared" si="25"/>
        <v>5</v>
      </c>
      <c r="AY151" s="46">
        <f t="shared" si="26"/>
        <v>2.8351728750000005</v>
      </c>
      <c r="AZ151" s="14">
        <f>((AS151*AP151)/(1.65*XS_Designer!$S$99))*12</f>
        <v>9.9282427492803578</v>
      </c>
      <c r="BA151" s="14">
        <f>(AW151/((1.65*62.4)*XS_Designer!$AA$53))*12</f>
        <v>3.4358860733074947</v>
      </c>
      <c r="BB151" s="14">
        <f t="shared" si="27"/>
        <v>5.5677017552551309</v>
      </c>
      <c r="BC151" s="14">
        <f t="shared" si="28"/>
        <v>9.1117979762957102</v>
      </c>
      <c r="BD151" s="14">
        <f>IF(ISNUMBER(LININTERP(AW151,Permissible_Shear!$T$178:$T$188,Permissible_Shear!$V$178:$V$188)),LININTERP(AW151,Permissible_Shear!$T$178:$T$188,Permissible_Shear!$V$178:$V$188),0)</f>
        <v>5.7748499528767825</v>
      </c>
      <c r="BE151" s="14">
        <f>LININTERP(AW151,Permissible_Shear!$S$205:$S$222,Permissible_Shear!$V$205:$V$222)</f>
        <v>5.839981720433431</v>
      </c>
      <c r="BF151" s="14">
        <f>INDEX($AZ$3:$BE$204,ROW(BF151)-2,MATCH(XS_Designer!$W$5,XS_Designer_Summary!$AZ$2:$BE$2,0))</f>
        <v>5.5677017552551309</v>
      </c>
      <c r="BG151" s="79">
        <f t="shared" si="29"/>
        <v>0</v>
      </c>
      <c r="BH151" s="79">
        <f t="shared" si="30"/>
        <v>2.9763267790354662</v>
      </c>
      <c r="BI151" s="79">
        <f t="shared" si="31"/>
        <v>0</v>
      </c>
      <c r="BJ151" s="79">
        <f t="shared" si="32"/>
        <v>0</v>
      </c>
      <c r="BK151" s="79">
        <f t="shared" si="33"/>
        <v>1.7687941505386979</v>
      </c>
      <c r="BL151" s="79">
        <f t="shared" si="34"/>
        <v>0</v>
      </c>
      <c r="BM151" s="124">
        <f t="shared" si="35"/>
        <v>0</v>
      </c>
      <c r="BN151" s="124">
        <f t="shared" si="36"/>
        <v>2.8346060104786828</v>
      </c>
      <c r="BO151" s="124">
        <f t="shared" si="37"/>
        <v>0</v>
      </c>
    </row>
    <row r="152" spans="30:67">
      <c r="AD152" s="3">
        <v>148</v>
      </c>
      <c r="AE152" s="3" t="str">
        <f t="shared" si="13"/>
        <v>Right</v>
      </c>
      <c r="AF152" s="3" t="str">
        <f t="shared" si="14"/>
        <v>ROB</v>
      </c>
      <c r="AG152" s="3" t="str">
        <f>IF(XS_Designer_Summary!$AB$24&gt;=XS_Designer_Summary!AD152,"Y","N")</f>
        <v>Y</v>
      </c>
      <c r="AH152" s="45">
        <v>1</v>
      </c>
      <c r="AI152" s="45">
        <f>IF(AG152="Y",$O$19/XS_Designer_Summary!$AB$24,0)</f>
        <v>0.27201249999999999</v>
      </c>
      <c r="AJ152" s="45">
        <f t="shared" si="15"/>
        <v>0.27201249999999999</v>
      </c>
      <c r="AK152" s="14">
        <f t="shared" si="38"/>
        <v>13.328612499999974</v>
      </c>
      <c r="AL152" s="14">
        <f>IF(AG152="Y",LININTERP(AK152,XS_Designer_Calculations!$AY$4:$AY$104,XS_Designer_Calculations!$AZ$4:$AZ$104),AL151)</f>
        <v>2.1675472499999997</v>
      </c>
      <c r="AM152" s="14">
        <f t="shared" si="16"/>
        <v>2.8324527500000003</v>
      </c>
      <c r="AN152" s="14">
        <f t="shared" si="17"/>
        <v>0.76972264565781245</v>
      </c>
      <c r="AO152" s="46">
        <f t="shared" si="18"/>
        <v>0.27206689706083842</v>
      </c>
      <c r="AP152" s="46">
        <f t="shared" si="19"/>
        <v>2.8291668482023757</v>
      </c>
      <c r="AQ152" s="46">
        <f t="shared" si="20"/>
        <v>8.6035107064681964E-3</v>
      </c>
      <c r="AR152" s="14">
        <f>IFERROR(IF(AG152="Y",VLOOKUP(AK152,XS_Designer_Calculations!$R$5:$T$104,3,TRUE),0),0)</f>
        <v>0.1</v>
      </c>
      <c r="AS152" s="46">
        <f t="shared" si="21"/>
        <v>0.01</v>
      </c>
      <c r="AT152" s="14">
        <f t="shared" si="22"/>
        <v>22.880145415822259</v>
      </c>
      <c r="AU152" s="14">
        <f>AT152*XS_Designer_Calculations!$I$7^0.5</f>
        <v>2.2880145415822262</v>
      </c>
      <c r="AV152" s="14">
        <f t="shared" si="23"/>
        <v>2.9725181589621372</v>
      </c>
      <c r="AW152" s="14">
        <f t="shared" si="24"/>
        <v>1.7654001132782824</v>
      </c>
      <c r="AX152" s="14">
        <f t="shared" si="25"/>
        <v>5</v>
      </c>
      <c r="AY152" s="46">
        <f t="shared" si="26"/>
        <v>2.8297326250000001</v>
      </c>
      <c r="AZ152" s="14">
        <f>((AS152*AP152)/(1.65*XS_Designer!$S$99))*12</f>
        <v>9.9091920158689852</v>
      </c>
      <c r="BA152" s="14">
        <f>(AW152/((1.65*62.4)*XS_Designer!$AA$53))*12</f>
        <v>3.4292931493362131</v>
      </c>
      <c r="BB152" s="14">
        <f t="shared" si="27"/>
        <v>5.5565806224056482</v>
      </c>
      <c r="BC152" s="14">
        <f t="shared" si="28"/>
        <v>9.09894748360073</v>
      </c>
      <c r="BD152" s="14">
        <f>IF(ISNUMBER(LININTERP(AW152,Permissible_Shear!$T$178:$T$188,Permissible_Shear!$V$178:$V$188)),LININTERP(AW152,Permissible_Shear!$T$178:$T$188,Permissible_Shear!$V$178:$V$188),0)</f>
        <v>5.7642484178666997</v>
      </c>
      <c r="BE152" s="14">
        <f>LININTERP(AW152,Permissible_Shear!$S$205:$S$222,Permissible_Shear!$V$205:$V$222)</f>
        <v>5.8293753539946325</v>
      </c>
      <c r="BF152" s="14">
        <f>INDEX($AZ$3:$BE$204,ROW(BF152)-2,MATCH(XS_Designer!$W$5,XS_Designer_Summary!$AZ$2:$BE$2,0))</f>
        <v>5.5565806224056482</v>
      </c>
      <c r="BG152" s="79">
        <f t="shared" si="29"/>
        <v>0</v>
      </c>
      <c r="BH152" s="79">
        <f t="shared" si="30"/>
        <v>2.9725181589621372</v>
      </c>
      <c r="BI152" s="79">
        <f t="shared" si="31"/>
        <v>0</v>
      </c>
      <c r="BJ152" s="79">
        <f t="shared" si="32"/>
        <v>0</v>
      </c>
      <c r="BK152" s="79">
        <f t="shared" si="33"/>
        <v>1.7654001132782824</v>
      </c>
      <c r="BL152" s="79">
        <f t="shared" si="34"/>
        <v>0</v>
      </c>
      <c r="BM152" s="124">
        <f t="shared" si="35"/>
        <v>0</v>
      </c>
      <c r="BN152" s="124">
        <f t="shared" si="36"/>
        <v>2.8291668482023757</v>
      </c>
      <c r="BO152" s="124">
        <f t="shared" si="37"/>
        <v>0</v>
      </c>
    </row>
    <row r="153" spans="30:67">
      <c r="AD153" s="3">
        <v>149</v>
      </c>
      <c r="AE153" s="3" t="str">
        <f t="shared" si="13"/>
        <v>Right</v>
      </c>
      <c r="AF153" s="3" t="str">
        <f t="shared" si="14"/>
        <v>ROB</v>
      </c>
      <c r="AG153" s="3" t="str">
        <f>IF(XS_Designer_Summary!$AB$24&gt;=XS_Designer_Summary!AD153,"Y","N")</f>
        <v>Y</v>
      </c>
      <c r="AH153" s="45">
        <v>1</v>
      </c>
      <c r="AI153" s="45">
        <f>IF(AG153="Y",$O$19/XS_Designer_Summary!$AB$24,0)</f>
        <v>0.27201249999999999</v>
      </c>
      <c r="AJ153" s="45">
        <f t="shared" si="15"/>
        <v>0.27201249999999999</v>
      </c>
      <c r="AK153" s="14">
        <f t="shared" si="38"/>
        <v>13.600624999999974</v>
      </c>
      <c r="AL153" s="14">
        <f>IF(AG153="Y",LININTERP(AK153,XS_Designer_Calculations!$AY$4:$AY$104,XS_Designer_Calculations!$AZ$4:$AZ$104),AL152)</f>
        <v>2.1729874999999996</v>
      </c>
      <c r="AM153" s="14">
        <f t="shared" si="16"/>
        <v>2.8270125000000004</v>
      </c>
      <c r="AN153" s="14">
        <f t="shared" si="17"/>
        <v>0.7682428296546876</v>
      </c>
      <c r="AO153" s="46">
        <f t="shared" si="18"/>
        <v>0.27206689706083842</v>
      </c>
      <c r="AP153" s="46">
        <f t="shared" si="19"/>
        <v>2.82372768592607</v>
      </c>
      <c r="AQ153" s="46">
        <f t="shared" si="20"/>
        <v>8.6035107064681964E-3</v>
      </c>
      <c r="AR153" s="14">
        <f>IFERROR(IF(AG153="Y",VLOOKUP(AK153,XS_Designer_Calculations!$R$5:$T$104,3,TRUE),0),0)</f>
        <v>0.1</v>
      </c>
      <c r="AS153" s="46">
        <f t="shared" si="21"/>
        <v>0.01</v>
      </c>
      <c r="AT153" s="14">
        <f t="shared" si="22"/>
        <v>22.806879409026983</v>
      </c>
      <c r="AU153" s="14">
        <f>AT153*XS_Designer_Calculations!$I$7^0.5</f>
        <v>2.2806879409026983</v>
      </c>
      <c r="AV153" s="14">
        <f t="shared" si="23"/>
        <v>2.9687070973741854</v>
      </c>
      <c r="AW153" s="14">
        <f t="shared" si="24"/>
        <v>1.7620060760178677</v>
      </c>
      <c r="AX153" s="14">
        <f t="shared" si="25"/>
        <v>5</v>
      </c>
      <c r="AY153" s="46">
        <f t="shared" si="26"/>
        <v>2.8242923750000006</v>
      </c>
      <c r="AZ153" s="14">
        <f>((AS153*AP153)/(1.65*XS_Designer!$S$99))*12</f>
        <v>9.890141282457618</v>
      </c>
      <c r="BA153" s="14">
        <f>(AW153/((1.65*62.4)*XS_Designer!$AA$53))*12</f>
        <v>3.4227002253649341</v>
      </c>
      <c r="BB153" s="14">
        <f t="shared" si="27"/>
        <v>5.5454603866487115</v>
      </c>
      <c r="BC153" s="14">
        <f t="shared" si="28"/>
        <v>9.086090460919575</v>
      </c>
      <c r="BD153" s="14">
        <f>IF(ISNUMBER(LININTERP(AW153,Permissible_Shear!$T$178:$T$188,Permissible_Shear!$V$178:$V$188)),LININTERP(AW153,Permissible_Shear!$T$178:$T$188,Permissible_Shear!$V$178:$V$188),0)</f>
        <v>5.7536468828566196</v>
      </c>
      <c r="BE153" s="14">
        <f>LININTERP(AW153,Permissible_Shear!$S$205:$S$222,Permissible_Shear!$V$205:$V$222)</f>
        <v>5.8187689875558366</v>
      </c>
      <c r="BF153" s="14">
        <f>INDEX($AZ$3:$BE$204,ROW(BF153)-2,MATCH(XS_Designer!$W$5,XS_Designer_Summary!$AZ$2:$BE$2,0))</f>
        <v>5.5454603866487115</v>
      </c>
      <c r="BG153" s="79">
        <f t="shared" si="29"/>
        <v>0</v>
      </c>
      <c r="BH153" s="79">
        <f t="shared" si="30"/>
        <v>2.9687070973741854</v>
      </c>
      <c r="BI153" s="79">
        <f t="shared" si="31"/>
        <v>0</v>
      </c>
      <c r="BJ153" s="79">
        <f t="shared" si="32"/>
        <v>0</v>
      </c>
      <c r="BK153" s="79">
        <f t="shared" si="33"/>
        <v>1.7620060760178677</v>
      </c>
      <c r="BL153" s="79">
        <f t="shared" si="34"/>
        <v>0</v>
      </c>
      <c r="BM153" s="124">
        <f t="shared" si="35"/>
        <v>0</v>
      </c>
      <c r="BN153" s="124">
        <f t="shared" si="36"/>
        <v>2.82372768592607</v>
      </c>
      <c r="BO153" s="124">
        <f t="shared" si="37"/>
        <v>0</v>
      </c>
    </row>
    <row r="154" spans="30:67">
      <c r="AD154" s="3">
        <v>150</v>
      </c>
      <c r="AE154" s="3" t="str">
        <f t="shared" si="13"/>
        <v>Right</v>
      </c>
      <c r="AF154" s="3" t="str">
        <f t="shared" si="14"/>
        <v>ROB</v>
      </c>
      <c r="AG154" s="3" t="str">
        <f>IF(XS_Designer_Summary!$AB$24&gt;=XS_Designer_Summary!AD154,"Y","N")</f>
        <v>Y</v>
      </c>
      <c r="AH154" s="45">
        <v>1</v>
      </c>
      <c r="AI154" s="45">
        <f>IF(AG154="Y",$O$19/XS_Designer_Summary!$AB$24,0)</f>
        <v>0.27201249999999999</v>
      </c>
      <c r="AJ154" s="45">
        <f t="shared" si="15"/>
        <v>0.27201249999999999</v>
      </c>
      <c r="AK154" s="14">
        <f t="shared" si="38"/>
        <v>13.872637499999975</v>
      </c>
      <c r="AL154" s="14">
        <f>IF(AG154="Y",LININTERP(AK154,XS_Designer_Calculations!$AY$4:$AY$104,XS_Designer_Calculations!$AZ$4:$AZ$104),AL153)</f>
        <v>2.1784277499999996</v>
      </c>
      <c r="AM154" s="14">
        <f t="shared" si="16"/>
        <v>2.8215722500000004</v>
      </c>
      <c r="AN154" s="14">
        <f t="shared" si="17"/>
        <v>0.76676301365156252</v>
      </c>
      <c r="AO154" s="46">
        <f t="shared" si="18"/>
        <v>0.27206689706083842</v>
      </c>
      <c r="AP154" s="46">
        <f t="shared" si="19"/>
        <v>2.8182885236497635</v>
      </c>
      <c r="AQ154" s="46">
        <f t="shared" si="20"/>
        <v>8.6035107064681964E-3</v>
      </c>
      <c r="AR154" s="14">
        <f>IFERROR(IF(AG154="Y",VLOOKUP(AK154,XS_Designer_Calculations!$R$5:$T$104,3,TRUE),0),0)</f>
        <v>0.1</v>
      </c>
      <c r="AS154" s="46">
        <f t="shared" si="21"/>
        <v>0.01</v>
      </c>
      <c r="AT154" s="14">
        <f t="shared" si="22"/>
        <v>22.733707426903166</v>
      </c>
      <c r="AU154" s="14">
        <f>AT154*XS_Designer_Calculations!$I$7^0.5</f>
        <v>2.2733707426903167</v>
      </c>
      <c r="AV154" s="14">
        <f t="shared" si="23"/>
        <v>2.9648935879990121</v>
      </c>
      <c r="AW154" s="14">
        <f t="shared" si="24"/>
        <v>1.7586120387574524</v>
      </c>
      <c r="AX154" s="14">
        <f t="shared" si="25"/>
        <v>5</v>
      </c>
      <c r="AY154" s="46">
        <f t="shared" si="26"/>
        <v>2.8188521250000003</v>
      </c>
      <c r="AZ154" s="14">
        <f>((AS154*AP154)/(1.65*XS_Designer!$S$99))*12</f>
        <v>9.8710905490462473</v>
      </c>
      <c r="BA154" s="14">
        <f>(AW154/((1.65*62.4)*XS_Designer!$AA$53))*12</f>
        <v>3.4161073013936534</v>
      </c>
      <c r="BB154" s="14">
        <f t="shared" si="27"/>
        <v>5.5343410496380958</v>
      </c>
      <c r="BC154" s="14">
        <f t="shared" si="28"/>
        <v>9.073226892358246</v>
      </c>
      <c r="BD154" s="14">
        <f>IF(ISNUMBER(LININTERP(AW154,Permissible_Shear!$T$178:$T$188,Permissible_Shear!$V$178:$V$188)),LININTERP(AW154,Permissible_Shear!$T$178:$T$188,Permissible_Shear!$V$178:$V$188),0)</f>
        <v>5.7430453478465369</v>
      </c>
      <c r="BE154" s="14">
        <f>LININTERP(AW154,Permissible_Shear!$S$205:$S$222,Permissible_Shear!$V$205:$V$222)</f>
        <v>5.808162621117039</v>
      </c>
      <c r="BF154" s="14">
        <f>INDEX($AZ$3:$BE$204,ROW(BF154)-2,MATCH(XS_Designer!$W$5,XS_Designer_Summary!$AZ$2:$BE$2,0))</f>
        <v>5.5343410496380958</v>
      </c>
      <c r="BG154" s="79">
        <f t="shared" si="29"/>
        <v>0</v>
      </c>
      <c r="BH154" s="79">
        <f t="shared" si="30"/>
        <v>2.9648935879990121</v>
      </c>
      <c r="BI154" s="79">
        <f t="shared" si="31"/>
        <v>0</v>
      </c>
      <c r="BJ154" s="79">
        <f t="shared" si="32"/>
        <v>0</v>
      </c>
      <c r="BK154" s="79">
        <f t="shared" si="33"/>
        <v>1.7586120387574524</v>
      </c>
      <c r="BL154" s="79">
        <f t="shared" si="34"/>
        <v>0</v>
      </c>
      <c r="BM154" s="124">
        <f t="shared" si="35"/>
        <v>0</v>
      </c>
      <c r="BN154" s="124">
        <f t="shared" si="36"/>
        <v>2.8182885236497635</v>
      </c>
      <c r="BO154" s="124">
        <f t="shared" si="37"/>
        <v>0</v>
      </c>
    </row>
    <row r="155" spans="30:67">
      <c r="AD155" s="3">
        <v>151</v>
      </c>
      <c r="AE155" s="3" t="str">
        <f t="shared" si="13"/>
        <v>Right</v>
      </c>
      <c r="AF155" s="3" t="str">
        <f t="shared" si="14"/>
        <v>ROB</v>
      </c>
      <c r="AG155" s="3" t="str">
        <f>IF(XS_Designer_Summary!$AB$24&gt;=XS_Designer_Summary!AD155,"Y","N")</f>
        <v>Y</v>
      </c>
      <c r="AH155" s="45">
        <v>1</v>
      </c>
      <c r="AI155" s="45">
        <f>IF(AG155="Y",$O$19/XS_Designer_Summary!$AB$24,0)</f>
        <v>0.27201249999999999</v>
      </c>
      <c r="AJ155" s="45">
        <f t="shared" si="15"/>
        <v>0.27201249999999999</v>
      </c>
      <c r="AK155" s="14">
        <f t="shared" si="38"/>
        <v>14.144649999999976</v>
      </c>
      <c r="AL155" s="14">
        <f>IF(AG155="Y",LININTERP(AK155,XS_Designer_Calculations!$AY$4:$AY$104,XS_Designer_Calculations!$AZ$4:$AZ$104),AL154)</f>
        <v>2.1838679999999995</v>
      </c>
      <c r="AM155" s="14">
        <f t="shared" si="16"/>
        <v>2.8161320000000005</v>
      </c>
      <c r="AN155" s="14">
        <f t="shared" si="17"/>
        <v>0.76528319764843766</v>
      </c>
      <c r="AO155" s="46">
        <f t="shared" si="18"/>
        <v>0.27206689706083842</v>
      </c>
      <c r="AP155" s="46">
        <f t="shared" si="19"/>
        <v>2.8128493613734578</v>
      </c>
      <c r="AQ155" s="46">
        <f t="shared" si="20"/>
        <v>8.6035107064681964E-3</v>
      </c>
      <c r="AR155" s="14">
        <f>IFERROR(IF(AG155="Y",VLOOKUP(AK155,XS_Designer_Calculations!$R$5:$T$104,3,TRUE),0),0)</f>
        <v>0.1</v>
      </c>
      <c r="AS155" s="46">
        <f t="shared" si="21"/>
        <v>0.01</v>
      </c>
      <c r="AT155" s="14">
        <f t="shared" si="22"/>
        <v>22.660629529899737</v>
      </c>
      <c r="AU155" s="14">
        <f>AT155*XS_Designer_Calculations!$I$7^0.5</f>
        <v>2.2660629529899738</v>
      </c>
      <c r="AV155" s="14">
        <f t="shared" si="23"/>
        <v>2.9610776245357697</v>
      </c>
      <c r="AW155" s="14">
        <f t="shared" si="24"/>
        <v>1.7552180014970375</v>
      </c>
      <c r="AX155" s="14">
        <f t="shared" si="25"/>
        <v>5</v>
      </c>
      <c r="AY155" s="46">
        <f t="shared" si="26"/>
        <v>2.8134118750000008</v>
      </c>
      <c r="AZ155" s="14">
        <f>((AS155*AP155)/(1.65*XS_Designer!$S$99))*12</f>
        <v>9.8520398156348783</v>
      </c>
      <c r="BA155" s="14">
        <f>(AW155/((1.65*62.4)*XS_Designer!$AA$53))*12</f>
        <v>3.4095143774223735</v>
      </c>
      <c r="BB155" s="14">
        <f t="shared" si="27"/>
        <v>5.5232226130338207</v>
      </c>
      <c r="BC155" s="14">
        <f t="shared" si="28"/>
        <v>9.0603567619533223</v>
      </c>
      <c r="BD155" s="14">
        <f>IF(ISNUMBER(LININTERP(AW155,Permissible_Shear!$T$178:$T$188,Permissible_Shear!$V$178:$V$188)),LININTERP(AW155,Permissible_Shear!$T$178:$T$188,Permissible_Shear!$V$178:$V$188),0)</f>
        <v>5.7324438128364559</v>
      </c>
      <c r="BE155" s="14">
        <f>LININTERP(AW155,Permissible_Shear!$S$205:$S$222,Permissible_Shear!$V$205:$V$222)</f>
        <v>5.7975562546782431</v>
      </c>
      <c r="BF155" s="14">
        <f>INDEX($AZ$3:$BE$204,ROW(BF155)-2,MATCH(XS_Designer!$W$5,XS_Designer_Summary!$AZ$2:$BE$2,0))</f>
        <v>5.5232226130338207</v>
      </c>
      <c r="BG155" s="79">
        <f t="shared" si="29"/>
        <v>0</v>
      </c>
      <c r="BH155" s="79">
        <f t="shared" si="30"/>
        <v>2.9610776245357697</v>
      </c>
      <c r="BI155" s="79">
        <f t="shared" si="31"/>
        <v>0</v>
      </c>
      <c r="BJ155" s="79">
        <f t="shared" si="32"/>
        <v>0</v>
      </c>
      <c r="BK155" s="79">
        <f t="shared" si="33"/>
        <v>1.7552180014970375</v>
      </c>
      <c r="BL155" s="79">
        <f t="shared" si="34"/>
        <v>0</v>
      </c>
      <c r="BM155" s="124">
        <f t="shared" si="35"/>
        <v>0</v>
      </c>
      <c r="BN155" s="124">
        <f t="shared" si="36"/>
        <v>2.8128493613734578</v>
      </c>
      <c r="BO155" s="124">
        <f t="shared" si="37"/>
        <v>0</v>
      </c>
    </row>
    <row r="156" spans="30:67">
      <c r="AD156" s="3">
        <v>152</v>
      </c>
      <c r="AE156" s="3" t="str">
        <f t="shared" si="13"/>
        <v>Right</v>
      </c>
      <c r="AF156" s="3" t="str">
        <f t="shared" si="14"/>
        <v>ROB</v>
      </c>
      <c r="AG156" s="3" t="str">
        <f>IF(XS_Designer_Summary!$AB$24&gt;=XS_Designer_Summary!AD156,"Y","N")</f>
        <v>Y</v>
      </c>
      <c r="AH156" s="45">
        <v>1</v>
      </c>
      <c r="AI156" s="45">
        <f>IF(AG156="Y",$O$19/XS_Designer_Summary!$AB$24,0)</f>
        <v>0.27201249999999999</v>
      </c>
      <c r="AJ156" s="45">
        <f t="shared" si="15"/>
        <v>0.27201249999999999</v>
      </c>
      <c r="AK156" s="14">
        <f t="shared" si="38"/>
        <v>14.416662499999976</v>
      </c>
      <c r="AL156" s="14">
        <f>IF(AG156="Y",LININTERP(AK156,XS_Designer_Calculations!$AY$4:$AY$104,XS_Designer_Calculations!$AZ$4:$AZ$104),AL155)</f>
        <v>2.1893082499999994</v>
      </c>
      <c r="AM156" s="14">
        <f t="shared" si="16"/>
        <v>2.8106917500000006</v>
      </c>
      <c r="AN156" s="14">
        <f t="shared" si="17"/>
        <v>0.76380338164531258</v>
      </c>
      <c r="AO156" s="46">
        <f t="shared" si="18"/>
        <v>0.27206689706083842</v>
      </c>
      <c r="AP156" s="46">
        <f t="shared" si="19"/>
        <v>2.8074101990971516</v>
      </c>
      <c r="AQ156" s="46">
        <f t="shared" si="20"/>
        <v>8.6035107064681964E-3</v>
      </c>
      <c r="AR156" s="14">
        <f>IFERROR(IF(AG156="Y",VLOOKUP(AK156,XS_Designer_Calculations!$R$5:$T$104,3,TRUE),0),0)</f>
        <v>0.1</v>
      </c>
      <c r="AS156" s="46">
        <f t="shared" si="21"/>
        <v>0.01</v>
      </c>
      <c r="AT156" s="14">
        <f t="shared" si="22"/>
        <v>22.587645778621305</v>
      </c>
      <c r="AU156" s="14">
        <f>AT156*XS_Designer_Calculations!$I$7^0.5</f>
        <v>2.2587645778621304</v>
      </c>
      <c r="AV156" s="14">
        <f t="shared" si="23"/>
        <v>2.9572592006551668</v>
      </c>
      <c r="AW156" s="14">
        <f t="shared" si="24"/>
        <v>1.7518239642366227</v>
      </c>
      <c r="AX156" s="14">
        <f t="shared" si="25"/>
        <v>5</v>
      </c>
      <c r="AY156" s="46">
        <f t="shared" si="26"/>
        <v>2.8079716250000004</v>
      </c>
      <c r="AZ156" s="14">
        <f>((AS156*AP156)/(1.65*XS_Designer!$S$99))*12</f>
        <v>9.8329890822235093</v>
      </c>
      <c r="BA156" s="14">
        <f>(AW156/((1.65*62.4)*XS_Designer!$AA$53))*12</f>
        <v>3.4029214534510932</v>
      </c>
      <c r="BB156" s="14">
        <f t="shared" si="27"/>
        <v>5.5121050785021861</v>
      </c>
      <c r="BC156" s="14">
        <f t="shared" si="28"/>
        <v>9.0474800536715367</v>
      </c>
      <c r="BD156" s="14">
        <f>IF(ISNUMBER(LININTERP(AW156,Permissible_Shear!$T$178:$T$188,Permissible_Shear!$V$178:$V$188)),LININTERP(AW156,Permissible_Shear!$T$178:$T$188,Permissible_Shear!$V$178:$V$188),0)</f>
        <v>5.7218422778263749</v>
      </c>
      <c r="BE156" s="14">
        <f>LININTERP(AW156,Permissible_Shear!$S$205:$S$222,Permissible_Shear!$V$205:$V$222)</f>
        <v>5.7869498882394463</v>
      </c>
      <c r="BF156" s="14">
        <f>INDEX($AZ$3:$BE$204,ROW(BF156)-2,MATCH(XS_Designer!$W$5,XS_Designer_Summary!$AZ$2:$BE$2,0))</f>
        <v>5.5121050785021861</v>
      </c>
      <c r="BG156" s="79">
        <f t="shared" si="29"/>
        <v>0</v>
      </c>
      <c r="BH156" s="79">
        <f t="shared" si="30"/>
        <v>2.9572592006551668</v>
      </c>
      <c r="BI156" s="79">
        <f t="shared" si="31"/>
        <v>0</v>
      </c>
      <c r="BJ156" s="79">
        <f t="shared" si="32"/>
        <v>0</v>
      </c>
      <c r="BK156" s="79">
        <f t="shared" si="33"/>
        <v>1.7518239642366227</v>
      </c>
      <c r="BL156" s="79">
        <f t="shared" si="34"/>
        <v>0</v>
      </c>
      <c r="BM156" s="124">
        <f t="shared" si="35"/>
        <v>0</v>
      </c>
      <c r="BN156" s="124">
        <f t="shared" si="36"/>
        <v>2.8074101990971516</v>
      </c>
      <c r="BO156" s="124">
        <f t="shared" si="37"/>
        <v>0</v>
      </c>
    </row>
    <row r="157" spans="30:67">
      <c r="AD157" s="3">
        <v>153</v>
      </c>
      <c r="AE157" s="3" t="str">
        <f t="shared" si="13"/>
        <v>Right</v>
      </c>
      <c r="AF157" s="3" t="str">
        <f t="shared" si="14"/>
        <v>ROB</v>
      </c>
      <c r="AG157" s="3" t="str">
        <f>IF(XS_Designer_Summary!$AB$24&gt;=XS_Designer_Summary!AD157,"Y","N")</f>
        <v>Y</v>
      </c>
      <c r="AH157" s="45">
        <v>1</v>
      </c>
      <c r="AI157" s="45">
        <f>IF(AG157="Y",$O$19/XS_Designer_Summary!$AB$24,0)</f>
        <v>0.27201249999999999</v>
      </c>
      <c r="AJ157" s="45">
        <f t="shared" si="15"/>
        <v>0.27201249999999999</v>
      </c>
      <c r="AK157" s="14">
        <f t="shared" si="38"/>
        <v>14.688674999999977</v>
      </c>
      <c r="AL157" s="14">
        <f>IF(AG157="Y",LININTERP(AK157,XS_Designer_Calculations!$AY$4:$AY$104,XS_Designer_Calculations!$AZ$4:$AZ$104),AL156)</f>
        <v>2.1947484999999998</v>
      </c>
      <c r="AM157" s="14">
        <f t="shared" si="16"/>
        <v>2.8052515000000002</v>
      </c>
      <c r="AN157" s="14">
        <f t="shared" si="17"/>
        <v>0.76232356564218751</v>
      </c>
      <c r="AO157" s="46">
        <f t="shared" si="18"/>
        <v>0.27206689706083842</v>
      </c>
      <c r="AP157" s="46">
        <f t="shared" si="19"/>
        <v>2.801971036820845</v>
      </c>
      <c r="AQ157" s="46">
        <f t="shared" si="20"/>
        <v>8.6035107064681964E-3</v>
      </c>
      <c r="AR157" s="14">
        <f>IFERROR(IF(AG157="Y",VLOOKUP(AK157,XS_Designer_Calculations!$R$5:$T$104,3,TRUE),0),0)</f>
        <v>0.1</v>
      </c>
      <c r="AS157" s="46">
        <f t="shared" si="21"/>
        <v>0.01</v>
      </c>
      <c r="AT157" s="14">
        <f t="shared" si="22"/>
        <v>22.514756233828972</v>
      </c>
      <c r="AU157" s="14">
        <f>AT157*XS_Designer_Calculations!$I$7^0.5</f>
        <v>2.2514756233828974</v>
      </c>
      <c r="AV157" s="14">
        <f t="shared" si="23"/>
        <v>2.9534383099992931</v>
      </c>
      <c r="AW157" s="14">
        <f t="shared" si="24"/>
        <v>1.7484299269762074</v>
      </c>
      <c r="AX157" s="14">
        <f t="shared" si="25"/>
        <v>5</v>
      </c>
      <c r="AY157" s="46">
        <f t="shared" si="26"/>
        <v>2.802531375</v>
      </c>
      <c r="AZ157" s="14">
        <f>((AS157*AP157)/(1.65*XS_Designer!$S$99))*12</f>
        <v>9.8139383488121368</v>
      </c>
      <c r="BA157" s="14">
        <f>(AW157/((1.65*62.4)*XS_Designer!$AA$53))*12</f>
        <v>3.3963285294798129</v>
      </c>
      <c r="BB157" s="14">
        <f t="shared" si="27"/>
        <v>5.5009884477158035</v>
      </c>
      <c r="BC157" s="14">
        <f t="shared" si="28"/>
        <v>9.0345967514093264</v>
      </c>
      <c r="BD157" s="14">
        <f>IF(ISNUMBER(LININTERP(AW157,Permissible_Shear!$T$178:$T$188,Permissible_Shear!$V$178:$V$188)),LININTERP(AW157,Permissible_Shear!$T$178:$T$188,Permissible_Shear!$V$178:$V$188),0)</f>
        <v>5.7112407428162921</v>
      </c>
      <c r="BE157" s="14">
        <f>LININTERP(AW157,Permissible_Shear!$S$205:$S$222,Permissible_Shear!$V$205:$V$222)</f>
        <v>5.7763435218006478</v>
      </c>
      <c r="BF157" s="14">
        <f>INDEX($AZ$3:$BE$204,ROW(BF157)-2,MATCH(XS_Designer!$W$5,XS_Designer_Summary!$AZ$2:$BE$2,0))</f>
        <v>5.5009884477158035</v>
      </c>
      <c r="BG157" s="79">
        <f t="shared" si="29"/>
        <v>0</v>
      </c>
      <c r="BH157" s="79">
        <f t="shared" si="30"/>
        <v>2.9534383099992931</v>
      </c>
      <c r="BI157" s="79">
        <f t="shared" si="31"/>
        <v>0</v>
      </c>
      <c r="BJ157" s="79">
        <f t="shared" si="32"/>
        <v>0</v>
      </c>
      <c r="BK157" s="79">
        <f t="shared" si="33"/>
        <v>1.7484299269762074</v>
      </c>
      <c r="BL157" s="79">
        <f t="shared" si="34"/>
        <v>0</v>
      </c>
      <c r="BM157" s="124">
        <f t="shared" si="35"/>
        <v>0</v>
      </c>
      <c r="BN157" s="124">
        <f t="shared" si="36"/>
        <v>2.801971036820845</v>
      </c>
      <c r="BO157" s="124">
        <f t="shared" si="37"/>
        <v>0</v>
      </c>
    </row>
    <row r="158" spans="30:67">
      <c r="AD158" s="3">
        <v>154</v>
      </c>
      <c r="AE158" s="3" t="str">
        <f t="shared" si="13"/>
        <v>Right</v>
      </c>
      <c r="AF158" s="3" t="str">
        <f t="shared" si="14"/>
        <v>ROB</v>
      </c>
      <c r="AG158" s="3" t="str">
        <f>IF(XS_Designer_Summary!$AB$24&gt;=XS_Designer_Summary!AD158,"Y","N")</f>
        <v>Y</v>
      </c>
      <c r="AH158" s="45">
        <v>1</v>
      </c>
      <c r="AI158" s="45">
        <f>IF(AG158="Y",$O$19/XS_Designer_Summary!$AB$24,0)</f>
        <v>0.27201249999999999</v>
      </c>
      <c r="AJ158" s="45">
        <f t="shared" si="15"/>
        <v>0.27201249999999999</v>
      </c>
      <c r="AK158" s="14">
        <f t="shared" si="38"/>
        <v>14.960687499999977</v>
      </c>
      <c r="AL158" s="14">
        <f>IF(AG158="Y",LININTERP(AK158,XS_Designer_Calculations!$AY$4:$AY$104,XS_Designer_Calculations!$AZ$4:$AZ$104),AL157)</f>
        <v>2.2001887499999997</v>
      </c>
      <c r="AM158" s="14">
        <f t="shared" si="16"/>
        <v>2.7998112500000003</v>
      </c>
      <c r="AN158" s="14">
        <f t="shared" si="17"/>
        <v>0.74573399928906381</v>
      </c>
      <c r="AO158" s="46">
        <f t="shared" si="18"/>
        <v>0.2959248176823136</v>
      </c>
      <c r="AP158" s="46">
        <f t="shared" si="19"/>
        <v>2.5200116878660621</v>
      </c>
      <c r="AQ158" s="46">
        <f t="shared" si="20"/>
        <v>9.3579644004618111E-3</v>
      </c>
      <c r="AR158" s="14">
        <f>IFERROR(IF(AG158="Y",VLOOKUP(AK158,XS_Designer_Calculations!$R$5:$T$104,3,TRUE),0),0)</f>
        <v>0.1</v>
      </c>
      <c r="AS158" s="46">
        <f t="shared" si="21"/>
        <v>0.01</v>
      </c>
      <c r="AT158" s="14">
        <f t="shared" si="22"/>
        <v>20.521280494959797</v>
      </c>
      <c r="AU158" s="14">
        <f>AT158*XS_Designer_Calculations!$I$7^0.5</f>
        <v>2.0521280494959799</v>
      </c>
      <c r="AV158" s="14">
        <f t="shared" si="23"/>
        <v>2.7518231050915616</v>
      </c>
      <c r="AW158" s="14">
        <f t="shared" si="24"/>
        <v>1.5724872932284228</v>
      </c>
      <c r="AX158" s="14">
        <f t="shared" si="25"/>
        <v>5</v>
      </c>
      <c r="AY158" s="46">
        <f t="shared" si="26"/>
        <v>2.7415431250000051</v>
      </c>
      <c r="AZ158" s="14">
        <f>((AS158*AP158)/(1.65*XS_Designer!$S$99))*12</f>
        <v>8.8263722279813273</v>
      </c>
      <c r="BA158" s="14">
        <f>(AW158/((1.65*62.4)*XS_Designer!$AA$53))*12</f>
        <v>3.0545596216558337</v>
      </c>
      <c r="BB158" s="14">
        <f t="shared" si="27"/>
        <v>5.4898727223536401</v>
      </c>
      <c r="BC158" s="14">
        <f t="shared" si="28"/>
        <v>9.0217068389923973</v>
      </c>
      <c r="BD158" s="14">
        <f>IF(ISNUMBER(LININTERP(AW158,Permissible_Shear!$T$178:$T$188,Permissible_Shear!$V$178:$V$188)),LININTERP(AW158,Permissible_Shear!$T$178:$T$188,Permissible_Shear!$V$178:$V$188),0)</f>
        <v>5.161670467558034</v>
      </c>
      <c r="BE158" s="14">
        <f>LININTERP(AW158,Permissible_Shear!$S$205:$S$222,Permissible_Shear!$V$205:$V$222)</f>
        <v>5.2265227913388212</v>
      </c>
      <c r="BF158" s="14">
        <f>INDEX($AZ$3:$BE$204,ROW(BF158)-2,MATCH(XS_Designer!$W$5,XS_Designer_Summary!$AZ$2:$BE$2,0))</f>
        <v>5.4898727223536401</v>
      </c>
      <c r="BG158" s="79">
        <f t="shared" si="29"/>
        <v>0</v>
      </c>
      <c r="BH158" s="79">
        <f t="shared" si="30"/>
        <v>2.7518231050915616</v>
      </c>
      <c r="BI158" s="79">
        <f t="shared" si="31"/>
        <v>0</v>
      </c>
      <c r="BJ158" s="79">
        <f t="shared" si="32"/>
        <v>0</v>
      </c>
      <c r="BK158" s="79">
        <f t="shared" si="33"/>
        <v>1.5724872932284228</v>
      </c>
      <c r="BL158" s="79">
        <f t="shared" si="34"/>
        <v>0</v>
      </c>
      <c r="BM158" s="124">
        <f t="shared" si="35"/>
        <v>0</v>
      </c>
      <c r="BN158" s="124">
        <f t="shared" si="36"/>
        <v>2.5200116878660621</v>
      </c>
      <c r="BO158" s="124">
        <f t="shared" si="37"/>
        <v>0</v>
      </c>
    </row>
    <row r="159" spans="30:67">
      <c r="AD159" s="3">
        <v>155</v>
      </c>
      <c r="AE159" s="3" t="str">
        <f t="shared" si="13"/>
        <v>Right</v>
      </c>
      <c r="AF159" s="3" t="str">
        <f t="shared" si="14"/>
        <v>ROB</v>
      </c>
      <c r="AG159" s="3" t="str">
        <f>IF(XS_Designer_Summary!$AB$24&gt;=XS_Designer_Summary!AD159,"Y","N")</f>
        <v>Y</v>
      </c>
      <c r="AH159" s="45">
        <v>1</v>
      </c>
      <c r="AI159" s="45">
        <f>IF(AG159="Y",$O$19/XS_Designer_Summary!$AB$24,0)</f>
        <v>0.27201249999999999</v>
      </c>
      <c r="AJ159" s="45">
        <f t="shared" si="15"/>
        <v>0.27201249999999999</v>
      </c>
      <c r="AK159" s="14">
        <f t="shared" si="38"/>
        <v>15.232699999999978</v>
      </c>
      <c r="AL159" s="14">
        <f>IF(AG159="Y",LININTERP(AK159,XS_Designer_Calculations!$AY$4:$AY$104,XS_Designer_Calculations!$AZ$4:$AZ$104),AL158)</f>
        <v>2.3167249999999897</v>
      </c>
      <c r="AM159" s="14">
        <f t="shared" si="16"/>
        <v>2.6832750000000103</v>
      </c>
      <c r="AN159" s="14">
        <f t="shared" si="17"/>
        <v>0.71138664089844028</v>
      </c>
      <c r="AO159" s="46">
        <f t="shared" si="18"/>
        <v>0.30411922036483152</v>
      </c>
      <c r="AP159" s="46">
        <f t="shared" si="19"/>
        <v>2.3391702768573364</v>
      </c>
      <c r="AQ159" s="46">
        <f t="shared" si="20"/>
        <v>9.6170941658753131E-3</v>
      </c>
      <c r="AR159" s="14">
        <f>IFERROR(IF(AG159="Y",VLOOKUP(AK159,XS_Designer_Calculations!$R$5:$T$104,3,TRUE),0),0)</f>
        <v>0.1</v>
      </c>
      <c r="AS159" s="46">
        <f t="shared" si="21"/>
        <v>0.01</v>
      </c>
      <c r="AT159" s="14">
        <f t="shared" si="22"/>
        <v>18.627978985481761</v>
      </c>
      <c r="AU159" s="14">
        <f>AT159*XS_Designer_Calculations!$I$7^0.5</f>
        <v>1.8627978985481761</v>
      </c>
      <c r="AV159" s="14">
        <f t="shared" si="23"/>
        <v>2.6185449535509551</v>
      </c>
      <c r="AW159" s="14">
        <f t="shared" si="24"/>
        <v>1.4596422527589779</v>
      </c>
      <c r="AX159" s="14">
        <f t="shared" si="25"/>
        <v>5</v>
      </c>
      <c r="AY159" s="46">
        <f t="shared" si="26"/>
        <v>2.6152718750000101</v>
      </c>
      <c r="AZ159" s="14">
        <f>((AS159*AP159)/(1.65*XS_Designer!$S$99))*12</f>
        <v>8.1929729403978584</v>
      </c>
      <c r="BA159" s="14">
        <f>(AW159/((1.65*62.4)*XS_Designer!$AA$53))*12</f>
        <v>2.8353579113422263</v>
      </c>
      <c r="BB159" s="14">
        <f t="shared" si="27"/>
        <v>5.2519820852348706</v>
      </c>
      <c r="BC159" s="14">
        <f t="shared" si="28"/>
        <v>8.7439719327744125</v>
      </c>
      <c r="BD159" s="14">
        <f>IF(ISNUMBER(LININTERP(AW159,Permissible_Shear!$T$178:$T$188,Permissible_Shear!$V$178:$V$188)),LININTERP(AW159,Permissible_Shear!$T$178:$T$188,Permissible_Shear!$V$178:$V$188),0)</f>
        <v>4.8091903515605487</v>
      </c>
      <c r="BE159" s="14">
        <f>LININTERP(AW159,Permissible_Shear!$S$205:$S$222,Permissible_Shear!$V$205:$V$222)</f>
        <v>4.8738820398718055</v>
      </c>
      <c r="BF159" s="14">
        <f>INDEX($AZ$3:$BE$204,ROW(BF159)-2,MATCH(XS_Designer!$W$5,XS_Designer_Summary!$AZ$2:$BE$2,0))</f>
        <v>5.2519820852348706</v>
      </c>
      <c r="BG159" s="79">
        <f t="shared" si="29"/>
        <v>0</v>
      </c>
      <c r="BH159" s="79">
        <f t="shared" si="30"/>
        <v>2.6185449535509551</v>
      </c>
      <c r="BI159" s="79">
        <f t="shared" si="31"/>
        <v>0</v>
      </c>
      <c r="BJ159" s="79">
        <f t="shared" si="32"/>
        <v>0</v>
      </c>
      <c r="BK159" s="79">
        <f t="shared" si="33"/>
        <v>1.4596422527589779</v>
      </c>
      <c r="BL159" s="79">
        <f t="shared" si="34"/>
        <v>0</v>
      </c>
      <c r="BM159" s="124">
        <f t="shared" si="35"/>
        <v>0</v>
      </c>
      <c r="BN159" s="124">
        <f t="shared" si="36"/>
        <v>2.3391702768573364</v>
      </c>
      <c r="BO159" s="124">
        <f t="shared" si="37"/>
        <v>0</v>
      </c>
    </row>
    <row r="160" spans="30:67">
      <c r="AD160" s="3">
        <v>156</v>
      </c>
      <c r="AE160" s="3" t="str">
        <f t="shared" si="13"/>
        <v>Right</v>
      </c>
      <c r="AF160" s="3" t="str">
        <f t="shared" si="14"/>
        <v>ROB</v>
      </c>
      <c r="AG160" s="3" t="str">
        <f>IF(XS_Designer_Summary!$AB$24&gt;=XS_Designer_Summary!AD160,"Y","N")</f>
        <v>Y</v>
      </c>
      <c r="AH160" s="45">
        <v>1</v>
      </c>
      <c r="AI160" s="45">
        <f>IF(AG160="Y",$O$19/XS_Designer_Summary!$AB$24,0)</f>
        <v>0.27201249999999999</v>
      </c>
      <c r="AJ160" s="45">
        <f t="shared" si="15"/>
        <v>0.27201249999999999</v>
      </c>
      <c r="AK160" s="14">
        <f t="shared" si="38"/>
        <v>15.504712499999979</v>
      </c>
      <c r="AL160" s="14">
        <f>IF(AG160="Y",LININTERP(AK160,XS_Designer_Calculations!$AY$4:$AY$104,XS_Designer_Calculations!$AZ$4:$AZ$104),AL159)</f>
        <v>2.45273124999999</v>
      </c>
      <c r="AM160" s="14">
        <f t="shared" si="16"/>
        <v>2.54726875000001</v>
      </c>
      <c r="AN160" s="14">
        <f t="shared" si="17"/>
        <v>0.6743912408203151</v>
      </c>
      <c r="AO160" s="46">
        <f t="shared" si="18"/>
        <v>0.30411922036483152</v>
      </c>
      <c r="AP160" s="46">
        <f t="shared" si="19"/>
        <v>2.2175225887114038</v>
      </c>
      <c r="AQ160" s="46">
        <f t="shared" si="20"/>
        <v>9.6170941658753131E-3</v>
      </c>
      <c r="AR160" s="14">
        <f>IFERROR(IF(AG160="Y",VLOOKUP(AK160,XS_Designer_Calculations!$R$5:$T$104,3,TRUE),0),0)</f>
        <v>0.1</v>
      </c>
      <c r="AS160" s="46">
        <f t="shared" si="21"/>
        <v>0.01</v>
      </c>
      <c r="AT160" s="14">
        <f t="shared" si="22"/>
        <v>17.041563296535564</v>
      </c>
      <c r="AU160" s="14">
        <f>AT160*XS_Designer_Calculations!$I$7^0.5</f>
        <v>1.7041563296535565</v>
      </c>
      <c r="AV160" s="14">
        <f t="shared" si="23"/>
        <v>2.5269550173585547</v>
      </c>
      <c r="AW160" s="14">
        <f t="shared" si="24"/>
        <v>1.3837340953559161</v>
      </c>
      <c r="AX160" s="14">
        <f t="shared" si="25"/>
        <v>5</v>
      </c>
      <c r="AY160" s="46">
        <f t="shared" si="26"/>
        <v>2.4792656250000098</v>
      </c>
      <c r="AZ160" s="14">
        <f>((AS160*AP160)/(1.65*XS_Designer!$S$99))*12</f>
        <v>7.7669004021555459</v>
      </c>
      <c r="BA160" s="14">
        <f>(AW160/((1.65*62.4)*XS_Designer!$AA$53))*12</f>
        <v>2.6879061681350356</v>
      </c>
      <c r="BB160" s="14">
        <f t="shared" si="27"/>
        <v>4.9748961784855963</v>
      </c>
      <c r="BC160" s="14">
        <f t="shared" si="28"/>
        <v>8.4157631321364761</v>
      </c>
      <c r="BD160" s="14">
        <f>IF(ISNUMBER(LININTERP(AW160,Permissible_Shear!$T$178:$T$188,Permissible_Shear!$V$178:$V$188)),LININTERP(AW160,Permissible_Shear!$T$178:$T$188,Permissible_Shear!$V$178:$V$188),0)</f>
        <v>4.5720854153109904</v>
      </c>
      <c r="BE160" s="14">
        <f>LININTERP(AW160,Permissible_Shear!$S$205:$S$222,Permissible_Shear!$V$205:$V$222)</f>
        <v>4.6366690479872377</v>
      </c>
      <c r="BF160" s="14">
        <f>INDEX($AZ$3:$BE$204,ROW(BF160)-2,MATCH(XS_Designer!$W$5,XS_Designer_Summary!$AZ$2:$BE$2,0))</f>
        <v>4.9748961784855963</v>
      </c>
      <c r="BG160" s="79">
        <f t="shared" si="29"/>
        <v>0</v>
      </c>
      <c r="BH160" s="79">
        <f t="shared" si="30"/>
        <v>2.5269550173585547</v>
      </c>
      <c r="BI160" s="79">
        <f t="shared" si="31"/>
        <v>0</v>
      </c>
      <c r="BJ160" s="79">
        <f t="shared" si="32"/>
        <v>0</v>
      </c>
      <c r="BK160" s="79">
        <f t="shared" si="33"/>
        <v>1.3837340953559161</v>
      </c>
      <c r="BL160" s="79">
        <f t="shared" si="34"/>
        <v>0</v>
      </c>
      <c r="BM160" s="124">
        <f t="shared" si="35"/>
        <v>0</v>
      </c>
      <c r="BN160" s="124">
        <f t="shared" si="36"/>
        <v>2.2175225887114038</v>
      </c>
      <c r="BO160" s="124">
        <f t="shared" si="37"/>
        <v>0</v>
      </c>
    </row>
    <row r="161" spans="30:67">
      <c r="AD161" s="3">
        <v>157</v>
      </c>
      <c r="AE161" s="3" t="str">
        <f t="shared" si="13"/>
        <v>Right</v>
      </c>
      <c r="AF161" s="3" t="str">
        <f t="shared" si="14"/>
        <v>ROB</v>
      </c>
      <c r="AG161" s="3" t="str">
        <f>IF(XS_Designer_Summary!$AB$24&gt;=XS_Designer_Summary!AD161,"Y","N")</f>
        <v>Y</v>
      </c>
      <c r="AH161" s="45">
        <v>1</v>
      </c>
      <c r="AI161" s="45">
        <f>IF(AG161="Y",$O$19/XS_Designer_Summary!$AB$24,0)</f>
        <v>0.27201249999999999</v>
      </c>
      <c r="AJ161" s="45">
        <f t="shared" si="15"/>
        <v>0.27201249999999999</v>
      </c>
      <c r="AK161" s="14">
        <f t="shared" si="38"/>
        <v>15.776724999999979</v>
      </c>
      <c r="AL161" s="14">
        <f>IF(AG161="Y",LININTERP(AK161,XS_Designer_Calculations!$AY$4:$AY$104,XS_Designer_Calculations!$AZ$4:$AZ$104),AL160)</f>
        <v>2.5887374999999904</v>
      </c>
      <c r="AM161" s="14">
        <f t="shared" si="16"/>
        <v>2.4112625000000096</v>
      </c>
      <c r="AN161" s="14">
        <f t="shared" si="17"/>
        <v>0.63739584074219002</v>
      </c>
      <c r="AO161" s="46">
        <f t="shared" si="18"/>
        <v>0.3041192203648313</v>
      </c>
      <c r="AP161" s="46">
        <f t="shared" si="19"/>
        <v>2.0958749005654731</v>
      </c>
      <c r="AQ161" s="46">
        <f t="shared" si="20"/>
        <v>9.6170941658753062E-3</v>
      </c>
      <c r="AR161" s="14">
        <f>IFERROR(IF(AG161="Y",VLOOKUP(AK161,XS_Designer_Calculations!$R$5:$T$104,3,TRUE),0),0)</f>
        <v>0.1</v>
      </c>
      <c r="AS161" s="46">
        <f t="shared" si="21"/>
        <v>0.01</v>
      </c>
      <c r="AT161" s="14">
        <f t="shared" si="22"/>
        <v>15.512136074985296</v>
      </c>
      <c r="AU161" s="14">
        <f>AT161*XS_Designer_Calculations!$I$7^0.5</f>
        <v>1.5512136074985297</v>
      </c>
      <c r="AV161" s="14">
        <f t="shared" si="23"/>
        <v>2.4336738779033782</v>
      </c>
      <c r="AW161" s="14">
        <f t="shared" si="24"/>
        <v>1.3078259379528552</v>
      </c>
      <c r="AX161" s="14">
        <f t="shared" si="25"/>
        <v>5</v>
      </c>
      <c r="AY161" s="46">
        <f t="shared" si="26"/>
        <v>2.3432593750000095</v>
      </c>
      <c r="AZ161" s="14">
        <f>((AS161*AP161)/(1.65*XS_Designer!$S$99))*12</f>
        <v>7.3408278639132369</v>
      </c>
      <c r="BA161" s="14">
        <f>(AW161/((1.65*62.4)*XS_Designer!$AA$53))*12</f>
        <v>2.5404544249278462</v>
      </c>
      <c r="BB161" s="14">
        <f t="shared" si="27"/>
        <v>4.6984312307440028</v>
      </c>
      <c r="BC161" s="14">
        <f t="shared" si="28"/>
        <v>8.0828838056476098</v>
      </c>
      <c r="BD161" s="14">
        <f>IF(ISNUMBER(LININTERP(AW161,Permissible_Shear!$T$178:$T$188,Permissible_Shear!$V$178:$V$188)),LININTERP(AW161,Permissible_Shear!$T$178:$T$188,Permissible_Shear!$V$178:$V$188),0)</f>
        <v>4.3349804790614339</v>
      </c>
      <c r="BE161" s="14">
        <f>LININTERP(AW161,Permissible_Shear!$S$205:$S$222,Permissible_Shear!$V$205:$V$222)</f>
        <v>4.3994560561026725</v>
      </c>
      <c r="BF161" s="14">
        <f>INDEX($AZ$3:$BE$204,ROW(BF161)-2,MATCH(XS_Designer!$W$5,XS_Designer_Summary!$AZ$2:$BE$2,0))</f>
        <v>4.6984312307440028</v>
      </c>
      <c r="BG161" s="79">
        <f t="shared" si="29"/>
        <v>0</v>
      </c>
      <c r="BH161" s="79">
        <f t="shared" si="30"/>
        <v>2.4336738779033782</v>
      </c>
      <c r="BI161" s="79">
        <f t="shared" si="31"/>
        <v>0</v>
      </c>
      <c r="BJ161" s="79">
        <f t="shared" si="32"/>
        <v>0</v>
      </c>
      <c r="BK161" s="79">
        <f t="shared" si="33"/>
        <v>1.3078259379528552</v>
      </c>
      <c r="BL161" s="79">
        <f t="shared" si="34"/>
        <v>0</v>
      </c>
      <c r="BM161" s="124">
        <f t="shared" si="35"/>
        <v>0</v>
      </c>
      <c r="BN161" s="124">
        <f t="shared" si="36"/>
        <v>2.0958749005654731</v>
      </c>
      <c r="BO161" s="124">
        <f t="shared" si="37"/>
        <v>0</v>
      </c>
    </row>
    <row r="162" spans="30:67">
      <c r="AD162" s="3">
        <v>158</v>
      </c>
      <c r="AE162" s="3" t="str">
        <f t="shared" si="13"/>
        <v>Right</v>
      </c>
      <c r="AF162" s="3" t="str">
        <f t="shared" si="14"/>
        <v>ROB</v>
      </c>
      <c r="AG162" s="3" t="str">
        <f>IF(XS_Designer_Summary!$AB$24&gt;=XS_Designer_Summary!AD162,"Y","N")</f>
        <v>Y</v>
      </c>
      <c r="AH162" s="45">
        <v>1</v>
      </c>
      <c r="AI162" s="45">
        <f>IF(AG162="Y",$O$19/XS_Designer_Summary!$AB$24,0)</f>
        <v>0.27201249999999999</v>
      </c>
      <c r="AJ162" s="45">
        <f t="shared" si="15"/>
        <v>0.27201249999999999</v>
      </c>
      <c r="AK162" s="14">
        <f t="shared" si="38"/>
        <v>16.04873749999998</v>
      </c>
      <c r="AL162" s="14">
        <f>IF(AG162="Y",LININTERP(AK162,XS_Designer_Calculations!$AY$4:$AY$104,XS_Designer_Calculations!$AZ$4:$AZ$104),AL161)</f>
        <v>2.7247437499999902</v>
      </c>
      <c r="AM162" s="14">
        <f t="shared" si="16"/>
        <v>2.2752562500000098</v>
      </c>
      <c r="AN162" s="14">
        <f t="shared" si="17"/>
        <v>0.60040044066406517</v>
      </c>
      <c r="AO162" s="46">
        <f t="shared" si="18"/>
        <v>0.30411922036482952</v>
      </c>
      <c r="AP162" s="46">
        <f t="shared" si="19"/>
        <v>1.974227212419553</v>
      </c>
      <c r="AQ162" s="46">
        <f t="shared" si="20"/>
        <v>9.6170941658752507E-3</v>
      </c>
      <c r="AR162" s="14">
        <f>IFERROR(IF(AG162="Y",VLOOKUP(AK162,XS_Designer_Calculations!$R$5:$T$104,3,TRUE),0),0)</f>
        <v>0.1</v>
      </c>
      <c r="AS162" s="46">
        <f t="shared" si="21"/>
        <v>0.01</v>
      </c>
      <c r="AT162" s="14">
        <f t="shared" si="22"/>
        <v>14.040779991025268</v>
      </c>
      <c r="AU162" s="14">
        <f>AT162*XS_Designer_Calculations!$I$7^0.5</f>
        <v>1.404077999102527</v>
      </c>
      <c r="AV162" s="14">
        <f t="shared" si="23"/>
        <v>2.3385692348086295</v>
      </c>
      <c r="AW162" s="14">
        <f t="shared" si="24"/>
        <v>1.2319177805498012</v>
      </c>
      <c r="AX162" s="14">
        <f t="shared" si="25"/>
        <v>5</v>
      </c>
      <c r="AY162" s="46">
        <f t="shared" si="26"/>
        <v>2.20725312500001</v>
      </c>
      <c r="AZ162" s="14">
        <f>((AS162*AP162)/(1.65*XS_Designer!$S$99))*12</f>
        <v>6.9147553256709653</v>
      </c>
      <c r="BA162" s="14">
        <f>(AW162/((1.65*62.4)*XS_Designer!$AA$53))*12</f>
        <v>2.3930026817206707</v>
      </c>
      <c r="BB162" s="14">
        <f t="shared" si="27"/>
        <v>4.422620790800865</v>
      </c>
      <c r="BC162" s="14">
        <f t="shared" si="28"/>
        <v>7.7449979874309189</v>
      </c>
      <c r="BD162" s="14">
        <f>IF(ISNUMBER(LININTERP(AW162,Permissible_Shear!$T$178:$T$188,Permissible_Shear!$V$178:$V$188)),LININTERP(AW162,Permissible_Shear!$T$178:$T$188,Permissible_Shear!$V$178:$V$188),0)</f>
        <v>4.0978755428119005</v>
      </c>
      <c r="BE162" s="14">
        <f>LININTERP(AW162,Permissible_Shear!$S$205:$S$222,Permissible_Shear!$V$205:$V$222)</f>
        <v>4.1622430642181287</v>
      </c>
      <c r="BF162" s="14">
        <f>INDEX($AZ$3:$BE$204,ROW(BF162)-2,MATCH(XS_Designer!$W$5,XS_Designer_Summary!$AZ$2:$BE$2,0))</f>
        <v>4.422620790800865</v>
      </c>
      <c r="BG162" s="79">
        <f t="shared" si="29"/>
        <v>0</v>
      </c>
      <c r="BH162" s="79">
        <f t="shared" si="30"/>
        <v>2.3385692348086295</v>
      </c>
      <c r="BI162" s="79">
        <f t="shared" si="31"/>
        <v>0</v>
      </c>
      <c r="BJ162" s="79">
        <f t="shared" si="32"/>
        <v>0</v>
      </c>
      <c r="BK162" s="79">
        <f t="shared" si="33"/>
        <v>1.2319177805498012</v>
      </c>
      <c r="BL162" s="79">
        <f t="shared" si="34"/>
        <v>0</v>
      </c>
      <c r="BM162" s="124">
        <f t="shared" si="35"/>
        <v>0</v>
      </c>
      <c r="BN162" s="124">
        <f t="shared" si="36"/>
        <v>1.974227212419553</v>
      </c>
      <c r="BO162" s="124">
        <f t="shared" si="37"/>
        <v>0</v>
      </c>
    </row>
    <row r="163" spans="30:67">
      <c r="AD163" s="3">
        <v>159</v>
      </c>
      <c r="AE163" s="3" t="str">
        <f t="shared" si="13"/>
        <v>Right</v>
      </c>
      <c r="AF163" s="3" t="str">
        <f t="shared" si="14"/>
        <v>ROB</v>
      </c>
      <c r="AG163" s="3" t="str">
        <f>IF(XS_Designer_Summary!$AB$24&gt;=XS_Designer_Summary!AD163,"Y","N")</f>
        <v>Y</v>
      </c>
      <c r="AH163" s="45">
        <v>1</v>
      </c>
      <c r="AI163" s="45">
        <f>IF(AG163="Y",$O$19/XS_Designer_Summary!$AB$24,0)</f>
        <v>0.27201249999999999</v>
      </c>
      <c r="AJ163" s="45">
        <f t="shared" si="15"/>
        <v>0.27201249999999999</v>
      </c>
      <c r="AK163" s="14">
        <f t="shared" si="38"/>
        <v>16.320749999999979</v>
      </c>
      <c r="AL163" s="14">
        <f>IF(AG163="Y",LININTERP(AK163,XS_Designer_Calculations!$AY$4:$AY$104,XS_Designer_Calculations!$AZ$4:$AZ$104),AL162)</f>
        <v>2.8607499999999897</v>
      </c>
      <c r="AM163" s="14">
        <f t="shared" si="16"/>
        <v>2.1392500000000103</v>
      </c>
      <c r="AN163" s="14">
        <f t="shared" si="17"/>
        <v>0.56340504058594032</v>
      </c>
      <c r="AO163" s="46">
        <f t="shared" si="18"/>
        <v>0.30411922036482952</v>
      </c>
      <c r="AP163" s="46">
        <f t="shared" si="19"/>
        <v>1.8525795242736207</v>
      </c>
      <c r="AQ163" s="46">
        <f t="shared" si="20"/>
        <v>9.6170941658752507E-3</v>
      </c>
      <c r="AR163" s="14">
        <f>IFERROR(IF(AG163="Y",VLOOKUP(AK163,XS_Designer_Calculations!$R$5:$T$104,3,TRUE),0),0)</f>
        <v>0.1</v>
      </c>
      <c r="AS163" s="46">
        <f t="shared" si="21"/>
        <v>0.01</v>
      </c>
      <c r="AT163" s="14">
        <f t="shared" si="22"/>
        <v>12.628665032918342</v>
      </c>
      <c r="AU163" s="14">
        <f>AT163*XS_Designer_Calculations!$I$7^0.5</f>
        <v>1.2628665032918343</v>
      </c>
      <c r="AV163" s="14">
        <f t="shared" si="23"/>
        <v>2.2414895365125864</v>
      </c>
      <c r="AW163" s="14">
        <f t="shared" si="24"/>
        <v>1.1560096231467394</v>
      </c>
      <c r="AX163" s="14">
        <f t="shared" si="25"/>
        <v>5</v>
      </c>
      <c r="AY163" s="46">
        <f t="shared" si="26"/>
        <v>2.0712468750000106</v>
      </c>
      <c r="AZ163" s="14">
        <f>((AS163*AP163)/(1.65*XS_Designer!$S$99))*12</f>
        <v>6.4886827874286519</v>
      </c>
      <c r="BA163" s="14">
        <f>(AW163/((1.65*62.4)*XS_Designer!$AA$53))*12</f>
        <v>2.24555093851348</v>
      </c>
      <c r="BB163" s="14">
        <f t="shared" si="27"/>
        <v>4.1475023358168865</v>
      </c>
      <c r="BC163" s="14">
        <f t="shared" si="28"/>
        <v>7.4017237978659018</v>
      </c>
      <c r="BD163" s="14">
        <f>IF(ISNUMBER(LININTERP(AW163,Permissible_Shear!$T$178:$T$188,Permissible_Shear!$V$178:$V$188)),LININTERP(AW163,Permissible_Shear!$T$178:$T$188,Permissible_Shear!$V$178:$V$188),0)</f>
        <v>3.8607706065623413</v>
      </c>
      <c r="BE163" s="14">
        <f>LININTERP(AW163,Permissible_Shear!$S$205:$S$222,Permissible_Shear!$V$205:$V$222)</f>
        <v>3.9250300723335605</v>
      </c>
      <c r="BF163" s="14">
        <f>INDEX($AZ$3:$BE$204,ROW(BF163)-2,MATCH(XS_Designer!$W$5,XS_Designer_Summary!$AZ$2:$BE$2,0))</f>
        <v>4.1475023358168865</v>
      </c>
      <c r="BG163" s="79">
        <f t="shared" si="29"/>
        <v>0</v>
      </c>
      <c r="BH163" s="79">
        <f t="shared" si="30"/>
        <v>2.2414895365125864</v>
      </c>
      <c r="BI163" s="79">
        <f t="shared" si="31"/>
        <v>0</v>
      </c>
      <c r="BJ163" s="79">
        <f t="shared" si="32"/>
        <v>0</v>
      </c>
      <c r="BK163" s="79">
        <f t="shared" si="33"/>
        <v>1.1560096231467394</v>
      </c>
      <c r="BL163" s="79">
        <f t="shared" si="34"/>
        <v>0</v>
      </c>
      <c r="BM163" s="124">
        <f t="shared" si="35"/>
        <v>0</v>
      </c>
      <c r="BN163" s="124">
        <f t="shared" si="36"/>
        <v>1.8525795242736207</v>
      </c>
      <c r="BO163" s="124">
        <f t="shared" si="37"/>
        <v>0</v>
      </c>
    </row>
    <row r="164" spans="30:67">
      <c r="AD164" s="3">
        <v>160</v>
      </c>
      <c r="AE164" s="3" t="str">
        <f t="shared" si="13"/>
        <v>Right</v>
      </c>
      <c r="AF164" s="3" t="str">
        <f t="shared" si="14"/>
        <v>ROB</v>
      </c>
      <c r="AG164" s="3" t="str">
        <f>IF(XS_Designer_Summary!$AB$24&gt;=XS_Designer_Summary!AD164,"Y","N")</f>
        <v>Y</v>
      </c>
      <c r="AH164" s="45">
        <v>1</v>
      </c>
      <c r="AI164" s="45">
        <f>IF(AG164="Y",$O$19/XS_Designer_Summary!$AB$24,0)</f>
        <v>0.27201249999999999</v>
      </c>
      <c r="AJ164" s="45">
        <f t="shared" si="15"/>
        <v>0.27201249999999999</v>
      </c>
      <c r="AK164" s="14">
        <f t="shared" si="38"/>
        <v>16.592762499999978</v>
      </c>
      <c r="AL164" s="14">
        <f>IF(AG164="Y",LININTERP(AK164,XS_Designer_Calculations!$AY$4:$AY$104,XS_Designer_Calculations!$AZ$4:$AZ$104),AL163)</f>
        <v>2.9967562499999891</v>
      </c>
      <c r="AM164" s="14">
        <f t="shared" si="16"/>
        <v>2.0032437500000109</v>
      </c>
      <c r="AN164" s="14">
        <f t="shared" si="17"/>
        <v>0.54361334308281395</v>
      </c>
      <c r="AO164" s="46">
        <f t="shared" si="18"/>
        <v>0.27217884030415018</v>
      </c>
      <c r="AP164" s="46">
        <f t="shared" si="19"/>
        <v>1.9972652630724173</v>
      </c>
      <c r="AQ164" s="46">
        <f t="shared" si="20"/>
        <v>8.607050662643511E-3</v>
      </c>
      <c r="AR164" s="14">
        <f>IFERROR(IF(AG164="Y",VLOOKUP(AK164,XS_Designer_Calculations!$R$5:$T$104,3,TRUE),0),0)</f>
        <v>0.1</v>
      </c>
      <c r="AS164" s="46">
        <f t="shared" si="21"/>
        <v>0.01</v>
      </c>
      <c r="AT164" s="14">
        <f t="shared" si="22"/>
        <v>12.811483352513614</v>
      </c>
      <c r="AU164" s="14">
        <f>AT164*XS_Designer_Calculations!$I$7^0.5</f>
        <v>1.2811483352513615</v>
      </c>
      <c r="AV164" s="14">
        <f t="shared" si="23"/>
        <v>2.3567271693259224</v>
      </c>
      <c r="AW164" s="14">
        <f t="shared" si="24"/>
        <v>1.2462935241571882</v>
      </c>
      <c r="AX164" s="14">
        <f t="shared" si="25"/>
        <v>5</v>
      </c>
      <c r="AY164" s="46">
        <f t="shared" si="26"/>
        <v>1.9984866250000053</v>
      </c>
      <c r="AZ164" s="14">
        <f>((AS164*AP164)/(1.65*XS_Designer!$S$99))*12</f>
        <v>6.995446384148341</v>
      </c>
      <c r="BA164" s="14">
        <f>(AW164/((1.65*62.4)*XS_Designer!$AA$53))*12</f>
        <v>2.42092759160293</v>
      </c>
      <c r="BB164" s="14">
        <f t="shared" si="27"/>
        <v>3.8731180109509564</v>
      </c>
      <c r="BC164" s="14">
        <f t="shared" si="28"/>
        <v>7.0526238113503323</v>
      </c>
      <c r="BD164" s="14">
        <f>IF(ISNUMBER(LININTERP(AW164,Permissible_Shear!$T$178:$T$188,Permissible_Shear!$V$178:$V$188)),LININTERP(AW164,Permissible_Shear!$T$178:$T$188,Permissible_Shear!$V$178:$V$188),0)</f>
        <v>4.1427792776433296</v>
      </c>
      <c r="BE164" s="14">
        <f>LININTERP(AW164,Permissible_Shear!$S$205:$S$222,Permissible_Shear!$V$205:$V$222)</f>
        <v>4.2071672629912129</v>
      </c>
      <c r="BF164" s="14">
        <f>INDEX($AZ$3:$BE$204,ROW(BF164)-2,MATCH(XS_Designer!$W$5,XS_Designer_Summary!$AZ$2:$BE$2,0))</f>
        <v>3.8731180109509564</v>
      </c>
      <c r="BG164" s="79">
        <f t="shared" si="29"/>
        <v>0</v>
      </c>
      <c r="BH164" s="79">
        <f t="shared" si="30"/>
        <v>2.3567271693259224</v>
      </c>
      <c r="BI164" s="79">
        <f t="shared" si="31"/>
        <v>0</v>
      </c>
      <c r="BJ164" s="79">
        <f t="shared" si="32"/>
        <v>0</v>
      </c>
      <c r="BK164" s="79">
        <f t="shared" si="33"/>
        <v>1.2462935241571882</v>
      </c>
      <c r="BL164" s="79">
        <f t="shared" si="34"/>
        <v>0</v>
      </c>
      <c r="BM164" s="124">
        <f t="shared" si="35"/>
        <v>0</v>
      </c>
      <c r="BN164" s="124">
        <f t="shared" si="36"/>
        <v>1.9972652630724173</v>
      </c>
      <c r="BO164" s="124">
        <f t="shared" si="37"/>
        <v>0</v>
      </c>
    </row>
    <row r="165" spans="30:67">
      <c r="AD165" s="3">
        <v>161</v>
      </c>
      <c r="AE165" s="3" t="str">
        <f t="shared" si="13"/>
        <v>Right</v>
      </c>
      <c r="AF165" s="3" t="str">
        <f t="shared" si="14"/>
        <v>ROB</v>
      </c>
      <c r="AG165" s="3" t="str">
        <f>IF(XS_Designer_Summary!$AB$24&gt;=XS_Designer_Summary!AD165,"Y","N")</f>
        <v>Y</v>
      </c>
      <c r="AH165" s="45">
        <v>1</v>
      </c>
      <c r="AI165" s="45">
        <f>IF(AG165="Y",$O$19/XS_Designer_Summary!$AB$24,0)</f>
        <v>0.27201249999999999</v>
      </c>
      <c r="AJ165" s="45">
        <f t="shared" si="15"/>
        <v>0.27201249999999999</v>
      </c>
      <c r="AK165" s="14">
        <f t="shared" si="38"/>
        <v>16.864774999999977</v>
      </c>
      <c r="AL165" s="14">
        <f>IF(AG165="Y",LININTERP(AK165,XS_Designer_Calculations!$AY$4:$AY$104,XS_Designer_Calculations!$AZ$4:$AZ$104),AL164)</f>
        <v>3.0062704999999998</v>
      </c>
      <c r="AM165" s="14">
        <f t="shared" si="16"/>
        <v>1.9937295000000002</v>
      </c>
      <c r="AN165" s="14">
        <f t="shared" si="17"/>
        <v>0.54157943761718752</v>
      </c>
      <c r="AO165" s="46">
        <f t="shared" si="18"/>
        <v>0.27206689706083664</v>
      </c>
      <c r="AP165" s="46">
        <f t="shared" si="19"/>
        <v>1.9906112925457646</v>
      </c>
      <c r="AQ165" s="46">
        <f t="shared" si="20"/>
        <v>8.6035107064681392E-3</v>
      </c>
      <c r="AR165" s="14">
        <f>IFERROR(IF(AG165="Y",VLOOKUP(AK165,XS_Designer_Calculations!$R$5:$T$104,3,TRUE),0),0)</f>
        <v>0.1</v>
      </c>
      <c r="AS165" s="46">
        <f t="shared" si="21"/>
        <v>0.01</v>
      </c>
      <c r="AT165" s="14">
        <f t="shared" si="22"/>
        <v>12.735185795557861</v>
      </c>
      <c r="AU165" s="14">
        <f>AT165*XS_Designer_Calculations!$I$7^0.5</f>
        <v>1.2735185795557862</v>
      </c>
      <c r="AV165" s="14">
        <f t="shared" si="23"/>
        <v>2.3514899036029613</v>
      </c>
      <c r="AW165" s="14">
        <f t="shared" si="24"/>
        <v>1.2421414465485572</v>
      </c>
      <c r="AX165" s="14">
        <f t="shared" si="25"/>
        <v>5</v>
      </c>
      <c r="AY165" s="46">
        <f t="shared" si="26"/>
        <v>1.9910093750000002</v>
      </c>
      <c r="AZ165" s="14">
        <f>((AS165*AP165)/(1.65*XS_Designer!$S$99))*12</f>
        <v>6.9721407697557414</v>
      </c>
      <c r="BA165" s="14">
        <f>(AW165/((1.65*62.4)*XS_Designer!$AA$53))*12</f>
        <v>2.4128621727827455</v>
      </c>
      <c r="BB165" s="14">
        <f t="shared" si="27"/>
        <v>3.8539522605642129</v>
      </c>
      <c r="BC165" s="14">
        <f t="shared" si="28"/>
        <v>7.0279720811836022</v>
      </c>
      <c r="BD165" s="14">
        <f>IF(ISNUMBER(LININTERP(AW165,Permissible_Shear!$T$178:$T$188,Permissible_Shear!$V$178:$V$188)),LININTERP(AW165,Permissible_Shear!$T$178:$T$188,Permissible_Shear!$V$178:$V$188),0)</f>
        <v>4.1298099456192334</v>
      </c>
      <c r="BE165" s="14">
        <f>LININTERP(AW165,Permissible_Shear!$S$205:$S$222,Permissible_Shear!$V$205:$V$222)</f>
        <v>4.1941920204642411</v>
      </c>
      <c r="BF165" s="14">
        <f>INDEX($AZ$3:$BE$204,ROW(BF165)-2,MATCH(XS_Designer!$W$5,XS_Designer_Summary!$AZ$2:$BE$2,0))</f>
        <v>3.8539522605642129</v>
      </c>
      <c r="BG165" s="79">
        <f t="shared" si="29"/>
        <v>0</v>
      </c>
      <c r="BH165" s="79">
        <f t="shared" si="30"/>
        <v>2.3514899036029613</v>
      </c>
      <c r="BI165" s="79">
        <f t="shared" si="31"/>
        <v>0</v>
      </c>
      <c r="BJ165" s="79">
        <f t="shared" si="32"/>
        <v>0</v>
      </c>
      <c r="BK165" s="79">
        <f t="shared" si="33"/>
        <v>1.2421414465485572</v>
      </c>
      <c r="BL165" s="79">
        <f t="shared" si="34"/>
        <v>0</v>
      </c>
      <c r="BM165" s="124">
        <f t="shared" si="35"/>
        <v>0</v>
      </c>
      <c r="BN165" s="124">
        <f t="shared" si="36"/>
        <v>1.9906112925457646</v>
      </c>
      <c r="BO165" s="124">
        <f t="shared" si="37"/>
        <v>0</v>
      </c>
    </row>
    <row r="166" spans="30:67">
      <c r="AD166" s="3">
        <v>162</v>
      </c>
      <c r="AE166" s="3" t="str">
        <f t="shared" si="13"/>
        <v>Right</v>
      </c>
      <c r="AF166" s="3" t="str">
        <f t="shared" si="14"/>
        <v>ROB</v>
      </c>
      <c r="AG166" s="3" t="str">
        <f>IF(XS_Designer_Summary!$AB$24&gt;=XS_Designer_Summary!AD166,"Y","N")</f>
        <v>Y</v>
      </c>
      <c r="AH166" s="45">
        <v>1</v>
      </c>
      <c r="AI166" s="45">
        <f>IF(AG166="Y",$O$19/XS_Designer_Summary!$AB$24,0)</f>
        <v>0.27201249999999999</v>
      </c>
      <c r="AJ166" s="45">
        <f t="shared" si="15"/>
        <v>0.27201249999999999</v>
      </c>
      <c r="AK166" s="14">
        <f t="shared" si="38"/>
        <v>17.136787499999976</v>
      </c>
      <c r="AL166" s="14">
        <f>IF(AG166="Y",LININTERP(AK166,XS_Designer_Calculations!$AY$4:$AY$104,XS_Designer_Calculations!$AZ$4:$AZ$104),AL165)</f>
        <v>3.0117107499999998</v>
      </c>
      <c r="AM166" s="14">
        <f t="shared" si="16"/>
        <v>1.9882892500000002</v>
      </c>
      <c r="AN166" s="14">
        <f t="shared" si="17"/>
        <v>0.54009962161406255</v>
      </c>
      <c r="AO166" s="46">
        <f t="shared" si="18"/>
        <v>0.27206689706083664</v>
      </c>
      <c r="AP166" s="46">
        <f t="shared" si="19"/>
        <v>1.9851721302694585</v>
      </c>
      <c r="AQ166" s="46">
        <f t="shared" si="20"/>
        <v>8.6035107064681392E-3</v>
      </c>
      <c r="AR166" s="14">
        <f>IFERROR(IF(AG166="Y",VLOOKUP(AK166,XS_Designer_Calculations!$R$5:$T$104,3,TRUE),0),0)</f>
        <v>0.1</v>
      </c>
      <c r="AS166" s="46">
        <f t="shared" si="21"/>
        <v>0.01</v>
      </c>
      <c r="AT166" s="14">
        <f t="shared" si="22"/>
        <v>12.677242428200737</v>
      </c>
      <c r="AU166" s="14">
        <f>AT166*XS_Designer_Calculations!$I$7^0.5</f>
        <v>1.2677242428200737</v>
      </c>
      <c r="AV166" s="14">
        <f t="shared" si="23"/>
        <v>2.3472044639311891</v>
      </c>
      <c r="AW166" s="14">
        <f t="shared" si="24"/>
        <v>1.2387474092881421</v>
      </c>
      <c r="AX166" s="14">
        <f t="shared" si="25"/>
        <v>5</v>
      </c>
      <c r="AY166" s="46">
        <f t="shared" si="26"/>
        <v>1.9855691250000003</v>
      </c>
      <c r="AZ166" s="14">
        <f>((AS166*AP166)/(1.65*XS_Designer!$S$99))*12</f>
        <v>6.9530900363443697</v>
      </c>
      <c r="BA166" s="14">
        <f>(AW166/((1.65*62.4)*XS_Designer!$AA$53))*12</f>
        <v>2.4062692488114652</v>
      </c>
      <c r="BB166" s="14">
        <f t="shared" si="27"/>
        <v>3.8429950056878099</v>
      </c>
      <c r="BC166" s="14">
        <f t="shared" si="28"/>
        <v>7.013862237497368</v>
      </c>
      <c r="BD166" s="14">
        <f>IF(ISNUMBER(LININTERP(AW166,Permissible_Shear!$T$178:$T$188,Permissible_Shear!$V$178:$V$188)),LININTERP(AW166,Permissible_Shear!$T$178:$T$188,Permissible_Shear!$V$178:$V$188),0)</f>
        <v>4.1192084106091515</v>
      </c>
      <c r="BE166" s="14">
        <f>LININTERP(AW166,Permissible_Shear!$S$205:$S$222,Permissible_Shear!$V$205:$V$222)</f>
        <v>4.1835856540254435</v>
      </c>
      <c r="BF166" s="14">
        <f>INDEX($AZ$3:$BE$204,ROW(BF166)-2,MATCH(XS_Designer!$W$5,XS_Designer_Summary!$AZ$2:$BE$2,0))</f>
        <v>3.8429950056878099</v>
      </c>
      <c r="BG166" s="79">
        <f t="shared" si="29"/>
        <v>0</v>
      </c>
      <c r="BH166" s="79">
        <f t="shared" si="30"/>
        <v>2.3472044639311891</v>
      </c>
      <c r="BI166" s="79">
        <f t="shared" si="31"/>
        <v>0</v>
      </c>
      <c r="BJ166" s="79">
        <f t="shared" si="32"/>
        <v>0</v>
      </c>
      <c r="BK166" s="79">
        <f t="shared" si="33"/>
        <v>1.2387474092881421</v>
      </c>
      <c r="BL166" s="79">
        <f t="shared" si="34"/>
        <v>0</v>
      </c>
      <c r="BM166" s="124">
        <f t="shared" si="35"/>
        <v>0</v>
      </c>
      <c r="BN166" s="124">
        <f t="shared" si="36"/>
        <v>1.9851721302694585</v>
      </c>
      <c r="BO166" s="124">
        <f t="shared" si="37"/>
        <v>0</v>
      </c>
    </row>
    <row r="167" spans="30:67">
      <c r="AD167" s="3">
        <v>163</v>
      </c>
      <c r="AE167" s="3" t="str">
        <f t="shared" si="13"/>
        <v>Right</v>
      </c>
      <c r="AF167" s="3" t="str">
        <f t="shared" si="14"/>
        <v>ROB</v>
      </c>
      <c r="AG167" s="3" t="str">
        <f>IF(XS_Designer_Summary!$AB$24&gt;=XS_Designer_Summary!AD167,"Y","N")</f>
        <v>Y</v>
      </c>
      <c r="AH167" s="45">
        <v>1</v>
      </c>
      <c r="AI167" s="45">
        <f>IF(AG167="Y",$O$19/XS_Designer_Summary!$AB$24,0)</f>
        <v>0.27201249999999999</v>
      </c>
      <c r="AJ167" s="45">
        <f t="shared" si="15"/>
        <v>0.27201249999999999</v>
      </c>
      <c r="AK167" s="14">
        <f t="shared" si="38"/>
        <v>17.408799999999975</v>
      </c>
      <c r="AL167" s="14">
        <f>IF(AG167="Y",LININTERP(AK167,XS_Designer_Calculations!$AY$4:$AY$104,XS_Designer_Calculations!$AZ$4:$AZ$104),AL166)</f>
        <v>3.0171509999999997</v>
      </c>
      <c r="AM167" s="14">
        <f t="shared" si="16"/>
        <v>1.9828490000000003</v>
      </c>
      <c r="AN167" s="14">
        <f t="shared" si="17"/>
        <v>0.53861980561093759</v>
      </c>
      <c r="AO167" s="46">
        <f t="shared" si="18"/>
        <v>0.27206689706083664</v>
      </c>
      <c r="AP167" s="46">
        <f t="shared" si="19"/>
        <v>1.9797329679931523</v>
      </c>
      <c r="AQ167" s="46">
        <f t="shared" si="20"/>
        <v>8.6035107064681392E-3</v>
      </c>
      <c r="AR167" s="14">
        <f>IFERROR(IF(AG167="Y",VLOOKUP(AK167,XS_Designer_Calculations!$R$5:$T$104,3,TRUE),0),0)</f>
        <v>0.1</v>
      </c>
      <c r="AS167" s="46">
        <f t="shared" si="21"/>
        <v>0.01</v>
      </c>
      <c r="AT167" s="14">
        <f t="shared" si="22"/>
        <v>12.619404803471681</v>
      </c>
      <c r="AU167" s="14">
        <f>AT167*XS_Designer_Calculations!$I$7^0.5</f>
        <v>1.2619404803471683</v>
      </c>
      <c r="AV167" s="14">
        <f t="shared" si="23"/>
        <v>2.342915108581634</v>
      </c>
      <c r="AW167" s="14">
        <f t="shared" si="24"/>
        <v>1.2353533720277272</v>
      </c>
      <c r="AX167" s="14">
        <f t="shared" si="25"/>
        <v>5</v>
      </c>
      <c r="AY167" s="46">
        <f t="shared" si="26"/>
        <v>1.9801288750000003</v>
      </c>
      <c r="AZ167" s="14">
        <f>((AS167*AP167)/(1.65*XS_Designer!$S$99))*12</f>
        <v>6.9340393029329999</v>
      </c>
      <c r="BA167" s="14">
        <f>(AW167/((1.65*62.4)*XS_Designer!$AA$53))*12</f>
        <v>2.3996763248401853</v>
      </c>
      <c r="BB167" s="14">
        <f t="shared" si="27"/>
        <v>3.8320390099279318</v>
      </c>
      <c r="BC167" s="14">
        <f t="shared" si="28"/>
        <v>6.9997421786564571</v>
      </c>
      <c r="BD167" s="14">
        <f>IF(ISNUMBER(LININTERP(AW167,Permissible_Shear!$T$178:$T$188,Permissible_Shear!$V$178:$V$188)),LININTERP(AW167,Permissible_Shear!$T$178:$T$188,Permissible_Shear!$V$178:$V$188),0)</f>
        <v>4.1086068755990706</v>
      </c>
      <c r="BE167" s="14">
        <f>LININTERP(AW167,Permissible_Shear!$S$205:$S$222,Permissible_Shear!$V$205:$V$222)</f>
        <v>4.1729792875866476</v>
      </c>
      <c r="BF167" s="14">
        <f>INDEX($AZ$3:$BE$204,ROW(BF167)-2,MATCH(XS_Designer!$W$5,XS_Designer_Summary!$AZ$2:$BE$2,0))</f>
        <v>3.8320390099279318</v>
      </c>
      <c r="BG167" s="79">
        <f t="shared" si="29"/>
        <v>0</v>
      </c>
      <c r="BH167" s="79">
        <f t="shared" si="30"/>
        <v>2.342915108581634</v>
      </c>
      <c r="BI167" s="79">
        <f t="shared" si="31"/>
        <v>0</v>
      </c>
      <c r="BJ167" s="79">
        <f t="shared" si="32"/>
        <v>0</v>
      </c>
      <c r="BK167" s="79">
        <f t="shared" si="33"/>
        <v>1.2353533720277272</v>
      </c>
      <c r="BL167" s="79">
        <f t="shared" si="34"/>
        <v>0</v>
      </c>
      <c r="BM167" s="124">
        <f t="shared" si="35"/>
        <v>0</v>
      </c>
      <c r="BN167" s="124">
        <f t="shared" si="36"/>
        <v>1.9797329679931523</v>
      </c>
      <c r="BO167" s="124">
        <f t="shared" si="37"/>
        <v>0</v>
      </c>
    </row>
    <row r="168" spans="30:67">
      <c r="AD168" s="3">
        <v>164</v>
      </c>
      <c r="AE168" s="3" t="str">
        <f t="shared" si="13"/>
        <v>Right</v>
      </c>
      <c r="AF168" s="3" t="str">
        <f t="shared" si="14"/>
        <v>ROB</v>
      </c>
      <c r="AG168" s="3" t="str">
        <f>IF(XS_Designer_Summary!$AB$24&gt;=XS_Designer_Summary!AD168,"Y","N")</f>
        <v>Y</v>
      </c>
      <c r="AH168" s="45">
        <v>1</v>
      </c>
      <c r="AI168" s="45">
        <f>IF(AG168="Y",$O$19/XS_Designer_Summary!$AB$24,0)</f>
        <v>0.27201249999999999</v>
      </c>
      <c r="AJ168" s="45">
        <f t="shared" si="15"/>
        <v>0.27201249999999999</v>
      </c>
      <c r="AK168" s="14">
        <f t="shared" si="38"/>
        <v>17.680812499999973</v>
      </c>
      <c r="AL168" s="14">
        <f>IF(AG168="Y",LININTERP(AK168,XS_Designer_Calculations!$AY$4:$AY$104,XS_Designer_Calculations!$AZ$4:$AZ$104),AL167)</f>
        <v>3.0225912499999996</v>
      </c>
      <c r="AM168" s="14">
        <f t="shared" si="16"/>
        <v>1.9774087500000004</v>
      </c>
      <c r="AN168" s="14">
        <f t="shared" si="17"/>
        <v>0.53713998960781251</v>
      </c>
      <c r="AO168" s="46">
        <f t="shared" si="18"/>
        <v>0.27206689706083664</v>
      </c>
      <c r="AP168" s="46">
        <f t="shared" si="19"/>
        <v>1.9742938057168458</v>
      </c>
      <c r="AQ168" s="46">
        <f t="shared" si="20"/>
        <v>8.6035107064681392E-3</v>
      </c>
      <c r="AR168" s="14">
        <f>IFERROR(IF(AG168="Y",VLOOKUP(AK168,XS_Designer_Calculations!$R$5:$T$104,3,TRUE),0),0)</f>
        <v>0.1</v>
      </c>
      <c r="AS168" s="46">
        <f t="shared" si="21"/>
        <v>0.01</v>
      </c>
      <c r="AT168" s="14">
        <f t="shared" si="22"/>
        <v>12.56167301812218</v>
      </c>
      <c r="AU168" s="14">
        <f>AT168*XS_Designer_Calculations!$I$7^0.5</f>
        <v>1.2561673018122181</v>
      </c>
      <c r="AV168" s="14">
        <f t="shared" si="23"/>
        <v>2.3386218232036611</v>
      </c>
      <c r="AW168" s="14">
        <f t="shared" si="24"/>
        <v>1.2319593347673117</v>
      </c>
      <c r="AX168" s="14">
        <f t="shared" si="25"/>
        <v>5</v>
      </c>
      <c r="AY168" s="46">
        <f t="shared" si="26"/>
        <v>1.9746886250000002</v>
      </c>
      <c r="AZ168" s="14">
        <f>((AS168*AP168)/(1.65*XS_Designer!$S$99))*12</f>
        <v>6.91498856952163</v>
      </c>
      <c r="BA168" s="14">
        <f>(AW168/((1.65*62.4)*XS_Designer!$AA$53))*12</f>
        <v>2.3930834008689041</v>
      </c>
      <c r="BB168" s="14">
        <f t="shared" si="27"/>
        <v>3.8210842765938842</v>
      </c>
      <c r="BC168" s="14">
        <f t="shared" si="28"/>
        <v>6.9856118692079772</v>
      </c>
      <c r="BD168" s="14">
        <f>IF(ISNUMBER(LININTERP(AW168,Permissible_Shear!$T$178:$T$188,Permissible_Shear!$V$178:$V$188)),LININTERP(AW168,Permissible_Shear!$T$178:$T$188,Permissible_Shear!$V$178:$V$188),0)</f>
        <v>4.0980053405889878</v>
      </c>
      <c r="BE168" s="14">
        <f>LININTERP(AW168,Permissible_Shear!$S$205:$S$222,Permissible_Shear!$V$205:$V$222)</f>
        <v>4.1623729211478491</v>
      </c>
      <c r="BF168" s="14">
        <f>INDEX($AZ$3:$BE$204,ROW(BF168)-2,MATCH(XS_Designer!$W$5,XS_Designer_Summary!$AZ$2:$BE$2,0))</f>
        <v>3.8210842765938842</v>
      </c>
      <c r="BG168" s="79">
        <f t="shared" si="29"/>
        <v>0</v>
      </c>
      <c r="BH168" s="79">
        <f t="shared" si="30"/>
        <v>2.3386218232036611</v>
      </c>
      <c r="BI168" s="79">
        <f t="shared" si="31"/>
        <v>0</v>
      </c>
      <c r="BJ168" s="79">
        <f t="shared" si="32"/>
        <v>0</v>
      </c>
      <c r="BK168" s="79">
        <f t="shared" si="33"/>
        <v>1.2319593347673117</v>
      </c>
      <c r="BL168" s="79">
        <f t="shared" si="34"/>
        <v>0</v>
      </c>
      <c r="BM168" s="124">
        <f t="shared" si="35"/>
        <v>0</v>
      </c>
      <c r="BN168" s="124">
        <f t="shared" si="36"/>
        <v>1.9742938057168458</v>
      </c>
      <c r="BO168" s="124">
        <f t="shared" si="37"/>
        <v>0</v>
      </c>
    </row>
    <row r="169" spans="30:67">
      <c r="AD169" s="3">
        <v>165</v>
      </c>
      <c r="AE169" s="3" t="str">
        <f t="shared" si="13"/>
        <v>Right</v>
      </c>
      <c r="AF169" s="3" t="str">
        <f t="shared" si="14"/>
        <v>ROB</v>
      </c>
      <c r="AG169" s="3" t="str">
        <f>IF(XS_Designer_Summary!$AB$24&gt;=XS_Designer_Summary!AD169,"Y","N")</f>
        <v>Y</v>
      </c>
      <c r="AH169" s="45">
        <v>1</v>
      </c>
      <c r="AI169" s="45">
        <f>IF(AG169="Y",$O$19/XS_Designer_Summary!$AB$24,0)</f>
        <v>0.27201249999999999</v>
      </c>
      <c r="AJ169" s="45">
        <f t="shared" si="15"/>
        <v>0.27201249999999999</v>
      </c>
      <c r="AK169" s="14">
        <f t="shared" si="38"/>
        <v>17.952824999999972</v>
      </c>
      <c r="AL169" s="14">
        <f>IF(AG169="Y",LININTERP(AK169,XS_Designer_Calculations!$AY$4:$AY$104,XS_Designer_Calculations!$AZ$4:$AZ$104),AL168)</f>
        <v>3.0280315</v>
      </c>
      <c r="AM169" s="14">
        <f t="shared" si="16"/>
        <v>1.9719685</v>
      </c>
      <c r="AN169" s="14">
        <f t="shared" si="17"/>
        <v>0.53566017360468754</v>
      </c>
      <c r="AO169" s="46">
        <f t="shared" si="18"/>
        <v>0.27206689706083664</v>
      </c>
      <c r="AP169" s="46">
        <f t="shared" si="19"/>
        <v>1.9688546434405396</v>
      </c>
      <c r="AQ169" s="46">
        <f t="shared" si="20"/>
        <v>8.6035107064681392E-3</v>
      </c>
      <c r="AR169" s="14">
        <f>IFERROR(IF(AG169="Y",VLOOKUP(AK169,XS_Designer_Calculations!$R$5:$T$104,3,TRUE),0),0)</f>
        <v>0.1</v>
      </c>
      <c r="AS169" s="46">
        <f t="shared" si="21"/>
        <v>0.01</v>
      </c>
      <c r="AT169" s="14">
        <f t="shared" si="22"/>
        <v>12.504047169258804</v>
      </c>
      <c r="AU169" s="14">
        <f>AT169*XS_Designer_Calculations!$I$7^0.5</f>
        <v>1.2504047169258805</v>
      </c>
      <c r="AV169" s="14">
        <f t="shared" si="23"/>
        <v>2.3343245933543457</v>
      </c>
      <c r="AW169" s="14">
        <f t="shared" si="24"/>
        <v>1.2285652975068968</v>
      </c>
      <c r="AX169" s="14">
        <f t="shared" si="25"/>
        <v>5</v>
      </c>
      <c r="AY169" s="46">
        <f t="shared" si="26"/>
        <v>1.9692483750000003</v>
      </c>
      <c r="AZ169" s="14">
        <f>((AS169*AP169)/(1.65*XS_Designer!$S$99))*12</f>
        <v>6.8959378361102601</v>
      </c>
      <c r="BA169" s="14">
        <f>(AW169/((1.65*62.4)*XS_Designer!$AA$53))*12</f>
        <v>2.3864904768976243</v>
      </c>
      <c r="BB169" s="14">
        <f t="shared" si="27"/>
        <v>3.8101308090127959</v>
      </c>
      <c r="BC169" s="14">
        <f t="shared" si="28"/>
        <v>6.9714712734780733</v>
      </c>
      <c r="BD169" s="14">
        <f>IF(ISNUMBER(LININTERP(AW169,Permissible_Shear!$T$178:$T$188,Permissible_Shear!$V$178:$V$188)),LININTERP(AW169,Permissible_Shear!$T$178:$T$188,Permissible_Shear!$V$178:$V$188),0)</f>
        <v>4.0874038055789068</v>
      </c>
      <c r="BE169" s="14">
        <f>LININTERP(AW169,Permissible_Shear!$S$205:$S$222,Permissible_Shear!$V$205:$V$222)</f>
        <v>4.1517665547090523</v>
      </c>
      <c r="BF169" s="14">
        <f>INDEX($AZ$3:$BE$204,ROW(BF169)-2,MATCH(XS_Designer!$W$5,XS_Designer_Summary!$AZ$2:$BE$2,0))</f>
        <v>3.8101308090127959</v>
      </c>
      <c r="BG169" s="79">
        <f t="shared" si="29"/>
        <v>0</v>
      </c>
      <c r="BH169" s="79">
        <f t="shared" si="30"/>
        <v>2.3343245933543457</v>
      </c>
      <c r="BI169" s="79">
        <f t="shared" si="31"/>
        <v>0</v>
      </c>
      <c r="BJ169" s="79">
        <f t="shared" si="32"/>
        <v>0</v>
      </c>
      <c r="BK169" s="79">
        <f t="shared" si="33"/>
        <v>1.2285652975068968</v>
      </c>
      <c r="BL169" s="79">
        <f t="shared" si="34"/>
        <v>0</v>
      </c>
      <c r="BM169" s="124">
        <f t="shared" si="35"/>
        <v>0</v>
      </c>
      <c r="BN169" s="124">
        <f t="shared" si="36"/>
        <v>1.9688546434405396</v>
      </c>
      <c r="BO169" s="124">
        <f t="shared" si="37"/>
        <v>0</v>
      </c>
    </row>
    <row r="170" spans="30:67">
      <c r="AD170" s="3">
        <v>166</v>
      </c>
      <c r="AE170" s="3" t="str">
        <f t="shared" si="13"/>
        <v>Right</v>
      </c>
      <c r="AF170" s="3" t="str">
        <f t="shared" si="14"/>
        <v>ROB</v>
      </c>
      <c r="AG170" s="3" t="str">
        <f>IF(XS_Designer_Summary!$AB$24&gt;=XS_Designer_Summary!AD170,"Y","N")</f>
        <v>Y</v>
      </c>
      <c r="AH170" s="45">
        <v>1</v>
      </c>
      <c r="AI170" s="45">
        <f>IF(AG170="Y",$O$19/XS_Designer_Summary!$AB$24,0)</f>
        <v>0.27201249999999999</v>
      </c>
      <c r="AJ170" s="45">
        <f t="shared" si="15"/>
        <v>0.27201249999999999</v>
      </c>
      <c r="AK170" s="14">
        <f t="shared" si="38"/>
        <v>18.224837499999971</v>
      </c>
      <c r="AL170" s="14">
        <f>IF(AG170="Y",LININTERP(AK170,XS_Designer_Calculations!$AY$4:$AY$104,XS_Designer_Calculations!$AZ$4:$AZ$104),AL169)</f>
        <v>3.0334717499999999</v>
      </c>
      <c r="AM170" s="14">
        <f t="shared" si="16"/>
        <v>1.9665282500000001</v>
      </c>
      <c r="AN170" s="14">
        <f t="shared" si="17"/>
        <v>0.53418035760156246</v>
      </c>
      <c r="AO170" s="46">
        <f t="shared" si="18"/>
        <v>0.27206689706083664</v>
      </c>
      <c r="AP170" s="46">
        <f t="shared" si="19"/>
        <v>1.963415481164233</v>
      </c>
      <c r="AQ170" s="46">
        <f t="shared" si="20"/>
        <v>8.6035107064681392E-3</v>
      </c>
      <c r="AR170" s="14">
        <f>IFERROR(IF(AG170="Y",VLOOKUP(AK170,XS_Designer_Calculations!$R$5:$T$104,3,TRUE),0),0)</f>
        <v>0.1</v>
      </c>
      <c r="AS170" s="46">
        <f t="shared" si="21"/>
        <v>0.01</v>
      </c>
      <c r="AT170" s="14">
        <f t="shared" si="22"/>
        <v>12.446527354345477</v>
      </c>
      <c r="AU170" s="14">
        <f>AT170*XS_Designer_Calculations!$I$7^0.5</f>
        <v>1.2446527354345478</v>
      </c>
      <c r="AV170" s="14">
        <f t="shared" si="23"/>
        <v>2.3300234044976182</v>
      </c>
      <c r="AW170" s="14">
        <f t="shared" si="24"/>
        <v>1.2251712602464815</v>
      </c>
      <c r="AX170" s="14">
        <f t="shared" si="25"/>
        <v>5</v>
      </c>
      <c r="AY170" s="46">
        <f t="shared" si="26"/>
        <v>1.9638081249999999</v>
      </c>
      <c r="AZ170" s="14">
        <f>((AS170*AP170)/(1.65*XS_Designer!$S$99))*12</f>
        <v>6.8768871026988876</v>
      </c>
      <c r="BA170" s="14">
        <f>(AW170/((1.65*62.4)*XS_Designer!$AA$53))*12</f>
        <v>2.3798975529263435</v>
      </c>
      <c r="BB170" s="14">
        <f t="shared" si="27"/>
        <v>3.7991786105297702</v>
      </c>
      <c r="BC170" s="14">
        <f t="shared" si="28"/>
        <v>6.9573203555699576</v>
      </c>
      <c r="BD170" s="14">
        <f>IF(ISNUMBER(LININTERP(AW170,Permissible_Shear!$T$178:$T$188,Permissible_Shear!$V$178:$V$188)),LININTERP(AW170,Permissible_Shear!$T$178:$T$188,Permissible_Shear!$V$178:$V$188),0)</f>
        <v>4.076802270568824</v>
      </c>
      <c r="BE170" s="14">
        <f>LININTERP(AW170,Permissible_Shear!$S$205:$S$222,Permissible_Shear!$V$205:$V$222)</f>
        <v>4.1411601882702547</v>
      </c>
      <c r="BF170" s="14">
        <f>INDEX($AZ$3:$BE$204,ROW(BF170)-2,MATCH(XS_Designer!$W$5,XS_Designer_Summary!$AZ$2:$BE$2,0))</f>
        <v>3.7991786105297702</v>
      </c>
      <c r="BG170" s="79">
        <f t="shared" si="29"/>
        <v>0</v>
      </c>
      <c r="BH170" s="79">
        <f t="shared" si="30"/>
        <v>2.3300234044976182</v>
      </c>
      <c r="BI170" s="79">
        <f t="shared" si="31"/>
        <v>0</v>
      </c>
      <c r="BJ170" s="79">
        <f t="shared" si="32"/>
        <v>0</v>
      </c>
      <c r="BK170" s="79">
        <f t="shared" si="33"/>
        <v>1.2251712602464815</v>
      </c>
      <c r="BL170" s="79">
        <f t="shared" si="34"/>
        <v>0</v>
      </c>
      <c r="BM170" s="124">
        <f t="shared" si="35"/>
        <v>0</v>
      </c>
      <c r="BN170" s="124">
        <f t="shared" si="36"/>
        <v>1.963415481164233</v>
      </c>
      <c r="BO170" s="124">
        <f t="shared" si="37"/>
        <v>0</v>
      </c>
    </row>
    <row r="171" spans="30:67">
      <c r="AD171" s="3">
        <v>167</v>
      </c>
      <c r="AE171" s="3" t="str">
        <f t="shared" si="13"/>
        <v>Right</v>
      </c>
      <c r="AF171" s="3" t="str">
        <f t="shared" si="14"/>
        <v>ROB</v>
      </c>
      <c r="AG171" s="3" t="str">
        <f>IF(XS_Designer_Summary!$AB$24&gt;=XS_Designer_Summary!AD171,"Y","N")</f>
        <v>Y</v>
      </c>
      <c r="AH171" s="45">
        <v>1</v>
      </c>
      <c r="AI171" s="45">
        <f>IF(AG171="Y",$O$19/XS_Designer_Summary!$AB$24,0)</f>
        <v>0.27201249999999999</v>
      </c>
      <c r="AJ171" s="45">
        <f t="shared" si="15"/>
        <v>0.27201249999999999</v>
      </c>
      <c r="AK171" s="14">
        <f t="shared" si="38"/>
        <v>18.49684999999997</v>
      </c>
      <c r="AL171" s="14">
        <f>IF(AG171="Y",LININTERP(AK171,XS_Designer_Calculations!$AY$4:$AY$104,XS_Designer_Calculations!$AZ$4:$AZ$104),AL170)</f>
        <v>3.0389119999999998</v>
      </c>
      <c r="AM171" s="14">
        <f t="shared" si="16"/>
        <v>1.9610880000000002</v>
      </c>
      <c r="AN171" s="14">
        <f t="shared" si="17"/>
        <v>0.53270054159843749</v>
      </c>
      <c r="AO171" s="46">
        <f t="shared" si="18"/>
        <v>0.27206689706083664</v>
      </c>
      <c r="AP171" s="46">
        <f t="shared" si="19"/>
        <v>1.9579763188879269</v>
      </c>
      <c r="AQ171" s="46">
        <f t="shared" si="20"/>
        <v>8.6035107064681392E-3</v>
      </c>
      <c r="AR171" s="14">
        <f>IFERROR(IF(AG171="Y",VLOOKUP(AK171,XS_Designer_Calculations!$R$5:$T$104,3,TRUE),0),0)</f>
        <v>0.1</v>
      </c>
      <c r="AS171" s="46">
        <f t="shared" si="21"/>
        <v>0.01</v>
      </c>
      <c r="AT171" s="14">
        <f t="shared" si="22"/>
        <v>12.389113671205799</v>
      </c>
      <c r="AU171" s="14">
        <f>AT171*XS_Designer_Calculations!$I$7^0.5</f>
        <v>1.23891136712058</v>
      </c>
      <c r="AV171" s="14">
        <f t="shared" si="23"/>
        <v>2.3257182420034055</v>
      </c>
      <c r="AW171" s="14">
        <f t="shared" si="24"/>
        <v>1.2217772229860664</v>
      </c>
      <c r="AX171" s="14">
        <f t="shared" si="25"/>
        <v>5</v>
      </c>
      <c r="AY171" s="46">
        <f t="shared" si="26"/>
        <v>1.958367875</v>
      </c>
      <c r="AZ171" s="14">
        <f>((AS171*AP171)/(1.65*XS_Designer!$S$99))*12</f>
        <v>6.8578363692875186</v>
      </c>
      <c r="BA171" s="14">
        <f>(AW171/((1.65*62.4)*XS_Designer!$AA$53))*12</f>
        <v>2.3733046289550632</v>
      </c>
      <c r="BB171" s="14">
        <f t="shared" si="27"/>
        <v>3.7882276845080263</v>
      </c>
      <c r="BC171" s="14">
        <f t="shared" si="28"/>
        <v>6.9431590793618687</v>
      </c>
      <c r="BD171" s="14">
        <f>IF(ISNUMBER(LININTERP(AW171,Permissible_Shear!$T$178:$T$188,Permissible_Shear!$V$178:$V$188)),LININTERP(AW171,Permissible_Shear!$T$178:$T$188,Permissible_Shear!$V$178:$V$188),0)</f>
        <v>4.0662007355587431</v>
      </c>
      <c r="BE171" s="14">
        <f>LININTERP(AW171,Permissible_Shear!$S$205:$S$222,Permissible_Shear!$V$205:$V$222)</f>
        <v>4.130553821831457</v>
      </c>
      <c r="BF171" s="14">
        <f>INDEX($AZ$3:$BE$204,ROW(BF171)-2,MATCH(XS_Designer!$W$5,XS_Designer_Summary!$AZ$2:$BE$2,0))</f>
        <v>3.7882276845080263</v>
      </c>
      <c r="BG171" s="79">
        <f t="shared" si="29"/>
        <v>0</v>
      </c>
      <c r="BH171" s="79">
        <f t="shared" si="30"/>
        <v>2.3257182420034055</v>
      </c>
      <c r="BI171" s="79">
        <f t="shared" si="31"/>
        <v>0</v>
      </c>
      <c r="BJ171" s="79">
        <f t="shared" si="32"/>
        <v>0</v>
      </c>
      <c r="BK171" s="79">
        <f t="shared" si="33"/>
        <v>1.2217772229860664</v>
      </c>
      <c r="BL171" s="79">
        <f t="shared" si="34"/>
        <v>0</v>
      </c>
      <c r="BM171" s="124">
        <f t="shared" si="35"/>
        <v>0</v>
      </c>
      <c r="BN171" s="124">
        <f t="shared" si="36"/>
        <v>1.9579763188879269</v>
      </c>
      <c r="BO171" s="124">
        <f t="shared" si="37"/>
        <v>0</v>
      </c>
    </row>
    <row r="172" spans="30:67">
      <c r="AD172" s="3">
        <v>168</v>
      </c>
      <c r="AE172" s="3" t="str">
        <f t="shared" si="13"/>
        <v>Right</v>
      </c>
      <c r="AF172" s="3" t="str">
        <f t="shared" si="14"/>
        <v>ROB</v>
      </c>
      <c r="AG172" s="3" t="str">
        <f>IF(XS_Designer_Summary!$AB$24&gt;=XS_Designer_Summary!AD172,"Y","N")</f>
        <v>Y</v>
      </c>
      <c r="AH172" s="45">
        <v>1</v>
      </c>
      <c r="AI172" s="45">
        <f>IF(AG172="Y",$O$19/XS_Designer_Summary!$AB$24,0)</f>
        <v>0.27201249999999999</v>
      </c>
      <c r="AJ172" s="45">
        <f t="shared" si="15"/>
        <v>0.27201249999999999</v>
      </c>
      <c r="AK172" s="14">
        <f t="shared" si="38"/>
        <v>18.768862499999969</v>
      </c>
      <c r="AL172" s="14">
        <f>IF(AG172="Y",LININTERP(AK172,XS_Designer_Calculations!$AY$4:$AY$104,XS_Designer_Calculations!$AZ$4:$AZ$104),AL171)</f>
        <v>3.0443522499999998</v>
      </c>
      <c r="AM172" s="14">
        <f t="shared" si="16"/>
        <v>1.9556477500000002</v>
      </c>
      <c r="AN172" s="14">
        <f t="shared" si="17"/>
        <v>0.53122072559531253</v>
      </c>
      <c r="AO172" s="46">
        <f t="shared" si="18"/>
        <v>0.27206689706083664</v>
      </c>
      <c r="AP172" s="46">
        <f t="shared" si="19"/>
        <v>1.9525371566116208</v>
      </c>
      <c r="AQ172" s="46">
        <f t="shared" si="20"/>
        <v>8.6035107064681392E-3</v>
      </c>
      <c r="AR172" s="14">
        <f>IFERROR(IF(AG172="Y",VLOOKUP(AK172,XS_Designer_Calculations!$R$5:$T$104,3,TRUE),0),0)</f>
        <v>0.1</v>
      </c>
      <c r="AS172" s="46">
        <f t="shared" si="21"/>
        <v>0.01</v>
      </c>
      <c r="AT172" s="14">
        <f t="shared" si="22"/>
        <v>12.331806218025365</v>
      </c>
      <c r="AU172" s="14">
        <f>AT172*XS_Designer_Calculations!$I$7^0.5</f>
        <v>1.2331806218025365</v>
      </c>
      <c r="AV172" s="14">
        <f t="shared" si="23"/>
        <v>2.3214090911467595</v>
      </c>
      <c r="AW172" s="14">
        <f t="shared" si="24"/>
        <v>1.2183831857256513</v>
      </c>
      <c r="AX172" s="14">
        <f t="shared" si="25"/>
        <v>5</v>
      </c>
      <c r="AY172" s="46">
        <f t="shared" si="26"/>
        <v>1.9529276250000001</v>
      </c>
      <c r="AZ172" s="14">
        <f>((AS172*AP172)/(1.65*XS_Designer!$S$99))*12</f>
        <v>6.8387856358761496</v>
      </c>
      <c r="BA172" s="14">
        <f>(AW172/((1.65*62.4)*XS_Designer!$AA$53))*12</f>
        <v>2.3667117049837829</v>
      </c>
      <c r="BB172" s="14">
        <f t="shared" si="27"/>
        <v>3.7772780343290497</v>
      </c>
      <c r="BC172" s="14">
        <f t="shared" si="28"/>
        <v>6.9289874085050549</v>
      </c>
      <c r="BD172" s="14">
        <f>IF(ISNUMBER(LININTERP(AW172,Permissible_Shear!$T$178:$T$188,Permissible_Shear!$V$178:$V$188)),LININTERP(AW172,Permissible_Shear!$T$178:$T$188,Permissible_Shear!$V$178:$V$188),0)</f>
        <v>4.0555992005486612</v>
      </c>
      <c r="BE172" s="14">
        <f>LININTERP(AW172,Permissible_Shear!$S$205:$S$222,Permissible_Shear!$V$205:$V$222)</f>
        <v>4.1199474553926603</v>
      </c>
      <c r="BF172" s="14">
        <f>INDEX($AZ$3:$BE$204,ROW(BF172)-2,MATCH(XS_Designer!$W$5,XS_Designer_Summary!$AZ$2:$BE$2,0))</f>
        <v>3.7772780343290497</v>
      </c>
      <c r="BG172" s="79">
        <f t="shared" si="29"/>
        <v>0</v>
      </c>
      <c r="BH172" s="79">
        <f t="shared" si="30"/>
        <v>2.3214090911467595</v>
      </c>
      <c r="BI172" s="79">
        <f t="shared" si="31"/>
        <v>0</v>
      </c>
      <c r="BJ172" s="79">
        <f t="shared" si="32"/>
        <v>0</v>
      </c>
      <c r="BK172" s="79">
        <f t="shared" si="33"/>
        <v>1.2183831857256513</v>
      </c>
      <c r="BL172" s="79">
        <f t="shared" si="34"/>
        <v>0</v>
      </c>
      <c r="BM172" s="124">
        <f t="shared" si="35"/>
        <v>0</v>
      </c>
      <c r="BN172" s="124">
        <f t="shared" si="36"/>
        <v>1.9525371566116208</v>
      </c>
      <c r="BO172" s="124">
        <f t="shared" si="37"/>
        <v>0</v>
      </c>
    </row>
    <row r="173" spans="30:67">
      <c r="AD173" s="3">
        <v>169</v>
      </c>
      <c r="AE173" s="3" t="str">
        <f t="shared" si="13"/>
        <v>Right</v>
      </c>
      <c r="AF173" s="3" t="str">
        <f t="shared" si="14"/>
        <v>ROB</v>
      </c>
      <c r="AG173" s="3" t="str">
        <f>IF(XS_Designer_Summary!$AB$24&gt;=XS_Designer_Summary!AD173,"Y","N")</f>
        <v>Y</v>
      </c>
      <c r="AH173" s="45">
        <v>1</v>
      </c>
      <c r="AI173" s="45">
        <f>IF(AG173="Y",$O$19/XS_Designer_Summary!$AB$24,0)</f>
        <v>0.27201249999999999</v>
      </c>
      <c r="AJ173" s="45">
        <f t="shared" si="15"/>
        <v>0.27201249999999999</v>
      </c>
      <c r="AK173" s="14">
        <f t="shared" si="38"/>
        <v>19.040874999999968</v>
      </c>
      <c r="AL173" s="14">
        <f>IF(AG173="Y",LININTERP(AK173,XS_Designer_Calculations!$AY$4:$AY$104,XS_Designer_Calculations!$AZ$4:$AZ$104),AL172)</f>
        <v>3.0497924999999997</v>
      </c>
      <c r="AM173" s="14">
        <f t="shared" si="16"/>
        <v>1.9502075000000003</v>
      </c>
      <c r="AN173" s="14">
        <f t="shared" si="17"/>
        <v>0.52974090959218756</v>
      </c>
      <c r="AO173" s="46">
        <f t="shared" si="18"/>
        <v>0.27206689706083664</v>
      </c>
      <c r="AP173" s="46">
        <f t="shared" si="19"/>
        <v>1.9470979943353146</v>
      </c>
      <c r="AQ173" s="46">
        <f t="shared" si="20"/>
        <v>8.6035107064681392E-3</v>
      </c>
      <c r="AR173" s="14">
        <f>IFERROR(IF(AG173="Y",VLOOKUP(AK173,XS_Designer_Calculations!$R$5:$T$104,3,TRUE),0),0)</f>
        <v>0.1</v>
      </c>
      <c r="AS173" s="46">
        <f t="shared" si="21"/>
        <v>0.01</v>
      </c>
      <c r="AT173" s="14">
        <f t="shared" si="22"/>
        <v>12.274605093354117</v>
      </c>
      <c r="AU173" s="14">
        <f>AT173*XS_Designer_Calculations!$I$7^0.5</f>
        <v>1.2274605093354118</v>
      </c>
      <c r="AV173" s="14">
        <f t="shared" si="23"/>
        <v>2.3170959371069761</v>
      </c>
      <c r="AW173" s="14">
        <f t="shared" si="24"/>
        <v>1.2149891484652364</v>
      </c>
      <c r="AX173" s="14">
        <f t="shared" si="25"/>
        <v>5</v>
      </c>
      <c r="AY173" s="46">
        <f t="shared" si="26"/>
        <v>1.9474873750000004</v>
      </c>
      <c r="AZ173" s="14">
        <f>((AS173*AP173)/(1.65*XS_Designer!$S$99))*12</f>
        <v>6.819734902464778</v>
      </c>
      <c r="BA173" s="14">
        <f>(AW173/((1.65*62.4)*XS_Designer!$AA$53))*12</f>
        <v>2.3601187810125031</v>
      </c>
      <c r="BB173" s="14">
        <f t="shared" si="27"/>
        <v>3.766329663392745</v>
      </c>
      <c r="BC173" s="14">
        <f t="shared" si="28"/>
        <v>6.9148053064216954</v>
      </c>
      <c r="BD173" s="14">
        <f>IF(ISNUMBER(LININTERP(AW173,Permissible_Shear!$T$178:$T$188,Permissible_Shear!$V$178:$V$188)),LININTERP(AW173,Permissible_Shear!$T$178:$T$188,Permissible_Shear!$V$178:$V$188),0)</f>
        <v>4.0449976655385802</v>
      </c>
      <c r="BE173" s="14">
        <f>LININTERP(AW173,Permissible_Shear!$S$205:$S$222,Permissible_Shear!$V$205:$V$222)</f>
        <v>4.1093410889538635</v>
      </c>
      <c r="BF173" s="14">
        <f>INDEX($AZ$3:$BE$204,ROW(BF173)-2,MATCH(XS_Designer!$W$5,XS_Designer_Summary!$AZ$2:$BE$2,0))</f>
        <v>3.766329663392745</v>
      </c>
      <c r="BG173" s="79">
        <f t="shared" si="29"/>
        <v>0</v>
      </c>
      <c r="BH173" s="79">
        <f t="shared" si="30"/>
        <v>2.3170959371069761</v>
      </c>
      <c r="BI173" s="79">
        <f t="shared" si="31"/>
        <v>0</v>
      </c>
      <c r="BJ173" s="79">
        <f t="shared" si="32"/>
        <v>0</v>
      </c>
      <c r="BK173" s="79">
        <f t="shared" si="33"/>
        <v>1.2149891484652364</v>
      </c>
      <c r="BL173" s="79">
        <f t="shared" si="34"/>
        <v>0</v>
      </c>
      <c r="BM173" s="124">
        <f t="shared" si="35"/>
        <v>0</v>
      </c>
      <c r="BN173" s="124">
        <f t="shared" si="36"/>
        <v>1.9470979943353146</v>
      </c>
      <c r="BO173" s="124">
        <f t="shared" si="37"/>
        <v>0</v>
      </c>
    </row>
    <row r="174" spans="30:67">
      <c r="AD174" s="3">
        <v>170</v>
      </c>
      <c r="AE174" s="3" t="str">
        <f t="shared" si="13"/>
        <v>Right</v>
      </c>
      <c r="AF174" s="3" t="str">
        <f t="shared" si="14"/>
        <v>ROB</v>
      </c>
      <c r="AG174" s="3" t="str">
        <f>IF(XS_Designer_Summary!$AB$24&gt;=XS_Designer_Summary!AD174,"Y","N")</f>
        <v>Y</v>
      </c>
      <c r="AH174" s="45">
        <v>1</v>
      </c>
      <c r="AI174" s="45">
        <f>IF(AG174="Y",$O$19/XS_Designer_Summary!$AB$24,0)</f>
        <v>0.27201249999999999</v>
      </c>
      <c r="AJ174" s="45">
        <f t="shared" si="15"/>
        <v>0.27201249999999999</v>
      </c>
      <c r="AK174" s="14">
        <f t="shared" si="38"/>
        <v>19.312887499999967</v>
      </c>
      <c r="AL174" s="14">
        <f>IF(AG174="Y",LININTERP(AK174,XS_Designer_Calculations!$AY$4:$AY$104,XS_Designer_Calculations!$AZ$4:$AZ$104),AL173)</f>
        <v>3.0552327499999996</v>
      </c>
      <c r="AM174" s="14">
        <f t="shared" si="16"/>
        <v>1.9447672500000004</v>
      </c>
      <c r="AN174" s="14">
        <f t="shared" si="17"/>
        <v>0.52826109358906259</v>
      </c>
      <c r="AO174" s="46">
        <f t="shared" si="18"/>
        <v>0.27206689706083664</v>
      </c>
      <c r="AP174" s="46">
        <f t="shared" si="19"/>
        <v>1.9416588320590087</v>
      </c>
      <c r="AQ174" s="46">
        <f t="shared" si="20"/>
        <v>8.6035107064681392E-3</v>
      </c>
      <c r="AR174" s="14">
        <f>IFERROR(IF(AG174="Y",VLOOKUP(AK174,XS_Designer_Calculations!$R$5:$T$104,3,TRUE),0),0)</f>
        <v>0.1</v>
      </c>
      <c r="AS174" s="46">
        <f t="shared" si="21"/>
        <v>0.01</v>
      </c>
      <c r="AT174" s="14">
        <f t="shared" si="22"/>
        <v>12.217510396108722</v>
      </c>
      <c r="AU174" s="14">
        <f>AT174*XS_Designer_Calculations!$I$7^0.5</f>
        <v>1.2217510396108722</v>
      </c>
      <c r="AV174" s="14">
        <f t="shared" si="23"/>
        <v>2.3127787649667031</v>
      </c>
      <c r="AW174" s="14">
        <f t="shared" si="24"/>
        <v>1.2115951112048213</v>
      </c>
      <c r="AX174" s="14">
        <f t="shared" si="25"/>
        <v>5</v>
      </c>
      <c r="AY174" s="46">
        <f t="shared" si="26"/>
        <v>1.9420471250000004</v>
      </c>
      <c r="AZ174" s="14">
        <f>((AS174*AP174)/(1.65*XS_Designer!$S$99))*12</f>
        <v>6.8006841690534108</v>
      </c>
      <c r="BA174" s="14">
        <f>(AW174/((1.65*62.4)*XS_Designer!$AA$53))*12</f>
        <v>2.3535258570412227</v>
      </c>
      <c r="BB174" s="14">
        <f t="shared" si="27"/>
        <v>3.7553825751175856</v>
      </c>
      <c r="BC174" s="14">
        <f t="shared" si="28"/>
        <v>6.9006127363028273</v>
      </c>
      <c r="BD174" s="14">
        <f>IF(ISNUMBER(LININTERP(AW174,Permissible_Shear!$T$178:$T$188,Permissible_Shear!$V$178:$V$188)),LININTERP(AW174,Permissible_Shear!$T$178:$T$188,Permissible_Shear!$V$178:$V$188),0)</f>
        <v>4.0343961305284983</v>
      </c>
      <c r="BE174" s="14">
        <f>LININTERP(AW174,Permissible_Shear!$S$205:$S$222,Permissible_Shear!$V$205:$V$222)</f>
        <v>4.0987347225150668</v>
      </c>
      <c r="BF174" s="14">
        <f>INDEX($AZ$3:$BE$204,ROW(BF174)-2,MATCH(XS_Designer!$W$5,XS_Designer_Summary!$AZ$2:$BE$2,0))</f>
        <v>3.7553825751175856</v>
      </c>
      <c r="BG174" s="79">
        <f t="shared" si="29"/>
        <v>0</v>
      </c>
      <c r="BH174" s="79">
        <f t="shared" si="30"/>
        <v>2.3127787649667031</v>
      </c>
      <c r="BI174" s="79">
        <f t="shared" si="31"/>
        <v>0</v>
      </c>
      <c r="BJ174" s="79">
        <f t="shared" si="32"/>
        <v>0</v>
      </c>
      <c r="BK174" s="79">
        <f t="shared" si="33"/>
        <v>1.2115951112048213</v>
      </c>
      <c r="BL174" s="79">
        <f t="shared" si="34"/>
        <v>0</v>
      </c>
      <c r="BM174" s="124">
        <f t="shared" si="35"/>
        <v>0</v>
      </c>
      <c r="BN174" s="124">
        <f t="shared" si="36"/>
        <v>1.9416588320590087</v>
      </c>
      <c r="BO174" s="124">
        <f t="shared" si="37"/>
        <v>0</v>
      </c>
    </row>
    <row r="175" spans="30:67">
      <c r="AD175" s="3">
        <v>171</v>
      </c>
      <c r="AE175" s="3" t="str">
        <f t="shared" si="13"/>
        <v>Right</v>
      </c>
      <c r="AF175" s="3" t="str">
        <f t="shared" si="14"/>
        <v>ROB</v>
      </c>
      <c r="AG175" s="3" t="str">
        <f>IF(XS_Designer_Summary!$AB$24&gt;=XS_Designer_Summary!AD175,"Y","N")</f>
        <v>Y</v>
      </c>
      <c r="AH175" s="45">
        <v>1</v>
      </c>
      <c r="AI175" s="45">
        <f>IF(AG175="Y",$O$19/XS_Designer_Summary!$AB$24,0)</f>
        <v>0.27201249999999999</v>
      </c>
      <c r="AJ175" s="45">
        <f t="shared" si="15"/>
        <v>0.27201249999999999</v>
      </c>
      <c r="AK175" s="14">
        <f t="shared" si="38"/>
        <v>19.584899999999966</v>
      </c>
      <c r="AL175" s="14">
        <f>IF(AG175="Y",LININTERP(AK175,XS_Designer_Calculations!$AY$4:$AY$104,XS_Designer_Calculations!$AZ$4:$AZ$104),AL174)</f>
        <v>3.0606729999999995</v>
      </c>
      <c r="AM175" s="14">
        <f t="shared" si="16"/>
        <v>1.9393270000000005</v>
      </c>
      <c r="AN175" s="14">
        <f t="shared" si="17"/>
        <v>0.52678127758593751</v>
      </c>
      <c r="AO175" s="46">
        <f t="shared" si="18"/>
        <v>0.27206689706083664</v>
      </c>
      <c r="AP175" s="46">
        <f t="shared" si="19"/>
        <v>1.9362196697827021</v>
      </c>
      <c r="AQ175" s="46">
        <f t="shared" si="20"/>
        <v>8.6035107064681392E-3</v>
      </c>
      <c r="AR175" s="14">
        <f>IFERROR(IF(AG175="Y",VLOOKUP(AK175,XS_Designer_Calculations!$R$5:$T$104,3,TRUE),0),0)</f>
        <v>0.1</v>
      </c>
      <c r="AS175" s="46">
        <f t="shared" si="21"/>
        <v>0.01</v>
      </c>
      <c r="AT175" s="14">
        <f t="shared" si="22"/>
        <v>12.160522225574958</v>
      </c>
      <c r="AU175" s="14">
        <f>AT175*XS_Designer_Calculations!$I$7^0.5</f>
        <v>1.2160522225574959</v>
      </c>
      <c r="AV175" s="14">
        <f t="shared" si="23"/>
        <v>2.3084575597110373</v>
      </c>
      <c r="AW175" s="14">
        <f t="shared" si="24"/>
        <v>1.2082010739444062</v>
      </c>
      <c r="AX175" s="14">
        <f t="shared" si="25"/>
        <v>5</v>
      </c>
      <c r="AY175" s="46">
        <f t="shared" si="26"/>
        <v>1.9366068750000001</v>
      </c>
      <c r="AZ175" s="14">
        <f>((AS175*AP175)/(1.65*XS_Designer!$S$99))*12</f>
        <v>6.7816334356420382</v>
      </c>
      <c r="BA175" s="14">
        <f>(AW175/((1.65*62.4)*XS_Designer!$AA$53))*12</f>
        <v>2.3469329330699424</v>
      </c>
      <c r="BB175" s="14">
        <f t="shared" si="27"/>
        <v>3.7444367729407659</v>
      </c>
      <c r="BC175" s="14">
        <f t="shared" si="28"/>
        <v>6.8864096611062253</v>
      </c>
      <c r="BD175" s="14">
        <f>IF(ISNUMBER(LININTERP(AW175,Permissible_Shear!$T$178:$T$188,Permissible_Shear!$V$178:$V$188)),LININTERP(AW175,Permissible_Shear!$T$178:$T$188,Permissible_Shear!$V$178:$V$188),0)</f>
        <v>4.0237945955184165</v>
      </c>
      <c r="BE175" s="14">
        <f>LININTERP(AW175,Permissible_Shear!$S$205:$S$222,Permissible_Shear!$V$205:$V$222)</f>
        <v>4.0881283560762691</v>
      </c>
      <c r="BF175" s="14">
        <f>INDEX($AZ$3:$BE$204,ROW(BF175)-2,MATCH(XS_Designer!$W$5,XS_Designer_Summary!$AZ$2:$BE$2,0))</f>
        <v>3.7444367729407659</v>
      </c>
      <c r="BG175" s="79">
        <f t="shared" si="29"/>
        <v>0</v>
      </c>
      <c r="BH175" s="79">
        <f t="shared" si="30"/>
        <v>2.3084575597110373</v>
      </c>
      <c r="BI175" s="79">
        <f t="shared" si="31"/>
        <v>0</v>
      </c>
      <c r="BJ175" s="79">
        <f t="shared" si="32"/>
        <v>0</v>
      </c>
      <c r="BK175" s="79">
        <f t="shared" si="33"/>
        <v>1.2082010739444062</v>
      </c>
      <c r="BL175" s="79">
        <f t="shared" si="34"/>
        <v>0</v>
      </c>
      <c r="BM175" s="124">
        <f t="shared" si="35"/>
        <v>0</v>
      </c>
      <c r="BN175" s="124">
        <f t="shared" si="36"/>
        <v>1.9362196697827021</v>
      </c>
      <c r="BO175" s="124">
        <f t="shared" si="37"/>
        <v>0</v>
      </c>
    </row>
    <row r="176" spans="30:67">
      <c r="AD176" s="3">
        <v>172</v>
      </c>
      <c r="AE176" s="3" t="str">
        <f t="shared" si="13"/>
        <v>Right</v>
      </c>
      <c r="AF176" s="3" t="str">
        <f t="shared" si="14"/>
        <v>ROB</v>
      </c>
      <c r="AG176" s="3" t="str">
        <f>IF(XS_Designer_Summary!$AB$24&gt;=XS_Designer_Summary!AD176,"Y","N")</f>
        <v>Y</v>
      </c>
      <c r="AH176" s="45">
        <v>1</v>
      </c>
      <c r="AI176" s="45">
        <f>IF(AG176="Y",$O$19/XS_Designer_Summary!$AB$24,0)</f>
        <v>0.27201249999999999</v>
      </c>
      <c r="AJ176" s="45">
        <f t="shared" si="15"/>
        <v>0.27201249999999999</v>
      </c>
      <c r="AK176" s="14">
        <f t="shared" si="38"/>
        <v>19.856912499999964</v>
      </c>
      <c r="AL176" s="14">
        <f>IF(AG176="Y",LININTERP(AK176,XS_Designer_Calculations!$AY$4:$AY$104,XS_Designer_Calculations!$AZ$4:$AZ$104),AL175)</f>
        <v>3.0661132499999999</v>
      </c>
      <c r="AM176" s="14">
        <f t="shared" si="16"/>
        <v>1.9338867500000001</v>
      </c>
      <c r="AN176" s="14">
        <f t="shared" si="17"/>
        <v>0.52530146158281255</v>
      </c>
      <c r="AO176" s="46">
        <f t="shared" si="18"/>
        <v>0.27206689706083664</v>
      </c>
      <c r="AP176" s="46">
        <f t="shared" si="19"/>
        <v>1.930780507506396</v>
      </c>
      <c r="AQ176" s="46">
        <f t="shared" si="20"/>
        <v>8.6035107064681392E-3</v>
      </c>
      <c r="AR176" s="14">
        <f>IFERROR(IF(AG176="Y",VLOOKUP(AK176,XS_Designer_Calculations!$R$5:$T$104,3,TRUE),0),0)</f>
        <v>0.1</v>
      </c>
      <c r="AS176" s="46">
        <f t="shared" si="21"/>
        <v>0.01</v>
      </c>
      <c r="AT176" s="14">
        <f t="shared" si="22"/>
        <v>12.103640681410148</v>
      </c>
      <c r="AU176" s="14">
        <f>AT176*XS_Designer_Calculations!$I$7^0.5</f>
        <v>1.2103640681410148</v>
      </c>
      <c r="AV176" s="14">
        <f t="shared" si="23"/>
        <v>2.3041323062266099</v>
      </c>
      <c r="AW176" s="14">
        <f t="shared" si="24"/>
        <v>1.2048070366839911</v>
      </c>
      <c r="AX176" s="14">
        <f t="shared" si="25"/>
        <v>5</v>
      </c>
      <c r="AY176" s="46">
        <f t="shared" si="26"/>
        <v>1.9311666250000001</v>
      </c>
      <c r="AZ176" s="14">
        <f>((AS176*AP176)/(1.65*XS_Designer!$S$99))*12</f>
        <v>6.7625827022306684</v>
      </c>
      <c r="BA176" s="14">
        <f>(AW176/((1.65*62.4)*XS_Designer!$AA$53))*12</f>
        <v>2.3403400090986621</v>
      </c>
      <c r="BB176" s="14">
        <f t="shared" si="27"/>
        <v>3.733492260318362</v>
      </c>
      <c r="BC176" s="14">
        <f t="shared" si="28"/>
        <v>6.872196043554271</v>
      </c>
      <c r="BD176" s="14">
        <f>IF(ISNUMBER(LININTERP(AW176,Permissible_Shear!$T$178:$T$188,Permissible_Shear!$V$178:$V$188)),LININTERP(AW176,Permissible_Shear!$T$178:$T$188,Permissible_Shear!$V$178:$V$188),0)</f>
        <v>4.0131930605083355</v>
      </c>
      <c r="BE176" s="14">
        <f>LININTERP(AW176,Permissible_Shear!$S$205:$S$222,Permissible_Shear!$V$205:$V$222)</f>
        <v>4.0775219896374724</v>
      </c>
      <c r="BF176" s="14">
        <f>INDEX($AZ$3:$BE$204,ROW(BF176)-2,MATCH(XS_Designer!$W$5,XS_Designer_Summary!$AZ$2:$BE$2,0))</f>
        <v>3.733492260318362</v>
      </c>
      <c r="BG176" s="79">
        <f t="shared" si="29"/>
        <v>0</v>
      </c>
      <c r="BH176" s="79">
        <f t="shared" si="30"/>
        <v>2.3041323062266099</v>
      </c>
      <c r="BI176" s="79">
        <f t="shared" si="31"/>
        <v>0</v>
      </c>
      <c r="BJ176" s="79">
        <f t="shared" si="32"/>
        <v>0</v>
      </c>
      <c r="BK176" s="79">
        <f t="shared" si="33"/>
        <v>1.2048070366839911</v>
      </c>
      <c r="BL176" s="79">
        <f t="shared" si="34"/>
        <v>0</v>
      </c>
      <c r="BM176" s="124">
        <f t="shared" si="35"/>
        <v>0</v>
      </c>
      <c r="BN176" s="124">
        <f t="shared" si="36"/>
        <v>1.930780507506396</v>
      </c>
      <c r="BO176" s="124">
        <f t="shared" si="37"/>
        <v>0</v>
      </c>
    </row>
    <row r="177" spans="30:67">
      <c r="AD177" s="3">
        <v>173</v>
      </c>
      <c r="AE177" s="3" t="str">
        <f t="shared" si="13"/>
        <v>Right</v>
      </c>
      <c r="AF177" s="3" t="str">
        <f t="shared" si="14"/>
        <v>ROB</v>
      </c>
      <c r="AG177" s="3" t="str">
        <f>IF(XS_Designer_Summary!$AB$24&gt;=XS_Designer_Summary!AD177,"Y","N")</f>
        <v>Y</v>
      </c>
      <c r="AH177" s="45">
        <v>1</v>
      </c>
      <c r="AI177" s="45">
        <f>IF(AG177="Y",$O$19/XS_Designer_Summary!$AB$24,0)</f>
        <v>0.27201249999999999</v>
      </c>
      <c r="AJ177" s="45">
        <f t="shared" si="15"/>
        <v>0.27201249999999999</v>
      </c>
      <c r="AK177" s="14">
        <f t="shared" si="38"/>
        <v>20.128924999999963</v>
      </c>
      <c r="AL177" s="14">
        <f>IF(AG177="Y",LININTERP(AK177,XS_Designer_Calculations!$AY$4:$AY$104,XS_Designer_Calculations!$AZ$4:$AZ$104),AL176)</f>
        <v>3.0715534999999998</v>
      </c>
      <c r="AM177" s="14">
        <f t="shared" si="16"/>
        <v>1.9284465000000002</v>
      </c>
      <c r="AN177" s="14">
        <f t="shared" si="17"/>
        <v>0.52382164557968758</v>
      </c>
      <c r="AO177" s="46">
        <f t="shared" si="18"/>
        <v>0.27206689706083664</v>
      </c>
      <c r="AP177" s="46">
        <f t="shared" si="19"/>
        <v>1.9253413452300898</v>
      </c>
      <c r="AQ177" s="46">
        <f t="shared" si="20"/>
        <v>8.6035107064681392E-3</v>
      </c>
      <c r="AR177" s="14">
        <f>IFERROR(IF(AG177="Y",VLOOKUP(AK177,XS_Designer_Calculations!$R$5:$T$104,3,TRUE),0),0)</f>
        <v>0.1</v>
      </c>
      <c r="AS177" s="46">
        <f t="shared" si="21"/>
        <v>0.01</v>
      </c>
      <c r="AT177" s="14">
        <f t="shared" si="22"/>
        <v>12.046865863645584</v>
      </c>
      <c r="AU177" s="14">
        <f>AT177*XS_Designer_Calculations!$I$7^0.5</f>
        <v>1.2046865863645584</v>
      </c>
      <c r="AV177" s="14">
        <f t="shared" si="23"/>
        <v>2.2998029893006637</v>
      </c>
      <c r="AW177" s="14">
        <f t="shared" si="24"/>
        <v>1.201412999423576</v>
      </c>
      <c r="AX177" s="14">
        <f t="shared" si="25"/>
        <v>5</v>
      </c>
      <c r="AY177" s="46">
        <f t="shared" si="26"/>
        <v>1.9257263750000004</v>
      </c>
      <c r="AZ177" s="14">
        <f>((AS177*AP177)/(1.65*XS_Designer!$S$99))*12</f>
        <v>6.7435319688192994</v>
      </c>
      <c r="BA177" s="14">
        <f>(AW177/((1.65*62.4)*XS_Designer!$AA$53))*12</f>
        <v>2.3337470851273818</v>
      </c>
      <c r="BB177" s="14">
        <f t="shared" si="27"/>
        <v>3.7225490407254824</v>
      </c>
      <c r="BC177" s="14">
        <f t="shared" si="28"/>
        <v>6.8579718461317833</v>
      </c>
      <c r="BD177" s="14">
        <f>IF(ISNUMBER(LININTERP(AW177,Permissible_Shear!$T$178:$T$188,Permissible_Shear!$V$178:$V$188)),LININTERP(AW177,Permissible_Shear!$T$178:$T$188,Permissible_Shear!$V$178:$V$188),0)</f>
        <v>4.0025915254982536</v>
      </c>
      <c r="BE177" s="14">
        <f>LININTERP(AW177,Permissible_Shear!$S$205:$S$222,Permissible_Shear!$V$205:$V$222)</f>
        <v>4.0669156231986747</v>
      </c>
      <c r="BF177" s="14">
        <f>INDEX($AZ$3:$BE$204,ROW(BF177)-2,MATCH(XS_Designer!$W$5,XS_Designer_Summary!$AZ$2:$BE$2,0))</f>
        <v>3.7225490407254824</v>
      </c>
      <c r="BG177" s="79">
        <f t="shared" si="29"/>
        <v>0</v>
      </c>
      <c r="BH177" s="79">
        <f t="shared" si="30"/>
        <v>2.2998029893006637</v>
      </c>
      <c r="BI177" s="79">
        <f t="shared" si="31"/>
        <v>0</v>
      </c>
      <c r="BJ177" s="79">
        <f t="shared" si="32"/>
        <v>0</v>
      </c>
      <c r="BK177" s="79">
        <f t="shared" si="33"/>
        <v>1.201412999423576</v>
      </c>
      <c r="BL177" s="79">
        <f t="shared" si="34"/>
        <v>0</v>
      </c>
      <c r="BM177" s="124">
        <f t="shared" si="35"/>
        <v>0</v>
      </c>
      <c r="BN177" s="124">
        <f t="shared" si="36"/>
        <v>1.9253413452300898</v>
      </c>
      <c r="BO177" s="124">
        <f t="shared" si="37"/>
        <v>0</v>
      </c>
    </row>
    <row r="178" spans="30:67">
      <c r="AD178" s="3">
        <v>174</v>
      </c>
      <c r="AE178" s="3" t="str">
        <f t="shared" si="13"/>
        <v>Right</v>
      </c>
      <c r="AF178" s="3" t="str">
        <f t="shared" si="14"/>
        <v>ROB</v>
      </c>
      <c r="AG178" s="3" t="str">
        <f>IF(XS_Designer_Summary!$AB$24&gt;=XS_Designer_Summary!AD178,"Y","N")</f>
        <v>Y</v>
      </c>
      <c r="AH178" s="45">
        <v>1</v>
      </c>
      <c r="AI178" s="45">
        <f>IF(AG178="Y",$O$19/XS_Designer_Summary!$AB$24,0)</f>
        <v>0.27201249999999999</v>
      </c>
      <c r="AJ178" s="45">
        <f t="shared" si="15"/>
        <v>0.27201249999999999</v>
      </c>
      <c r="AK178" s="14">
        <f t="shared" si="38"/>
        <v>20.400937499999962</v>
      </c>
      <c r="AL178" s="14">
        <f>IF(AG178="Y",LININTERP(AK178,XS_Designer_Calculations!$AY$4:$AY$104,XS_Designer_Calculations!$AZ$4:$AZ$104),AL177)</f>
        <v>3.0769937499999997</v>
      </c>
      <c r="AM178" s="14">
        <f t="shared" si="16"/>
        <v>1.9230062500000003</v>
      </c>
      <c r="AN178" s="14">
        <f t="shared" si="17"/>
        <v>0.52234182957656261</v>
      </c>
      <c r="AO178" s="46">
        <f t="shared" si="18"/>
        <v>0.27206689706083664</v>
      </c>
      <c r="AP178" s="46">
        <f t="shared" si="19"/>
        <v>1.9199021829537837</v>
      </c>
      <c r="AQ178" s="46">
        <f t="shared" si="20"/>
        <v>8.6035107064681392E-3</v>
      </c>
      <c r="AR178" s="14">
        <f>IFERROR(IF(AG178="Y",VLOOKUP(AK178,XS_Designer_Calculations!$R$5:$T$104,3,TRUE),0),0)</f>
        <v>0.1</v>
      </c>
      <c r="AS178" s="46">
        <f t="shared" si="21"/>
        <v>0.01</v>
      </c>
      <c r="AT178" s="14">
        <f t="shared" si="22"/>
        <v>11.990197872688986</v>
      </c>
      <c r="AU178" s="14">
        <f>AT178*XS_Designer_Calculations!$I$7^0.5</f>
        <v>1.1990197872688986</v>
      </c>
      <c r="AV178" s="14">
        <f t="shared" si="23"/>
        <v>2.2954695936201133</v>
      </c>
      <c r="AW178" s="14">
        <f t="shared" si="24"/>
        <v>1.1980189621631609</v>
      </c>
      <c r="AX178" s="14">
        <f t="shared" si="25"/>
        <v>5</v>
      </c>
      <c r="AY178" s="46">
        <f t="shared" si="26"/>
        <v>1.9202861250000005</v>
      </c>
      <c r="AZ178" s="14">
        <f>((AS178*AP178)/(1.65*XS_Designer!$S$99))*12</f>
        <v>6.7244812354079304</v>
      </c>
      <c r="BA178" s="14">
        <f>(AW178/((1.65*62.4)*XS_Designer!$AA$53))*12</f>
        <v>2.3271541611561015</v>
      </c>
      <c r="BB178" s="14">
        <f t="shared" si="27"/>
        <v>3.7116071176564316</v>
      </c>
      <c r="BC178" s="14">
        <f t="shared" si="28"/>
        <v>6.843737031083835</v>
      </c>
      <c r="BD178" s="14">
        <f>IF(ISNUMBER(LININTERP(AW178,Permissible_Shear!$T$178:$T$188,Permissible_Shear!$V$178:$V$188)),LININTERP(AW178,Permissible_Shear!$T$178:$T$188,Permissible_Shear!$V$178:$V$188),0)</f>
        <v>3.9919899904881717</v>
      </c>
      <c r="BE178" s="14">
        <f>LININTERP(AW178,Permissible_Shear!$S$205:$S$222,Permissible_Shear!$V$205:$V$222)</f>
        <v>4.056309256759878</v>
      </c>
      <c r="BF178" s="14">
        <f>INDEX($AZ$3:$BE$204,ROW(BF178)-2,MATCH(XS_Designer!$W$5,XS_Designer_Summary!$AZ$2:$BE$2,0))</f>
        <v>3.7116071176564316</v>
      </c>
      <c r="BG178" s="79">
        <f t="shared" si="29"/>
        <v>0</v>
      </c>
      <c r="BH178" s="79">
        <f t="shared" si="30"/>
        <v>2.2954695936201133</v>
      </c>
      <c r="BI178" s="79">
        <f t="shared" si="31"/>
        <v>0</v>
      </c>
      <c r="BJ178" s="79">
        <f t="shared" si="32"/>
        <v>0</v>
      </c>
      <c r="BK178" s="79">
        <f t="shared" si="33"/>
        <v>1.1980189621631609</v>
      </c>
      <c r="BL178" s="79">
        <f t="shared" si="34"/>
        <v>0</v>
      </c>
      <c r="BM178" s="124">
        <f t="shared" si="35"/>
        <v>0</v>
      </c>
      <c r="BN178" s="124">
        <f t="shared" si="36"/>
        <v>1.9199021829537837</v>
      </c>
      <c r="BO178" s="124">
        <f t="shared" si="37"/>
        <v>0</v>
      </c>
    </row>
    <row r="179" spans="30:67">
      <c r="AD179" s="3">
        <v>175</v>
      </c>
      <c r="AE179" s="3" t="str">
        <f t="shared" si="13"/>
        <v>Right</v>
      </c>
      <c r="AF179" s="3" t="str">
        <f t="shared" si="14"/>
        <v>ROB</v>
      </c>
      <c r="AG179" s="3" t="str">
        <f>IF(XS_Designer_Summary!$AB$24&gt;=XS_Designer_Summary!AD179,"Y","N")</f>
        <v>Y</v>
      </c>
      <c r="AH179" s="45">
        <v>1</v>
      </c>
      <c r="AI179" s="45">
        <f>IF(AG179="Y",$O$19/XS_Designer_Summary!$AB$24,0)</f>
        <v>0.27201249999999999</v>
      </c>
      <c r="AJ179" s="45">
        <f t="shared" si="15"/>
        <v>0.27201249999999999</v>
      </c>
      <c r="AK179" s="14">
        <f t="shared" si="38"/>
        <v>20.672949999999961</v>
      </c>
      <c r="AL179" s="14">
        <f>IF(AG179="Y",LININTERP(AK179,XS_Designer_Calculations!$AY$4:$AY$104,XS_Designer_Calculations!$AZ$4:$AZ$104),AL178)</f>
        <v>3.0824339999999997</v>
      </c>
      <c r="AM179" s="14">
        <f t="shared" si="16"/>
        <v>1.9175660000000003</v>
      </c>
      <c r="AN179" s="14">
        <f t="shared" si="17"/>
        <v>0.52086201357343753</v>
      </c>
      <c r="AO179" s="46">
        <f t="shared" si="18"/>
        <v>0.27206689706083664</v>
      </c>
      <c r="AP179" s="46">
        <f t="shared" si="19"/>
        <v>1.9144630206774771</v>
      </c>
      <c r="AQ179" s="46">
        <f t="shared" si="20"/>
        <v>8.6035107064681392E-3</v>
      </c>
      <c r="AR179" s="14">
        <f>IFERROR(IF(AG179="Y",VLOOKUP(AK179,XS_Designer_Calculations!$R$5:$T$104,3,TRUE),0),0)</f>
        <v>0.1</v>
      </c>
      <c r="AS179" s="46">
        <f t="shared" si="21"/>
        <v>0.01</v>
      </c>
      <c r="AT179" s="14">
        <f t="shared" si="22"/>
        <v>11.933636809327007</v>
      </c>
      <c r="AU179" s="14">
        <f>AT179*XS_Designer_Calculations!$I$7^0.5</f>
        <v>1.1933636809327008</v>
      </c>
      <c r="AV179" s="14">
        <f t="shared" si="23"/>
        <v>2.2911321037706003</v>
      </c>
      <c r="AW179" s="14">
        <f t="shared" si="24"/>
        <v>1.1946249249027456</v>
      </c>
      <c r="AX179" s="14">
        <f t="shared" si="25"/>
        <v>5</v>
      </c>
      <c r="AY179" s="46">
        <f t="shared" si="26"/>
        <v>1.9148458750000001</v>
      </c>
      <c r="AZ179" s="14">
        <f>((AS179*AP179)/(1.65*XS_Designer!$S$99))*12</f>
        <v>6.7054305019965579</v>
      </c>
      <c r="BA179" s="14">
        <f>(AW179/((1.65*62.4)*XS_Designer!$AA$53))*12</f>
        <v>2.3205612371848208</v>
      </c>
      <c r="BB179" s="14">
        <f t="shared" si="27"/>
        <v>3.7006664946248669</v>
      </c>
      <c r="BC179" s="14">
        <f t="shared" si="28"/>
        <v>6.8294915604135351</v>
      </c>
      <c r="BD179" s="14">
        <f>IF(ISNUMBER(LININTERP(AW179,Permissible_Shear!$T$178:$T$188,Permissible_Shear!$V$178:$V$188)),LININTERP(AW179,Permissible_Shear!$T$178:$T$188,Permissible_Shear!$V$178:$V$188),0)</f>
        <v>3.9813884554780894</v>
      </c>
      <c r="BE179" s="14">
        <f>LININTERP(AW179,Permissible_Shear!$S$205:$S$222,Permissible_Shear!$V$205:$V$222)</f>
        <v>4.0457028903210794</v>
      </c>
      <c r="BF179" s="14">
        <f>INDEX($AZ$3:$BE$204,ROW(BF179)-2,MATCH(XS_Designer!$W$5,XS_Designer_Summary!$AZ$2:$BE$2,0))</f>
        <v>3.7006664946248669</v>
      </c>
      <c r="BG179" s="79">
        <f t="shared" si="29"/>
        <v>0</v>
      </c>
      <c r="BH179" s="79">
        <f t="shared" si="30"/>
        <v>2.2911321037706003</v>
      </c>
      <c r="BI179" s="79">
        <f t="shared" si="31"/>
        <v>0</v>
      </c>
      <c r="BJ179" s="79">
        <f t="shared" si="32"/>
        <v>0</v>
      </c>
      <c r="BK179" s="79">
        <f t="shared" si="33"/>
        <v>1.1946249249027456</v>
      </c>
      <c r="BL179" s="79">
        <f t="shared" si="34"/>
        <v>0</v>
      </c>
      <c r="BM179" s="124">
        <f t="shared" si="35"/>
        <v>0</v>
      </c>
      <c r="BN179" s="124">
        <f t="shared" si="36"/>
        <v>1.9144630206774771</v>
      </c>
      <c r="BO179" s="124">
        <f t="shared" si="37"/>
        <v>0</v>
      </c>
    </row>
    <row r="180" spans="30:67">
      <c r="AD180" s="3">
        <v>176</v>
      </c>
      <c r="AE180" s="3" t="str">
        <f t="shared" si="13"/>
        <v>Right</v>
      </c>
      <c r="AF180" s="3" t="str">
        <f t="shared" si="14"/>
        <v>ROB</v>
      </c>
      <c r="AG180" s="3" t="str">
        <f>IF(XS_Designer_Summary!$AB$24&gt;=XS_Designer_Summary!AD180,"Y","N")</f>
        <v>Y</v>
      </c>
      <c r="AH180" s="45">
        <v>1</v>
      </c>
      <c r="AI180" s="45">
        <f>IF(AG180="Y",$O$19/XS_Designer_Summary!$AB$24,0)</f>
        <v>0.27201249999999999</v>
      </c>
      <c r="AJ180" s="45">
        <f t="shared" si="15"/>
        <v>0.27201249999999999</v>
      </c>
      <c r="AK180" s="14">
        <f t="shared" si="38"/>
        <v>20.94496249999996</v>
      </c>
      <c r="AL180" s="14">
        <f>IF(AG180="Y",LININTERP(AK180,XS_Designer_Calculations!$AY$4:$AY$104,XS_Designer_Calculations!$AZ$4:$AZ$104),AL179)</f>
        <v>3.0878742499999996</v>
      </c>
      <c r="AM180" s="14">
        <f t="shared" si="16"/>
        <v>1.9121257500000004</v>
      </c>
      <c r="AN180" s="14">
        <f t="shared" si="17"/>
        <v>0.51938219757031256</v>
      </c>
      <c r="AO180" s="46">
        <f t="shared" si="18"/>
        <v>0.27206689706083664</v>
      </c>
      <c r="AP180" s="46">
        <f t="shared" si="19"/>
        <v>1.9090238584011709</v>
      </c>
      <c r="AQ180" s="46">
        <f t="shared" si="20"/>
        <v>8.6035107064681392E-3</v>
      </c>
      <c r="AR180" s="14">
        <f>IFERROR(IF(AG180="Y",VLOOKUP(AK180,XS_Designer_Calculations!$R$5:$T$104,3,TRUE),0),0)</f>
        <v>0.1</v>
      </c>
      <c r="AS180" s="46">
        <f t="shared" si="21"/>
        <v>0.01</v>
      </c>
      <c r="AT180" s="14">
        <f t="shared" si="22"/>
        <v>11.87718277472773</v>
      </c>
      <c r="AU180" s="14">
        <f>AT180*XS_Designer_Calculations!$I$7^0.5</f>
        <v>1.187718277472773</v>
      </c>
      <c r="AV180" s="14">
        <f t="shared" si="23"/>
        <v>2.2867905042355305</v>
      </c>
      <c r="AW180" s="14">
        <f t="shared" si="24"/>
        <v>1.1912308876423305</v>
      </c>
      <c r="AX180" s="14">
        <f t="shared" si="25"/>
        <v>5</v>
      </c>
      <c r="AY180" s="46">
        <f t="shared" si="26"/>
        <v>1.9094056250000002</v>
      </c>
      <c r="AZ180" s="14">
        <f>((AS180*AP180)/(1.65*XS_Designer!$S$99))*12</f>
        <v>6.6863797685851889</v>
      </c>
      <c r="BA180" s="14">
        <f>(AW180/((1.65*62.4)*XS_Designer!$AA$53))*12</f>
        <v>2.3139683132135405</v>
      </c>
      <c r="BB180" s="14">
        <f t="shared" si="27"/>
        <v>3.6897271751639646</v>
      </c>
      <c r="BC180" s="14">
        <f t="shared" si="28"/>
        <v>6.8152353958797907</v>
      </c>
      <c r="BD180" s="14">
        <f>IF(ISNUMBER(LININTERP(AW180,Permissible_Shear!$T$178:$T$188,Permissible_Shear!$V$178:$V$188)),LININTERP(AW180,Permissible_Shear!$T$178:$T$188,Permissible_Shear!$V$178:$V$188),0)</f>
        <v>3.970786920468008</v>
      </c>
      <c r="BE180" s="14">
        <f>LININTERP(AW180,Permissible_Shear!$S$205:$S$222,Permissible_Shear!$V$205:$V$222)</f>
        <v>4.0350965238822827</v>
      </c>
      <c r="BF180" s="14">
        <f>INDEX($AZ$3:$BE$204,ROW(BF180)-2,MATCH(XS_Designer!$W$5,XS_Designer_Summary!$AZ$2:$BE$2,0))</f>
        <v>3.6897271751639646</v>
      </c>
      <c r="BG180" s="79">
        <f t="shared" si="29"/>
        <v>0</v>
      </c>
      <c r="BH180" s="79">
        <f t="shared" si="30"/>
        <v>2.2867905042355305</v>
      </c>
      <c r="BI180" s="79">
        <f t="shared" si="31"/>
        <v>0</v>
      </c>
      <c r="BJ180" s="79">
        <f t="shared" si="32"/>
        <v>0</v>
      </c>
      <c r="BK180" s="79">
        <f t="shared" si="33"/>
        <v>1.1912308876423305</v>
      </c>
      <c r="BL180" s="79">
        <f t="shared" si="34"/>
        <v>0</v>
      </c>
      <c r="BM180" s="124">
        <f t="shared" si="35"/>
        <v>0</v>
      </c>
      <c r="BN180" s="124">
        <f t="shared" si="36"/>
        <v>1.9090238584011709</v>
      </c>
      <c r="BO180" s="124">
        <f t="shared" si="37"/>
        <v>0</v>
      </c>
    </row>
    <row r="181" spans="30:67">
      <c r="AD181" s="3">
        <v>177</v>
      </c>
      <c r="AE181" s="3" t="str">
        <f t="shared" si="13"/>
        <v>Right</v>
      </c>
      <c r="AF181" s="3" t="str">
        <f t="shared" si="14"/>
        <v>ROB</v>
      </c>
      <c r="AG181" s="3" t="str">
        <f>IF(XS_Designer_Summary!$AB$24&gt;=XS_Designer_Summary!AD181,"Y","N")</f>
        <v>Y</v>
      </c>
      <c r="AH181" s="45">
        <v>1</v>
      </c>
      <c r="AI181" s="45">
        <f>IF(AG181="Y",$O$19/XS_Designer_Summary!$AB$24,0)</f>
        <v>0.27201249999999999</v>
      </c>
      <c r="AJ181" s="45">
        <f t="shared" si="15"/>
        <v>0.27201249999999999</v>
      </c>
      <c r="AK181" s="14">
        <f t="shared" si="38"/>
        <v>21.216974999999959</v>
      </c>
      <c r="AL181" s="14">
        <f>IF(AG181="Y",LININTERP(AK181,XS_Designer_Calculations!$AY$4:$AY$104,XS_Designer_Calculations!$AZ$4:$AZ$104),AL180)</f>
        <v>3.0933144999999995</v>
      </c>
      <c r="AM181" s="14">
        <f t="shared" si="16"/>
        <v>1.9066855000000005</v>
      </c>
      <c r="AN181" s="14">
        <f t="shared" si="17"/>
        <v>0.5179023815671876</v>
      </c>
      <c r="AO181" s="46">
        <f t="shared" si="18"/>
        <v>0.27206689706083664</v>
      </c>
      <c r="AP181" s="46">
        <f t="shared" si="19"/>
        <v>1.9035846961248648</v>
      </c>
      <c r="AQ181" s="46">
        <f t="shared" si="20"/>
        <v>8.6035107064681392E-3</v>
      </c>
      <c r="AR181" s="14">
        <f>IFERROR(IF(AG181="Y",VLOOKUP(AK181,XS_Designer_Calculations!$R$5:$T$104,3,TRUE),0),0)</f>
        <v>0.1</v>
      </c>
      <c r="AS181" s="46">
        <f t="shared" si="21"/>
        <v>0.01</v>
      </c>
      <c r="AT181" s="14">
        <f t="shared" si="22"/>
        <v>11.820835870443204</v>
      </c>
      <c r="AU181" s="14">
        <f>AT181*XS_Designer_Calculations!$I$7^0.5</f>
        <v>1.1820835870443205</v>
      </c>
      <c r="AV181" s="14">
        <f t="shared" si="23"/>
        <v>2.2824447793951079</v>
      </c>
      <c r="AW181" s="14">
        <f t="shared" si="24"/>
        <v>1.1878368503819157</v>
      </c>
      <c r="AX181" s="14">
        <f t="shared" si="25"/>
        <v>5</v>
      </c>
      <c r="AY181" s="46">
        <f t="shared" si="26"/>
        <v>1.9039653750000005</v>
      </c>
      <c r="AZ181" s="14">
        <f>((AS181*AP181)/(1.65*XS_Designer!$S$99))*12</f>
        <v>6.667329035173819</v>
      </c>
      <c r="BA181" s="14">
        <f>(AW181/((1.65*62.4)*XS_Designer!$AA$53))*12</f>
        <v>2.3073753892422606</v>
      </c>
      <c r="BB181" s="14">
        <f t="shared" si="27"/>
        <v>3.6787891628265812</v>
      </c>
      <c r="BC181" s="14">
        <f t="shared" si="28"/>
        <v>6.8009684989950339</v>
      </c>
      <c r="BD181" s="14">
        <f>IF(ISNUMBER(LININTERP(AW181,Permissible_Shear!$T$178:$T$188,Permissible_Shear!$V$178:$V$188)),LININTERP(AW181,Permissible_Shear!$T$178:$T$188,Permissible_Shear!$V$178:$V$188),0)</f>
        <v>3.960185385457927</v>
      </c>
      <c r="BE181" s="14">
        <f>LININTERP(AW181,Permissible_Shear!$S$205:$S$222,Permissible_Shear!$V$205:$V$222)</f>
        <v>4.0244901574434859</v>
      </c>
      <c r="BF181" s="14">
        <f>INDEX($AZ$3:$BE$204,ROW(BF181)-2,MATCH(XS_Designer!$W$5,XS_Designer_Summary!$AZ$2:$BE$2,0))</f>
        <v>3.6787891628265812</v>
      </c>
      <c r="BG181" s="79">
        <f t="shared" si="29"/>
        <v>0</v>
      </c>
      <c r="BH181" s="79">
        <f t="shared" si="30"/>
        <v>2.2824447793951079</v>
      </c>
      <c r="BI181" s="79">
        <f t="shared" si="31"/>
        <v>0</v>
      </c>
      <c r="BJ181" s="79">
        <f t="shared" si="32"/>
        <v>0</v>
      </c>
      <c r="BK181" s="79">
        <f t="shared" si="33"/>
        <v>1.1878368503819157</v>
      </c>
      <c r="BL181" s="79">
        <f t="shared" si="34"/>
        <v>0</v>
      </c>
      <c r="BM181" s="124">
        <f t="shared" si="35"/>
        <v>0</v>
      </c>
      <c r="BN181" s="124">
        <f t="shared" si="36"/>
        <v>1.9035846961248648</v>
      </c>
      <c r="BO181" s="124">
        <f t="shared" si="37"/>
        <v>0</v>
      </c>
    </row>
    <row r="182" spans="30:67">
      <c r="AD182" s="3">
        <v>178</v>
      </c>
      <c r="AE182" s="3" t="str">
        <f t="shared" si="13"/>
        <v>Right</v>
      </c>
      <c r="AF182" s="3" t="str">
        <f t="shared" si="14"/>
        <v>ROB</v>
      </c>
      <c r="AG182" s="3" t="str">
        <f>IF(XS_Designer_Summary!$AB$24&gt;=XS_Designer_Summary!AD182,"Y","N")</f>
        <v>Y</v>
      </c>
      <c r="AH182" s="45">
        <v>1</v>
      </c>
      <c r="AI182" s="45">
        <f>IF(AG182="Y",$O$19/XS_Designer_Summary!$AB$24,0)</f>
        <v>0.27201249999999999</v>
      </c>
      <c r="AJ182" s="45">
        <f t="shared" si="15"/>
        <v>0.27201249999999999</v>
      </c>
      <c r="AK182" s="14">
        <f t="shared" si="38"/>
        <v>21.488987499999958</v>
      </c>
      <c r="AL182" s="14">
        <f>IF(AG182="Y",LININTERP(AK182,XS_Designer_Calculations!$AY$4:$AY$104,XS_Designer_Calculations!$AZ$4:$AZ$104),AL181)</f>
        <v>3.0987547499999994</v>
      </c>
      <c r="AM182" s="14">
        <f t="shared" si="16"/>
        <v>1.9012452500000006</v>
      </c>
      <c r="AN182" s="14">
        <f t="shared" si="17"/>
        <v>0.51642256556406263</v>
      </c>
      <c r="AO182" s="46">
        <f t="shared" si="18"/>
        <v>0.27206689706083664</v>
      </c>
      <c r="AP182" s="46">
        <f t="shared" si="19"/>
        <v>1.8981455338485587</v>
      </c>
      <c r="AQ182" s="46">
        <f t="shared" si="20"/>
        <v>8.6035107064681392E-3</v>
      </c>
      <c r="AR182" s="14">
        <f>IFERROR(IF(AG182="Y",VLOOKUP(AK182,XS_Designer_Calculations!$R$5:$T$104,3,TRUE),0),0)</f>
        <v>0.1</v>
      </c>
      <c r="AS182" s="46">
        <f t="shared" si="21"/>
        <v>0.01</v>
      </c>
      <c r="AT182" s="14">
        <f t="shared" si="22"/>
        <v>11.764596198412001</v>
      </c>
      <c r="AU182" s="14">
        <f>AT182*XS_Designer_Calculations!$I$7^0.5</f>
        <v>1.1764596198412001</v>
      </c>
      <c r="AV182" s="14">
        <f t="shared" si="23"/>
        <v>2.278094913525345</v>
      </c>
      <c r="AW182" s="14">
        <f t="shared" si="24"/>
        <v>1.1844428131215006</v>
      </c>
      <c r="AX182" s="14">
        <f t="shared" si="25"/>
        <v>5</v>
      </c>
      <c r="AY182" s="46">
        <f t="shared" si="26"/>
        <v>1.8985251250000006</v>
      </c>
      <c r="AZ182" s="14">
        <f>((AS182*AP182)/(1.65*XS_Designer!$S$99))*12</f>
        <v>6.6482783017624492</v>
      </c>
      <c r="BA182" s="14">
        <f>(AW182/((1.65*62.4)*XS_Designer!$AA$53))*12</f>
        <v>2.3007824652709807</v>
      </c>
      <c r="BB182" s="14">
        <f t="shared" si="27"/>
        <v>3.6678524611854195</v>
      </c>
      <c r="BC182" s="14">
        <f t="shared" si="28"/>
        <v>6.7866908310229235</v>
      </c>
      <c r="BD182" s="14">
        <f>IF(ISNUMBER(LININTERP(AW182,Permissible_Shear!$T$178:$T$188,Permissible_Shear!$V$178:$V$188)),LININTERP(AW182,Permissible_Shear!$T$178:$T$188,Permissible_Shear!$V$178:$V$188),0)</f>
        <v>3.9495838504478451</v>
      </c>
      <c r="BE182" s="14">
        <f>LININTERP(AW182,Permissible_Shear!$S$205:$S$222,Permissible_Shear!$V$205:$V$222)</f>
        <v>4.0138837910046892</v>
      </c>
      <c r="BF182" s="14">
        <f>INDEX($AZ$3:$BE$204,ROW(BF182)-2,MATCH(XS_Designer!$W$5,XS_Designer_Summary!$AZ$2:$BE$2,0))</f>
        <v>3.6678524611854195</v>
      </c>
      <c r="BG182" s="79">
        <f t="shared" si="29"/>
        <v>0</v>
      </c>
      <c r="BH182" s="79">
        <f t="shared" si="30"/>
        <v>2.278094913525345</v>
      </c>
      <c r="BI182" s="79">
        <f t="shared" si="31"/>
        <v>0</v>
      </c>
      <c r="BJ182" s="79">
        <f t="shared" si="32"/>
        <v>0</v>
      </c>
      <c r="BK182" s="79">
        <f t="shared" si="33"/>
        <v>1.1844428131215006</v>
      </c>
      <c r="BL182" s="79">
        <f t="shared" si="34"/>
        <v>0</v>
      </c>
      <c r="BM182" s="124">
        <f t="shared" si="35"/>
        <v>0</v>
      </c>
      <c r="BN182" s="124">
        <f t="shared" si="36"/>
        <v>1.8981455338485587</v>
      </c>
      <c r="BO182" s="124">
        <f t="shared" si="37"/>
        <v>0</v>
      </c>
    </row>
    <row r="183" spans="30:67">
      <c r="AD183" s="3">
        <v>179</v>
      </c>
      <c r="AE183" s="3" t="str">
        <f t="shared" si="13"/>
        <v>Right</v>
      </c>
      <c r="AF183" s="3" t="str">
        <f t="shared" si="14"/>
        <v>ROB</v>
      </c>
      <c r="AG183" s="3" t="str">
        <f>IF(XS_Designer_Summary!$AB$24&gt;=XS_Designer_Summary!AD183,"Y","N")</f>
        <v>Y</v>
      </c>
      <c r="AH183" s="45">
        <v>1</v>
      </c>
      <c r="AI183" s="45">
        <f>IF(AG183="Y",$O$19/XS_Designer_Summary!$AB$24,0)</f>
        <v>0.27201249999999999</v>
      </c>
      <c r="AJ183" s="45">
        <f t="shared" si="15"/>
        <v>0.27201249999999999</v>
      </c>
      <c r="AK183" s="14">
        <f t="shared" si="38"/>
        <v>21.760999999999957</v>
      </c>
      <c r="AL183" s="14">
        <f>IF(AG183="Y",LININTERP(AK183,XS_Designer_Calculations!$AY$4:$AY$104,XS_Designer_Calculations!$AZ$4:$AZ$104),AL182)</f>
        <v>3.1041949999999994</v>
      </c>
      <c r="AM183" s="14">
        <f t="shared" si="16"/>
        <v>1.8958050000000006</v>
      </c>
      <c r="AN183" s="14">
        <f t="shared" si="17"/>
        <v>0.51494274956093755</v>
      </c>
      <c r="AO183" s="46">
        <f t="shared" si="18"/>
        <v>0.27206689706083664</v>
      </c>
      <c r="AP183" s="46">
        <f t="shared" si="19"/>
        <v>1.8927063715722521</v>
      </c>
      <c r="AQ183" s="46">
        <f t="shared" si="20"/>
        <v>8.6035107064681392E-3</v>
      </c>
      <c r="AR183" s="14">
        <f>IFERROR(IF(AG183="Y",VLOOKUP(AK183,XS_Designer_Calculations!$R$5:$T$104,3,TRUE),0),0)</f>
        <v>0.1</v>
      </c>
      <c r="AS183" s="46">
        <f t="shared" si="21"/>
        <v>0.01</v>
      </c>
      <c r="AT183" s="14">
        <f t="shared" si="22"/>
        <v>11.708463860961791</v>
      </c>
      <c r="AU183" s="14">
        <f>AT183*XS_Designer_Calculations!$I$7^0.5</f>
        <v>1.1708463860961791</v>
      </c>
      <c r="AV183" s="14">
        <f t="shared" si="23"/>
        <v>2.2737408907970709</v>
      </c>
      <c r="AW183" s="14">
        <f t="shared" si="24"/>
        <v>1.1810487758610853</v>
      </c>
      <c r="AX183" s="14">
        <f t="shared" si="25"/>
        <v>5</v>
      </c>
      <c r="AY183" s="46">
        <f t="shared" si="26"/>
        <v>1.8930848750000002</v>
      </c>
      <c r="AZ183" s="14">
        <f>((AS183*AP183)/(1.65*XS_Designer!$S$99))*12</f>
        <v>6.6292275683510784</v>
      </c>
      <c r="BA183" s="14">
        <f>(AW183/((1.65*62.4)*XS_Designer!$AA$53))*12</f>
        <v>2.2941895412996995</v>
      </c>
      <c r="BB183" s="14">
        <f t="shared" si="27"/>
        <v>3.6569170738332026</v>
      </c>
      <c r="BC183" s="14">
        <f t="shared" si="28"/>
        <v>6.772402352976032</v>
      </c>
      <c r="BD183" s="14">
        <f>IF(ISNUMBER(LININTERP(AW183,Permissible_Shear!$T$178:$T$188,Permissible_Shear!$V$178:$V$188)),LININTERP(AW183,Permissible_Shear!$T$178:$T$188,Permissible_Shear!$V$178:$V$188),0)</f>
        <v>3.9389823154377628</v>
      </c>
      <c r="BE183" s="14">
        <f>LININTERP(AW183,Permissible_Shear!$S$205:$S$222,Permissible_Shear!$V$205:$V$222)</f>
        <v>4.0032774245658915</v>
      </c>
      <c r="BF183" s="14">
        <f>INDEX($AZ$3:$BE$204,ROW(BF183)-2,MATCH(XS_Designer!$W$5,XS_Designer_Summary!$AZ$2:$BE$2,0))</f>
        <v>3.6569170738332026</v>
      </c>
      <c r="BG183" s="79">
        <f t="shared" si="29"/>
        <v>0</v>
      </c>
      <c r="BH183" s="79">
        <f t="shared" si="30"/>
        <v>2.2737408907970709</v>
      </c>
      <c r="BI183" s="79">
        <f t="shared" si="31"/>
        <v>0</v>
      </c>
      <c r="BJ183" s="79">
        <f t="shared" si="32"/>
        <v>0</v>
      </c>
      <c r="BK183" s="79">
        <f t="shared" si="33"/>
        <v>1.1810487758610853</v>
      </c>
      <c r="BL183" s="79">
        <f t="shared" si="34"/>
        <v>0</v>
      </c>
      <c r="BM183" s="124">
        <f t="shared" si="35"/>
        <v>0</v>
      </c>
      <c r="BN183" s="124">
        <f t="shared" si="36"/>
        <v>1.8927063715722521</v>
      </c>
      <c r="BO183" s="124">
        <f t="shared" si="37"/>
        <v>0</v>
      </c>
    </row>
    <row r="184" spans="30:67">
      <c r="AD184" s="3">
        <v>180</v>
      </c>
      <c r="AE184" s="3" t="str">
        <f t="shared" si="13"/>
        <v>Right</v>
      </c>
      <c r="AF184" s="3" t="str">
        <f t="shared" si="14"/>
        <v>ROB</v>
      </c>
      <c r="AG184" s="3" t="str">
        <f>IF(XS_Designer_Summary!$AB$24&gt;=XS_Designer_Summary!AD184,"Y","N")</f>
        <v>Y</v>
      </c>
      <c r="AH184" s="45">
        <v>1</v>
      </c>
      <c r="AI184" s="45">
        <f>IF(AG184="Y",$O$19/XS_Designer_Summary!$AB$24,0)</f>
        <v>0.27201249999999999</v>
      </c>
      <c r="AJ184" s="45">
        <f t="shared" si="15"/>
        <v>0.27201249999999999</v>
      </c>
      <c r="AK184" s="14">
        <f t="shared" si="38"/>
        <v>22.033012499999955</v>
      </c>
      <c r="AL184" s="14">
        <f>IF(AG184="Y",LININTERP(AK184,XS_Designer_Calculations!$AY$4:$AY$104,XS_Designer_Calculations!$AZ$4:$AZ$104),AL183)</f>
        <v>3.1096352499999997</v>
      </c>
      <c r="AM184" s="14">
        <f t="shared" si="16"/>
        <v>1.8903647500000003</v>
      </c>
      <c r="AN184" s="14">
        <f t="shared" si="17"/>
        <v>0.51346293355781258</v>
      </c>
      <c r="AO184" s="46">
        <f t="shared" si="18"/>
        <v>0.27206689706083664</v>
      </c>
      <c r="AP184" s="46">
        <f t="shared" si="19"/>
        <v>1.8872672092959459</v>
      </c>
      <c r="AQ184" s="46">
        <f t="shared" si="20"/>
        <v>8.6035107064681392E-3</v>
      </c>
      <c r="AR184" s="14">
        <f>IFERROR(IF(AG184="Y",VLOOKUP(AK184,XS_Designer_Calculations!$R$5:$T$104,3,TRUE),0),0)</f>
        <v>0.1</v>
      </c>
      <c r="AS184" s="46">
        <f t="shared" si="21"/>
        <v>0.01</v>
      </c>
      <c r="AT184" s="14">
        <f t="shared" si="22"/>
        <v>11.652438960811971</v>
      </c>
      <c r="AU184" s="14">
        <f>AT184*XS_Designer_Calculations!$I$7^0.5</f>
        <v>1.1652438960811971</v>
      </c>
      <c r="AV184" s="14">
        <f t="shared" si="23"/>
        <v>2.2693826952749223</v>
      </c>
      <c r="AW184" s="14">
        <f t="shared" si="24"/>
        <v>1.1776547386006702</v>
      </c>
      <c r="AX184" s="14">
        <f t="shared" si="25"/>
        <v>5</v>
      </c>
      <c r="AY184" s="46">
        <f t="shared" si="26"/>
        <v>1.8876446250000003</v>
      </c>
      <c r="AZ184" s="14">
        <f>((AS184*AP184)/(1.65*XS_Designer!$S$99))*12</f>
        <v>6.6101768349397076</v>
      </c>
      <c r="BA184" s="14">
        <f>(AW184/((1.65*62.4)*XS_Designer!$AA$53))*12</f>
        <v>2.2875966173284192</v>
      </c>
      <c r="BB184" s="14">
        <f t="shared" si="27"/>
        <v>3.6459830043828325</v>
      </c>
      <c r="BC184" s="14">
        <f t="shared" si="28"/>
        <v>6.7581030256134742</v>
      </c>
      <c r="BD184" s="14">
        <f>IF(ISNUMBER(LININTERP(AW184,Permissible_Shear!$T$178:$T$188,Permissible_Shear!$V$178:$V$188)),LININTERP(AW184,Permissible_Shear!$T$178:$T$188,Permissible_Shear!$V$178:$V$188),0)</f>
        <v>3.9283807804276814</v>
      </c>
      <c r="BE184" s="14">
        <f>LININTERP(AW184,Permissible_Shear!$S$205:$S$222,Permissible_Shear!$V$205:$V$222)</f>
        <v>3.9926710581270939</v>
      </c>
      <c r="BF184" s="14">
        <f>INDEX($AZ$3:$BE$204,ROW(BF184)-2,MATCH(XS_Designer!$W$5,XS_Designer_Summary!$AZ$2:$BE$2,0))</f>
        <v>3.6459830043828325</v>
      </c>
      <c r="BG184" s="79">
        <f t="shared" si="29"/>
        <v>0</v>
      </c>
      <c r="BH184" s="79">
        <f t="shared" si="30"/>
        <v>2.2693826952749223</v>
      </c>
      <c r="BI184" s="79">
        <f t="shared" si="31"/>
        <v>0</v>
      </c>
      <c r="BJ184" s="79">
        <f t="shared" si="32"/>
        <v>0</v>
      </c>
      <c r="BK184" s="79">
        <f t="shared" si="33"/>
        <v>1.1776547386006702</v>
      </c>
      <c r="BL184" s="79">
        <f t="shared" si="34"/>
        <v>0</v>
      </c>
      <c r="BM184" s="124">
        <f t="shared" si="35"/>
        <v>0</v>
      </c>
      <c r="BN184" s="124">
        <f t="shared" si="36"/>
        <v>1.8872672092959459</v>
      </c>
      <c r="BO184" s="124">
        <f t="shared" si="37"/>
        <v>0</v>
      </c>
    </row>
    <row r="185" spans="30:67">
      <c r="AD185" s="3">
        <v>181</v>
      </c>
      <c r="AE185" s="3" t="str">
        <f t="shared" si="13"/>
        <v>Right</v>
      </c>
      <c r="AF185" s="3" t="str">
        <f t="shared" si="14"/>
        <v>ROB</v>
      </c>
      <c r="AG185" s="3" t="str">
        <f>IF(XS_Designer_Summary!$AB$24&gt;=XS_Designer_Summary!AD185,"Y","N")</f>
        <v>Y</v>
      </c>
      <c r="AH185" s="45">
        <v>1</v>
      </c>
      <c r="AI185" s="45">
        <f>IF(AG185="Y",$O$19/XS_Designer_Summary!$AB$24,0)</f>
        <v>0.27201249999999999</v>
      </c>
      <c r="AJ185" s="45">
        <f t="shared" si="15"/>
        <v>0.27201249999999999</v>
      </c>
      <c r="AK185" s="14">
        <f t="shared" si="38"/>
        <v>22.305024999999954</v>
      </c>
      <c r="AL185" s="14">
        <f>IF(AG185="Y",LININTERP(AK185,XS_Designer_Calculations!$AY$4:$AY$104,XS_Designer_Calculations!$AZ$4:$AZ$104),AL184)</f>
        <v>3.1150754999999997</v>
      </c>
      <c r="AM185" s="14">
        <f t="shared" si="16"/>
        <v>1.8849245000000003</v>
      </c>
      <c r="AN185" s="14">
        <f t="shared" si="17"/>
        <v>0.51198311755468762</v>
      </c>
      <c r="AO185" s="46">
        <f t="shared" si="18"/>
        <v>0.27206689706083664</v>
      </c>
      <c r="AP185" s="46">
        <f t="shared" si="19"/>
        <v>1.8818280470196398</v>
      </c>
      <c r="AQ185" s="46">
        <f t="shared" si="20"/>
        <v>8.6035107064681392E-3</v>
      </c>
      <c r="AR185" s="14">
        <f>IFERROR(IF(AG185="Y",VLOOKUP(AK185,XS_Designer_Calculations!$R$5:$T$104,3,TRUE),0),0)</f>
        <v>0.1</v>
      </c>
      <c r="AS185" s="46">
        <f t="shared" si="21"/>
        <v>0.01</v>
      </c>
      <c r="AT185" s="14">
        <f t="shared" si="22"/>
        <v>11.596521601076267</v>
      </c>
      <c r="AU185" s="14">
        <f>AT185*XS_Designer_Calculations!$I$7^0.5</f>
        <v>1.1596521601076268</v>
      </c>
      <c r="AV185" s="14">
        <f t="shared" si="23"/>
        <v>2.2650203109163227</v>
      </c>
      <c r="AW185" s="14">
        <f t="shared" si="24"/>
        <v>1.1742607013402553</v>
      </c>
      <c r="AX185" s="14">
        <f t="shared" si="25"/>
        <v>5</v>
      </c>
      <c r="AY185" s="46">
        <f t="shared" si="26"/>
        <v>1.8822043750000006</v>
      </c>
      <c r="AZ185" s="14">
        <f>((AS185*AP185)/(1.65*XS_Designer!$S$99))*12</f>
        <v>6.5911261015283387</v>
      </c>
      <c r="BA185" s="14">
        <f>(AW185/((1.65*62.4)*XS_Designer!$AA$53))*12</f>
        <v>2.2810036933571398</v>
      </c>
      <c r="BB185" s="14">
        <f t="shared" si="27"/>
        <v>3.635050256467574</v>
      </c>
      <c r="BC185" s="14">
        <f t="shared" si="28"/>
        <v>6.743792809438542</v>
      </c>
      <c r="BD185" s="14">
        <f>IF(ISNUMBER(LININTERP(AW185,Permissible_Shear!$T$178:$T$188,Permissible_Shear!$V$178:$V$188)),LININTERP(AW185,Permissible_Shear!$T$178:$T$188,Permissible_Shear!$V$178:$V$188),0)</f>
        <v>3.9177792454176004</v>
      </c>
      <c r="BE185" s="14">
        <f>LININTERP(AW185,Permissible_Shear!$S$205:$S$222,Permissible_Shear!$V$205:$V$222)</f>
        <v>3.9820646916882976</v>
      </c>
      <c r="BF185" s="14">
        <f>INDEX($AZ$3:$BE$204,ROW(BF185)-2,MATCH(XS_Designer!$W$5,XS_Designer_Summary!$AZ$2:$BE$2,0))</f>
        <v>3.635050256467574</v>
      </c>
      <c r="BG185" s="79">
        <f t="shared" si="29"/>
        <v>0</v>
      </c>
      <c r="BH185" s="79">
        <f t="shared" si="30"/>
        <v>2.2650203109163227</v>
      </c>
      <c r="BI185" s="79">
        <f t="shared" si="31"/>
        <v>0</v>
      </c>
      <c r="BJ185" s="79">
        <f t="shared" si="32"/>
        <v>0</v>
      </c>
      <c r="BK185" s="79">
        <f t="shared" si="33"/>
        <v>1.1742607013402553</v>
      </c>
      <c r="BL185" s="79">
        <f t="shared" si="34"/>
        <v>0</v>
      </c>
      <c r="BM185" s="124">
        <f t="shared" si="35"/>
        <v>0</v>
      </c>
      <c r="BN185" s="124">
        <f t="shared" si="36"/>
        <v>1.8818280470196398</v>
      </c>
      <c r="BO185" s="124">
        <f t="shared" si="37"/>
        <v>0</v>
      </c>
    </row>
    <row r="186" spans="30:67">
      <c r="AD186" s="3">
        <v>182</v>
      </c>
      <c r="AE186" s="3" t="str">
        <f t="shared" si="13"/>
        <v>Right</v>
      </c>
      <c r="AF186" s="3" t="str">
        <f t="shared" si="14"/>
        <v>ROB</v>
      </c>
      <c r="AG186" s="3" t="str">
        <f>IF(XS_Designer_Summary!$AB$24&gt;=XS_Designer_Summary!AD186,"Y","N")</f>
        <v>Y</v>
      </c>
      <c r="AH186" s="45">
        <v>1</v>
      </c>
      <c r="AI186" s="45">
        <f>IF(AG186="Y",$O$19/XS_Designer_Summary!$AB$24,0)</f>
        <v>0.27201249999999999</v>
      </c>
      <c r="AJ186" s="45">
        <f t="shared" si="15"/>
        <v>0.27201249999999999</v>
      </c>
      <c r="AK186" s="14">
        <f t="shared" si="38"/>
        <v>22.577037499999953</v>
      </c>
      <c r="AL186" s="14">
        <f>IF(AG186="Y",LININTERP(AK186,XS_Designer_Calculations!$AY$4:$AY$104,XS_Designer_Calculations!$AZ$4:$AZ$104),AL185)</f>
        <v>3.1205157499999996</v>
      </c>
      <c r="AM186" s="14">
        <f t="shared" si="16"/>
        <v>1.8794842500000004</v>
      </c>
      <c r="AN186" s="14">
        <f t="shared" si="17"/>
        <v>0.51050330155156265</v>
      </c>
      <c r="AO186" s="46">
        <f t="shared" si="18"/>
        <v>0.27206689706083664</v>
      </c>
      <c r="AP186" s="46">
        <f t="shared" si="19"/>
        <v>1.8763888847433337</v>
      </c>
      <c r="AQ186" s="46">
        <f t="shared" si="20"/>
        <v>8.6035107064681392E-3</v>
      </c>
      <c r="AR186" s="14">
        <f>IFERROR(IF(AG186="Y",VLOOKUP(AK186,XS_Designer_Calculations!$R$5:$T$104,3,TRUE),0),0)</f>
        <v>0.1</v>
      </c>
      <c r="AS186" s="46">
        <f t="shared" si="21"/>
        <v>0.01</v>
      </c>
      <c r="AT186" s="14">
        <f t="shared" si="22"/>
        <v>11.540711885265411</v>
      </c>
      <c r="AU186" s="14">
        <f>AT186*XS_Designer_Calculations!$I$7^0.5</f>
        <v>1.1540711885265411</v>
      </c>
      <c r="AV186" s="14">
        <f t="shared" si="23"/>
        <v>2.2606537215704487</v>
      </c>
      <c r="AW186" s="14">
        <f t="shared" si="24"/>
        <v>1.1708666640798402</v>
      </c>
      <c r="AX186" s="14">
        <f t="shared" si="25"/>
        <v>5</v>
      </c>
      <c r="AY186" s="46">
        <f t="shared" si="26"/>
        <v>1.8767641250000007</v>
      </c>
      <c r="AZ186" s="14">
        <f>((AS186*AP186)/(1.65*XS_Designer!$S$99))*12</f>
        <v>6.5720753681169697</v>
      </c>
      <c r="BA186" s="14">
        <f>(AW186/((1.65*62.4)*XS_Designer!$AA$53))*12</f>
        <v>2.2744107693858595</v>
      </c>
      <c r="BB186" s="14">
        <f t="shared" si="27"/>
        <v>3.6241188337412211</v>
      </c>
      <c r="BC186" s="14">
        <f t="shared" si="28"/>
        <v>6.7294716646962831</v>
      </c>
      <c r="BD186" s="14">
        <f>IF(ISNUMBER(LININTERP(AW186,Permissible_Shear!$T$178:$T$188,Permissible_Shear!$V$178:$V$188)),LININTERP(AW186,Permissible_Shear!$T$178:$T$188,Permissible_Shear!$V$178:$V$188),0)</f>
        <v>3.9071777104075189</v>
      </c>
      <c r="BE186" s="14">
        <f>LININTERP(AW186,Permissible_Shear!$S$205:$S$222,Permissible_Shear!$V$205:$V$222)</f>
        <v>3.9714583252495004</v>
      </c>
      <c r="BF186" s="14">
        <f>INDEX($AZ$3:$BE$204,ROW(BF186)-2,MATCH(XS_Designer!$W$5,XS_Designer_Summary!$AZ$2:$BE$2,0))</f>
        <v>3.6241188337412211</v>
      </c>
      <c r="BG186" s="79">
        <f t="shared" si="29"/>
        <v>0</v>
      </c>
      <c r="BH186" s="79">
        <f t="shared" si="30"/>
        <v>2.2606537215704487</v>
      </c>
      <c r="BI186" s="79">
        <f t="shared" si="31"/>
        <v>0</v>
      </c>
      <c r="BJ186" s="79">
        <f t="shared" si="32"/>
        <v>0</v>
      </c>
      <c r="BK186" s="79">
        <f t="shared" si="33"/>
        <v>1.1708666640798402</v>
      </c>
      <c r="BL186" s="79">
        <f t="shared" si="34"/>
        <v>0</v>
      </c>
      <c r="BM186" s="124">
        <f t="shared" si="35"/>
        <v>0</v>
      </c>
      <c r="BN186" s="124">
        <f t="shared" si="36"/>
        <v>1.8763888847433337</v>
      </c>
      <c r="BO186" s="124">
        <f t="shared" si="37"/>
        <v>0</v>
      </c>
    </row>
    <row r="187" spans="30:67">
      <c r="AD187" s="3">
        <v>183</v>
      </c>
      <c r="AE187" s="3" t="str">
        <f t="shared" si="13"/>
        <v>Right</v>
      </c>
      <c r="AF187" s="3" t="str">
        <f t="shared" si="14"/>
        <v>ROB</v>
      </c>
      <c r="AG187" s="3" t="str">
        <f>IF(XS_Designer_Summary!$AB$24&gt;=XS_Designer_Summary!AD187,"Y","N")</f>
        <v>Y</v>
      </c>
      <c r="AH187" s="45">
        <v>1</v>
      </c>
      <c r="AI187" s="45">
        <f>IF(AG187="Y",$O$19/XS_Designer_Summary!$AB$24,0)</f>
        <v>0.27201249999999999</v>
      </c>
      <c r="AJ187" s="45">
        <f t="shared" si="15"/>
        <v>0.27201249999999999</v>
      </c>
      <c r="AK187" s="14">
        <f t="shared" si="38"/>
        <v>22.849049999999952</v>
      </c>
      <c r="AL187" s="14">
        <f>IF(AG187="Y",LININTERP(AK187,XS_Designer_Calculations!$AY$4:$AY$104,XS_Designer_Calculations!$AZ$4:$AZ$104),AL186)</f>
        <v>3.1259559999999995</v>
      </c>
      <c r="AM187" s="14">
        <f t="shared" si="16"/>
        <v>1.8740440000000005</v>
      </c>
      <c r="AN187" s="14">
        <f t="shared" si="17"/>
        <v>0.50902348554843757</v>
      </c>
      <c r="AO187" s="46">
        <f t="shared" si="18"/>
        <v>0.27206689706083664</v>
      </c>
      <c r="AP187" s="46">
        <f t="shared" si="19"/>
        <v>1.8709497224670273</v>
      </c>
      <c r="AQ187" s="46">
        <f t="shared" si="20"/>
        <v>8.6035107064681392E-3</v>
      </c>
      <c r="AR187" s="14">
        <f>IFERROR(IF(AG187="Y",VLOOKUP(AK187,XS_Designer_Calculations!$R$5:$T$104,3,TRUE),0),0)</f>
        <v>0.1</v>
      </c>
      <c r="AS187" s="46">
        <f t="shared" si="21"/>
        <v>0.01</v>
      </c>
      <c r="AT187" s="14">
        <f t="shared" si="22"/>
        <v>11.485009917289819</v>
      </c>
      <c r="AU187" s="14">
        <f>AT187*XS_Designer_Calculations!$I$7^0.5</f>
        <v>1.1485009917289819</v>
      </c>
      <c r="AV187" s="14">
        <f t="shared" si="23"/>
        <v>2.2562829109771854</v>
      </c>
      <c r="AW187" s="14">
        <f t="shared" si="24"/>
        <v>1.1674726268194251</v>
      </c>
      <c r="AX187" s="14">
        <f t="shared" si="25"/>
        <v>5</v>
      </c>
      <c r="AY187" s="46">
        <f t="shared" si="26"/>
        <v>1.8713238750000003</v>
      </c>
      <c r="AZ187" s="14">
        <f>((AS187*AP187)/(1.65*XS_Designer!$S$99))*12</f>
        <v>6.5530246347055989</v>
      </c>
      <c r="BA187" s="14">
        <f>(AW187/((1.65*62.4)*XS_Designer!$AA$53))*12</f>
        <v>2.2678178454145792</v>
      </c>
      <c r="BB187" s="14">
        <f t="shared" si="27"/>
        <v>3.6131887398782725</v>
      </c>
      <c r="BC187" s="14">
        <f t="shared" si="28"/>
        <v>6.7151395513710659</v>
      </c>
      <c r="BD187" s="14">
        <f>IF(ISNUMBER(LININTERP(AW187,Permissible_Shear!$T$178:$T$188,Permissible_Shear!$V$178:$V$188)),LININTERP(AW187,Permissible_Shear!$T$178:$T$188,Permissible_Shear!$V$178:$V$188),0)</f>
        <v>3.8965761753974371</v>
      </c>
      <c r="BE187" s="14">
        <f>LININTERP(AW187,Permissible_Shear!$S$205:$S$222,Permissible_Shear!$V$205:$V$222)</f>
        <v>3.9608519588107032</v>
      </c>
      <c r="BF187" s="14">
        <f>INDEX($AZ$3:$BE$204,ROW(BF187)-2,MATCH(XS_Designer!$W$5,XS_Designer_Summary!$AZ$2:$BE$2,0))</f>
        <v>3.6131887398782725</v>
      </c>
      <c r="BG187" s="79">
        <f t="shared" si="29"/>
        <v>0</v>
      </c>
      <c r="BH187" s="79">
        <f t="shared" si="30"/>
        <v>2.2562829109771854</v>
      </c>
      <c r="BI187" s="79">
        <f t="shared" si="31"/>
        <v>0</v>
      </c>
      <c r="BJ187" s="79">
        <f t="shared" si="32"/>
        <v>0</v>
      </c>
      <c r="BK187" s="79">
        <f t="shared" si="33"/>
        <v>1.1674726268194251</v>
      </c>
      <c r="BL187" s="79">
        <f t="shared" si="34"/>
        <v>0</v>
      </c>
      <c r="BM187" s="124">
        <f t="shared" si="35"/>
        <v>0</v>
      </c>
      <c r="BN187" s="124">
        <f t="shared" si="36"/>
        <v>1.8709497224670273</v>
      </c>
      <c r="BO187" s="124">
        <f t="shared" si="37"/>
        <v>0</v>
      </c>
    </row>
    <row r="188" spans="30:67">
      <c r="AD188" s="3">
        <v>184</v>
      </c>
      <c r="AE188" s="3" t="str">
        <f t="shared" si="13"/>
        <v>Right</v>
      </c>
      <c r="AF188" s="3" t="str">
        <f t="shared" si="14"/>
        <v>ROB</v>
      </c>
      <c r="AG188" s="3" t="str">
        <f>IF(XS_Designer_Summary!$AB$24&gt;=XS_Designer_Summary!AD188,"Y","N")</f>
        <v>Y</v>
      </c>
      <c r="AH188" s="45">
        <v>1</v>
      </c>
      <c r="AI188" s="45">
        <f>IF(AG188="Y",$O$19/XS_Designer_Summary!$AB$24,0)</f>
        <v>0.27201249999999999</v>
      </c>
      <c r="AJ188" s="45">
        <f t="shared" si="15"/>
        <v>0.27201249999999999</v>
      </c>
      <c r="AK188" s="14">
        <f t="shared" si="38"/>
        <v>23.121062499999951</v>
      </c>
      <c r="AL188" s="14">
        <f>IF(AG188="Y",LININTERP(AK188,XS_Designer_Calculations!$AY$4:$AY$104,XS_Designer_Calculations!$AZ$4:$AZ$104),AL187)</f>
        <v>3.1313962499999994</v>
      </c>
      <c r="AM188" s="14">
        <f t="shared" si="16"/>
        <v>1.8686037500000006</v>
      </c>
      <c r="AN188" s="14">
        <f t="shared" si="17"/>
        <v>0.5075436695453126</v>
      </c>
      <c r="AO188" s="46">
        <f t="shared" si="18"/>
        <v>0.27206689706083664</v>
      </c>
      <c r="AP188" s="46">
        <f t="shared" si="19"/>
        <v>1.8655105601907211</v>
      </c>
      <c r="AQ188" s="46">
        <f t="shared" si="20"/>
        <v>8.6035107064681392E-3</v>
      </c>
      <c r="AR188" s="14">
        <f>IFERROR(IF(AG188="Y",VLOOKUP(AK188,XS_Designer_Calculations!$R$5:$T$104,3,TRUE),0),0)</f>
        <v>0.1</v>
      </c>
      <c r="AS188" s="46">
        <f t="shared" si="21"/>
        <v>0.01</v>
      </c>
      <c r="AT188" s="14">
        <f t="shared" si="22"/>
        <v>11.4294158014623</v>
      </c>
      <c r="AU188" s="14">
        <f>AT188*XS_Designer_Calculations!$I$7^0.5</f>
        <v>1.1429415801462299</v>
      </c>
      <c r="AV188" s="14">
        <f t="shared" si="23"/>
        <v>2.2519078627660631</v>
      </c>
      <c r="AW188" s="14">
        <f t="shared" si="24"/>
        <v>1.16407858955901</v>
      </c>
      <c r="AX188" s="14">
        <f t="shared" si="25"/>
        <v>5</v>
      </c>
      <c r="AY188" s="46">
        <f t="shared" si="26"/>
        <v>1.8658836250000004</v>
      </c>
      <c r="AZ188" s="14">
        <f>((AS188*AP188)/(1.65*XS_Designer!$S$99))*12</f>
        <v>6.5339739012942282</v>
      </c>
      <c r="BA188" s="14">
        <f>(AW188/((1.65*62.4)*XS_Designer!$AA$53))*12</f>
        <v>2.2612249214432989</v>
      </c>
      <c r="BB188" s="14">
        <f t="shared" si="27"/>
        <v>3.6022599785741121</v>
      </c>
      <c r="BC188" s="14">
        <f t="shared" si="28"/>
        <v>6.7007964291840985</v>
      </c>
      <c r="BD188" s="14">
        <f>IF(ISNUMBER(LININTERP(AW188,Permissible_Shear!$T$178:$T$188,Permissible_Shear!$V$178:$V$188)),LININTERP(AW188,Permissible_Shear!$T$178:$T$188,Permissible_Shear!$V$178:$V$188),0)</f>
        <v>3.8859746403873556</v>
      </c>
      <c r="BE188" s="14">
        <f>LININTERP(AW188,Permissible_Shear!$S$205:$S$222,Permissible_Shear!$V$205:$V$222)</f>
        <v>3.950245592371906</v>
      </c>
      <c r="BF188" s="14">
        <f>INDEX($AZ$3:$BE$204,ROW(BF188)-2,MATCH(XS_Designer!$W$5,XS_Designer_Summary!$AZ$2:$BE$2,0))</f>
        <v>3.6022599785741121</v>
      </c>
      <c r="BG188" s="79">
        <f t="shared" si="29"/>
        <v>0</v>
      </c>
      <c r="BH188" s="79">
        <f t="shared" si="30"/>
        <v>2.2519078627660631</v>
      </c>
      <c r="BI188" s="79">
        <f t="shared" si="31"/>
        <v>0</v>
      </c>
      <c r="BJ188" s="79">
        <f t="shared" si="32"/>
        <v>0</v>
      </c>
      <c r="BK188" s="79">
        <f t="shared" si="33"/>
        <v>1.16407858955901</v>
      </c>
      <c r="BL188" s="79">
        <f t="shared" si="34"/>
        <v>0</v>
      </c>
      <c r="BM188" s="124">
        <f t="shared" si="35"/>
        <v>0</v>
      </c>
      <c r="BN188" s="124">
        <f t="shared" si="36"/>
        <v>1.8655105601907211</v>
      </c>
      <c r="BO188" s="124">
        <f t="shared" si="37"/>
        <v>0</v>
      </c>
    </row>
    <row r="189" spans="30:67">
      <c r="AD189" s="3">
        <v>185</v>
      </c>
      <c r="AE189" s="3" t="str">
        <f t="shared" si="13"/>
        <v>Right</v>
      </c>
      <c r="AF189" s="3" t="str">
        <f t="shared" si="14"/>
        <v>ROB</v>
      </c>
      <c r="AG189" s="3" t="str">
        <f>IF(XS_Designer_Summary!$AB$24&gt;=XS_Designer_Summary!AD189,"Y","N")</f>
        <v>Y</v>
      </c>
      <c r="AH189" s="45">
        <v>1</v>
      </c>
      <c r="AI189" s="45">
        <f>IF(AG189="Y",$O$19/XS_Designer_Summary!$AB$24,0)</f>
        <v>0.27201249999999999</v>
      </c>
      <c r="AJ189" s="45">
        <f t="shared" si="15"/>
        <v>0.27201249999999999</v>
      </c>
      <c r="AK189" s="14">
        <f t="shared" si="38"/>
        <v>23.39307499999995</v>
      </c>
      <c r="AL189" s="14">
        <f>IF(AG189="Y",LININTERP(AK189,XS_Designer_Calculations!$AY$4:$AY$104,XS_Designer_Calculations!$AZ$4:$AZ$104),AL188)</f>
        <v>3.1368364999999994</v>
      </c>
      <c r="AM189" s="14">
        <f t="shared" si="16"/>
        <v>1.8631635000000006</v>
      </c>
      <c r="AN189" s="14">
        <f t="shared" si="17"/>
        <v>0.50606385354218764</v>
      </c>
      <c r="AO189" s="46">
        <f t="shared" si="18"/>
        <v>0.27206689706083664</v>
      </c>
      <c r="AP189" s="46">
        <f t="shared" si="19"/>
        <v>1.860071397914415</v>
      </c>
      <c r="AQ189" s="46">
        <f t="shared" si="20"/>
        <v>8.6035107064681392E-3</v>
      </c>
      <c r="AR189" s="14">
        <f>IFERROR(IF(AG189="Y",VLOOKUP(AK189,XS_Designer_Calculations!$R$5:$T$104,3,TRUE),0),0)</f>
        <v>0.1</v>
      </c>
      <c r="AS189" s="46">
        <f t="shared" si="21"/>
        <v>0.01</v>
      </c>
      <c r="AT189" s="14">
        <f t="shared" si="22"/>
        <v>11.373929642500789</v>
      </c>
      <c r="AU189" s="14">
        <f>AT189*XS_Designer_Calculations!$I$7^0.5</f>
        <v>1.1373929642500789</v>
      </c>
      <c r="AV189" s="14">
        <f t="shared" si="23"/>
        <v>2.2475285604551893</v>
      </c>
      <c r="AW189" s="14">
        <f t="shared" si="24"/>
        <v>1.1606845522985949</v>
      </c>
      <c r="AX189" s="14">
        <f t="shared" si="25"/>
        <v>5</v>
      </c>
      <c r="AY189" s="46">
        <f t="shared" si="26"/>
        <v>1.8604433750000007</v>
      </c>
      <c r="AZ189" s="14">
        <f>((AS189*AP189)/(1.65*XS_Designer!$S$99))*12</f>
        <v>6.5149231678828592</v>
      </c>
      <c r="BA189" s="14">
        <f>(AW189/((1.65*62.4)*XS_Designer!$AA$53))*12</f>
        <v>2.2546319974720186</v>
      </c>
      <c r="BB189" s="14">
        <f t="shared" si="27"/>
        <v>3.5913325535451919</v>
      </c>
      <c r="BC189" s="14">
        <f t="shared" si="28"/>
        <v>6.6864422575909375</v>
      </c>
      <c r="BD189" s="14">
        <f>IF(ISNUMBER(LININTERP(AW189,Permissible_Shear!$T$178:$T$188,Permissible_Shear!$V$178:$V$188)),LININTERP(AW189,Permissible_Shear!$T$178:$T$188,Permissible_Shear!$V$178:$V$188),0)</f>
        <v>3.8753731053772738</v>
      </c>
      <c r="BE189" s="14">
        <f>LININTERP(AW189,Permissible_Shear!$S$205:$S$222,Permissible_Shear!$V$205:$V$222)</f>
        <v>3.9396392259331088</v>
      </c>
      <c r="BF189" s="14">
        <f>INDEX($AZ$3:$BE$204,ROW(BF189)-2,MATCH(XS_Designer!$W$5,XS_Designer_Summary!$AZ$2:$BE$2,0))</f>
        <v>3.5913325535451919</v>
      </c>
      <c r="BG189" s="79">
        <f t="shared" si="29"/>
        <v>0</v>
      </c>
      <c r="BH189" s="79">
        <f t="shared" si="30"/>
        <v>2.2475285604551893</v>
      </c>
      <c r="BI189" s="79">
        <f t="shared" si="31"/>
        <v>0</v>
      </c>
      <c r="BJ189" s="79">
        <f t="shared" si="32"/>
        <v>0</v>
      </c>
      <c r="BK189" s="79">
        <f t="shared" si="33"/>
        <v>1.1606845522985949</v>
      </c>
      <c r="BL189" s="79">
        <f t="shared" si="34"/>
        <v>0</v>
      </c>
      <c r="BM189" s="124">
        <f t="shared" si="35"/>
        <v>0</v>
      </c>
      <c r="BN189" s="124">
        <f t="shared" si="36"/>
        <v>1.860071397914415</v>
      </c>
      <c r="BO189" s="124">
        <f t="shared" si="37"/>
        <v>0</v>
      </c>
    </row>
    <row r="190" spans="30:67">
      <c r="AD190" s="3">
        <v>186</v>
      </c>
      <c r="AE190" s="3" t="str">
        <f t="shared" si="13"/>
        <v>Right</v>
      </c>
      <c r="AF190" s="3" t="str">
        <f t="shared" si="14"/>
        <v>ROB</v>
      </c>
      <c r="AG190" s="3" t="str">
        <f>IF(XS_Designer_Summary!$AB$24&gt;=XS_Designer_Summary!AD190,"Y","N")</f>
        <v>Y</v>
      </c>
      <c r="AH190" s="45">
        <v>1</v>
      </c>
      <c r="AI190" s="45">
        <f>IF(AG190="Y",$O$19/XS_Designer_Summary!$AB$24,0)</f>
        <v>0.27201249999999999</v>
      </c>
      <c r="AJ190" s="45">
        <f t="shared" si="15"/>
        <v>0.27201249999999999</v>
      </c>
      <c r="AK190" s="14">
        <f t="shared" si="38"/>
        <v>23.665087499999949</v>
      </c>
      <c r="AL190" s="14">
        <f>IF(AG190="Y",LININTERP(AK190,XS_Designer_Calculations!$AY$4:$AY$104,XS_Designer_Calculations!$AZ$4:$AZ$104),AL189)</f>
        <v>3.1422767499999993</v>
      </c>
      <c r="AM190" s="14">
        <f t="shared" si="16"/>
        <v>1.8577232500000007</v>
      </c>
      <c r="AN190" s="14">
        <f t="shared" si="17"/>
        <v>0.50458403753906267</v>
      </c>
      <c r="AO190" s="46">
        <f t="shared" si="18"/>
        <v>0.27206689706083664</v>
      </c>
      <c r="AP190" s="46">
        <f t="shared" si="19"/>
        <v>1.8546322356381089</v>
      </c>
      <c r="AQ190" s="46">
        <f t="shared" si="20"/>
        <v>8.6035107064681392E-3</v>
      </c>
      <c r="AR190" s="14">
        <f>IFERROR(IF(AG190="Y",VLOOKUP(AK190,XS_Designer_Calculations!$R$5:$T$104,3,TRUE),0),0)</f>
        <v>0.1</v>
      </c>
      <c r="AS190" s="46">
        <f t="shared" si="21"/>
        <v>0.01</v>
      </c>
      <c r="AT190" s="14">
        <f t="shared" si="22"/>
        <v>11.318551545531101</v>
      </c>
      <c r="AU190" s="14">
        <f>AT190*XS_Designer_Calculations!$I$7^0.5</f>
        <v>1.1318551545531101</v>
      </c>
      <c r="AV190" s="14">
        <f t="shared" si="23"/>
        <v>2.2431449874501568</v>
      </c>
      <c r="AW190" s="14">
        <f t="shared" si="24"/>
        <v>1.1572905150381798</v>
      </c>
      <c r="AX190" s="14">
        <f t="shared" si="25"/>
        <v>5</v>
      </c>
      <c r="AY190" s="46">
        <f t="shared" si="26"/>
        <v>1.8550031250000008</v>
      </c>
      <c r="AZ190" s="14">
        <f>((AS190*AP190)/(1.65*XS_Designer!$S$99))*12</f>
        <v>6.4958724344714884</v>
      </c>
      <c r="BA190" s="14">
        <f>(AW190/((1.65*62.4)*XS_Designer!$AA$53))*12</f>
        <v>2.2480390735007383</v>
      </c>
      <c r="BB190" s="14">
        <f t="shared" si="27"/>
        <v>3.5804064685292043</v>
      </c>
      <c r="BC190" s="14">
        <f t="shared" si="28"/>
        <v>6.6720769957789514</v>
      </c>
      <c r="BD190" s="14">
        <f>IF(ISNUMBER(LININTERP(AW190,Permissible_Shear!$T$178:$T$188,Permissible_Shear!$V$178:$V$188)),LININTERP(AW190,Permissible_Shear!$T$178:$T$188,Permissible_Shear!$V$178:$V$188),0)</f>
        <v>3.8647715703671923</v>
      </c>
      <c r="BE190" s="14">
        <f>LININTERP(AW190,Permissible_Shear!$S$205:$S$222,Permissible_Shear!$V$205:$V$222)</f>
        <v>3.9290328594943116</v>
      </c>
      <c r="BF190" s="14">
        <f>INDEX($AZ$3:$BE$204,ROW(BF190)-2,MATCH(XS_Designer!$W$5,XS_Designer_Summary!$AZ$2:$BE$2,0))</f>
        <v>3.5804064685292043</v>
      </c>
      <c r="BG190" s="79">
        <f t="shared" si="29"/>
        <v>0</v>
      </c>
      <c r="BH190" s="79">
        <f t="shared" si="30"/>
        <v>2.2431449874501568</v>
      </c>
      <c r="BI190" s="79">
        <f t="shared" si="31"/>
        <v>0</v>
      </c>
      <c r="BJ190" s="79">
        <f t="shared" si="32"/>
        <v>0</v>
      </c>
      <c r="BK190" s="79">
        <f t="shared" si="33"/>
        <v>1.1572905150381798</v>
      </c>
      <c r="BL190" s="79">
        <f t="shared" si="34"/>
        <v>0</v>
      </c>
      <c r="BM190" s="124">
        <f t="shared" si="35"/>
        <v>0</v>
      </c>
      <c r="BN190" s="124">
        <f t="shared" si="36"/>
        <v>1.8546322356381089</v>
      </c>
      <c r="BO190" s="124">
        <f t="shared" si="37"/>
        <v>0</v>
      </c>
    </row>
    <row r="191" spans="30:67">
      <c r="AD191" s="3">
        <v>187</v>
      </c>
      <c r="AE191" s="3" t="str">
        <f t="shared" si="13"/>
        <v>Right</v>
      </c>
      <c r="AF191" s="3" t="str">
        <f t="shared" si="14"/>
        <v>ROB</v>
      </c>
      <c r="AG191" s="3" t="str">
        <f>IF(XS_Designer_Summary!$AB$24&gt;=XS_Designer_Summary!AD191,"Y","N")</f>
        <v>Y</v>
      </c>
      <c r="AH191" s="45">
        <v>1</v>
      </c>
      <c r="AI191" s="45">
        <f>IF(AG191="Y",$O$19/XS_Designer_Summary!$AB$24,0)</f>
        <v>0.27201249999999999</v>
      </c>
      <c r="AJ191" s="45">
        <f t="shared" si="15"/>
        <v>0.27201249999999999</v>
      </c>
      <c r="AK191" s="14">
        <f t="shared" si="38"/>
        <v>23.937099999999948</v>
      </c>
      <c r="AL191" s="14">
        <f>IF(AG191="Y",LININTERP(AK191,XS_Designer_Calculations!$AY$4:$AY$104,XS_Designer_Calculations!$AZ$4:$AZ$104),AL190)</f>
        <v>3.1477169999999992</v>
      </c>
      <c r="AM191" s="14">
        <f t="shared" si="16"/>
        <v>1.8522830000000008</v>
      </c>
      <c r="AN191" s="14">
        <f t="shared" si="17"/>
        <v>0.5031042215359377</v>
      </c>
      <c r="AO191" s="46">
        <f t="shared" si="18"/>
        <v>0.27206689706083664</v>
      </c>
      <c r="AP191" s="46">
        <f t="shared" si="19"/>
        <v>1.8491930733618027</v>
      </c>
      <c r="AQ191" s="46">
        <f t="shared" si="20"/>
        <v>8.6035107064681392E-3</v>
      </c>
      <c r="AR191" s="14">
        <f>IFERROR(IF(AG191="Y",VLOOKUP(AK191,XS_Designer_Calculations!$R$5:$T$104,3,TRUE),0),0)</f>
        <v>0.1</v>
      </c>
      <c r="AS191" s="46">
        <f t="shared" si="21"/>
        <v>0.01</v>
      </c>
      <c r="AT191" s="14">
        <f t="shared" si="22"/>
        <v>11.263281616089738</v>
      </c>
      <c r="AU191" s="14">
        <f>AT191*XS_Designer_Calculations!$I$7^0.5</f>
        <v>1.126328161608974</v>
      </c>
      <c r="AV191" s="14">
        <f t="shared" si="23"/>
        <v>2.2387571270429465</v>
      </c>
      <c r="AW191" s="14">
        <f t="shared" si="24"/>
        <v>1.1538964777777649</v>
      </c>
      <c r="AX191" s="14">
        <f t="shared" si="25"/>
        <v>5</v>
      </c>
      <c r="AY191" s="46">
        <f t="shared" si="26"/>
        <v>1.8495628750000008</v>
      </c>
      <c r="AZ191" s="14">
        <f>((AS191*AP191)/(1.65*XS_Designer!$S$99))*12</f>
        <v>6.4768217010601195</v>
      </c>
      <c r="BA191" s="14">
        <f>(AW191/((1.65*62.4)*XS_Designer!$AA$53))*12</f>
        <v>2.241446149529458</v>
      </c>
      <c r="BB191" s="14">
        <f t="shared" si="27"/>
        <v>3.5694817272852788</v>
      </c>
      <c r="BC191" s="14">
        <f t="shared" si="28"/>
        <v>6.6577006026647538</v>
      </c>
      <c r="BD191" s="14">
        <f>IF(ISNUMBER(LININTERP(AW191,Permissible_Shear!$T$178:$T$188,Permissible_Shear!$V$178:$V$188)),LININTERP(AW191,Permissible_Shear!$T$178:$T$188,Permissible_Shear!$V$178:$V$188),0)</f>
        <v>3.8541700353571113</v>
      </c>
      <c r="BE191" s="14">
        <f>LININTERP(AW191,Permissible_Shear!$S$205:$S$222,Permissible_Shear!$V$205:$V$222)</f>
        <v>3.9184264930555153</v>
      </c>
      <c r="BF191" s="14">
        <f>INDEX($AZ$3:$BE$204,ROW(BF191)-2,MATCH(XS_Designer!$W$5,XS_Designer_Summary!$AZ$2:$BE$2,0))</f>
        <v>3.5694817272852788</v>
      </c>
      <c r="BG191" s="79">
        <f t="shared" si="29"/>
        <v>0</v>
      </c>
      <c r="BH191" s="79">
        <f t="shared" si="30"/>
        <v>2.2387571270429465</v>
      </c>
      <c r="BI191" s="79">
        <f t="shared" si="31"/>
        <v>0</v>
      </c>
      <c r="BJ191" s="79">
        <f t="shared" si="32"/>
        <v>0</v>
      </c>
      <c r="BK191" s="79">
        <f t="shared" si="33"/>
        <v>1.1538964777777649</v>
      </c>
      <c r="BL191" s="79">
        <f t="shared" si="34"/>
        <v>0</v>
      </c>
      <c r="BM191" s="124">
        <f t="shared" si="35"/>
        <v>0</v>
      </c>
      <c r="BN191" s="124">
        <f t="shared" si="36"/>
        <v>1.8491930733618027</v>
      </c>
      <c r="BO191" s="124">
        <f t="shared" si="37"/>
        <v>0</v>
      </c>
    </row>
    <row r="192" spans="30:67">
      <c r="AD192" s="3">
        <v>188</v>
      </c>
      <c r="AE192" s="3" t="str">
        <f t="shared" si="13"/>
        <v>Right</v>
      </c>
      <c r="AF192" s="3" t="str">
        <f t="shared" si="14"/>
        <v>ROB</v>
      </c>
      <c r="AG192" s="3" t="str">
        <f>IF(XS_Designer_Summary!$AB$24&gt;=XS_Designer_Summary!AD192,"Y","N")</f>
        <v>Y</v>
      </c>
      <c r="AH192" s="45">
        <v>1</v>
      </c>
      <c r="AI192" s="45">
        <f>IF(AG192="Y",$O$19/XS_Designer_Summary!$AB$24,0)</f>
        <v>0.27201249999999999</v>
      </c>
      <c r="AJ192" s="45">
        <f t="shared" si="15"/>
        <v>0.27201249999999999</v>
      </c>
      <c r="AK192" s="14">
        <f t="shared" si="38"/>
        <v>24.209112499999947</v>
      </c>
      <c r="AL192" s="14">
        <f>IF(AG192="Y",LININTERP(AK192,XS_Designer_Calculations!$AY$4:$AY$104,XS_Designer_Calculations!$AZ$4:$AZ$104),AL191)</f>
        <v>3.1531572499999996</v>
      </c>
      <c r="AM192" s="14">
        <f t="shared" si="16"/>
        <v>1.8468427500000004</v>
      </c>
      <c r="AN192" s="14">
        <f t="shared" si="17"/>
        <v>0.50162440553281262</v>
      </c>
      <c r="AO192" s="46">
        <f t="shared" si="18"/>
        <v>0.27206689706083664</v>
      </c>
      <c r="AP192" s="46">
        <f t="shared" si="19"/>
        <v>1.8437539110854961</v>
      </c>
      <c r="AQ192" s="46">
        <f t="shared" si="20"/>
        <v>8.6035107064681392E-3</v>
      </c>
      <c r="AR192" s="14">
        <f>IFERROR(IF(AG192="Y",VLOOKUP(AK192,XS_Designer_Calculations!$R$5:$T$104,3,TRUE),0),0)</f>
        <v>0.1</v>
      </c>
      <c r="AS192" s="46">
        <f t="shared" si="21"/>
        <v>0.01</v>
      </c>
      <c r="AT192" s="14">
        <f t="shared" si="22"/>
        <v>11.208119960126684</v>
      </c>
      <c r="AU192" s="14">
        <f>AT192*XS_Designer_Calculations!$I$7^0.5</f>
        <v>1.1208119960126683</v>
      </c>
      <c r="AV192" s="14">
        <f t="shared" si="23"/>
        <v>2.2343649624108113</v>
      </c>
      <c r="AW192" s="14">
        <f t="shared" si="24"/>
        <v>1.1505024405173496</v>
      </c>
      <c r="AX192" s="14">
        <f t="shared" si="25"/>
        <v>5</v>
      </c>
      <c r="AY192" s="46">
        <f t="shared" si="26"/>
        <v>1.8441226250000005</v>
      </c>
      <c r="AZ192" s="14">
        <f>((AS192*AP192)/(1.65*XS_Designer!$S$99))*12</f>
        <v>6.4577709676487487</v>
      </c>
      <c r="BA192" s="14">
        <f>(AW192/((1.65*62.4)*XS_Designer!$AA$53))*12</f>
        <v>2.2348532255581777</v>
      </c>
      <c r="BB192" s="14">
        <f t="shared" si="27"/>
        <v>3.5585583335941533</v>
      </c>
      <c r="BC192" s="14">
        <f t="shared" si="28"/>
        <v>6.6433130368916036</v>
      </c>
      <c r="BD192" s="14">
        <f>IF(ISNUMBER(LININTERP(AW192,Permissible_Shear!$T$178:$T$188,Permissible_Shear!$V$178:$V$188)),LININTERP(AW192,Permissible_Shear!$T$178:$T$188,Permissible_Shear!$V$178:$V$188),0)</f>
        <v>3.843568500347029</v>
      </c>
      <c r="BE192" s="14">
        <f>LININTERP(AW192,Permissible_Shear!$S$205:$S$222,Permissible_Shear!$V$205:$V$222)</f>
        <v>3.9078201266167172</v>
      </c>
      <c r="BF192" s="14">
        <f>INDEX($AZ$3:$BE$204,ROW(BF192)-2,MATCH(XS_Designer!$W$5,XS_Designer_Summary!$AZ$2:$BE$2,0))</f>
        <v>3.5585583335941533</v>
      </c>
      <c r="BG192" s="79">
        <f t="shared" si="29"/>
        <v>0</v>
      </c>
      <c r="BH192" s="79">
        <f t="shared" si="30"/>
        <v>2.2343649624108113</v>
      </c>
      <c r="BI192" s="79">
        <f t="shared" si="31"/>
        <v>0</v>
      </c>
      <c r="BJ192" s="79">
        <f t="shared" si="32"/>
        <v>0</v>
      </c>
      <c r="BK192" s="79">
        <f t="shared" si="33"/>
        <v>1.1505024405173496</v>
      </c>
      <c r="BL192" s="79">
        <f t="shared" si="34"/>
        <v>0</v>
      </c>
      <c r="BM192" s="124">
        <f t="shared" si="35"/>
        <v>0</v>
      </c>
      <c r="BN192" s="124">
        <f t="shared" si="36"/>
        <v>1.8437539110854961</v>
      </c>
      <c r="BO192" s="124">
        <f t="shared" si="37"/>
        <v>0</v>
      </c>
    </row>
    <row r="193" spans="30:67">
      <c r="AD193" s="3">
        <v>189</v>
      </c>
      <c r="AE193" s="3" t="str">
        <f t="shared" si="13"/>
        <v>Right</v>
      </c>
      <c r="AF193" s="3" t="str">
        <f t="shared" si="14"/>
        <v>ROB</v>
      </c>
      <c r="AG193" s="3" t="str">
        <f>IF(XS_Designer_Summary!$AB$24&gt;=XS_Designer_Summary!AD193,"Y","N")</f>
        <v>Y</v>
      </c>
      <c r="AH193" s="45">
        <v>1</v>
      </c>
      <c r="AI193" s="45">
        <f>IF(AG193="Y",$O$19/XS_Designer_Summary!$AB$24,0)</f>
        <v>0.27201249999999999</v>
      </c>
      <c r="AJ193" s="45">
        <f t="shared" si="15"/>
        <v>0.27201249999999999</v>
      </c>
      <c r="AK193" s="14">
        <f t="shared" si="38"/>
        <v>24.481124999999945</v>
      </c>
      <c r="AL193" s="14">
        <f>IF(AG193="Y",LININTERP(AK193,XS_Designer_Calculations!$AY$4:$AY$104,XS_Designer_Calculations!$AZ$4:$AZ$104),AL192)</f>
        <v>3.1585974999999995</v>
      </c>
      <c r="AM193" s="14">
        <f t="shared" si="16"/>
        <v>1.8414025000000005</v>
      </c>
      <c r="AN193" s="14">
        <f t="shared" si="17"/>
        <v>0.50014458952968766</v>
      </c>
      <c r="AO193" s="46">
        <f t="shared" si="18"/>
        <v>0.27206689706083664</v>
      </c>
      <c r="AP193" s="46">
        <f t="shared" si="19"/>
        <v>1.83831474880919</v>
      </c>
      <c r="AQ193" s="46">
        <f t="shared" si="20"/>
        <v>8.6035107064681392E-3</v>
      </c>
      <c r="AR193" s="14">
        <f>IFERROR(IF(AG193="Y",VLOOKUP(AK193,XS_Designer_Calculations!$R$5:$T$104,3,TRUE),0),0)</f>
        <v>0.1</v>
      </c>
      <c r="AS193" s="46">
        <f t="shared" si="21"/>
        <v>0.01</v>
      </c>
      <c r="AT193" s="14">
        <f t="shared" si="22"/>
        <v>11.153066684008275</v>
      </c>
      <c r="AU193" s="14">
        <f>AT193*XS_Designer_Calculations!$I$7^0.5</f>
        <v>1.1153066684008275</v>
      </c>
      <c r="AV193" s="14">
        <f t="shared" si="23"/>
        <v>2.2299684766151509</v>
      </c>
      <c r="AW193" s="14">
        <f t="shared" si="24"/>
        <v>1.1471084032569345</v>
      </c>
      <c r="AX193" s="14">
        <f t="shared" si="25"/>
        <v>5</v>
      </c>
      <c r="AY193" s="46">
        <f t="shared" si="26"/>
        <v>1.8386823750000005</v>
      </c>
      <c r="AZ193" s="14">
        <f>((AS193*AP193)/(1.65*XS_Designer!$S$99))*12</f>
        <v>6.4387202342373779</v>
      </c>
      <c r="BA193" s="14">
        <f>(AW193/((1.65*62.4)*XS_Designer!$AA$53))*12</f>
        <v>2.2282603015868974</v>
      </c>
      <c r="BB193" s="14">
        <f t="shared" si="27"/>
        <v>3.547636291258379</v>
      </c>
      <c r="BC193" s="14">
        <f t="shared" si="28"/>
        <v>6.6289142568267883</v>
      </c>
      <c r="BD193" s="14">
        <f>IF(ISNUMBER(LININTERP(AW193,Permissible_Shear!$T$178:$T$188,Permissible_Shear!$V$178:$V$188)),LININTERP(AW193,Permissible_Shear!$T$178:$T$188,Permissible_Shear!$V$178:$V$188),0)</f>
        <v>3.8329669653369471</v>
      </c>
      <c r="BE193" s="14">
        <f>LININTERP(AW193,Permissible_Shear!$S$205:$S$222,Permissible_Shear!$V$205:$V$222)</f>
        <v>3.89721376017792</v>
      </c>
      <c r="BF193" s="14">
        <f>INDEX($AZ$3:$BE$204,ROW(BF193)-2,MATCH(XS_Designer!$W$5,XS_Designer_Summary!$AZ$2:$BE$2,0))</f>
        <v>3.547636291258379</v>
      </c>
      <c r="BG193" s="79">
        <f t="shared" si="29"/>
        <v>0</v>
      </c>
      <c r="BH193" s="79">
        <f t="shared" si="30"/>
        <v>2.2299684766151509</v>
      </c>
      <c r="BI193" s="79">
        <f t="shared" si="31"/>
        <v>0</v>
      </c>
      <c r="BJ193" s="79">
        <f t="shared" si="32"/>
        <v>0</v>
      </c>
      <c r="BK193" s="79">
        <f t="shared" si="33"/>
        <v>1.1471084032569345</v>
      </c>
      <c r="BL193" s="79">
        <f t="shared" si="34"/>
        <v>0</v>
      </c>
      <c r="BM193" s="124">
        <f t="shared" si="35"/>
        <v>0</v>
      </c>
      <c r="BN193" s="124">
        <f t="shared" si="36"/>
        <v>1.83831474880919</v>
      </c>
      <c r="BO193" s="124">
        <f t="shared" si="37"/>
        <v>0</v>
      </c>
    </row>
    <row r="194" spans="30:67">
      <c r="AD194" s="3">
        <v>190</v>
      </c>
      <c r="AE194" s="3" t="str">
        <f t="shared" si="13"/>
        <v>Right</v>
      </c>
      <c r="AF194" s="3" t="str">
        <f t="shared" si="14"/>
        <v>ROB</v>
      </c>
      <c r="AG194" s="3" t="str">
        <f>IF(XS_Designer_Summary!$AB$24&gt;=XS_Designer_Summary!AD194,"Y","N")</f>
        <v>Y</v>
      </c>
      <c r="AH194" s="45">
        <v>1</v>
      </c>
      <c r="AI194" s="45">
        <f>IF(AG194="Y",$O$19/XS_Designer_Summary!$AB$24,0)</f>
        <v>0.27201249999999999</v>
      </c>
      <c r="AJ194" s="45">
        <f t="shared" si="15"/>
        <v>0.27201249999999999</v>
      </c>
      <c r="AK194" s="14">
        <f t="shared" si="38"/>
        <v>24.753137499999944</v>
      </c>
      <c r="AL194" s="14">
        <f>IF(AG194="Y",LININTERP(AK194,XS_Designer_Calculations!$AY$4:$AY$104,XS_Designer_Calculations!$AZ$4:$AZ$104),AL193)</f>
        <v>3.1640377499999994</v>
      </c>
      <c r="AM194" s="14">
        <f t="shared" si="16"/>
        <v>1.8359622500000006</v>
      </c>
      <c r="AN194" s="14">
        <f t="shared" si="17"/>
        <v>0.49866477352656263</v>
      </c>
      <c r="AO194" s="46">
        <f t="shared" si="18"/>
        <v>0.27206689706083664</v>
      </c>
      <c r="AP194" s="46">
        <f t="shared" si="19"/>
        <v>1.8328755865328836</v>
      </c>
      <c r="AQ194" s="46">
        <f t="shared" si="20"/>
        <v>8.6035107064681392E-3</v>
      </c>
      <c r="AR194" s="14">
        <f>IFERROR(IF(AG194="Y",VLOOKUP(AK194,XS_Designer_Calculations!$R$5:$T$104,3,TRUE),0),0)</f>
        <v>0.1</v>
      </c>
      <c r="AS194" s="46">
        <f t="shared" si="21"/>
        <v>0.01</v>
      </c>
      <c r="AT194" s="14">
        <f t="shared" si="22"/>
        <v>11.098121894520039</v>
      </c>
      <c r="AU194" s="14">
        <f>AT194*XS_Designer_Calculations!$I$7^0.5</f>
        <v>1.1098121894520039</v>
      </c>
      <c r="AV194" s="14">
        <f t="shared" si="23"/>
        <v>2.2255676526003634</v>
      </c>
      <c r="AW194" s="14">
        <f t="shared" si="24"/>
        <v>1.1437143659965192</v>
      </c>
      <c r="AX194" s="14">
        <f t="shared" si="25"/>
        <v>5</v>
      </c>
      <c r="AY194" s="46">
        <f t="shared" si="26"/>
        <v>1.8332421250000006</v>
      </c>
      <c r="AZ194" s="14">
        <f>((AS194*AP194)/(1.65*XS_Designer!$S$99))*12</f>
        <v>6.4196695008260072</v>
      </c>
      <c r="BA194" s="14">
        <f>(AW194/((1.65*62.4)*XS_Designer!$AA$53))*12</f>
        <v>2.2216673776156166</v>
      </c>
      <c r="BB194" s="14">
        <f t="shared" si="27"/>
        <v>3.5367156041024974</v>
      </c>
      <c r="BC194" s="14">
        <f t="shared" si="28"/>
        <v>6.6145042205589411</v>
      </c>
      <c r="BD194" s="14">
        <f>IF(ISNUMBER(LININTERP(AW194,Permissible_Shear!$T$178:$T$188,Permissible_Shear!$V$178:$V$188)),LININTERP(AW194,Permissible_Shear!$T$178:$T$188,Permissible_Shear!$V$178:$V$188),0)</f>
        <v>3.8223654303268648</v>
      </c>
      <c r="BE194" s="14">
        <f>LININTERP(AW194,Permissible_Shear!$S$205:$S$222,Permissible_Shear!$V$205:$V$222)</f>
        <v>3.8866073937391223</v>
      </c>
      <c r="BF194" s="14">
        <f>INDEX($AZ$3:$BE$204,ROW(BF194)-2,MATCH(XS_Designer!$W$5,XS_Designer_Summary!$AZ$2:$BE$2,0))</f>
        <v>3.5367156041024974</v>
      </c>
      <c r="BG194" s="79">
        <f t="shared" si="29"/>
        <v>0</v>
      </c>
      <c r="BH194" s="79">
        <f t="shared" si="30"/>
        <v>2.2255676526003634</v>
      </c>
      <c r="BI194" s="79">
        <f t="shared" si="31"/>
        <v>0</v>
      </c>
      <c r="BJ194" s="79">
        <f t="shared" si="32"/>
        <v>0</v>
      </c>
      <c r="BK194" s="79">
        <f t="shared" si="33"/>
        <v>1.1437143659965192</v>
      </c>
      <c r="BL194" s="79">
        <f t="shared" si="34"/>
        <v>0</v>
      </c>
      <c r="BM194" s="124">
        <f t="shared" si="35"/>
        <v>0</v>
      </c>
      <c r="BN194" s="124">
        <f t="shared" si="36"/>
        <v>1.8328755865328836</v>
      </c>
      <c r="BO194" s="124">
        <f t="shared" si="37"/>
        <v>0</v>
      </c>
    </row>
    <row r="195" spans="30:67">
      <c r="AD195" s="3">
        <v>191</v>
      </c>
      <c r="AE195" s="3" t="str">
        <f t="shared" si="13"/>
        <v>Right</v>
      </c>
      <c r="AF195" s="3" t="str">
        <f t="shared" si="14"/>
        <v>ROB</v>
      </c>
      <c r="AG195" s="3" t="str">
        <f>IF(XS_Designer_Summary!$AB$24&gt;=XS_Designer_Summary!AD195,"Y","N")</f>
        <v>Y</v>
      </c>
      <c r="AH195" s="45">
        <v>1</v>
      </c>
      <c r="AI195" s="45">
        <f>IF(AG195="Y",$O$19/XS_Designer_Summary!$AB$24,0)</f>
        <v>0.27201249999999999</v>
      </c>
      <c r="AJ195" s="45">
        <f t="shared" si="15"/>
        <v>0.27201249999999999</v>
      </c>
      <c r="AK195" s="14">
        <f t="shared" si="38"/>
        <v>25.025149999999943</v>
      </c>
      <c r="AL195" s="14">
        <f>IF(AG195="Y",LININTERP(AK195,XS_Designer_Calculations!$AY$4:$AY$104,XS_Designer_Calculations!$AZ$4:$AZ$104),AL194)</f>
        <v>3.1694779999999994</v>
      </c>
      <c r="AM195" s="14">
        <f t="shared" si="16"/>
        <v>1.8305220000000006</v>
      </c>
      <c r="AN195" s="14">
        <f t="shared" si="17"/>
        <v>0.49718495752343767</v>
      </c>
      <c r="AO195" s="46">
        <f t="shared" si="18"/>
        <v>0.27206689706083664</v>
      </c>
      <c r="AP195" s="46">
        <f t="shared" si="19"/>
        <v>1.8274364242565775</v>
      </c>
      <c r="AQ195" s="46">
        <f t="shared" si="20"/>
        <v>8.6035107064681392E-3</v>
      </c>
      <c r="AR195" s="14">
        <f>IFERROR(IF(AG195="Y",VLOOKUP(AK195,XS_Designer_Calculations!$R$5:$T$104,3,TRUE),0),0)</f>
        <v>0.1</v>
      </c>
      <c r="AS195" s="46">
        <f t="shared" si="21"/>
        <v>0.01</v>
      </c>
      <c r="AT195" s="14">
        <f t="shared" si="22"/>
        <v>11.043285698869621</v>
      </c>
      <c r="AU195" s="14">
        <f>AT195*XS_Designer_Calculations!$I$7^0.5</f>
        <v>1.104328569886962</v>
      </c>
      <c r="AV195" s="14">
        <f t="shared" si="23"/>
        <v>2.2211624731926913</v>
      </c>
      <c r="AW195" s="14">
        <f t="shared" si="24"/>
        <v>1.1403203287361043</v>
      </c>
      <c r="AX195" s="14">
        <f t="shared" si="25"/>
        <v>5</v>
      </c>
      <c r="AY195" s="46">
        <f t="shared" si="26"/>
        <v>1.8278018750000007</v>
      </c>
      <c r="AZ195" s="14">
        <f>((AS195*AP195)/(1.65*XS_Designer!$S$99))*12</f>
        <v>6.4006187674146382</v>
      </c>
      <c r="BA195" s="14">
        <f>(AW195/((1.65*62.4)*XS_Designer!$AA$53))*12</f>
        <v>2.2150744536443367</v>
      </c>
      <c r="BB195" s="14">
        <f t="shared" si="27"/>
        <v>3.52579627597324</v>
      </c>
      <c r="BC195" s="14">
        <f t="shared" si="28"/>
        <v>6.6000828858953637</v>
      </c>
      <c r="BD195" s="14">
        <f>IF(ISNUMBER(LININTERP(AW195,Permissible_Shear!$T$178:$T$188,Permissible_Shear!$V$178:$V$188)),LININTERP(AW195,Permissible_Shear!$T$178:$T$188,Permissible_Shear!$V$178:$V$188),0)</f>
        <v>3.8117638953167838</v>
      </c>
      <c r="BE195" s="14">
        <f>LININTERP(AW195,Permissible_Shear!$S$205:$S$222,Permissible_Shear!$V$205:$V$222)</f>
        <v>3.876001027300326</v>
      </c>
      <c r="BF195" s="14">
        <f>INDEX($AZ$3:$BE$204,ROW(BF195)-2,MATCH(XS_Designer!$W$5,XS_Designer_Summary!$AZ$2:$BE$2,0))</f>
        <v>3.52579627597324</v>
      </c>
      <c r="BG195" s="79">
        <f t="shared" si="29"/>
        <v>0</v>
      </c>
      <c r="BH195" s="79">
        <f t="shared" si="30"/>
        <v>2.2211624731926913</v>
      </c>
      <c r="BI195" s="79">
        <f t="shared" si="31"/>
        <v>0</v>
      </c>
      <c r="BJ195" s="79">
        <f t="shared" si="32"/>
        <v>0</v>
      </c>
      <c r="BK195" s="79">
        <f t="shared" si="33"/>
        <v>1.1403203287361043</v>
      </c>
      <c r="BL195" s="79">
        <f t="shared" si="34"/>
        <v>0</v>
      </c>
      <c r="BM195" s="124">
        <f t="shared" si="35"/>
        <v>0</v>
      </c>
      <c r="BN195" s="124">
        <f t="shared" si="36"/>
        <v>1.8274364242565775</v>
      </c>
      <c r="BO195" s="124">
        <f t="shared" si="37"/>
        <v>0</v>
      </c>
    </row>
    <row r="196" spans="30:67">
      <c r="AD196" s="3">
        <v>192</v>
      </c>
      <c r="AE196" s="3" t="str">
        <f t="shared" si="13"/>
        <v>Right</v>
      </c>
      <c r="AF196" s="3" t="str">
        <f t="shared" si="14"/>
        <v>ROB</v>
      </c>
      <c r="AG196" s="3" t="str">
        <f>IF(XS_Designer_Summary!$AB$24&gt;=XS_Designer_Summary!AD196,"Y","N")</f>
        <v>Y</v>
      </c>
      <c r="AH196" s="45">
        <v>1</v>
      </c>
      <c r="AI196" s="45">
        <f>IF(AG196="Y",$O$19/XS_Designer_Summary!$AB$24,0)</f>
        <v>0.27201249999999999</v>
      </c>
      <c r="AJ196" s="45">
        <f t="shared" si="15"/>
        <v>0.27201249999999999</v>
      </c>
      <c r="AK196" s="14">
        <f t="shared" si="38"/>
        <v>25.297162499999942</v>
      </c>
      <c r="AL196" s="14">
        <f>IF(AG196="Y",LININTERP(AK196,XS_Designer_Calculations!$AY$4:$AY$104,XS_Designer_Calculations!$AZ$4:$AZ$104),AL195)</f>
        <v>3.1749182499999993</v>
      </c>
      <c r="AM196" s="14">
        <f t="shared" si="16"/>
        <v>1.8250817500000007</v>
      </c>
      <c r="AN196" s="14">
        <f t="shared" si="17"/>
        <v>0.4957051415203127</v>
      </c>
      <c r="AO196" s="46">
        <f t="shared" si="18"/>
        <v>0.27206689706083664</v>
      </c>
      <c r="AP196" s="46">
        <f t="shared" si="19"/>
        <v>1.8219972619802713</v>
      </c>
      <c r="AQ196" s="46">
        <f t="shared" si="20"/>
        <v>8.6035107064681392E-3</v>
      </c>
      <c r="AR196" s="14">
        <f>IFERROR(IF(AG196="Y",VLOOKUP(AK196,XS_Designer_Calculations!$R$5:$T$104,3,TRUE),0),0)</f>
        <v>0.1</v>
      </c>
      <c r="AS196" s="46">
        <f t="shared" si="21"/>
        <v>0.01</v>
      </c>
      <c r="AT196" s="14">
        <f t="shared" si="22"/>
        <v>10.988558204689694</v>
      </c>
      <c r="AU196" s="14">
        <f>AT196*XS_Designer_Calculations!$I$7^0.5</f>
        <v>1.0988558204689693</v>
      </c>
      <c r="AV196" s="14">
        <f t="shared" si="23"/>
        <v>2.2167529210990464</v>
      </c>
      <c r="AW196" s="14">
        <f t="shared" si="24"/>
        <v>1.1369262914756892</v>
      </c>
      <c r="AX196" s="14">
        <f t="shared" si="25"/>
        <v>5</v>
      </c>
      <c r="AY196" s="46">
        <f t="shared" si="26"/>
        <v>1.8223616250000008</v>
      </c>
      <c r="AZ196" s="14">
        <f>((AS196*AP196)/(1.65*XS_Designer!$S$99))*12</f>
        <v>6.3815680340032683</v>
      </c>
      <c r="BA196" s="14">
        <f>(AW196/((1.65*62.4)*XS_Designer!$AA$53))*12</f>
        <v>2.2084815296730564</v>
      </c>
      <c r="BB196" s="14">
        <f t="shared" si="27"/>
        <v>3.5148783107397192</v>
      </c>
      <c r="BC196" s="14">
        <f t="shared" si="28"/>
        <v>6.5856502103592822</v>
      </c>
      <c r="BD196" s="14">
        <f>IF(ISNUMBER(LININTERP(AW196,Permissible_Shear!$T$178:$T$188,Permissible_Shear!$V$178:$V$188)),LININTERP(AW196,Permissible_Shear!$T$178:$T$188,Permissible_Shear!$V$178:$V$188),0)</f>
        <v>3.8011623603067024</v>
      </c>
      <c r="BE196" s="14">
        <f>LININTERP(AW196,Permissible_Shear!$S$205:$S$222,Permissible_Shear!$V$205:$V$222)</f>
        <v>3.8653946608615288</v>
      </c>
      <c r="BF196" s="14">
        <f>INDEX($AZ$3:$BE$204,ROW(BF196)-2,MATCH(XS_Designer!$W$5,XS_Designer_Summary!$AZ$2:$BE$2,0))</f>
        <v>3.5148783107397192</v>
      </c>
      <c r="BG196" s="79">
        <f t="shared" si="29"/>
        <v>0</v>
      </c>
      <c r="BH196" s="79">
        <f t="shared" si="30"/>
        <v>2.2167529210990464</v>
      </c>
      <c r="BI196" s="79">
        <f t="shared" si="31"/>
        <v>0</v>
      </c>
      <c r="BJ196" s="79">
        <f t="shared" si="32"/>
        <v>0</v>
      </c>
      <c r="BK196" s="79">
        <f t="shared" si="33"/>
        <v>1.1369262914756892</v>
      </c>
      <c r="BL196" s="79">
        <f t="shared" si="34"/>
        <v>0</v>
      </c>
      <c r="BM196" s="124">
        <f t="shared" si="35"/>
        <v>0</v>
      </c>
      <c r="BN196" s="124">
        <f t="shared" si="36"/>
        <v>1.8219972619802713</v>
      </c>
      <c r="BO196" s="124">
        <f t="shared" si="37"/>
        <v>0</v>
      </c>
    </row>
    <row r="197" spans="30:67">
      <c r="AD197" s="3">
        <v>193</v>
      </c>
      <c r="AE197" s="3" t="str">
        <f t="shared" si="13"/>
        <v>Right</v>
      </c>
      <c r="AF197" s="3" t="str">
        <f t="shared" si="14"/>
        <v>ROB</v>
      </c>
      <c r="AG197" s="3" t="str">
        <f>IF(XS_Designer_Summary!$AB$24&gt;=XS_Designer_Summary!AD197,"Y","N")</f>
        <v>Y</v>
      </c>
      <c r="AH197" s="45">
        <v>1</v>
      </c>
      <c r="AI197" s="45">
        <f>IF(AG197="Y",$O$19/XS_Designer_Summary!$AB$24,0)</f>
        <v>0.27201249999999999</v>
      </c>
      <c r="AJ197" s="45">
        <f t="shared" si="15"/>
        <v>0.27201249999999999</v>
      </c>
      <c r="AK197" s="14">
        <f t="shared" si="38"/>
        <v>25.569174999999941</v>
      </c>
      <c r="AL197" s="14">
        <f>IF(AG197="Y",LININTERP(AK197,XS_Designer_Calculations!$AY$4:$AY$104,XS_Designer_Calculations!$AZ$4:$AZ$104),AL196)</f>
        <v>3.1803584999999992</v>
      </c>
      <c r="AM197" s="14">
        <f t="shared" si="16"/>
        <v>1.8196415000000008</v>
      </c>
      <c r="AN197" s="14">
        <f t="shared" si="17"/>
        <v>0.49422532551718773</v>
      </c>
      <c r="AO197" s="46">
        <f t="shared" si="18"/>
        <v>0.27206689706083664</v>
      </c>
      <c r="AP197" s="46">
        <f t="shared" si="19"/>
        <v>1.8165580997039652</v>
      </c>
      <c r="AQ197" s="46">
        <f t="shared" si="20"/>
        <v>8.6035107064681392E-3</v>
      </c>
      <c r="AR197" s="14">
        <f>IFERROR(IF(AG197="Y",VLOOKUP(AK197,XS_Designer_Calculations!$R$5:$T$104,3,TRUE),0),0)</f>
        <v>0.1</v>
      </c>
      <c r="AS197" s="46">
        <f t="shared" si="21"/>
        <v>0.01</v>
      </c>
      <c r="AT197" s="14">
        <f t="shared" si="22"/>
        <v>10.93393952004093</v>
      </c>
      <c r="AU197" s="14">
        <f>AT197*XS_Designer_Calculations!$I$7^0.5</f>
        <v>1.093393952004093</v>
      </c>
      <c r="AV197" s="14">
        <f t="shared" si="23"/>
        <v>2.2123389789058225</v>
      </c>
      <c r="AW197" s="14">
        <f t="shared" si="24"/>
        <v>1.1335322542152744</v>
      </c>
      <c r="AX197" s="14">
        <f t="shared" si="25"/>
        <v>5</v>
      </c>
      <c r="AY197" s="46">
        <f t="shared" si="26"/>
        <v>1.8169213750000008</v>
      </c>
      <c r="AZ197" s="14">
        <f>((AS197*AP197)/(1.65*XS_Designer!$S$99))*12</f>
        <v>6.3625173005918985</v>
      </c>
      <c r="BA197" s="14">
        <f>(AW197/((1.65*62.4)*XS_Designer!$AA$53))*12</f>
        <v>2.2018886057017761</v>
      </c>
      <c r="BB197" s="14">
        <f t="shared" si="27"/>
        <v>3.5039617122936324</v>
      </c>
      <c r="BC197" s="14">
        <f t="shared" si="28"/>
        <v>6.5712061511870905</v>
      </c>
      <c r="BD197" s="14">
        <f>IF(ISNUMBER(LININTERP(AW197,Permissible_Shear!$T$178:$T$188,Permissible_Shear!$V$178:$V$188)),LININTERP(AW197,Permissible_Shear!$T$178:$T$188,Permissible_Shear!$V$178:$V$188),0)</f>
        <v>3.7905608252966214</v>
      </c>
      <c r="BE197" s="14">
        <f>LININTERP(AW197,Permissible_Shear!$S$205:$S$222,Permissible_Shear!$V$205:$V$222)</f>
        <v>3.8547882944227321</v>
      </c>
      <c r="BF197" s="14">
        <f>INDEX($AZ$3:$BE$204,ROW(BF197)-2,MATCH(XS_Designer!$W$5,XS_Designer_Summary!$AZ$2:$BE$2,0))</f>
        <v>3.5039617122936324</v>
      </c>
      <c r="BG197" s="79">
        <f t="shared" si="29"/>
        <v>0</v>
      </c>
      <c r="BH197" s="79">
        <f t="shared" si="30"/>
        <v>2.2123389789058225</v>
      </c>
      <c r="BI197" s="79">
        <f t="shared" si="31"/>
        <v>0</v>
      </c>
      <c r="BJ197" s="79">
        <f t="shared" si="32"/>
        <v>0</v>
      </c>
      <c r="BK197" s="79">
        <f t="shared" si="33"/>
        <v>1.1335322542152744</v>
      </c>
      <c r="BL197" s="79">
        <f t="shared" si="34"/>
        <v>0</v>
      </c>
      <c r="BM197" s="124">
        <f t="shared" si="35"/>
        <v>0</v>
      </c>
      <c r="BN197" s="124">
        <f t="shared" si="36"/>
        <v>1.8165580997039652</v>
      </c>
      <c r="BO197" s="124">
        <f t="shared" si="37"/>
        <v>0</v>
      </c>
    </row>
    <row r="198" spans="30:67">
      <c r="AD198" s="3">
        <v>194</v>
      </c>
      <c r="AE198" s="3" t="str">
        <f t="shared" si="13"/>
        <v>Right</v>
      </c>
      <c r="AF198" s="3" t="str">
        <f t="shared" si="14"/>
        <v>ROB</v>
      </c>
      <c r="AG198" s="3" t="str">
        <f>IF(XS_Designer_Summary!$AB$24&gt;=XS_Designer_Summary!AD198,"Y","N")</f>
        <v>Y</v>
      </c>
      <c r="AH198" s="45">
        <v>1</v>
      </c>
      <c r="AI198" s="45">
        <f>IF(AG198="Y",$O$19/XS_Designer_Summary!$AB$24,0)</f>
        <v>0.27201249999999999</v>
      </c>
      <c r="AJ198" s="45">
        <f t="shared" si="15"/>
        <v>0.27201249999999999</v>
      </c>
      <c r="AK198" s="14">
        <f t="shared" si="38"/>
        <v>25.84118749999994</v>
      </c>
      <c r="AL198" s="14">
        <f>IF(AG198="Y",LININTERP(AK198,XS_Designer_Calculations!$AY$4:$AY$104,XS_Designer_Calculations!$AZ$4:$AZ$104),AL197)</f>
        <v>3.1857987499999991</v>
      </c>
      <c r="AM198" s="14">
        <f t="shared" si="16"/>
        <v>1.8142012500000009</v>
      </c>
      <c r="AN198" s="14">
        <f t="shared" si="17"/>
        <v>0.49274550951406265</v>
      </c>
      <c r="AO198" s="46">
        <f t="shared" si="18"/>
        <v>0.27206689706083664</v>
      </c>
      <c r="AP198" s="46">
        <f t="shared" si="19"/>
        <v>1.8111189374276586</v>
      </c>
      <c r="AQ198" s="46">
        <f t="shared" si="20"/>
        <v>8.6035107064681392E-3</v>
      </c>
      <c r="AR198" s="14">
        <f>IFERROR(IF(AG198="Y",VLOOKUP(AK198,XS_Designer_Calculations!$R$5:$T$104,3,TRUE),0),0)</f>
        <v>0.1</v>
      </c>
      <c r="AS198" s="46">
        <f t="shared" si="21"/>
        <v>0.01</v>
      </c>
      <c r="AT198" s="14">
        <f t="shared" si="22"/>
        <v>10.879429753414973</v>
      </c>
      <c r="AU198" s="14">
        <f>AT198*XS_Designer_Calculations!$I$7^0.5</f>
        <v>1.0879429753414973</v>
      </c>
      <c r="AV198" s="14">
        <f t="shared" si="23"/>
        <v>2.2079206290776923</v>
      </c>
      <c r="AW198" s="14">
        <f t="shared" si="24"/>
        <v>1.1301382169548591</v>
      </c>
      <c r="AX198" s="14">
        <f t="shared" si="25"/>
        <v>5</v>
      </c>
      <c r="AY198" s="46">
        <f t="shared" si="26"/>
        <v>1.8114811250000007</v>
      </c>
      <c r="AZ198" s="14">
        <f>((AS198*AP198)/(1.65*XS_Designer!$S$99))*12</f>
        <v>6.3434665671805277</v>
      </c>
      <c r="BA198" s="14">
        <f>(AW198/((1.65*62.4)*XS_Designer!$AA$53))*12</f>
        <v>2.1952956817304958</v>
      </c>
      <c r="BB198" s="14">
        <f t="shared" si="27"/>
        <v>3.4930464845494522</v>
      </c>
      <c r="BC198" s="14">
        <f t="shared" si="28"/>
        <v>6.5567506653255423</v>
      </c>
      <c r="BD198" s="14">
        <f>IF(ISNUMBER(LININTERP(AW198,Permissible_Shear!$T$178:$T$188,Permissible_Shear!$V$178:$V$188)),LININTERP(AW198,Permissible_Shear!$T$178:$T$188,Permissible_Shear!$V$178:$V$188),0)</f>
        <v>3.7799592902865391</v>
      </c>
      <c r="BE198" s="14">
        <f>LININTERP(AW198,Permissible_Shear!$S$205:$S$222,Permissible_Shear!$V$205:$V$222)</f>
        <v>3.8441819279839344</v>
      </c>
      <c r="BF198" s="14">
        <f>INDEX($AZ$3:$BE$204,ROW(BF198)-2,MATCH(XS_Designer!$W$5,XS_Designer_Summary!$AZ$2:$BE$2,0))</f>
        <v>3.4930464845494522</v>
      </c>
      <c r="BG198" s="79">
        <f t="shared" si="29"/>
        <v>0</v>
      </c>
      <c r="BH198" s="79">
        <f t="shared" si="30"/>
        <v>2.2079206290776923</v>
      </c>
      <c r="BI198" s="79">
        <f t="shared" si="31"/>
        <v>0</v>
      </c>
      <c r="BJ198" s="79">
        <f t="shared" si="32"/>
        <v>0</v>
      </c>
      <c r="BK198" s="79">
        <f t="shared" si="33"/>
        <v>1.1301382169548591</v>
      </c>
      <c r="BL198" s="79">
        <f t="shared" si="34"/>
        <v>0</v>
      </c>
      <c r="BM198" s="124">
        <f t="shared" si="35"/>
        <v>0</v>
      </c>
      <c r="BN198" s="124">
        <f t="shared" si="36"/>
        <v>1.8111189374276586</v>
      </c>
      <c r="BO198" s="124">
        <f t="shared" si="37"/>
        <v>0</v>
      </c>
    </row>
    <row r="199" spans="30:67">
      <c r="AD199" s="3">
        <v>195</v>
      </c>
      <c r="AE199" s="3" t="str">
        <f t="shared" si="13"/>
        <v>Right</v>
      </c>
      <c r="AF199" s="3" t="str">
        <f t="shared" si="14"/>
        <v>ROB</v>
      </c>
      <c r="AG199" s="3" t="str">
        <f>IF(XS_Designer_Summary!$AB$24&gt;=XS_Designer_Summary!AD199,"Y","N")</f>
        <v>Y</v>
      </c>
      <c r="AH199" s="45">
        <v>1</v>
      </c>
      <c r="AI199" s="45">
        <f>IF(AG199="Y",$O$19/XS_Designer_Summary!$AB$24,0)</f>
        <v>0.27201249999999999</v>
      </c>
      <c r="AJ199" s="45">
        <f t="shared" si="15"/>
        <v>0.27201249999999999</v>
      </c>
      <c r="AK199" s="14">
        <f t="shared" si="38"/>
        <v>26.113199999999939</v>
      </c>
      <c r="AL199" s="14">
        <f>IF(AG199="Y",LININTERP(AK199,XS_Designer_Calculations!$AY$4:$AY$104,XS_Designer_Calculations!$AZ$4:$AZ$104),AL198)</f>
        <v>3.1912389999999995</v>
      </c>
      <c r="AM199" s="14">
        <f t="shared" si="16"/>
        <v>1.8087610000000005</v>
      </c>
      <c r="AN199" s="14">
        <f t="shared" si="17"/>
        <v>0.49126569351093763</v>
      </c>
      <c r="AO199" s="46">
        <f t="shared" si="18"/>
        <v>0.27206689706083664</v>
      </c>
      <c r="AP199" s="46">
        <f t="shared" si="19"/>
        <v>1.8056797751513523</v>
      </c>
      <c r="AQ199" s="46">
        <f t="shared" si="20"/>
        <v>8.6035107064681392E-3</v>
      </c>
      <c r="AR199" s="14">
        <f>IFERROR(IF(AG199="Y",VLOOKUP(AK199,XS_Designer_Calculations!$R$5:$T$104,3,TRUE),0),0)</f>
        <v>0.1</v>
      </c>
      <c r="AS199" s="46">
        <f t="shared" si="21"/>
        <v>0.01</v>
      </c>
      <c r="AT199" s="14">
        <f t="shared" si="22"/>
        <v>10.825029013737478</v>
      </c>
      <c r="AU199" s="14">
        <f>AT199*XS_Designer_Calculations!$I$7^0.5</f>
        <v>1.0825029013737477</v>
      </c>
      <c r="AV199" s="14">
        <f t="shared" si="23"/>
        <v>2.2034978539563879</v>
      </c>
      <c r="AW199" s="14">
        <f t="shared" si="24"/>
        <v>1.1267441796944437</v>
      </c>
      <c r="AX199" s="14">
        <f t="shared" si="25"/>
        <v>5</v>
      </c>
      <c r="AY199" s="46">
        <f t="shared" si="26"/>
        <v>1.8060408750000005</v>
      </c>
      <c r="AZ199" s="14">
        <f>((AS199*AP199)/(1.65*XS_Designer!$S$99))*12</f>
        <v>6.3244158337691569</v>
      </c>
      <c r="BA199" s="14">
        <f>(AW199/((1.65*62.4)*XS_Designer!$AA$53))*12</f>
        <v>2.1887027577592151</v>
      </c>
      <c r="BB199" s="14">
        <f t="shared" si="27"/>
        <v>3.482132631444637</v>
      </c>
      <c r="BC199" s="14">
        <f t="shared" si="28"/>
        <v>6.5422837094289212</v>
      </c>
      <c r="BD199" s="14">
        <f>IF(ISNUMBER(LININTERP(AW199,Permissible_Shear!$T$178:$T$188,Permissible_Shear!$V$178:$V$188)),LININTERP(AW199,Permissible_Shear!$T$178:$T$188,Permissible_Shear!$V$178:$V$188),0)</f>
        <v>3.769099200943101</v>
      </c>
      <c r="BE199" s="14">
        <f>LININTERP(AW199,Permissible_Shear!$S$205:$S$222,Permissible_Shear!$V$205:$V$222)</f>
        <v>3.8335755615451363</v>
      </c>
      <c r="BF199" s="14">
        <f>INDEX($AZ$3:$BE$204,ROW(BF199)-2,MATCH(XS_Designer!$W$5,XS_Designer_Summary!$AZ$2:$BE$2,0))</f>
        <v>3.482132631444637</v>
      </c>
      <c r="BG199" s="79">
        <f t="shared" si="29"/>
        <v>0</v>
      </c>
      <c r="BH199" s="79">
        <f t="shared" si="30"/>
        <v>2.2034978539563879</v>
      </c>
      <c r="BI199" s="79">
        <f t="shared" si="31"/>
        <v>0</v>
      </c>
      <c r="BJ199" s="79">
        <f t="shared" si="32"/>
        <v>0</v>
      </c>
      <c r="BK199" s="79">
        <f t="shared" si="33"/>
        <v>1.1267441796944437</v>
      </c>
      <c r="BL199" s="79">
        <f t="shared" si="34"/>
        <v>0</v>
      </c>
      <c r="BM199" s="124">
        <f t="shared" si="35"/>
        <v>0</v>
      </c>
      <c r="BN199" s="124">
        <f t="shared" si="36"/>
        <v>1.8056797751513523</v>
      </c>
      <c r="BO199" s="124">
        <f t="shared" si="37"/>
        <v>0</v>
      </c>
    </row>
    <row r="200" spans="30:67">
      <c r="AD200" s="3">
        <v>196</v>
      </c>
      <c r="AE200" s="3" t="str">
        <f t="shared" si="13"/>
        <v>Right</v>
      </c>
      <c r="AF200" s="3" t="str">
        <f t="shared" si="14"/>
        <v>ROB</v>
      </c>
      <c r="AG200" s="3" t="str">
        <f>IF(XS_Designer_Summary!$AB$24&gt;=XS_Designer_Summary!AD200,"Y","N")</f>
        <v>Y</v>
      </c>
      <c r="AH200" s="45">
        <v>1</v>
      </c>
      <c r="AI200" s="45">
        <f>IF(AG200="Y",$O$19/XS_Designer_Summary!$AB$24,0)</f>
        <v>0.27201249999999999</v>
      </c>
      <c r="AJ200" s="45">
        <f t="shared" si="15"/>
        <v>0.27201249999999999</v>
      </c>
      <c r="AK200" s="14">
        <f t="shared" si="38"/>
        <v>26.385212499999938</v>
      </c>
      <c r="AL200" s="14">
        <f>IF(AG200="Y",LININTERP(AK200,XS_Designer_Calculations!$AY$4:$AY$104,XS_Designer_Calculations!$AZ$4:$AZ$104),AL199)</f>
        <v>3.1966792499999994</v>
      </c>
      <c r="AM200" s="14">
        <f t="shared" si="16"/>
        <v>1.8033207500000006</v>
      </c>
      <c r="AN200" s="14">
        <f t="shared" si="17"/>
        <v>0.48613166158281684</v>
      </c>
      <c r="AO200" s="46">
        <f t="shared" si="18"/>
        <v>0.27392448443742645</v>
      </c>
      <c r="AP200" s="46">
        <f t="shared" si="19"/>
        <v>1.7746922571788781</v>
      </c>
      <c r="AQ200" s="46">
        <f t="shared" si="20"/>
        <v>8.6622527770961466E-3</v>
      </c>
      <c r="AR200" s="14">
        <f>IFERROR(IF(AG200="Y",VLOOKUP(AK200,XS_Designer_Calculations!$R$5:$T$104,3,TRUE),0),0)</f>
        <v>0.1</v>
      </c>
      <c r="AS200" s="46">
        <f t="shared" si="21"/>
        <v>0.01</v>
      </c>
      <c r="AT200" s="14">
        <f t="shared" si="22"/>
        <v>10.588995243242055</v>
      </c>
      <c r="AU200" s="14">
        <f>AT200*XS_Designer_Calculations!$I$7^0.5</f>
        <v>1.0588995243242054</v>
      </c>
      <c r="AV200" s="14">
        <f t="shared" si="23"/>
        <v>2.1782155082770975</v>
      </c>
      <c r="AW200" s="14">
        <f t="shared" si="24"/>
        <v>1.1074079684796199</v>
      </c>
      <c r="AX200" s="14">
        <f t="shared" si="25"/>
        <v>5</v>
      </c>
      <c r="AY200" s="46">
        <f t="shared" si="26"/>
        <v>1.787166625000016</v>
      </c>
      <c r="AZ200" s="14">
        <f>((AS200*AP200)/(1.65*XS_Designer!$S$99))*12</f>
        <v>6.2158816672955384</v>
      </c>
      <c r="BA200" s="14">
        <f>(AW200/((1.65*62.4)*XS_Designer!$AA$53))*12</f>
        <v>2.1511421299137918</v>
      </c>
      <c r="BB200" s="14">
        <f t="shared" si="27"/>
        <v>3.471220156939832</v>
      </c>
      <c r="BC200" s="14">
        <f t="shared" si="28"/>
        <v>6.5278052398561632</v>
      </c>
      <c r="BD200" s="14">
        <f>IF(ISNUMBER(LININTERP(AW200,Permissible_Shear!$T$178:$T$188,Permissible_Shear!$V$178:$V$188)),LININTERP(AW200,Permissible_Shear!$T$178:$T$188,Permissible_Shear!$V$178:$V$188),0)</f>
        <v>3.7071655202870524</v>
      </c>
      <c r="BE200" s="14">
        <f>LININTERP(AW200,Permissible_Shear!$S$205:$S$222,Permissible_Shear!$V$205:$V$222)</f>
        <v>3.7731499014988117</v>
      </c>
      <c r="BF200" s="14">
        <f>INDEX($AZ$3:$BE$204,ROW(BF200)-2,MATCH(XS_Designer!$W$5,XS_Designer_Summary!$AZ$2:$BE$2,0))</f>
        <v>3.471220156939832</v>
      </c>
      <c r="BG200" s="79">
        <f t="shared" si="29"/>
        <v>0</v>
      </c>
      <c r="BH200" s="79">
        <f t="shared" si="30"/>
        <v>2.1782155082770975</v>
      </c>
      <c r="BI200" s="79">
        <f t="shared" si="31"/>
        <v>0</v>
      </c>
      <c r="BJ200" s="79">
        <f t="shared" si="32"/>
        <v>0</v>
      </c>
      <c r="BK200" s="79">
        <f t="shared" si="33"/>
        <v>1.1074079684796199</v>
      </c>
      <c r="BL200" s="79">
        <f t="shared" si="34"/>
        <v>0</v>
      </c>
      <c r="BM200" s="124">
        <f t="shared" si="35"/>
        <v>0</v>
      </c>
      <c r="BN200" s="124">
        <f t="shared" si="36"/>
        <v>1.7746922571788781</v>
      </c>
      <c r="BO200" s="124">
        <f t="shared" si="37"/>
        <v>0</v>
      </c>
    </row>
    <row r="201" spans="30:67">
      <c r="AD201" s="3">
        <v>197</v>
      </c>
      <c r="AE201" s="3" t="str">
        <f t="shared" si="13"/>
        <v>Right</v>
      </c>
      <c r="AF201" s="3" t="str">
        <f t="shared" si="14"/>
        <v>ROB</v>
      </c>
      <c r="AG201" s="3" t="str">
        <f>IF(XS_Designer_Summary!$AB$24&gt;=XS_Designer_Summary!AD201,"Y","N")</f>
        <v>Y</v>
      </c>
      <c r="AH201" s="45">
        <v>1</v>
      </c>
      <c r="AI201" s="45">
        <f>IF(AG201="Y",$O$19/XS_Designer_Summary!$AB$24,0)</f>
        <v>0.27201249999999999</v>
      </c>
      <c r="AJ201" s="45">
        <f t="shared" si="15"/>
        <v>0.27201249999999999</v>
      </c>
      <c r="AK201" s="14">
        <f t="shared" si="38"/>
        <v>26.657224999999936</v>
      </c>
      <c r="AL201" s="14">
        <f>IF(AG201="Y",LININTERP(AK201,XS_Designer_Calculations!$AY$4:$AY$104,XS_Designer_Calculations!$AZ$4:$AZ$104),AL200)</f>
        <v>3.2289874999999686</v>
      </c>
      <c r="AM201" s="14">
        <f t="shared" si="16"/>
        <v>1.7710125000000314</v>
      </c>
      <c r="AN201" s="14">
        <f t="shared" si="17"/>
        <v>0.46323983761719617</v>
      </c>
      <c r="AO201" s="46">
        <f t="shared" si="18"/>
        <v>0.3041192203648293</v>
      </c>
      <c r="AP201" s="46">
        <f t="shared" si="19"/>
        <v>1.5232178915278083</v>
      </c>
      <c r="AQ201" s="46">
        <f t="shared" si="20"/>
        <v>9.6170941658752437E-3</v>
      </c>
      <c r="AR201" s="14">
        <f>IFERROR(IF(AG201="Y",VLOOKUP(AK201,XS_Designer_Calculations!$R$5:$T$104,3,TRUE),0),0)</f>
        <v>0.1</v>
      </c>
      <c r="AS201" s="46">
        <f t="shared" si="21"/>
        <v>0.01</v>
      </c>
      <c r="AT201" s="14">
        <f t="shared" si="22"/>
        <v>9.1130985112013896</v>
      </c>
      <c r="AU201" s="14">
        <f>AT201*XS_Designer_Calculations!$I$7^0.5</f>
        <v>0.91130985112013896</v>
      </c>
      <c r="AV201" s="14">
        <f t="shared" si="23"/>
        <v>1.967252764373022</v>
      </c>
      <c r="AW201" s="14">
        <f t="shared" si="24"/>
        <v>0.95048796431335236</v>
      </c>
      <c r="AX201" s="14">
        <f t="shared" si="25"/>
        <v>5</v>
      </c>
      <c r="AY201" s="46">
        <f t="shared" si="26"/>
        <v>1.7030093750000319</v>
      </c>
      <c r="AZ201" s="14">
        <f>((AS201*AP201)/(1.65*XS_Designer!$S$99))*12</f>
        <v>5.3350895790209885</v>
      </c>
      <c r="BA201" s="14">
        <f>(AW201/((1.65*62.4)*XS_Designer!$AA$53))*12</f>
        <v>1.8463247170034043</v>
      </c>
      <c r="BB201" s="14">
        <f t="shared" si="27"/>
        <v>3.4064423916477988</v>
      </c>
      <c r="BC201" s="14">
        <f t="shared" si="28"/>
        <v>6.4415816804376966</v>
      </c>
      <c r="BD201" s="14">
        <f>IF(ISNUMBER(LININTERP(AW201,Permissible_Shear!$T$178:$T$188,Permissible_Shear!$V$178:$V$188)),LININTERP(AW201,Permissible_Shear!$T$178:$T$188,Permissible_Shear!$V$178:$V$188),0)</f>
        <v>3.204552401377347</v>
      </c>
      <c r="BE201" s="14">
        <f>LININTERP(AW201,Permissible_Shear!$S$205:$S$222,Permissible_Shear!$V$205:$V$222)</f>
        <v>3.256076310678039</v>
      </c>
      <c r="BF201" s="14">
        <f>INDEX($AZ$3:$BE$204,ROW(BF201)-2,MATCH(XS_Designer!$W$5,XS_Designer_Summary!$AZ$2:$BE$2,0))</f>
        <v>3.4064423916477988</v>
      </c>
      <c r="BG201" s="79">
        <f t="shared" si="29"/>
        <v>0</v>
      </c>
      <c r="BH201" s="79">
        <f t="shared" si="30"/>
        <v>1.967252764373022</v>
      </c>
      <c r="BI201" s="79">
        <f t="shared" si="31"/>
        <v>0</v>
      </c>
      <c r="BJ201" s="79">
        <f t="shared" si="32"/>
        <v>0</v>
      </c>
      <c r="BK201" s="79">
        <f t="shared" si="33"/>
        <v>0.95048796431335236</v>
      </c>
      <c r="BL201" s="79">
        <f t="shared" si="34"/>
        <v>0</v>
      </c>
      <c r="BM201" s="124">
        <f t="shared" si="35"/>
        <v>0</v>
      </c>
      <c r="BN201" s="124">
        <f t="shared" si="36"/>
        <v>1.5232178915278083</v>
      </c>
      <c r="BO201" s="124">
        <f t="shared" si="37"/>
        <v>0</v>
      </c>
    </row>
    <row r="202" spans="30:67">
      <c r="AD202" s="3">
        <v>198</v>
      </c>
      <c r="AE202" s="3" t="str">
        <f t="shared" si="13"/>
        <v>Right</v>
      </c>
      <c r="AF202" s="3" t="str">
        <f t="shared" si="14"/>
        <v>ROB</v>
      </c>
      <c r="AG202" s="3" t="str">
        <f>IF(XS_Designer_Summary!$AB$24&gt;=XS_Designer_Summary!AD202,"Y","N")</f>
        <v>Y</v>
      </c>
      <c r="AH202" s="45">
        <v>1</v>
      </c>
      <c r="AI202" s="45">
        <f>IF(AG202="Y",$O$19/XS_Designer_Summary!$AB$24,0)</f>
        <v>0.27201249999999999</v>
      </c>
      <c r="AJ202" s="45">
        <f t="shared" si="15"/>
        <v>0.27201249999999999</v>
      </c>
      <c r="AK202" s="14">
        <f t="shared" si="38"/>
        <v>26.929237499999935</v>
      </c>
      <c r="AL202" s="14">
        <f>IF(AG202="Y",LININTERP(AK202,XS_Designer_Calculations!$AY$4:$AY$104,XS_Designer_Calculations!$AZ$4:$AZ$104),AL201)</f>
        <v>3.3649937499999676</v>
      </c>
      <c r="AM202" s="14">
        <f t="shared" si="16"/>
        <v>1.6350062500000324</v>
      </c>
      <c r="AN202" s="14">
        <f t="shared" si="17"/>
        <v>0.42624443753907143</v>
      </c>
      <c r="AO202" s="46">
        <f t="shared" si="18"/>
        <v>0.3041192203648293</v>
      </c>
      <c r="AP202" s="46">
        <f t="shared" si="19"/>
        <v>0</v>
      </c>
      <c r="AQ202" s="46">
        <f t="shared" si="20"/>
        <v>9.6170941658752437E-3</v>
      </c>
      <c r="AR202" s="14">
        <f>IFERROR(IF(AG202="Y",VLOOKUP(AK202,XS_Designer_Calculations!$R$5:$T$104,3,TRUE),0),0)</f>
        <v>0.1</v>
      </c>
      <c r="AS202" s="46">
        <f t="shared" si="21"/>
        <v>0.01</v>
      </c>
      <c r="AT202" s="14">
        <f t="shared" si="22"/>
        <v>7.9326952680092191</v>
      </c>
      <c r="AU202" s="14">
        <f>AT202*XS_Designer_Calculations!$I$7^0.5</f>
        <v>0.793269526800922</v>
      </c>
      <c r="AV202" s="14">
        <f t="shared" si="23"/>
        <v>1.8610671646083532</v>
      </c>
      <c r="AW202" s="14">
        <f t="shared" si="24"/>
        <v>0</v>
      </c>
      <c r="AX202" s="14">
        <f t="shared" si="25"/>
        <v>5</v>
      </c>
      <c r="AY202" s="46">
        <f t="shared" si="26"/>
        <v>1.5670031250000329</v>
      </c>
      <c r="AZ202" s="14">
        <f>((AS202*AP202)/(1.65*XS_Designer!$S$99))*12</f>
        <v>0</v>
      </c>
      <c r="BA202" s="14">
        <f>(AW202/((1.65*62.4)*XS_Designer!$AA$53))*12</f>
        <v>0</v>
      </c>
      <c r="BB202" s="14">
        <f t="shared" si="27"/>
        <v>3.1343056573473524</v>
      </c>
      <c r="BC202" s="14">
        <f t="shared" si="28"/>
        <v>6.0739196589551723</v>
      </c>
      <c r="BD202" s="14">
        <f>IF(ISNUMBER(LININTERP(AW202,Permissible_Shear!$T$178:$T$188,Permissible_Shear!$V$178:$V$188)),LININTERP(AW202,Permissible_Shear!$T$178:$T$188,Permissible_Shear!$V$178:$V$188),0)</f>
        <v>0</v>
      </c>
      <c r="BE202" s="14">
        <f>LININTERP(AW202,Permissible_Shear!$S$205:$S$222,Permissible_Shear!$V$205:$V$222)</f>
        <v>1.5E-3</v>
      </c>
      <c r="BF202" s="14">
        <f>INDEX($AZ$3:$BE$204,ROW(BF202)-2,MATCH(XS_Designer!$W$5,XS_Designer_Summary!$AZ$2:$BE$2,0))</f>
        <v>3.1343056573473524</v>
      </c>
      <c r="BG202" s="79">
        <f t="shared" si="29"/>
        <v>0</v>
      </c>
      <c r="BH202" s="79">
        <f t="shared" si="30"/>
        <v>1.8610671646083532</v>
      </c>
      <c r="BI202" s="79">
        <f t="shared" si="31"/>
        <v>0</v>
      </c>
      <c r="BJ202" s="79">
        <f t="shared" si="32"/>
        <v>0</v>
      </c>
      <c r="BK202" s="79">
        <f t="shared" si="33"/>
        <v>0</v>
      </c>
      <c r="BL202" s="79">
        <f t="shared" si="34"/>
        <v>0</v>
      </c>
      <c r="BM202" s="124">
        <f t="shared" si="35"/>
        <v>0</v>
      </c>
      <c r="BN202" s="124">
        <f t="shared" si="36"/>
        <v>0</v>
      </c>
      <c r="BO202" s="124">
        <f t="shared" si="37"/>
        <v>0</v>
      </c>
    </row>
    <row r="203" spans="30:67">
      <c r="AD203" s="3">
        <v>199</v>
      </c>
      <c r="AE203" s="3" t="str">
        <f t="shared" si="13"/>
        <v>Right</v>
      </c>
      <c r="AF203" s="3" t="str">
        <f t="shared" si="14"/>
        <v>ROB</v>
      </c>
      <c r="AG203" s="3" t="str">
        <f>IF(XS_Designer_Summary!$AB$24&gt;=XS_Designer_Summary!AD203,"Y","N")</f>
        <v>Y</v>
      </c>
      <c r="AH203" s="45">
        <v>1</v>
      </c>
      <c r="AI203" s="45">
        <f>IF(AG203="Y",$O$19/XS_Designer_Summary!$AB$24,0)</f>
        <v>0.27201249999999999</v>
      </c>
      <c r="AJ203" s="45">
        <f t="shared" si="15"/>
        <v>0.27201249999999999</v>
      </c>
      <c r="AK203" s="14">
        <f t="shared" si="38"/>
        <v>27.201249999999934</v>
      </c>
      <c r="AL203" s="14">
        <f>IF(AG203="Y",LININTERP(AK203,XS_Designer_Calculations!$AY$4:$AY$104,XS_Designer_Calculations!$AZ$4:$AZ$104),AL202)</f>
        <v>3.5009999999999666</v>
      </c>
      <c r="AM203" s="14">
        <f t="shared" si="16"/>
        <v>1.4990000000000334</v>
      </c>
      <c r="AN203" s="14">
        <f t="shared" si="17"/>
        <v>0</v>
      </c>
      <c r="AO203" s="46">
        <f t="shared" si="18"/>
        <v>0</v>
      </c>
      <c r="AP203" s="46">
        <f t="shared" si="19"/>
        <v>0</v>
      </c>
      <c r="AQ203" s="46">
        <f t="shared" si="20"/>
        <v>0</v>
      </c>
      <c r="AR203" s="14">
        <f>IFERROR(IF(AG203="Y",VLOOKUP(AK203,XS_Designer_Calculations!$R$5:$T$104,3,TRUE),0),0)</f>
        <v>0.1</v>
      </c>
      <c r="AS203" s="46">
        <f t="shared" si="21"/>
        <v>0.01</v>
      </c>
      <c r="AT203" s="14">
        <f t="shared" si="22"/>
        <v>0</v>
      </c>
      <c r="AU203" s="14">
        <f>AT203*XS_Designer_Calculations!$I$7^0.5</f>
        <v>0</v>
      </c>
      <c r="AV203" s="14">
        <f t="shared" si="23"/>
        <v>0</v>
      </c>
      <c r="AW203" s="14">
        <f t="shared" si="24"/>
        <v>0</v>
      </c>
      <c r="AX203" s="14">
        <f t="shared" si="25"/>
        <v>5</v>
      </c>
      <c r="AY203" s="46">
        <f t="shared" si="26"/>
        <v>0</v>
      </c>
      <c r="AZ203" s="14">
        <f>((AS203*AP203)/(1.65*XS_Designer!$S$99))*12</f>
        <v>0</v>
      </c>
      <c r="BA203" s="14">
        <f>(AW203/((1.65*62.4)*XS_Designer!$AA$53))*12</f>
        <v>0</v>
      </c>
      <c r="BB203" s="14">
        <f t="shared" si="27"/>
        <v>2.863119107707365</v>
      </c>
      <c r="BC203" s="14">
        <f t="shared" si="28"/>
        <v>5.6980678034410692</v>
      </c>
      <c r="BD203" s="14">
        <f>IF(ISNUMBER(LININTERP(AW203,Permissible_Shear!$T$178:$T$188,Permissible_Shear!$V$178:$V$188)),LININTERP(AW203,Permissible_Shear!$T$178:$T$188,Permissible_Shear!$V$178:$V$188),0)</f>
        <v>0</v>
      </c>
      <c r="BE203" s="14">
        <f>LININTERP(AW203,Permissible_Shear!$S$205:$S$222,Permissible_Shear!$V$205:$V$222)</f>
        <v>1.5E-3</v>
      </c>
      <c r="BF203" s="14">
        <f>INDEX($AZ$3:$BE$204,ROW(BF203)-2,MATCH(XS_Designer!$W$5,XS_Designer_Summary!$AZ$2:$BE$2,0))</f>
        <v>2.863119107707365</v>
      </c>
      <c r="BG203" s="79">
        <f t="shared" si="29"/>
        <v>0</v>
      </c>
      <c r="BH203" s="79">
        <f t="shared" si="30"/>
        <v>0</v>
      </c>
      <c r="BI203" s="79">
        <f t="shared" si="31"/>
        <v>0</v>
      </c>
      <c r="BJ203" s="79">
        <f t="shared" si="32"/>
        <v>0</v>
      </c>
      <c r="BK203" s="79">
        <f t="shared" si="33"/>
        <v>0</v>
      </c>
      <c r="BL203" s="79">
        <f t="shared" si="34"/>
        <v>0</v>
      </c>
      <c r="BM203" s="124">
        <f t="shared" si="35"/>
        <v>0</v>
      </c>
      <c r="BN203" s="124">
        <f t="shared" si="36"/>
        <v>0</v>
      </c>
      <c r="BO203" s="124">
        <f t="shared" si="37"/>
        <v>0</v>
      </c>
    </row>
    <row r="204" spans="30:67">
      <c r="AD204" s="3">
        <v>200</v>
      </c>
      <c r="AE204" s="3" t="str">
        <f t="shared" si="13"/>
        <v>Right</v>
      </c>
      <c r="AF204" s="3" t="str">
        <f t="shared" si="14"/>
        <v>ROB</v>
      </c>
      <c r="AG204" s="3" t="str">
        <f>IF(XS_Designer_Summary!$AB$24&gt;=XS_Designer_Summary!AD204,"Y","N")</f>
        <v>Y</v>
      </c>
      <c r="AH204" s="45">
        <v>1</v>
      </c>
      <c r="AI204" s="45">
        <f>IF(AG204="Y",$O$19/XS_Designer_Summary!$AB$24,0)</f>
        <v>0.27201249999999999</v>
      </c>
      <c r="AJ204" s="45">
        <f t="shared" si="15"/>
        <v>0.27201249999999999</v>
      </c>
      <c r="AK204" s="14">
        <f t="shared" si="38"/>
        <v>27.201250000000002</v>
      </c>
      <c r="AL204" s="14" t="e">
        <f>IF(AG204="Y",LININTERP(AK204,XS_Designer_Calculations!$AY$4:$AY$104,XS_Designer_Calculations!$AZ$4:$AZ$104),AL203)</f>
        <v>#VALUE!</v>
      </c>
      <c r="AM204" s="14" t="e">
        <f t="shared" si="16"/>
        <v>#VALUE!</v>
      </c>
      <c r="AN204" s="14">
        <f t="shared" si="17"/>
        <v>0</v>
      </c>
      <c r="AO204" s="46">
        <f t="shared" si="18"/>
        <v>0</v>
      </c>
      <c r="AP204" s="46">
        <f t="shared" si="19"/>
        <v>0</v>
      </c>
      <c r="AQ204" s="46">
        <f t="shared" si="20"/>
        <v>0</v>
      </c>
      <c r="AR204" s="14" t="str">
        <f>IFERROR(IF(AG204="Y",VLOOKUP(AK204,XS_Designer_Calculations!$R$5:$T$104,3,TRUE),0),0)</f>
        <v/>
      </c>
      <c r="AS204" s="46">
        <f t="shared" si="21"/>
        <v>0.01</v>
      </c>
      <c r="AT204" s="14">
        <f t="shared" si="22"/>
        <v>0</v>
      </c>
      <c r="AU204" s="14">
        <f>AT204*XS_Designer_Calculations!$I$7^0.5</f>
        <v>0</v>
      </c>
      <c r="AV204" s="14">
        <f t="shared" si="23"/>
        <v>0</v>
      </c>
      <c r="AW204" s="14">
        <f t="shared" si="24"/>
        <v>0</v>
      </c>
      <c r="AX204" s="14">
        <f t="shared" si="25"/>
        <v>5</v>
      </c>
      <c r="AY204" s="46">
        <f t="shared" si="26"/>
        <v>0</v>
      </c>
      <c r="AZ204" s="14">
        <f>((AS204*AP204)/(1.65*XS_Designer!$S$99))*12</f>
        <v>0</v>
      </c>
      <c r="BA204" s="14">
        <f>(AW204/((1.65*62.4)*XS_Designer!$AA$53))*12</f>
        <v>0</v>
      </c>
      <c r="BB204" s="14" t="e">
        <f t="shared" si="27"/>
        <v>#VALUE!</v>
      </c>
      <c r="BC204" s="14" t="e">
        <f t="shared" si="28"/>
        <v>#VALUE!</v>
      </c>
      <c r="BD204" s="14">
        <f>IF(ISNUMBER(LININTERP(AW204,Permissible_Shear!$T$178:$T$188,Permissible_Shear!$V$178:$V$188)),LININTERP(AW204,Permissible_Shear!$T$178:$T$188,Permissible_Shear!$V$178:$V$188),0)</f>
        <v>0</v>
      </c>
      <c r="BE204" s="14">
        <f>LININTERP(AW204,Permissible_Shear!$S$205:$S$222,Permissible_Shear!$V$205:$V$222)</f>
        <v>1.5E-3</v>
      </c>
      <c r="BF204" s="14" t="e">
        <f>INDEX($AZ$3:$BE$204,ROW(BF204)-2,MATCH(XS_Designer!$W$5,XS_Designer_Summary!$AZ$2:$BE$2,0))</f>
        <v>#VALUE!</v>
      </c>
      <c r="BG204" s="79">
        <f t="shared" si="29"/>
        <v>0</v>
      </c>
      <c r="BH204" s="79">
        <f t="shared" si="30"/>
        <v>0</v>
      </c>
      <c r="BI204" s="79">
        <f t="shared" si="31"/>
        <v>0</v>
      </c>
      <c r="BJ204" s="79">
        <f t="shared" si="32"/>
        <v>0</v>
      </c>
      <c r="BK204" s="79">
        <f t="shared" si="33"/>
        <v>0</v>
      </c>
      <c r="BL204" s="79">
        <f t="shared" si="34"/>
        <v>0</v>
      </c>
      <c r="BM204" s="124">
        <f t="shared" si="35"/>
        <v>0</v>
      </c>
      <c r="BN204" s="124">
        <f t="shared" si="36"/>
        <v>0</v>
      </c>
      <c r="BO204" s="124">
        <f t="shared" si="37"/>
        <v>0</v>
      </c>
    </row>
  </sheetData>
  <mergeCells count="13">
    <mergeCell ref="Z1:AB1"/>
    <mergeCell ref="AD1:AY1"/>
    <mergeCell ref="AZ1:BE1"/>
    <mergeCell ref="A47:B47"/>
    <mergeCell ref="C47:D47"/>
    <mergeCell ref="F47:G47"/>
    <mergeCell ref="I47:J47"/>
    <mergeCell ref="L47:M47"/>
    <mergeCell ref="A1:C1"/>
    <mergeCell ref="E1:H1"/>
    <mergeCell ref="I1:L1"/>
    <mergeCell ref="M1:S1"/>
    <mergeCell ref="U1:X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CA106"/>
  <sheetViews>
    <sheetView workbookViewId="0">
      <selection activeCell="BL15" sqref="BL15"/>
    </sheetView>
  </sheetViews>
  <sheetFormatPr defaultRowHeight="12.75"/>
  <cols>
    <col min="2" max="2" width="10.140625" bestFit="1" customWidth="1"/>
    <col min="11" max="11" width="10.140625" customWidth="1"/>
    <col min="12" max="12" width="10.42578125" customWidth="1"/>
    <col min="19" max="19" width="10.140625" customWidth="1"/>
    <col min="25" max="25" width="14.5703125" customWidth="1"/>
    <col min="27" max="27" width="13.7109375" customWidth="1"/>
    <col min="28" max="28" width="15.7109375" customWidth="1"/>
    <col min="47" max="47" width="11" customWidth="1"/>
    <col min="51" max="51" width="11" customWidth="1"/>
    <col min="53" max="53" width="14.140625" customWidth="1"/>
    <col min="67" max="67" width="13" customWidth="1"/>
    <col min="77" max="77" width="18.140625" style="2" bestFit="1" customWidth="1"/>
  </cols>
  <sheetData>
    <row r="1" spans="1:79">
      <c r="A1" s="380" t="s">
        <v>13</v>
      </c>
      <c r="B1" s="381"/>
      <c r="C1" s="381"/>
      <c r="D1" s="381"/>
      <c r="E1" s="381"/>
      <c r="F1" s="381"/>
      <c r="G1" s="381"/>
      <c r="H1" s="381"/>
      <c r="I1" s="381"/>
      <c r="J1" s="381"/>
      <c r="K1" s="381"/>
      <c r="L1" s="381"/>
      <c r="M1" s="381"/>
      <c r="N1" s="381"/>
      <c r="O1" s="381"/>
      <c r="P1" s="381"/>
      <c r="Q1" s="381"/>
      <c r="R1" s="381"/>
      <c r="S1" s="381"/>
      <c r="T1" s="381"/>
      <c r="U1" s="381"/>
      <c r="V1" s="381"/>
      <c r="W1" s="381"/>
      <c r="X1" s="381"/>
      <c r="Y1" s="381"/>
      <c r="Z1" s="381"/>
      <c r="AA1" s="381"/>
      <c r="AB1" s="381"/>
      <c r="AC1" s="381"/>
      <c r="AD1" s="381"/>
      <c r="AE1" s="381"/>
      <c r="AF1" s="381"/>
      <c r="AG1" s="381"/>
      <c r="AH1" s="381"/>
      <c r="AI1" s="381"/>
      <c r="AJ1" s="381"/>
      <c r="AK1" s="381"/>
      <c r="AL1" s="382"/>
      <c r="AQ1" s="380" t="s">
        <v>219</v>
      </c>
      <c r="AR1" s="381"/>
      <c r="AS1" s="381"/>
      <c r="AT1" s="381"/>
      <c r="AU1" s="381"/>
      <c r="AV1" s="381"/>
      <c r="AW1" s="381"/>
      <c r="AX1" s="381"/>
      <c r="AY1" s="381"/>
      <c r="AZ1" s="381"/>
      <c r="BA1" s="381"/>
      <c r="BB1" s="382"/>
      <c r="BC1" s="2"/>
      <c r="BD1" s="380" t="s">
        <v>772</v>
      </c>
      <c r="BE1" s="381"/>
      <c r="BF1" s="381"/>
      <c r="BG1" s="381"/>
      <c r="BH1" s="381"/>
      <c r="BI1" s="381"/>
      <c r="BJ1" s="382"/>
      <c r="BL1" s="380" t="s">
        <v>475</v>
      </c>
      <c r="BM1" s="381"/>
      <c r="BN1" s="381"/>
      <c r="BO1" s="381"/>
      <c r="BP1" s="381"/>
      <c r="BQ1" s="381"/>
      <c r="BR1" s="381"/>
      <c r="BS1" s="381"/>
      <c r="BT1" s="381"/>
      <c r="BU1" s="381"/>
      <c r="BV1" s="382"/>
    </row>
    <row r="2" spans="1:79" ht="26.25">
      <c r="B2" s="2" t="s">
        <v>658</v>
      </c>
      <c r="C2" s="2" t="s">
        <v>658</v>
      </c>
      <c r="F2" s="2"/>
      <c r="G2" s="2"/>
      <c r="H2" s="2"/>
      <c r="I2" s="127" t="s">
        <v>75</v>
      </c>
      <c r="J2" s="127"/>
      <c r="K2" s="127"/>
      <c r="L2" s="127"/>
      <c r="M2" s="127"/>
      <c r="N2" s="381" t="s">
        <v>394</v>
      </c>
      <c r="O2" s="381"/>
      <c r="P2" s="2"/>
      <c r="W2" t="s">
        <v>830</v>
      </c>
      <c r="X2" t="s">
        <v>402</v>
      </c>
      <c r="AE2" t="s">
        <v>830</v>
      </c>
      <c r="AG2" s="372" t="s">
        <v>829</v>
      </c>
      <c r="AH2" s="372"/>
      <c r="AI2" t="s">
        <v>402</v>
      </c>
      <c r="AK2" s="372" t="s">
        <v>655</v>
      </c>
      <c r="AL2" s="372"/>
      <c r="AQ2" t="s">
        <v>76</v>
      </c>
      <c r="AR2" t="s">
        <v>152</v>
      </c>
      <c r="AS2" t="s">
        <v>74</v>
      </c>
      <c r="AY2" t="s">
        <v>517</v>
      </c>
      <c r="AZ2" t="s">
        <v>0</v>
      </c>
      <c r="BA2" t="s">
        <v>73</v>
      </c>
      <c r="BB2" t="s">
        <v>460</v>
      </c>
      <c r="BF2" s="207" t="s">
        <v>711</v>
      </c>
      <c r="BG2" s="207"/>
      <c r="BH2" t="s">
        <v>398</v>
      </c>
      <c r="BJ2" t="s">
        <v>883</v>
      </c>
      <c r="BN2" t="s">
        <v>468</v>
      </c>
      <c r="BP2" t="s">
        <v>530</v>
      </c>
      <c r="BQ2" s="1" t="s">
        <v>78</v>
      </c>
      <c r="BR2" s="1" t="s">
        <v>315</v>
      </c>
      <c r="BS2" s="2" t="s">
        <v>156</v>
      </c>
      <c r="BT2" s="1" t="s">
        <v>275</v>
      </c>
      <c r="BU2" s="1" t="s">
        <v>952</v>
      </c>
      <c r="BV2" s="1" t="s">
        <v>157</v>
      </c>
      <c r="BX2" s="1"/>
      <c r="BY2" s="11"/>
      <c r="BZ2" s="1"/>
    </row>
    <row r="3" spans="1:79">
      <c r="B3" s="2">
        <f t="array" ref="B3">MAX(IF(NOT(ISERROR($B$5:$B$104)),$B$5:$B$104,""))</f>
        <v>27.201250000000002</v>
      </c>
      <c r="C3" s="2">
        <f t="array" ref="C3">MAX(IF(NOT(ISERROR($C$5:$C$104)),$C$5:$C$104,""))</f>
        <v>3.5010000000000003</v>
      </c>
      <c r="I3" s="3" t="s">
        <v>947</v>
      </c>
      <c r="J3" s="3" t="s">
        <v>150</v>
      </c>
      <c r="K3" s="3" t="s">
        <v>518</v>
      </c>
      <c r="N3" s="22"/>
      <c r="O3" s="3" t="s">
        <v>393</v>
      </c>
      <c r="P3" s="2"/>
      <c r="W3" s="2" t="s">
        <v>825</v>
      </c>
      <c r="X3" s="2" t="s">
        <v>825</v>
      </c>
      <c r="Y3" s="220" t="s">
        <v>77</v>
      </c>
      <c r="Z3" s="2" t="s">
        <v>163</v>
      </c>
      <c r="AA3" s="2"/>
      <c r="AB3" s="220" t="s">
        <v>528</v>
      </c>
      <c r="AC3" s="2" t="s">
        <v>277</v>
      </c>
      <c r="AD3" s="2"/>
      <c r="AE3" s="2" t="s">
        <v>630</v>
      </c>
      <c r="AF3" s="2"/>
      <c r="AG3" s="2" t="s">
        <v>154</v>
      </c>
      <c r="AH3" s="2" t="s">
        <v>272</v>
      </c>
      <c r="AI3" s="2" t="s">
        <v>208</v>
      </c>
      <c r="AJ3" s="2" t="s">
        <v>521</v>
      </c>
      <c r="AK3" s="2" t="s">
        <v>529</v>
      </c>
      <c r="AL3" s="2" t="s">
        <v>403</v>
      </c>
      <c r="AM3" s="2"/>
      <c r="AN3" s="2"/>
      <c r="AO3" s="2"/>
      <c r="AP3" s="2"/>
      <c r="AQ3" s="40">
        <f>IFERROR(VLOOKUP("left edge of water",$BE$4:$BF$104,2,FALSE),MIN($AY$4:$AY$104))</f>
        <v>-27.201250000000002</v>
      </c>
      <c r="AR3" s="40">
        <f>IFERROR(VLOOKUP("right edge of water",$BE$4:$BF$104,2,FALSE),MAX($AY$4:$AY$104))</f>
        <v>27.201250000000002</v>
      </c>
      <c r="AS3" s="40" t="s">
        <v>884</v>
      </c>
      <c r="AT3" s="40" t="s">
        <v>153</v>
      </c>
      <c r="AU3" s="296">
        <f>AU4</f>
        <v>-27.201250000000002</v>
      </c>
      <c r="AV3" s="350">
        <f t="shared" ref="AV3:AV104" si="0">IF(IF(ISBLANK(AV2),$O$17,IF(AND(AS4=AS3,AS3=AS2),$O$17,LININTERP(AU3,$B$5:$B$104,$C$5:$C$104)))&gt;$O$17,$K$4,IF(ISBLANK(AV2),$O$17,IF(AND(AS4=AS3,AS3=AS2),$O$17,LININTERP(AU3,$B$5:$B$104,$C$5:$C$104))))</f>
        <v>5</v>
      </c>
      <c r="AW3" s="40"/>
      <c r="AX3" s="2"/>
      <c r="AZ3" t="s">
        <v>823</v>
      </c>
      <c r="BB3" t="s">
        <v>74</v>
      </c>
      <c r="BD3" t="s">
        <v>883</v>
      </c>
      <c r="BE3" t="s">
        <v>520</v>
      </c>
      <c r="BF3" t="s">
        <v>151</v>
      </c>
      <c r="BG3" t="s">
        <v>519</v>
      </c>
      <c r="BH3" s="122">
        <f>AV3</f>
        <v>5</v>
      </c>
      <c r="BI3" t="s">
        <v>824</v>
      </c>
      <c r="BJ3">
        <v>0</v>
      </c>
      <c r="BL3" s="2" t="s">
        <v>315</v>
      </c>
      <c r="BN3" s="264">
        <f>AU3</f>
        <v>-27.201250000000002</v>
      </c>
      <c r="BP3" s="44"/>
      <c r="BQ3" s="44"/>
      <c r="BR3" s="44"/>
      <c r="BS3" s="44"/>
      <c r="BT3" s="44"/>
      <c r="BU3" s="44"/>
      <c r="BV3" s="44"/>
      <c r="BY3" s="2" t="s">
        <v>361</v>
      </c>
    </row>
    <row r="4" spans="1:79">
      <c r="A4" s="73" t="s">
        <v>712</v>
      </c>
      <c r="B4" s="73" t="s">
        <v>1</v>
      </c>
      <c r="C4" s="73" t="s">
        <v>207</v>
      </c>
      <c r="D4" s="73" t="s">
        <v>2</v>
      </c>
      <c r="E4" s="73" t="s">
        <v>462</v>
      </c>
      <c r="F4" s="73" t="s">
        <v>654</v>
      </c>
      <c r="G4" s="73" t="s">
        <v>462</v>
      </c>
      <c r="I4" s="22">
        <f>XS_Designer!Q5</f>
        <v>-50</v>
      </c>
      <c r="J4" s="22">
        <f>XS_Designer!R5</f>
        <v>90</v>
      </c>
      <c r="K4" s="46">
        <f>XS_Designer!S5</f>
        <v>5</v>
      </c>
      <c r="N4" s="22"/>
      <c r="O4" s="3">
        <f t="array" ref="O4">IF(I4&lt;MIN(IF(NOT(ISERROR(B5:B104)),B5:B104)),MIN(IF(NOT(ISERROR(B5:B104)),B5:B104)),I4)</f>
        <v>-27.201250000000002</v>
      </c>
      <c r="P4" s="2"/>
      <c r="Q4" s="2" t="s">
        <v>3</v>
      </c>
      <c r="R4" s="2" t="s">
        <v>321</v>
      </c>
      <c r="S4" s="2" t="s">
        <v>527</v>
      </c>
      <c r="T4" s="2" t="s">
        <v>154</v>
      </c>
      <c r="U4" s="2" t="s">
        <v>890</v>
      </c>
      <c r="V4" s="2" t="s">
        <v>596</v>
      </c>
      <c r="W4" s="2">
        <f>W5</f>
        <v>4.0010000000000003</v>
      </c>
      <c r="X4" s="2">
        <f t="shared" ref="X4:X104" si="1">W4+$O$22</f>
        <v>4.5010000000000003</v>
      </c>
      <c r="Y4" s="220" t="s">
        <v>643</v>
      </c>
      <c r="Z4" s="2" t="s">
        <v>395</v>
      </c>
      <c r="AA4" s="2" t="s">
        <v>828</v>
      </c>
      <c r="AB4" s="220" t="s">
        <v>1007</v>
      </c>
      <c r="AC4" s="2" t="s">
        <v>395</v>
      </c>
      <c r="AD4" s="2" t="s">
        <v>278</v>
      </c>
      <c r="AE4" s="18">
        <f>R5</f>
        <v>-27.201250000000002</v>
      </c>
      <c r="AF4" s="18">
        <f t="shared" ref="AF4:AF104" si="2">IF(AND(AE5=AE4,AF3&lt;&gt;"midpoint"),AF3,IF(AND(ISNUMBER(AE4),ISNUMBER(AE5)),AVERAGE(AE4:AE5),""))</f>
        <v>-16.10125</v>
      </c>
      <c r="AG4" s="18">
        <f t="shared" ref="AG4:AG104" si="3">IF(ISNUMBER(AF4),VLOOKUP(AE5,$S$4:$T$104,2,FALSE),"")</f>
        <v>0.1</v>
      </c>
      <c r="AH4" s="18">
        <f t="shared" ref="AH4:AH104" si="4">IF(ISNUMBER(AG4),AG4,IF(ISNUMBER(AF4),AH3,""))</f>
        <v>0.1</v>
      </c>
      <c r="AI4" s="18">
        <f>R5</f>
        <v>-27.201250000000002</v>
      </c>
      <c r="AJ4" s="18">
        <f t="shared" ref="AJ4:AJ104" si="5">IF(AND(AJ3="midpoint",AI4=AI5),AI4-1,IF(AI5=AI4,AJ3,IF(AND(ISNUMBER(AI4),ISNUMBER(AI5)),AVERAGE(AI4:AI5),"")))</f>
        <v>-21.901250000000001</v>
      </c>
      <c r="AK4" s="18" t="str">
        <f t="shared" ref="AK4:AK105" si="6">IF(ISNUMBER(AJ4),VLOOKUP(AI5,$S$4:$U$104,3,FALSE),"")</f>
        <v>L-3 Stg</v>
      </c>
      <c r="AL4" s="18" t="str">
        <f t="shared" ref="AL4:AL105" si="7">IF(ISTEXT(AK4),AK4,IF(ISNUMBER(AJ4),AL3,""))</f>
        <v>L-3 Stg</v>
      </c>
      <c r="AM4" s="2"/>
      <c r="AN4" s="2"/>
      <c r="AO4" s="2"/>
      <c r="AP4" s="2"/>
      <c r="AQ4" s="2"/>
      <c r="AR4" s="2"/>
      <c r="AS4" s="166">
        <f t="shared" ref="AS4:AS104" si="8">IF(AS3=$AR$3,$AR$3,IF(BA4&lt;=$AQ$3,$AQ$3,IF(BA4&gt;=$AR$3,$AR$3,BA4)))</f>
        <v>-27.201250000000002</v>
      </c>
      <c r="AT4" s="40">
        <f>IF(OR(AND(AS4=$O$4,AT3&lt;&gt;$O$17),(AND(AS4=$O$11,AT3&lt;&gt;$O$17)),AND(AS4=$O$4,AT3=$O$17),AND(AS4=$O$11,AT3=$O$17)),$O$17,LININTERP(AS4,$B$5:$B$104,$C$5:$C$104))</f>
        <v>5</v>
      </c>
      <c r="AU4" s="166">
        <f t="shared" ref="AU4:AU104" si="9">AS4</f>
        <v>-27.201250000000002</v>
      </c>
      <c r="AV4" s="40">
        <f>IF(IF(ISBLANK(AV3),$O$17,IF(AND(AS5=AS4,AS4=AS3),$O$17,LININTERP(AU4,$B$5:$B$104,$C$5:$C$104)))&gt;$O$17,$K$4,IF(ISBLANK(AV3),$O$17,IF(AND(AS5=AS4,AS4=AS3),$O$17,LININTERP(AU4,$B$5:$B$104,$C$5:$C$104))))</f>
        <v>3.5010000000000003</v>
      </c>
      <c r="AW4" s="152"/>
      <c r="AX4" s="2"/>
      <c r="AY4" s="166">
        <f t="shared" ref="AY4:AY103" si="10">IF(ISERROR(B5),$O$11,B5)</f>
        <v>-27.201250000000002</v>
      </c>
      <c r="AZ4">
        <f t="shared" ref="AZ4:AZ104" si="11">IF(AY4&lt;&gt;"",IFERROR(VLOOKUP(AY4,$B$5:$C$104,2,FALSE),LININTERP(AY4,$B$5:$B$104,$C$5:$C$104)),"")</f>
        <v>3.5010000000000003</v>
      </c>
      <c r="BA4" s="341">
        <f t="shared" ref="BA4:BA104" si="12">IF(AY4&lt;=$I$4,$I$4,IF(AY4&gt;=$J$4,$J$4,AY4))</f>
        <v>-27.201250000000002</v>
      </c>
      <c r="BB4">
        <f t="shared" ref="BB4:BB104" si="13">IF(IF(AY4=0,$K$4,IF(BA4&lt;$I$4,$K$4,IF(BA4&lt;&gt;"",IFERROR(VLOOKUP(BA4,$B$5:$C$104,2,FALSE),LININTERP(BA4,$B$5:$B$104,$C$5:$C$104)),"")))&gt;$K$4,$K$4,IF(AY4=0,$K$4,IF(BA4&lt;$I$4,$K$4,IF(BA4&lt;&gt;"",IFERROR(VLOOKUP(BA4,$B$5:$C$104,2,FALSE),LININTERP(BA4,$B$5:$B$104,$C$5:$C$104)),""))))</f>
        <v>3.5010000000000003</v>
      </c>
      <c r="BD4">
        <f t="shared" ref="BD4:BD104" si="14">IF(AND(AY4&gt;$I$4,AY4&lt;$J$4),$O$17-AZ4,0)</f>
        <v>1.4989999999999997</v>
      </c>
      <c r="BE4" s="2">
        <f t="shared" ref="BE4:BE104" si="15">IF(AND(BD4&lt;=0,BD5&gt;0),IF(ISNONTEXT(BD5),"left edge of water",0),IF(AND(BD3&gt;0,BD4&lt;=0),IF(ISNONTEXT(BD3),"right edge of water",0),0))</f>
        <v>0</v>
      </c>
      <c r="BF4" s="122">
        <f t="shared" ref="BF4:BF104" si="16">IF(AND(BG4="MAX WSE",BE4="left edge of water"),$O$4,IF(AND(BG4="MAX WSE",BE4="right edge of water"),$O$11,IF(BE4="left edge of water",(($O$17-AZ4)/((AZ5-AZ4)/(AY5-AY4)))+AY4,IF(BE4="right edge of water",(($O$17-AZ3)/((AZ4-AZ3)/(AY4-AY3)))+AY3,0))))</f>
        <v>0</v>
      </c>
      <c r="BG4" t="str">
        <f t="shared" ref="BG4:BG104" si="17">IF(AND($O$17&gt;LININTERP(BA4,$B$5:$B$104,$C$5:$C$104),OR(BD4&gt;0,BE4&lt;&gt;0)),"MAX WSE","At Ground")</f>
        <v>MAX WSE</v>
      </c>
      <c r="BH4" s="122">
        <f t="shared" ref="BH4:BH67" si="18">AV4</f>
        <v>3.5010000000000003</v>
      </c>
      <c r="BJ4" s="122">
        <f t="shared" ref="BJ4:BJ104" si="19">IF(BE4&lt;&gt;0,$O$17-AZ4,BD4)</f>
        <v>1.4989999999999997</v>
      </c>
      <c r="BL4" s="2">
        <f t="shared" ref="BL4:BL5" si="20">IF(AND(ISNUMBER(B4),ISNUMBER(D4)),D4,IF(ISNUMBER(B4),BL2,0))</f>
        <v>0</v>
      </c>
      <c r="BM4" s="2"/>
      <c r="BN4" s="152">
        <f t="shared" ref="BN4:BN104" si="21">IF(BG4="At Ground",IF(OR(BE4="left edge of water",BE4="right edge of water"),BF4,NA()),IF(BG4="MAX WSE",BA4,NA()))</f>
        <v>-27.201250000000002</v>
      </c>
      <c r="BO4" s="2" t="str">
        <f>IF(BP4="Left",IF(ISERROR(VLOOKUP(BN4,XS_Designer_Summary!$A$21:$B$25,2,TRUE)),"",VLOOKUP(BN4,XS_Designer_Summary!$A$21:$B$25,2,TRUE)),IF(ISERROR(VLOOKUP(-BN4,XS_Designer_Summary!$A$28:$B$32,2,TRUE)),"",VLOOKUP(-BN4,XS_Designer_Summary!$A$28:$B$32,2,TRUE)))</f>
        <v>Left 3rd Stage</v>
      </c>
      <c r="BP4" s="2" t="str">
        <f>IF(AU4&lt;XS_Designer_Summary!$B$7,"Left",IF(AU4&gt;XS_Designer_Summary!$B$7,"Right","Thalweg"))</f>
        <v>Left</v>
      </c>
      <c r="BQ4" s="2">
        <f t="shared" ref="BQ4:BQ104" si="22">IF(ISERROR(BO4),"",IF(BP4="Left",SQRT(((AU5-AU4)^2)+((AV5-AV4)^2)),IF(BP4="Right",SQRT(((AU3-AU4)^2)+((AV3-AV4)^2)),0)))</f>
        <v>0.67082039324993814</v>
      </c>
      <c r="BR4" s="2">
        <f t="shared" ref="BR4:BR104" si="23">IF(BO4="",0,IF(BP4="Left",BL5,IF(OR(BP4="Right",BP4="Thalweg"),BL4,0)))</f>
        <v>0.1</v>
      </c>
      <c r="BS4" s="2">
        <f t="shared" ref="BS4:BS104" si="24">IF(ISERROR(BO4),"",((BR4^1.5)*BQ4))</f>
        <v>2.1213203435596469E-2</v>
      </c>
      <c r="BT4" s="27">
        <f t="shared" ref="BT4:BT104" si="25">IF(AND(BP4="Left",NOT(ISERROR(BN4)),NOT(ISERROR(BN5))),BN5-BN4,IF(AND(BP4="Right",NOT(ISERROR(BN3)),NOT(ISERROR(BN4))),BN4-BN3,0))</f>
        <v>0.60000000000000142</v>
      </c>
      <c r="BU4" s="2">
        <f t="shared" ref="BU4:BU104" si="26">IF(ISERROR(BO4),"",IF(BJ4&lt;0,0,BJ4))</f>
        <v>1.4989999999999997</v>
      </c>
      <c r="BV4" s="2">
        <f t="shared" ref="BV4:BV104" si="27">IF(ISERROR(BO4),"",IF(BP4="Left",AVERAGE(BU4,BU5)*BT4,IF(BP4="Right",AVERAGE(BU4,BU3)*BT4,0)))</f>
        <v>0.98940000000000206</v>
      </c>
      <c r="BX4" t="s">
        <v>504</v>
      </c>
      <c r="BY4" s="2" t="s">
        <v>984</v>
      </c>
      <c r="BZ4" t="s">
        <v>863</v>
      </c>
      <c r="CA4" t="s">
        <v>716</v>
      </c>
    </row>
    <row r="5" spans="1:79">
      <c r="A5" s="2">
        <v>1</v>
      </c>
      <c r="B5" s="270">
        <f>IF(ISNUMBER(XS_Designer!F5),XS_Designer!F5,NA())</f>
        <v>-27.201250000000002</v>
      </c>
      <c r="C5" s="111">
        <f>IF(ISNUMBER(XS_Designer!G5),XS_Designer!G5,NA())</f>
        <v>3.5010000000000003</v>
      </c>
      <c r="D5" s="111">
        <f>IF(ISNUMBER(XS_Designer!I5),XS_Designer!I5,"")</f>
        <v>0.1</v>
      </c>
      <c r="E5" s="2" t="str">
        <f t="shared" ref="E5:E104" si="28">IF(ISERROR(AE5),"",IF(AE4=AE5,"",(IF((ISNUMBER(B6)),CONCATENATE(AE4," to ",AE5),""))))</f>
        <v>-27.20125 to -5.00125</v>
      </c>
      <c r="F5" s="111" t="str">
        <f>IF(ISTEXT(XS_Designer!H5),VLOOKUP(XS_Designer!H5,$K$12:$L$20,2,FALSE),"")</f>
        <v>L-3 Stg</v>
      </c>
      <c r="G5" s="54" t="str">
        <f t="shared" ref="G5:G104" si="29">IF(ISERROR(AE5),"",IF(AE4=AE5,"",(IF((ISNUMBER(B6)),CONCATENATE(AE4," to ",AE5),""))))</f>
        <v>-27.20125 to -5.00125</v>
      </c>
      <c r="N5" s="22">
        <f>I4</f>
        <v>-50</v>
      </c>
      <c r="O5" s="300">
        <f t="array" ref="O5">MIN(IF(NOT(ISERROR(C5:C104)),C5:C104))</f>
        <v>0</v>
      </c>
      <c r="Q5" s="2" t="str">
        <f t="shared" ref="Q5:Q104" si="30">IF(ISNUMBER(B5),"Y","N")</f>
        <v>Y</v>
      </c>
      <c r="R5" s="166">
        <f t="shared" ref="R5:R104" si="31">IF(ISNUMBER(B5),B5,"")</f>
        <v>-27.201250000000002</v>
      </c>
      <c r="S5" s="2">
        <f t="shared" ref="S5:S104" si="32">IF(ISNUMBER(B6),B6,"")</f>
        <v>-26.60125</v>
      </c>
      <c r="T5" s="2">
        <f t="shared" ref="T5:T104" si="33">IF(AND(R5=S5,ISNUMBER(T4),ISBLANK(D5)),T4,IF(ISNUMBER(D5),D5,IF(ISNUMBER(S5),IF(T4="n value",$K$27,T4),"")))</f>
        <v>0.1</v>
      </c>
      <c r="U5" s="2" t="str">
        <f t="shared" ref="U5:U105" si="34">IF(AND(Q5="Y",Q6&lt;&gt;"N"),IF(F5="",AB4,F5),IF(AND(Q5="Y",Q6="N"),F5,""))</f>
        <v>L-3 Stg</v>
      </c>
      <c r="V5" s="326">
        <f t="shared" ref="V5:V104" si="35">IF(AND(ISNUMBER(B6),ISNUMBER(B5)),AVERAGE(B5:B6),"")</f>
        <v>-26.901250000000001</v>
      </c>
      <c r="W5" s="97">
        <f t="shared" ref="W5:W104" si="36">IF(ISNUMBER(AJ5),$C$3+$O$22,IF(ISNUMBER(AJ4),$C$3+$O$22,NA()))</f>
        <v>4.0010000000000003</v>
      </c>
      <c r="X5" s="2">
        <f t="shared" si="1"/>
        <v>4.5010000000000003</v>
      </c>
      <c r="Y5" s="95">
        <f t="shared" ref="Y5:Y104" si="37">IF(AND(Q5="Y",Q6&lt;&gt;"N"),IF(ISNUMBER(D5),D5,IF(Y4="(n)",$K$27,Y4)),"")</f>
        <v>0.1</v>
      </c>
      <c r="Z5" s="261">
        <f t="shared" ref="Z5:Z105" si="38">R5</f>
        <v>-27.201250000000002</v>
      </c>
      <c r="AA5" s="95">
        <f t="shared" ref="AA5:AA6" si="39">IF(ISNUMBER(Y5),INDEX(Y5:Y105,MATCH(TRUE,INDEX(Y5:Y105&lt;&gt;Y5,),0)),"")</f>
        <v>0.04</v>
      </c>
      <c r="AB5" s="95" t="str">
        <f t="shared" ref="AB5:AB105" si="40">IF(AND(Q5="Y",Q6&lt;&gt;"N"),IF(F5="",IF(AB4="(identify stage)",$L$27,AB4),F5),IF(AND(Q5="Y",Q6="N"),F5,""))</f>
        <v>L-3 Stg</v>
      </c>
      <c r="AC5" s="95">
        <f t="shared" ref="AC5:AC105" si="41">R5</f>
        <v>-27.201250000000002</v>
      </c>
      <c r="AD5" s="95" t="str">
        <f t="shared" ref="AD5:AD6" si="42">IF(ISTEXT(AB5),INDEX(AB5:AB105,MATCH(TRUE,INDEX(AB5:AB105&lt;&gt;AB5,),0)),"")</f>
        <v>L-2 Stg</v>
      </c>
      <c r="AE5" s="18">
        <f t="shared" ref="AE5:AE104" si="43">IF(AND(ISNUMBER(AE4),ISNUMBER(S5)),(VLOOKUP(AA5,Y5:Z105,2,FALSE)),IF(ISNUMBER(S5),R5,""))</f>
        <v>-5.0012499999999998</v>
      </c>
      <c r="AF5" s="18">
        <f t="shared" si="2"/>
        <v>-16.10125</v>
      </c>
      <c r="AG5" s="18">
        <f t="shared" si="3"/>
        <v>0.1</v>
      </c>
      <c r="AH5" s="18">
        <f t="shared" si="4"/>
        <v>0.1</v>
      </c>
      <c r="AI5" s="18">
        <f t="shared" ref="AI5:AI6" si="44">IF(AND(ISNUMBER(AI4),ISNUMBER(S5)),(VLOOKUP(AD5,AB5:AC105,2,FALSE)),IF(ISNUMBER(S5),R5,NA()))</f>
        <v>-16.60125</v>
      </c>
      <c r="AJ5" s="18">
        <f t="shared" si="5"/>
        <v>-21.901250000000001</v>
      </c>
      <c r="AK5" s="18" t="str">
        <f t="shared" si="6"/>
        <v>L-3 Stg</v>
      </c>
      <c r="AL5" s="18" t="str">
        <f t="shared" si="7"/>
        <v>L-3 Stg</v>
      </c>
      <c r="AR5" t="str">
        <f>IF(AND(AS5=$O$4,AT4&lt;&gt;$O$17),"Y","N")</f>
        <v>N</v>
      </c>
      <c r="AS5" s="166">
        <f t="shared" si="8"/>
        <v>-26.60125</v>
      </c>
      <c r="AT5" s="40">
        <f t="shared" ref="AT5:AT104" si="45">IF(OR(AND(AS5=$O$4,AT4&lt;&gt;$O$17),(AND(AS5=$O$11,AT4&lt;&gt;$O$17)),AND(AS5=$O$4,AT4=$O$17),AND(AS5=$O$11,AT4=$O$17)),$O$17,LININTERP(AS5,$B$5:$B$104,$C$5:$C$104))</f>
        <v>3.2010000000000005</v>
      </c>
      <c r="AU5" s="166">
        <f t="shared" si="9"/>
        <v>-26.60125</v>
      </c>
      <c r="AV5" s="40">
        <f>IF(IF(ISBLANK(AV4),$O$17,IF(AND(AS6=AS5,AS5=AS4),$O$17,LININTERP(AU5,$B$5:$B$104,$C$5:$C$104)))&gt;$O$17,$K$4,IF(ISBLANK(AV4),$O$17,IF(AND(AS6=AS5,AS5=AS4),$O$17,LININTERP(AU5,$B$5:$B$104,$C$5:$C$104))))</f>
        <v>3.2010000000000005</v>
      </c>
      <c r="AW5" s="152"/>
      <c r="AY5" s="166">
        <f t="shared" si="10"/>
        <v>-26.60125</v>
      </c>
      <c r="AZ5">
        <f t="shared" si="11"/>
        <v>3.2010000000000005</v>
      </c>
      <c r="BA5" s="341">
        <f t="shared" si="12"/>
        <v>-26.60125</v>
      </c>
      <c r="BB5">
        <f t="shared" si="13"/>
        <v>3.2010000000000005</v>
      </c>
      <c r="BD5">
        <f t="shared" si="14"/>
        <v>1.7989999999999995</v>
      </c>
      <c r="BE5" s="2">
        <f t="shared" si="15"/>
        <v>0</v>
      </c>
      <c r="BF5" s="122">
        <f t="shared" si="16"/>
        <v>0</v>
      </c>
      <c r="BG5" t="str">
        <f t="shared" si="17"/>
        <v>MAX WSE</v>
      </c>
      <c r="BH5" s="122">
        <f t="shared" si="18"/>
        <v>3.2010000000000005</v>
      </c>
      <c r="BJ5" s="122">
        <f t="shared" si="19"/>
        <v>1.7989999999999995</v>
      </c>
      <c r="BL5" s="2">
        <f t="shared" si="20"/>
        <v>0.1</v>
      </c>
      <c r="BM5" s="2"/>
      <c r="BN5" s="152">
        <f t="shared" si="21"/>
        <v>-26.60125</v>
      </c>
      <c r="BO5" s="2" t="str">
        <f>IF(BP5="Left",IF(ISERROR(VLOOKUP(BN5,XS_Designer_Summary!$A$21:$B$25,2,TRUE)),"",VLOOKUP(BN5,XS_Designer_Summary!$A$21:$B$25,2,TRUE)),IF(ISERROR(VLOOKUP(-BN5,XS_Designer_Summary!$A$28:$B$32,2,TRUE)),"",VLOOKUP(-BN5,XS_Designer_Summary!$A$28:$B$32,2,TRUE)))</f>
        <v>Left 3rd Stage</v>
      </c>
      <c r="BP5" s="2" t="str">
        <f>IF(AU5&lt;XS_Designer_Summary!$B$7,"Left",IF(AU5&gt;XS_Designer_Summary!$B$7,"Right","Thalweg"))</f>
        <v>Left</v>
      </c>
      <c r="BQ5" s="2">
        <f t="shared" si="22"/>
        <v>10.001999800039989</v>
      </c>
      <c r="BR5" s="2">
        <f t="shared" si="23"/>
        <v>0.1</v>
      </c>
      <c r="BS5" s="2">
        <f t="shared" si="24"/>
        <v>0.31629100524675063</v>
      </c>
      <c r="BT5" s="2">
        <f t="shared" si="25"/>
        <v>10</v>
      </c>
      <c r="BU5" s="2">
        <f t="shared" si="26"/>
        <v>1.7989999999999995</v>
      </c>
      <c r="BV5" s="2">
        <f t="shared" si="27"/>
        <v>18.989999999999995</v>
      </c>
      <c r="BX5" s="2">
        <f>IF(AND(ISNUMBER($BN5),$BO5="Left 2nd Stage"),$BN5,0)</f>
        <v>0</v>
      </c>
      <c r="BY5" s="2">
        <f>IF(AND(ISNUMBER($BN5),$BO5="Left Bankfull"),$BN5,0)</f>
        <v>0</v>
      </c>
      <c r="BZ5" s="2">
        <f>IF(AND(ISNUMBER(BO5),BP5="Right 2nd Stage"),BO5,0)</f>
        <v>0</v>
      </c>
      <c r="CA5" s="2">
        <f t="shared" ref="CA5:CA103" si="46">IF(AND(ISNUMBER(BN5),BO5="Thalweg"),BN5,0)</f>
        <v>0</v>
      </c>
    </row>
    <row r="6" spans="1:79">
      <c r="A6" s="2">
        <v>2</v>
      </c>
      <c r="B6" s="111">
        <f>IF(ISNUMBER(XS_Designer!F6),XS_Designer!F6,NA())</f>
        <v>-26.60125</v>
      </c>
      <c r="C6" s="111">
        <f>IF(ISNUMBER(XS_Designer!G6),XS_Designer!G6,NA())</f>
        <v>3.2010000000000005</v>
      </c>
      <c r="D6" s="111" t="str">
        <f>IF(ISNUMBER(XS_Designer!I6),XS_Designer!I6,"")</f>
        <v/>
      </c>
      <c r="E6" s="2" t="str">
        <f t="shared" si="28"/>
        <v/>
      </c>
      <c r="F6" s="111" t="str">
        <f>IF(ISTEXT(XS_Designer!H6),VLOOKUP(XS_Designer!H6,$K$12:$L$20,2,FALSE),"")</f>
        <v/>
      </c>
      <c r="G6" s="54" t="str">
        <f t="shared" si="29"/>
        <v/>
      </c>
      <c r="I6" s="3" t="s">
        <v>949</v>
      </c>
      <c r="N6" s="22">
        <f>I4</f>
        <v>-50</v>
      </c>
      <c r="O6" s="22">
        <f t="array" ref="O6">MAX(IF(NOT(ISERROR(C5:C104)),C5:C104))</f>
        <v>3.5010000000000003</v>
      </c>
      <c r="Q6" s="2" t="str">
        <f t="shared" si="30"/>
        <v>Y</v>
      </c>
      <c r="R6" s="166">
        <f t="shared" si="31"/>
        <v>-26.60125</v>
      </c>
      <c r="S6" s="2">
        <f t="shared" si="32"/>
        <v>-16.60125</v>
      </c>
      <c r="T6" s="2">
        <f t="shared" si="33"/>
        <v>0.1</v>
      </c>
      <c r="U6" s="2" t="str">
        <f t="shared" si="34"/>
        <v>L-3 Stg</v>
      </c>
      <c r="V6" s="326">
        <f t="shared" si="35"/>
        <v>-21.60125</v>
      </c>
      <c r="W6" s="97">
        <f t="shared" si="36"/>
        <v>4.0010000000000003</v>
      </c>
      <c r="X6" s="2">
        <f t="shared" si="1"/>
        <v>4.5010000000000003</v>
      </c>
      <c r="Y6" s="95">
        <f t="shared" si="37"/>
        <v>0.1</v>
      </c>
      <c r="Z6" s="261">
        <f t="shared" si="38"/>
        <v>-26.60125</v>
      </c>
      <c r="AA6" s="95">
        <f t="shared" si="39"/>
        <v>0.04</v>
      </c>
      <c r="AB6" s="95" t="str">
        <f t="shared" si="40"/>
        <v>L-3 Stg</v>
      </c>
      <c r="AC6" s="95">
        <f t="shared" si="41"/>
        <v>-26.60125</v>
      </c>
      <c r="AD6" s="95" t="str">
        <f t="shared" si="42"/>
        <v>L-2 Stg</v>
      </c>
      <c r="AE6" s="18">
        <f t="shared" si="43"/>
        <v>-5.0012499999999998</v>
      </c>
      <c r="AF6" s="18">
        <f t="shared" si="2"/>
        <v>-16.10125</v>
      </c>
      <c r="AG6" s="18">
        <f t="shared" si="3"/>
        <v>0.1</v>
      </c>
      <c r="AH6" s="18">
        <f t="shared" si="4"/>
        <v>0.1</v>
      </c>
      <c r="AI6" s="18">
        <f t="shared" si="44"/>
        <v>-16.60125</v>
      </c>
      <c r="AJ6" s="18">
        <f t="shared" si="5"/>
        <v>-10.80125</v>
      </c>
      <c r="AK6" s="18" t="str">
        <f t="shared" si="6"/>
        <v>L-2 Stg</v>
      </c>
      <c r="AL6" s="18" t="str">
        <f t="shared" si="7"/>
        <v>L-2 Stg</v>
      </c>
      <c r="AS6" s="166">
        <f t="shared" si="8"/>
        <v>-16.60125</v>
      </c>
      <c r="AT6" s="40">
        <f t="shared" si="45"/>
        <v>3.0010000000000003</v>
      </c>
      <c r="AU6" s="166">
        <f t="shared" si="9"/>
        <v>-16.60125</v>
      </c>
      <c r="AV6" s="40">
        <f t="shared" si="0"/>
        <v>3.0010000000000003</v>
      </c>
      <c r="AW6" s="152"/>
      <c r="AY6" s="166">
        <f t="shared" si="10"/>
        <v>-16.60125</v>
      </c>
      <c r="AZ6">
        <f t="shared" si="11"/>
        <v>3.0010000000000003</v>
      </c>
      <c r="BA6" s="341">
        <f t="shared" si="12"/>
        <v>-16.60125</v>
      </c>
      <c r="BB6">
        <f t="shared" si="13"/>
        <v>3.0010000000000003</v>
      </c>
      <c r="BD6">
        <f t="shared" si="14"/>
        <v>1.9989999999999997</v>
      </c>
      <c r="BE6" s="2">
        <f t="shared" si="15"/>
        <v>0</v>
      </c>
      <c r="BF6" s="122">
        <f t="shared" si="16"/>
        <v>0</v>
      </c>
      <c r="BG6" t="str">
        <f t="shared" si="17"/>
        <v>MAX WSE</v>
      </c>
      <c r="BH6" s="122">
        <f t="shared" si="18"/>
        <v>3.0010000000000003</v>
      </c>
      <c r="BJ6" s="122">
        <f t="shared" si="19"/>
        <v>1.9989999999999997</v>
      </c>
      <c r="BL6" s="2">
        <f t="shared" ref="BL6:BL94" si="47">IF(AND(ISNUMBER(B6),ISNUMBER(D6)),D6,IF(ISNUMBER(B6),BL5,0))</f>
        <v>0.1</v>
      </c>
      <c r="BM6" s="2"/>
      <c r="BN6" s="152">
        <f t="shared" si="21"/>
        <v>-16.60125</v>
      </c>
      <c r="BO6" s="2" t="str">
        <f>IF(BP6="Left",IF(ISERROR(VLOOKUP(BN6,XS_Designer_Summary!$A$21:$B$25,2,TRUE)),"",VLOOKUP(BN6,XS_Designer_Summary!$A$21:$B$25,2,TRUE)),IF(ISERROR(VLOOKUP(-BN6,XS_Designer_Summary!$A$28:$B$32,2,TRUE)),"",VLOOKUP(-BN6,XS_Designer_Summary!$A$28:$B$32,2,TRUE)))</f>
        <v>Left 2nd Stage</v>
      </c>
      <c r="BP6" s="2" t="str">
        <f>IF(AU6&lt;XS_Designer_Summary!$B$7,"Left",IF(AU6&gt;XS_Designer_Summary!$B$7,"Right","Thalweg"))</f>
        <v>Left</v>
      </c>
      <c r="BQ6" s="2">
        <f t="shared" si="22"/>
        <v>1.7888543819998333</v>
      </c>
      <c r="BR6" s="2">
        <f t="shared" si="23"/>
        <v>0.1</v>
      </c>
      <c r="BS6" s="2">
        <f t="shared" si="24"/>
        <v>5.6568542494923858E-2</v>
      </c>
      <c r="BT6" s="2">
        <f t="shared" si="25"/>
        <v>1.6000000000000014</v>
      </c>
      <c r="BU6" s="2">
        <f t="shared" si="26"/>
        <v>1.9989999999999997</v>
      </c>
      <c r="BV6" s="2">
        <f t="shared" si="27"/>
        <v>3.8384000000000036</v>
      </c>
      <c r="BX6" s="2">
        <f>IF(AND(ISNUMBER($BN6),$BO6="Left 2nd Stage",SUM($BX$5:BX5)=0),$BN6,0)</f>
        <v>-16.60125</v>
      </c>
      <c r="BY6" s="2">
        <f>IF(AND(ISNUMBER($BN6),$BO6="Left Bankfull",SUM($BY$5:$BY5)=0),$BN6,0)</f>
        <v>0</v>
      </c>
      <c r="BZ6" s="2">
        <f>IF(AND(ISNUMBER($BN6),$BO6="Right 2nd Stage",SUM($BZ$5:$BZ5)=0),$BN5,0)</f>
        <v>0</v>
      </c>
      <c r="CA6" s="2">
        <f t="shared" si="46"/>
        <v>0</v>
      </c>
    </row>
    <row r="7" spans="1:79">
      <c r="A7" s="2">
        <v>3</v>
      </c>
      <c r="B7" s="111">
        <f>IF(ISNUMBER(XS_Designer!F7),XS_Designer!F7,NA())</f>
        <v>-16.60125</v>
      </c>
      <c r="C7" s="111">
        <f>IF(ISNUMBER(XS_Designer!G7),XS_Designer!G7,NA())</f>
        <v>3.0010000000000003</v>
      </c>
      <c r="D7" s="111">
        <f>IF(ISNUMBER(XS_Designer!I7),XS_Designer!I7,"")</f>
        <v>0.1</v>
      </c>
      <c r="E7" s="2" t="str">
        <f t="shared" si="28"/>
        <v/>
      </c>
      <c r="F7" s="111" t="str">
        <f>IF(ISTEXT(XS_Designer!H7),VLOOKUP(XS_Designer!H7,$K$12:$L$20,2,FALSE),"")</f>
        <v>L-2 Stg</v>
      </c>
      <c r="G7" s="54" t="str">
        <f t="shared" si="29"/>
        <v/>
      </c>
      <c r="I7" s="3">
        <f>XS_Designer!U5</f>
        <v>0.01</v>
      </c>
      <c r="Q7" s="2" t="str">
        <f t="shared" si="30"/>
        <v>Y</v>
      </c>
      <c r="R7" s="166">
        <f t="shared" si="31"/>
        <v>-16.60125</v>
      </c>
      <c r="S7" s="2">
        <f t="shared" si="32"/>
        <v>-15.001249999999999</v>
      </c>
      <c r="T7" s="2">
        <f t="shared" si="33"/>
        <v>0.1</v>
      </c>
      <c r="U7" s="2" t="str">
        <f t="shared" si="34"/>
        <v>L-2 Stg</v>
      </c>
      <c r="V7" s="326">
        <f t="shared" si="35"/>
        <v>-15.80125</v>
      </c>
      <c r="W7" s="97">
        <f t="shared" si="36"/>
        <v>4.0010000000000003</v>
      </c>
      <c r="X7" s="2">
        <f t="shared" si="1"/>
        <v>4.5010000000000003</v>
      </c>
      <c r="Y7" s="95">
        <f t="shared" si="37"/>
        <v>0.1</v>
      </c>
      <c r="Z7" s="261">
        <f t="shared" si="38"/>
        <v>-16.60125</v>
      </c>
      <c r="AA7" s="95">
        <f>IF(ISNUMBER(Y7),INDEX(Y7:Y106,MATCH(TRUE,INDEX(Y7:Y106&lt;&gt;Y7,),0)),"")</f>
        <v>0.04</v>
      </c>
      <c r="AB7" s="95" t="str">
        <f t="shared" si="40"/>
        <v>L-2 Stg</v>
      </c>
      <c r="AC7" s="95">
        <f t="shared" si="41"/>
        <v>-16.60125</v>
      </c>
      <c r="AD7" s="95" t="str">
        <f>IF(ISTEXT(AB7),INDEX(AB7:AB106,MATCH(TRUE,INDEX(AB7:AB106&lt;&gt;AB7,),0)),"")</f>
        <v>L-BKF</v>
      </c>
      <c r="AE7" s="18">
        <f t="shared" si="43"/>
        <v>-5.0012499999999998</v>
      </c>
      <c r="AF7" s="18">
        <f t="shared" si="2"/>
        <v>-16.10125</v>
      </c>
      <c r="AG7" s="18">
        <f t="shared" si="3"/>
        <v>0.1</v>
      </c>
      <c r="AH7" s="18">
        <f t="shared" si="4"/>
        <v>0.1</v>
      </c>
      <c r="AI7" s="18">
        <f>IF(AND(ISNUMBER(AI6),ISNUMBER(S7)),(VLOOKUP(AD7,AB7:AC106,2,FALSE)),IF(ISNUMBER(S7),R7,NA()))</f>
        <v>-5.0012499999999998</v>
      </c>
      <c r="AJ7" s="18">
        <f t="shared" si="5"/>
        <v>-10.80125</v>
      </c>
      <c r="AK7" s="18" t="str">
        <f t="shared" si="6"/>
        <v>L-2 Stg</v>
      </c>
      <c r="AL7" s="18" t="str">
        <f t="shared" si="7"/>
        <v>L-2 Stg</v>
      </c>
      <c r="AS7" s="166">
        <f t="shared" si="8"/>
        <v>-15.001249999999999</v>
      </c>
      <c r="AT7" s="40">
        <f t="shared" si="45"/>
        <v>2.2010000000000001</v>
      </c>
      <c r="AU7" s="166">
        <f t="shared" si="9"/>
        <v>-15.001249999999999</v>
      </c>
      <c r="AV7" s="40">
        <f t="shared" si="0"/>
        <v>2.2010000000000001</v>
      </c>
      <c r="AW7" s="152"/>
      <c r="AY7" s="166">
        <f t="shared" si="10"/>
        <v>-15.001249999999999</v>
      </c>
      <c r="AZ7">
        <f t="shared" si="11"/>
        <v>2.2010000000000001</v>
      </c>
      <c r="BA7" s="341">
        <f t="shared" si="12"/>
        <v>-15.001249999999999</v>
      </c>
      <c r="BB7">
        <f t="shared" si="13"/>
        <v>2.2010000000000001</v>
      </c>
      <c r="BD7">
        <f t="shared" si="14"/>
        <v>2.7989999999999999</v>
      </c>
      <c r="BE7" s="2">
        <f t="shared" si="15"/>
        <v>0</v>
      </c>
      <c r="BF7" s="122">
        <f t="shared" si="16"/>
        <v>0</v>
      </c>
      <c r="BG7" t="str">
        <f t="shared" si="17"/>
        <v>MAX WSE</v>
      </c>
      <c r="BH7" s="122">
        <f t="shared" si="18"/>
        <v>2.2010000000000001</v>
      </c>
      <c r="BJ7" s="122">
        <f t="shared" si="19"/>
        <v>2.7989999999999999</v>
      </c>
      <c r="BL7" s="2">
        <f t="shared" si="47"/>
        <v>0.1</v>
      </c>
      <c r="BM7" s="2"/>
      <c r="BN7" s="152">
        <f t="shared" si="21"/>
        <v>-15.001249999999999</v>
      </c>
      <c r="BO7" s="2" t="str">
        <f>IF(BP7="Left",IF(ISERROR(VLOOKUP(BN7,XS_Designer_Summary!$A$21:$B$25,2,TRUE)),"",VLOOKUP(BN7,XS_Designer_Summary!$A$21:$B$25,2,TRUE)),IF(ISERROR(VLOOKUP(-BN7,XS_Designer_Summary!$A$28:$B$32,2,TRUE)),"",VLOOKUP(-BN7,XS_Designer_Summary!$A$28:$B$32,2,TRUE)))</f>
        <v>Left 2nd Stage</v>
      </c>
      <c r="BP7" s="2" t="str">
        <f>IF(AU7&lt;XS_Designer_Summary!$B$7,"Left",IF(AU7&gt;XS_Designer_Summary!$B$7,"Right","Thalweg"))</f>
        <v>Left</v>
      </c>
      <c r="BQ7" s="2">
        <f t="shared" si="22"/>
        <v>10.001999800039989</v>
      </c>
      <c r="BR7" s="2">
        <f t="shared" si="23"/>
        <v>0.1</v>
      </c>
      <c r="BS7" s="2">
        <f t="shared" si="24"/>
        <v>0.31629100524675063</v>
      </c>
      <c r="BT7" s="2">
        <f t="shared" si="25"/>
        <v>10</v>
      </c>
      <c r="BU7" s="2">
        <f t="shared" si="26"/>
        <v>2.7989999999999999</v>
      </c>
      <c r="BV7" s="2">
        <f t="shared" si="27"/>
        <v>28.990000000000002</v>
      </c>
      <c r="BX7" s="2">
        <f>IF(AND(ISNUMBER($BN7),$BO7="Left 2nd Stage",SUM($BX$5:BX6)=0),$BN7,0)</f>
        <v>0</v>
      </c>
      <c r="BY7" s="2">
        <f>IF(AND(ISNUMBER($BN7),$BO7="Left Bankfull",SUM($BY$5:$BY6)=0),$BN7,0)</f>
        <v>0</v>
      </c>
      <c r="BZ7" s="2">
        <f>IF(AND(ISNUMBER($BN7),$BO7="Right 2nd Stage",SUM($BZ$5:$BZ6)=0),$BN6,0)</f>
        <v>0</v>
      </c>
      <c r="CA7" s="2">
        <f t="shared" si="46"/>
        <v>0</v>
      </c>
    </row>
    <row r="8" spans="1:79" ht="15">
      <c r="A8" s="2">
        <v>4</v>
      </c>
      <c r="B8" s="111">
        <f>IF(ISNUMBER(XS_Designer!F8),XS_Designer!F8,NA())</f>
        <v>-15.001249999999999</v>
      </c>
      <c r="C8" s="111">
        <f>IF(ISNUMBER(XS_Designer!G8),XS_Designer!G8,NA())</f>
        <v>2.2010000000000001</v>
      </c>
      <c r="D8" s="111" t="str">
        <f>IF(ISNUMBER(XS_Designer!I8),XS_Designer!I8,"")</f>
        <v/>
      </c>
      <c r="E8" s="2" t="str">
        <f t="shared" si="28"/>
        <v/>
      </c>
      <c r="F8" s="111" t="str">
        <f>IF(ISTEXT(XS_Designer!H8),VLOOKUP(XS_Designer!H8,$K$12:$L$20,2,FALSE),"")</f>
        <v/>
      </c>
      <c r="G8" s="54" t="str">
        <f t="shared" si="29"/>
        <v/>
      </c>
      <c r="I8" s="1"/>
      <c r="N8" s="375" t="s">
        <v>461</v>
      </c>
      <c r="O8" s="375"/>
      <c r="P8" s="2"/>
      <c r="Q8" s="2" t="str">
        <f t="shared" si="30"/>
        <v>Y</v>
      </c>
      <c r="R8" s="166">
        <f t="shared" si="31"/>
        <v>-15.001249999999999</v>
      </c>
      <c r="S8" s="2">
        <f t="shared" si="32"/>
        <v>-5.0012499999999998</v>
      </c>
      <c r="T8" s="2">
        <f t="shared" si="33"/>
        <v>0.1</v>
      </c>
      <c r="U8" s="2" t="str">
        <f t="shared" si="34"/>
        <v>L-2 Stg</v>
      </c>
      <c r="V8" s="326">
        <f t="shared" si="35"/>
        <v>-10.001249999999999</v>
      </c>
      <c r="W8" s="97">
        <f t="shared" si="36"/>
        <v>4.0010000000000003</v>
      </c>
      <c r="X8" s="2">
        <f t="shared" si="1"/>
        <v>4.5010000000000003</v>
      </c>
      <c r="Y8" s="95">
        <f t="shared" si="37"/>
        <v>0.1</v>
      </c>
      <c r="Z8" s="261">
        <f t="shared" si="38"/>
        <v>-15.001249999999999</v>
      </c>
      <c r="AA8" s="95">
        <f>IF(ISNUMBER(Y8),INDEX(Y8:Y106,MATCH(TRUE,INDEX(Y8:Y106&lt;&gt;Y8,),0)),"")</f>
        <v>0.04</v>
      </c>
      <c r="AB8" s="95" t="str">
        <f t="shared" si="40"/>
        <v>L-2 Stg</v>
      </c>
      <c r="AC8" s="95">
        <f t="shared" si="41"/>
        <v>-15.001249999999999</v>
      </c>
      <c r="AD8" s="95" t="str">
        <f>IF(ISTEXT(AB8),INDEX(AB8:AB106,MATCH(TRUE,INDEX(AB8:AB106&lt;&gt;AB8,),0)),"")</f>
        <v>L-BKF</v>
      </c>
      <c r="AE8" s="18">
        <f t="shared" si="43"/>
        <v>-5.0012499999999998</v>
      </c>
      <c r="AF8" s="18">
        <f t="shared" si="2"/>
        <v>0</v>
      </c>
      <c r="AG8" s="18">
        <f t="shared" si="3"/>
        <v>0.04</v>
      </c>
      <c r="AH8" s="18">
        <f t="shared" si="4"/>
        <v>0.04</v>
      </c>
      <c r="AI8" s="18">
        <f>IF(AND(ISNUMBER(AI7),ISNUMBER(S8)),(VLOOKUP(AD8,AB8:AC106,2,FALSE)),IF(ISNUMBER(S8),R8,NA()))</f>
        <v>-5.0012499999999998</v>
      </c>
      <c r="AJ8" s="18">
        <f t="shared" si="5"/>
        <v>-2.5006249999999999</v>
      </c>
      <c r="AK8" s="18" t="str">
        <f t="shared" si="6"/>
        <v>L-BKF</v>
      </c>
      <c r="AL8" s="18" t="str">
        <f t="shared" si="7"/>
        <v>L-BKF</v>
      </c>
      <c r="AM8" s="2"/>
      <c r="AN8" s="2"/>
      <c r="AO8" s="2"/>
      <c r="AP8" s="2"/>
      <c r="AQ8" s="2"/>
      <c r="AR8" s="2"/>
      <c r="AS8" s="166">
        <f t="shared" si="8"/>
        <v>-5.0012499999999998</v>
      </c>
      <c r="AT8" s="40">
        <f t="shared" si="45"/>
        <v>2.0009999999999999</v>
      </c>
      <c r="AU8" s="166">
        <f t="shared" si="9"/>
        <v>-5.0012499999999998</v>
      </c>
      <c r="AV8" s="40">
        <f t="shared" si="0"/>
        <v>2.0009999999999999</v>
      </c>
      <c r="AW8" s="152"/>
      <c r="AY8" s="166">
        <f t="shared" si="10"/>
        <v>-5.0012499999999998</v>
      </c>
      <c r="AZ8">
        <f t="shared" si="11"/>
        <v>2.0009999999999999</v>
      </c>
      <c r="BA8" s="341">
        <f t="shared" si="12"/>
        <v>-5.0012499999999998</v>
      </c>
      <c r="BB8">
        <f t="shared" si="13"/>
        <v>2.0009999999999999</v>
      </c>
      <c r="BD8">
        <f t="shared" si="14"/>
        <v>2.9990000000000001</v>
      </c>
      <c r="BE8" s="2">
        <f t="shared" si="15"/>
        <v>0</v>
      </c>
      <c r="BF8" s="122">
        <f t="shared" si="16"/>
        <v>0</v>
      </c>
      <c r="BG8" t="str">
        <f t="shared" si="17"/>
        <v>MAX WSE</v>
      </c>
      <c r="BH8" s="122">
        <f t="shared" si="18"/>
        <v>2.0009999999999999</v>
      </c>
      <c r="BJ8" s="122">
        <f t="shared" si="19"/>
        <v>2.9990000000000001</v>
      </c>
      <c r="BL8" s="2">
        <f t="shared" si="47"/>
        <v>0.1</v>
      </c>
      <c r="BM8" s="2"/>
      <c r="BN8" s="152">
        <f t="shared" si="21"/>
        <v>-5.0012499999999998</v>
      </c>
      <c r="BO8" s="2" t="str">
        <f>IF(BP8="Left",IF(ISERROR(VLOOKUP(BN8,XS_Designer_Summary!$A$21:$B$25,2,TRUE)),"",VLOOKUP(BN8,XS_Designer_Summary!$A$21:$B$25,2,TRUE)),IF(ISERROR(VLOOKUP(-BN8,XS_Designer_Summary!$A$28:$B$32,2,TRUE)),"",VLOOKUP(-BN8,XS_Designer_Summary!$A$28:$B$32,2,TRUE)))</f>
        <v>Left Bankfull</v>
      </c>
      <c r="BP8" s="2" t="str">
        <f>IF(AU8&lt;XS_Designer_Summary!$B$7,"Left",IF(AU8&gt;XS_Designer_Summary!$B$7,"Right","Thalweg"))</f>
        <v>Left</v>
      </c>
      <c r="BQ8" s="2">
        <f t="shared" si="22"/>
        <v>3.3541019662496847</v>
      </c>
      <c r="BR8" s="2">
        <f t="shared" si="23"/>
        <v>0.04</v>
      </c>
      <c r="BS8" s="2">
        <f t="shared" si="24"/>
        <v>2.6832815729997489E-2</v>
      </c>
      <c r="BT8" s="2">
        <f t="shared" si="25"/>
        <v>3</v>
      </c>
      <c r="BU8" s="2">
        <f t="shared" si="26"/>
        <v>2.9990000000000001</v>
      </c>
      <c r="BV8" s="2">
        <f t="shared" si="27"/>
        <v>11.247</v>
      </c>
      <c r="BX8" s="2">
        <f>IF(AND(ISNUMBER($BN8),$BO8="Left 2nd Stage",SUM($BX$5:BX7)=0),$BN8,0)</f>
        <v>0</v>
      </c>
      <c r="BY8" s="2">
        <f>IF(AND(ISNUMBER($BN8),$BO8="Left Bankfull",SUM($BY$5:$BY7)=0),$BN8,0)</f>
        <v>-5.0012499999999998</v>
      </c>
      <c r="BZ8" s="2">
        <f>IF(AND(ISNUMBER($BN8),$BO8="Right 2nd Stage",SUM($BZ$5:$BZ7)=0),$BN7,0)</f>
        <v>0</v>
      </c>
      <c r="CA8" s="2">
        <f t="shared" si="46"/>
        <v>0</v>
      </c>
    </row>
    <row r="9" spans="1:79" ht="15">
      <c r="A9" s="2">
        <v>5</v>
      </c>
      <c r="B9" s="111">
        <f>IF(ISNUMBER(XS_Designer!F9),XS_Designer!F9,NA())</f>
        <v>-5.0012499999999998</v>
      </c>
      <c r="C9" s="111">
        <f>IF(ISNUMBER(XS_Designer!G9),XS_Designer!G9,NA())</f>
        <v>2.0009999999999999</v>
      </c>
      <c r="D9" s="111">
        <f>IF(ISNUMBER(XS_Designer!I9),XS_Designer!I9,"")</f>
        <v>0.04</v>
      </c>
      <c r="E9" s="2" t="str">
        <f t="shared" si="28"/>
        <v>-5.00125 to 5.00125</v>
      </c>
      <c r="F9" s="111" t="str">
        <f>IF(ISTEXT(XS_Designer!H9),VLOOKUP(XS_Designer!H9,$K$12:$L$20,2,FALSE),"")</f>
        <v>L-BKF</v>
      </c>
      <c r="G9" s="54" t="str">
        <f t="shared" si="29"/>
        <v>-5.00125 to 5.00125</v>
      </c>
      <c r="I9" s="1"/>
      <c r="J9" s="2"/>
      <c r="K9" s="22" t="s">
        <v>164</v>
      </c>
      <c r="L9" s="22" t="str">
        <f>IF(COUNTIF(XS_Designer!$AJ$3:$AJ$11,"*Right Inner Berm*")=0,"Yes","No")</f>
        <v>No</v>
      </c>
      <c r="M9" s="2"/>
      <c r="N9" s="22"/>
      <c r="O9" s="3" t="s">
        <v>882</v>
      </c>
      <c r="P9" s="2"/>
      <c r="Q9" s="2" t="str">
        <f t="shared" si="30"/>
        <v>Y</v>
      </c>
      <c r="R9" s="166">
        <f t="shared" si="31"/>
        <v>-5.0012499999999998</v>
      </c>
      <c r="S9" s="2">
        <f t="shared" si="32"/>
        <v>-2.0012499999999998</v>
      </c>
      <c r="T9" s="2">
        <f t="shared" si="33"/>
        <v>0.04</v>
      </c>
      <c r="U9" s="2" t="str">
        <f t="shared" si="34"/>
        <v>L-BKF</v>
      </c>
      <c r="V9" s="326">
        <f t="shared" si="35"/>
        <v>-3.5012499999999998</v>
      </c>
      <c r="W9" s="97">
        <f t="shared" si="36"/>
        <v>4.0010000000000003</v>
      </c>
      <c r="X9" s="2">
        <f t="shared" si="1"/>
        <v>4.5010000000000003</v>
      </c>
      <c r="Y9" s="95">
        <f t="shared" si="37"/>
        <v>0.04</v>
      </c>
      <c r="Z9" s="261">
        <f t="shared" si="38"/>
        <v>-5.0012499999999998</v>
      </c>
      <c r="AA9" s="95">
        <f>IF(ISNUMBER(Y9),INDEX(Y9:Y106,MATCH(TRUE,INDEX(Y9:Y106&lt;&gt;Y9,),0)),"")</f>
        <v>0.1</v>
      </c>
      <c r="AB9" s="95" t="str">
        <f t="shared" si="40"/>
        <v>L-BKF</v>
      </c>
      <c r="AC9" s="95">
        <f t="shared" si="41"/>
        <v>-5.0012499999999998</v>
      </c>
      <c r="AD9" s="95" t="str">
        <f>IF(ISTEXT(AB9),INDEX(AB9:AB106,MATCH(TRUE,INDEX(AB9:AB106&lt;&gt;AB9,),0)),"")</f>
        <v>R-BKF</v>
      </c>
      <c r="AE9" s="18">
        <f t="shared" si="43"/>
        <v>5.0012499999999998</v>
      </c>
      <c r="AF9" s="18">
        <f t="shared" si="2"/>
        <v>0</v>
      </c>
      <c r="AG9" s="18">
        <f t="shared" si="3"/>
        <v>0.04</v>
      </c>
      <c r="AH9" s="18">
        <f t="shared" si="4"/>
        <v>0.04</v>
      </c>
      <c r="AI9" s="18">
        <f>IF(AND(ISNUMBER(AI8),ISNUMBER(S9)),(VLOOKUP(AD9,AB9:AC106,2,FALSE)),IF(ISNUMBER(S9),R9,NA()))</f>
        <v>0</v>
      </c>
      <c r="AJ9" s="18">
        <f t="shared" si="5"/>
        <v>-2.5006249999999999</v>
      </c>
      <c r="AK9" s="18" t="str">
        <f t="shared" si="6"/>
        <v>L-BKF</v>
      </c>
      <c r="AL9" s="18" t="str">
        <f t="shared" si="7"/>
        <v>L-BKF</v>
      </c>
      <c r="AM9" s="2"/>
      <c r="AN9" s="2"/>
      <c r="AO9" s="2"/>
      <c r="AP9" s="2"/>
      <c r="AQ9" s="2"/>
      <c r="AR9" s="2"/>
      <c r="AS9" s="166">
        <f t="shared" si="8"/>
        <v>-2.0012499999999998</v>
      </c>
      <c r="AT9" s="40">
        <f t="shared" si="45"/>
        <v>0.501</v>
      </c>
      <c r="AU9" s="166">
        <f t="shared" si="9"/>
        <v>-2.0012499999999998</v>
      </c>
      <c r="AV9" s="40">
        <f t="shared" si="0"/>
        <v>0.501</v>
      </c>
      <c r="AW9" s="152"/>
      <c r="AY9" s="166">
        <f t="shared" si="10"/>
        <v>-2.0012499999999998</v>
      </c>
      <c r="AZ9">
        <f t="shared" si="11"/>
        <v>0.501</v>
      </c>
      <c r="BA9" s="341">
        <f t="shared" si="12"/>
        <v>-2.0012499999999998</v>
      </c>
      <c r="BB9">
        <f t="shared" si="13"/>
        <v>0.501</v>
      </c>
      <c r="BD9">
        <f t="shared" si="14"/>
        <v>4.4989999999999997</v>
      </c>
      <c r="BE9" s="2">
        <f t="shared" si="15"/>
        <v>0</v>
      </c>
      <c r="BF9" s="122">
        <f t="shared" si="16"/>
        <v>0</v>
      </c>
      <c r="BG9" t="str">
        <f t="shared" si="17"/>
        <v>MAX WSE</v>
      </c>
      <c r="BH9" s="122">
        <f t="shared" si="18"/>
        <v>0.501</v>
      </c>
      <c r="BJ9" s="122">
        <f t="shared" si="19"/>
        <v>4.4989999999999997</v>
      </c>
      <c r="BL9" s="2">
        <f t="shared" si="47"/>
        <v>0.04</v>
      </c>
      <c r="BM9" s="2"/>
      <c r="BN9" s="152">
        <f t="shared" si="21"/>
        <v>-2.0012499999999998</v>
      </c>
      <c r="BO9" s="2" t="str">
        <f>IF(BP9="Left",IF(ISERROR(VLOOKUP(BN9,XS_Designer_Summary!$A$21:$B$25,2,TRUE)),"",VLOOKUP(BN9,XS_Designer_Summary!$A$21:$B$25,2,TRUE)),IF(ISERROR(VLOOKUP(-BN9,XS_Designer_Summary!$A$28:$B$32,2,TRUE)),"",VLOOKUP(-BN9,XS_Designer_Summary!$A$28:$B$32,2,TRUE)))</f>
        <v>Left Bankfull</v>
      </c>
      <c r="BP9" s="2" t="str">
        <f>IF(AU9&lt;XS_Designer_Summary!$B$7,"Left",IF(AU9&gt;XS_Designer_Summary!$B$7,"Right","Thalweg"))</f>
        <v>Left</v>
      </c>
      <c r="BQ9" s="2">
        <f t="shared" si="22"/>
        <v>1.0307764064044149</v>
      </c>
      <c r="BR9" s="2">
        <f t="shared" si="23"/>
        <v>0.04</v>
      </c>
      <c r="BS9" s="2">
        <f t="shared" si="24"/>
        <v>8.2462112512353223E-3</v>
      </c>
      <c r="BT9" s="2">
        <f t="shared" si="25"/>
        <v>0.99999999999999978</v>
      </c>
      <c r="BU9" s="2">
        <f t="shared" si="26"/>
        <v>4.4989999999999997</v>
      </c>
      <c r="BV9" s="2">
        <f t="shared" si="27"/>
        <v>4.6239999999999988</v>
      </c>
      <c r="BX9" s="2">
        <f>IF(AND(ISNUMBER($BN9),$BO9="Left 2nd Stage",SUM($BX$5:BX8)=0),$BN9,0)</f>
        <v>0</v>
      </c>
      <c r="BY9" s="2">
        <f>IF(AND(ISNUMBER($BN9),$BO9="Left Bankfull",SUM($BY$5:$BY8)=0),$BN9,0)</f>
        <v>0</v>
      </c>
      <c r="BZ9" s="2">
        <f>IF(AND(ISNUMBER($BN9),$BO9="Right 2nd Stage",SUM($BZ$5:$BZ8)=0),$BN8,0)</f>
        <v>0</v>
      </c>
      <c r="CA9" s="2">
        <f t="shared" si="46"/>
        <v>0</v>
      </c>
    </row>
    <row r="10" spans="1:79">
      <c r="A10" s="2">
        <v>6</v>
      </c>
      <c r="B10" s="111">
        <f>IF(ISNUMBER(XS_Designer!F10),XS_Designer!F10,NA())</f>
        <v>-2.0012499999999998</v>
      </c>
      <c r="C10" s="111">
        <f>IF(ISNUMBER(XS_Designer!G10),XS_Designer!G10,NA())</f>
        <v>0.501</v>
      </c>
      <c r="D10" s="111" t="str">
        <f>IF(ISNUMBER(XS_Designer!I10),XS_Designer!I10,"")</f>
        <v/>
      </c>
      <c r="E10" s="2" t="str">
        <f t="shared" si="28"/>
        <v/>
      </c>
      <c r="F10" s="111" t="str">
        <f>IF(ISTEXT(XS_Designer!H10),VLOOKUP(XS_Designer!H10,$K$12:$L$20,2,FALSE),"")</f>
        <v/>
      </c>
      <c r="G10" s="54" t="str">
        <f t="shared" si="29"/>
        <v/>
      </c>
      <c r="J10" s="2"/>
      <c r="K10" s="2"/>
      <c r="L10" s="2"/>
      <c r="M10" s="2"/>
      <c r="N10" s="22"/>
      <c r="O10" s="3"/>
      <c r="P10" s="2"/>
      <c r="Q10" s="2" t="str">
        <f t="shared" si="30"/>
        <v>Y</v>
      </c>
      <c r="R10" s="166">
        <f t="shared" si="31"/>
        <v>-2.0012499999999998</v>
      </c>
      <c r="S10" s="2">
        <f t="shared" si="32"/>
        <v>-1.00125</v>
      </c>
      <c r="T10" s="2">
        <f t="shared" si="33"/>
        <v>0.04</v>
      </c>
      <c r="U10" s="2" t="str">
        <f t="shared" si="34"/>
        <v>L-BKF</v>
      </c>
      <c r="V10" s="326">
        <f t="shared" si="35"/>
        <v>-1.5012499999999998</v>
      </c>
      <c r="W10" s="97">
        <f t="shared" si="36"/>
        <v>4.0010000000000003</v>
      </c>
      <c r="X10" s="2">
        <f t="shared" si="1"/>
        <v>4.5010000000000003</v>
      </c>
      <c r="Y10" s="95">
        <f t="shared" si="37"/>
        <v>0.04</v>
      </c>
      <c r="Z10" s="261">
        <f t="shared" si="38"/>
        <v>-2.0012499999999998</v>
      </c>
      <c r="AA10" s="95">
        <f t="shared" ref="AA10:AA11" si="48">IF(ISNUMBER(Y10),INDEX(Y10:Y110,MATCH(TRUE,INDEX(Y10:Y110&lt;&gt;Y10,),0)),"")</f>
        <v>0.1</v>
      </c>
      <c r="AB10" s="95" t="str">
        <f t="shared" si="40"/>
        <v>L-BKF</v>
      </c>
      <c r="AC10" s="95">
        <f t="shared" si="41"/>
        <v>-2.0012499999999998</v>
      </c>
      <c r="AD10" s="95" t="str">
        <f t="shared" ref="AD10:AD11" si="49">IF(ISTEXT(AB10),INDEX(AB10:AB110,MATCH(TRUE,INDEX(AB10:AB110&lt;&gt;AB10,),0)),"")</f>
        <v>R-BKF</v>
      </c>
      <c r="AE10" s="18">
        <f t="shared" si="43"/>
        <v>5.0012499999999998</v>
      </c>
      <c r="AF10" s="18">
        <f t="shared" si="2"/>
        <v>0</v>
      </c>
      <c r="AG10" s="18">
        <f t="shared" si="3"/>
        <v>0.04</v>
      </c>
      <c r="AH10" s="18">
        <f t="shared" si="4"/>
        <v>0.04</v>
      </c>
      <c r="AI10" s="18">
        <f t="shared" ref="AI10:AI11" si="50">IF(AND(ISNUMBER(AI9),ISNUMBER(S10)),(VLOOKUP(AD10,AB10:AC110,2,FALSE)),IF(ISNUMBER(S10),R10,NA()))</f>
        <v>0</v>
      </c>
      <c r="AJ10" s="18">
        <f t="shared" si="5"/>
        <v>-2.5006249999999999</v>
      </c>
      <c r="AK10" s="18" t="str">
        <f t="shared" si="6"/>
        <v>L-BKF</v>
      </c>
      <c r="AL10" s="18" t="str">
        <f t="shared" si="7"/>
        <v>L-BKF</v>
      </c>
      <c r="AM10" s="2"/>
      <c r="AN10" s="2"/>
      <c r="AO10" s="2"/>
      <c r="AP10" s="2"/>
      <c r="AQ10" s="2"/>
      <c r="AR10" s="2"/>
      <c r="AS10" s="166">
        <f t="shared" si="8"/>
        <v>-1.00125</v>
      </c>
      <c r="AT10" s="40">
        <f t="shared" si="45"/>
        <v>0.251</v>
      </c>
      <c r="AU10" s="166">
        <f t="shared" si="9"/>
        <v>-1.00125</v>
      </c>
      <c r="AV10" s="40">
        <f t="shared" si="0"/>
        <v>0.251</v>
      </c>
      <c r="AW10" s="152"/>
      <c r="AY10" s="166">
        <f t="shared" si="10"/>
        <v>-1.00125</v>
      </c>
      <c r="AZ10">
        <f t="shared" si="11"/>
        <v>0.251</v>
      </c>
      <c r="BA10" s="341">
        <f t="shared" si="12"/>
        <v>-1.00125</v>
      </c>
      <c r="BB10">
        <f t="shared" si="13"/>
        <v>0.251</v>
      </c>
      <c r="BD10">
        <f t="shared" si="14"/>
        <v>4.7489999999999997</v>
      </c>
      <c r="BE10" s="2">
        <f t="shared" si="15"/>
        <v>0</v>
      </c>
      <c r="BF10" s="122">
        <f t="shared" si="16"/>
        <v>0</v>
      </c>
      <c r="BG10" t="str">
        <f t="shared" si="17"/>
        <v>MAX WSE</v>
      </c>
      <c r="BH10" s="122">
        <f t="shared" si="18"/>
        <v>0.251</v>
      </c>
      <c r="BJ10" s="122">
        <f t="shared" si="19"/>
        <v>4.7489999999999997</v>
      </c>
      <c r="BL10" s="2">
        <f t="shared" si="47"/>
        <v>0.04</v>
      </c>
      <c r="BM10" s="2"/>
      <c r="BN10" s="152">
        <f t="shared" si="21"/>
        <v>-1.00125</v>
      </c>
      <c r="BO10" s="2" t="str">
        <f>IF(BP10="Left",IF(ISERROR(VLOOKUP(BN10,XS_Designer_Summary!$A$21:$B$25,2,TRUE)),"",VLOOKUP(BN10,XS_Designer_Summary!$A$21:$B$25,2,TRUE)),IF(ISERROR(VLOOKUP(-BN10,XS_Designer_Summary!$A$28:$B$32,2,TRUE)),"",VLOOKUP(-BN10,XS_Designer_Summary!$A$28:$B$32,2,TRUE)))</f>
        <v>Left Bankfull</v>
      </c>
      <c r="BP10" s="2" t="str">
        <f>IF(AU10&lt;XS_Designer_Summary!$B$7,"Left",IF(AU10&gt;XS_Designer_Summary!$B$7,"Right","Thalweg"))</f>
        <v>Left</v>
      </c>
      <c r="BQ10" s="2">
        <f t="shared" si="22"/>
        <v>0.51538820320220757</v>
      </c>
      <c r="BR10" s="2">
        <f t="shared" si="23"/>
        <v>0.04</v>
      </c>
      <c r="BS10" s="2">
        <f t="shared" si="24"/>
        <v>4.1231056256176629E-3</v>
      </c>
      <c r="BT10" s="2">
        <f t="shared" si="25"/>
        <v>0.5</v>
      </c>
      <c r="BU10" s="2">
        <f t="shared" si="26"/>
        <v>4.7489999999999997</v>
      </c>
      <c r="BV10" s="2">
        <f t="shared" si="27"/>
        <v>2.4057499999999998</v>
      </c>
      <c r="BX10" s="2">
        <f>IF(AND(ISNUMBER($BN10),$BO10="Left 2nd Stage",SUM($BX$5:BX9)=0),$BN10,0)</f>
        <v>0</v>
      </c>
      <c r="BY10" s="2">
        <f>IF(AND(ISNUMBER($BN10),$BO10="Left Bankfull",SUM($BY$5:$BY9)=0),$BN10,0)</f>
        <v>0</v>
      </c>
      <c r="BZ10" s="2">
        <f>IF(AND(ISNUMBER($BN10),$BO10="Right 2nd Stage",SUM($BZ$5:$BZ9)=0),$BN9,0)</f>
        <v>0</v>
      </c>
      <c r="CA10" s="2">
        <f t="shared" si="46"/>
        <v>0</v>
      </c>
    </row>
    <row r="11" spans="1:79">
      <c r="A11" s="2">
        <v>7</v>
      </c>
      <c r="B11" s="111">
        <f>IF(ISNUMBER(XS_Designer!F11),XS_Designer!F11,NA())</f>
        <v>-1.00125</v>
      </c>
      <c r="C11" s="111">
        <f>IF(ISNUMBER(XS_Designer!G11),XS_Designer!G11,NA())</f>
        <v>0.251</v>
      </c>
      <c r="D11" s="111" t="str">
        <f>IF(ISNUMBER(XS_Designer!I11),XS_Designer!I11,"")</f>
        <v/>
      </c>
      <c r="E11" s="2" t="str">
        <f t="shared" si="28"/>
        <v/>
      </c>
      <c r="F11" s="111" t="str">
        <f>IF(ISTEXT(XS_Designer!H11),VLOOKUP(XS_Designer!H11,$K$12:$L$20,2,FALSE),"")</f>
        <v/>
      </c>
      <c r="G11" s="54" t="str">
        <f t="shared" si="29"/>
        <v/>
      </c>
      <c r="I11" s="170"/>
      <c r="J11" s="170"/>
      <c r="K11" s="46" t="s">
        <v>165</v>
      </c>
      <c r="L11" s="46"/>
      <c r="M11" s="2"/>
      <c r="N11" s="22"/>
      <c r="O11" s="3">
        <f t="array" ref="O11">IF(J4&gt;MAX(IF(NOT(ISERROR(B5:B104)),B5:B104)),MAX(IF(NOT(ISERROR(B5:B104)),B5:B104)),J4)</f>
        <v>27.201250000000002</v>
      </c>
      <c r="P11" s="2"/>
      <c r="Q11" s="2" t="str">
        <f t="shared" si="30"/>
        <v>Y</v>
      </c>
      <c r="R11" s="166">
        <f t="shared" si="31"/>
        <v>-1.00125</v>
      </c>
      <c r="S11" s="2">
        <f t="shared" si="32"/>
        <v>-0.50124999999999997</v>
      </c>
      <c r="T11" s="2">
        <f t="shared" si="33"/>
        <v>0.04</v>
      </c>
      <c r="U11" s="2" t="str">
        <f t="shared" si="34"/>
        <v>L-BKF</v>
      </c>
      <c r="V11" s="326">
        <f t="shared" si="35"/>
        <v>-0.75124999999999997</v>
      </c>
      <c r="W11" s="97">
        <f t="shared" si="36"/>
        <v>4.0010000000000003</v>
      </c>
      <c r="X11" s="2">
        <f t="shared" si="1"/>
        <v>4.5010000000000003</v>
      </c>
      <c r="Y11" s="95">
        <f t="shared" si="37"/>
        <v>0.04</v>
      </c>
      <c r="Z11" s="261">
        <f t="shared" si="38"/>
        <v>-1.00125</v>
      </c>
      <c r="AA11" s="95">
        <f t="shared" si="48"/>
        <v>0.1</v>
      </c>
      <c r="AB11" s="95" t="str">
        <f t="shared" si="40"/>
        <v>L-BKF</v>
      </c>
      <c r="AC11" s="95">
        <f t="shared" si="41"/>
        <v>-1.00125</v>
      </c>
      <c r="AD11" s="95" t="str">
        <f t="shared" si="49"/>
        <v>R-BKF</v>
      </c>
      <c r="AE11" s="18">
        <f t="shared" si="43"/>
        <v>5.0012499999999998</v>
      </c>
      <c r="AF11" s="18">
        <f t="shared" si="2"/>
        <v>0</v>
      </c>
      <c r="AG11" s="18">
        <f t="shared" si="3"/>
        <v>0.04</v>
      </c>
      <c r="AH11" s="18">
        <f t="shared" si="4"/>
        <v>0.04</v>
      </c>
      <c r="AI11" s="18">
        <f t="shared" si="50"/>
        <v>0</v>
      </c>
      <c r="AJ11" s="18">
        <f t="shared" si="5"/>
        <v>-2.5006249999999999</v>
      </c>
      <c r="AK11" s="18" t="str">
        <f t="shared" si="6"/>
        <v>L-BKF</v>
      </c>
      <c r="AL11" s="18" t="str">
        <f t="shared" si="7"/>
        <v>L-BKF</v>
      </c>
      <c r="AS11" s="166">
        <f t="shared" si="8"/>
        <v>-0.50124999999999997</v>
      </c>
      <c r="AT11" s="40">
        <f t="shared" si="45"/>
        <v>0.126</v>
      </c>
      <c r="AU11" s="166">
        <f t="shared" si="9"/>
        <v>-0.50124999999999997</v>
      </c>
      <c r="AV11" s="40">
        <f t="shared" si="0"/>
        <v>0.126</v>
      </c>
      <c r="AW11" s="152"/>
      <c r="AY11" s="166">
        <f t="shared" si="10"/>
        <v>-0.50124999999999997</v>
      </c>
      <c r="AZ11">
        <f t="shared" si="11"/>
        <v>0.126</v>
      </c>
      <c r="BA11" s="341">
        <f t="shared" si="12"/>
        <v>-0.50124999999999997</v>
      </c>
      <c r="BB11">
        <f t="shared" si="13"/>
        <v>0.126</v>
      </c>
      <c r="BD11">
        <f t="shared" si="14"/>
        <v>4.8739999999999997</v>
      </c>
      <c r="BE11" s="2">
        <f t="shared" si="15"/>
        <v>0</v>
      </c>
      <c r="BF11" s="122">
        <f t="shared" si="16"/>
        <v>0</v>
      </c>
      <c r="BG11" t="str">
        <f t="shared" si="17"/>
        <v>MAX WSE</v>
      </c>
      <c r="BH11" s="122">
        <f t="shared" si="18"/>
        <v>0.126</v>
      </c>
      <c r="BJ11" s="122">
        <f t="shared" si="19"/>
        <v>4.8739999999999997</v>
      </c>
      <c r="BL11" s="2">
        <f t="shared" si="47"/>
        <v>0.04</v>
      </c>
      <c r="BM11" s="2"/>
      <c r="BN11" s="152">
        <f t="shared" si="21"/>
        <v>-0.50124999999999997</v>
      </c>
      <c r="BO11" s="2" t="str">
        <f>IF(BP11="Left",IF(ISERROR(VLOOKUP(BN11,XS_Designer_Summary!$A$21:$B$25,2,TRUE)),"",VLOOKUP(BN11,XS_Designer_Summary!$A$21:$B$25,2,TRUE)),IF(ISERROR(VLOOKUP(-BN11,XS_Designer_Summary!$A$28:$B$32,2,TRUE)),"",VLOOKUP(-BN11,XS_Designer_Summary!$A$28:$B$32,2,TRUE)))</f>
        <v>Left Bankfull</v>
      </c>
      <c r="BP11" s="2" t="str">
        <f>IF(AU11&lt;XS_Designer_Summary!$B$7,"Left",IF(AU11&gt;XS_Designer_Summary!$B$7,"Right","Thalweg"))</f>
        <v>Left</v>
      </c>
      <c r="BQ11" s="2">
        <f t="shared" si="22"/>
        <v>0.51563074239226658</v>
      </c>
      <c r="BR11" s="2">
        <f t="shared" si="23"/>
        <v>0.04</v>
      </c>
      <c r="BS11" s="2">
        <f t="shared" si="24"/>
        <v>4.1250459391381344E-3</v>
      </c>
      <c r="BT11" s="2">
        <f t="shared" si="25"/>
        <v>0.50024999999999997</v>
      </c>
      <c r="BU11" s="2">
        <f t="shared" si="26"/>
        <v>4.8739999999999997</v>
      </c>
      <c r="BV11" s="2">
        <f t="shared" si="27"/>
        <v>2.4694841249999997</v>
      </c>
      <c r="BX11" s="2">
        <f>IF(AND(ISNUMBER($BN11),$BO11="Left 2nd Stage",SUM($BX$5:BX10)=0),$BN11,0)</f>
        <v>0</v>
      </c>
      <c r="BY11" s="2">
        <f>IF(AND(ISNUMBER($BN11),$BO11="Left Bankfull",SUM($BY$5:$BY10)=0),$BN11,0)</f>
        <v>0</v>
      </c>
      <c r="BZ11" s="2">
        <f>IF(AND(ISNUMBER($BN11),$BO11="Right 2nd Stage",SUM($BZ$5:$BZ10)=0),$BN10,0)</f>
        <v>0</v>
      </c>
      <c r="CA11" s="2">
        <f t="shared" si="46"/>
        <v>0</v>
      </c>
    </row>
    <row r="12" spans="1:79">
      <c r="A12" s="2">
        <v>8</v>
      </c>
      <c r="B12" s="111">
        <f>IF(ISNUMBER(XS_Designer!F12),XS_Designer!F12,NA())</f>
        <v>-0.50124999999999997</v>
      </c>
      <c r="C12" s="111">
        <f>IF(ISNUMBER(XS_Designer!G12),XS_Designer!G12,NA())</f>
        <v>0.126</v>
      </c>
      <c r="D12" s="111" t="str">
        <f>IF(ISNUMBER(XS_Designer!I12),XS_Designer!I12,"")</f>
        <v/>
      </c>
      <c r="E12" s="2" t="str">
        <f t="shared" si="28"/>
        <v/>
      </c>
      <c r="F12" s="111" t="str">
        <f>IF(ISTEXT(XS_Designer!H12),VLOOKUP(XS_Designer!H12,$K$12:$L$20,2,FALSE),"")</f>
        <v/>
      </c>
      <c r="G12" s="54" t="str">
        <f t="shared" si="29"/>
        <v/>
      </c>
      <c r="I12" s="170"/>
      <c r="J12" s="170"/>
      <c r="K12" s="22" t="s">
        <v>161</v>
      </c>
      <c r="L12" s="22" t="s">
        <v>404</v>
      </c>
      <c r="N12" s="22">
        <f>J4</f>
        <v>90</v>
      </c>
      <c r="O12" s="22">
        <f t="array" ref="O12">MIN(IF(NOT(ISERROR(C5:C104)),C5:C104))</f>
        <v>0</v>
      </c>
      <c r="Q12" s="2" t="str">
        <f t="shared" si="30"/>
        <v>Y</v>
      </c>
      <c r="R12" s="166">
        <f t="shared" si="31"/>
        <v>-0.50124999999999997</v>
      </c>
      <c r="S12" s="2">
        <f t="shared" si="32"/>
        <v>-1E-3</v>
      </c>
      <c r="T12" s="2">
        <f t="shared" si="33"/>
        <v>0.04</v>
      </c>
      <c r="U12" s="2" t="str">
        <f t="shared" si="34"/>
        <v>L-BKF</v>
      </c>
      <c r="V12" s="326">
        <f t="shared" si="35"/>
        <v>-0.25112499999999999</v>
      </c>
      <c r="W12" s="97">
        <f t="shared" si="36"/>
        <v>4.0010000000000003</v>
      </c>
      <c r="X12" s="2">
        <f t="shared" si="1"/>
        <v>4.5010000000000003</v>
      </c>
      <c r="Y12" s="95">
        <f t="shared" si="37"/>
        <v>0.04</v>
      </c>
      <c r="Z12" s="261">
        <f t="shared" si="38"/>
        <v>-0.50124999999999997</v>
      </c>
      <c r="AA12" s="95">
        <f>IF(ISNUMBER(Y12),INDEX(Y12:Y111,MATCH(TRUE,INDEX(Y12:Y111&lt;&gt;Y12,),0)),"")</f>
        <v>0.1</v>
      </c>
      <c r="AB12" s="95" t="str">
        <f t="shared" si="40"/>
        <v>L-BKF</v>
      </c>
      <c r="AC12" s="95">
        <f t="shared" si="41"/>
        <v>-0.50124999999999997</v>
      </c>
      <c r="AD12" s="95" t="str">
        <f>IF(ISTEXT(AB12),INDEX(AB12:AB111,MATCH(TRUE,INDEX(AB12:AB111&lt;&gt;AB12,),0)),"")</f>
        <v>R-BKF</v>
      </c>
      <c r="AE12" s="18">
        <f t="shared" si="43"/>
        <v>5.0012499999999998</v>
      </c>
      <c r="AF12" s="18">
        <f t="shared" si="2"/>
        <v>0</v>
      </c>
      <c r="AG12" s="18">
        <f t="shared" si="3"/>
        <v>0.04</v>
      </c>
      <c r="AH12" s="18">
        <f t="shared" si="4"/>
        <v>0.04</v>
      </c>
      <c r="AI12" s="18">
        <f>IF(AND(ISNUMBER(AI11),ISNUMBER(S12)),(VLOOKUP(AD12,AB12:AC111,2,FALSE)),IF(ISNUMBER(S12),R12,NA()))</f>
        <v>0</v>
      </c>
      <c r="AJ12" s="18">
        <f t="shared" si="5"/>
        <v>-2.5006249999999999</v>
      </c>
      <c r="AK12" s="18" t="str">
        <f t="shared" si="6"/>
        <v>L-BKF</v>
      </c>
      <c r="AL12" s="18" t="str">
        <f t="shared" si="7"/>
        <v>L-BKF</v>
      </c>
      <c r="AS12" s="166">
        <f t="shared" si="8"/>
        <v>-1E-3</v>
      </c>
      <c r="AT12" s="40">
        <f t="shared" si="45"/>
        <v>1E-3</v>
      </c>
      <c r="AU12" s="166">
        <f t="shared" si="9"/>
        <v>-1E-3</v>
      </c>
      <c r="AV12" s="40">
        <f t="shared" si="0"/>
        <v>1E-3</v>
      </c>
      <c r="AW12" s="152"/>
      <c r="AY12" s="166">
        <f t="shared" si="10"/>
        <v>-1E-3</v>
      </c>
      <c r="AZ12">
        <f t="shared" si="11"/>
        <v>1E-3</v>
      </c>
      <c r="BA12" s="341">
        <f t="shared" si="12"/>
        <v>-1E-3</v>
      </c>
      <c r="BB12">
        <f t="shared" si="13"/>
        <v>1E-3</v>
      </c>
      <c r="BD12">
        <f t="shared" si="14"/>
        <v>4.9989999999999997</v>
      </c>
      <c r="BE12" s="2">
        <f t="shared" si="15"/>
        <v>0</v>
      </c>
      <c r="BF12" s="122">
        <f t="shared" si="16"/>
        <v>0</v>
      </c>
      <c r="BG12" t="str">
        <f t="shared" si="17"/>
        <v>MAX WSE</v>
      </c>
      <c r="BH12" s="122">
        <f t="shared" si="18"/>
        <v>1E-3</v>
      </c>
      <c r="BJ12" s="122">
        <f t="shared" si="19"/>
        <v>4.9989999999999997</v>
      </c>
      <c r="BL12" s="2">
        <f t="shared" si="47"/>
        <v>0.04</v>
      </c>
      <c r="BM12" s="2"/>
      <c r="BN12" s="152">
        <f t="shared" si="21"/>
        <v>-1E-3</v>
      </c>
      <c r="BO12" s="2" t="str">
        <f>IF(BP12="Left",IF(ISERROR(VLOOKUP(BN12,XS_Designer_Summary!$A$21:$B$25,2,TRUE)),"",VLOOKUP(BN12,XS_Designer_Summary!$A$21:$B$25,2,TRUE)),IF(ISERROR(VLOOKUP(-BN12,XS_Designer_Summary!$A$28:$B$32,2,TRUE)),"",VLOOKUP(-BN12,XS_Designer_Summary!$A$28:$B$32,2,TRUE)))</f>
        <v>Left Bankfull</v>
      </c>
      <c r="BP12" s="2" t="str">
        <f>IF(AU12&lt;XS_Designer_Summary!$B$7,"Left",IF(AU12&gt;XS_Designer_Summary!$B$7,"Right","Thalweg"))</f>
        <v>Left</v>
      </c>
      <c r="BQ12" s="2">
        <f t="shared" si="22"/>
        <v>1.414213562373095E-3</v>
      </c>
      <c r="BR12" s="2">
        <f t="shared" si="23"/>
        <v>0.04</v>
      </c>
      <c r="BS12" s="2">
        <f t="shared" si="24"/>
        <v>1.1313708498984765E-5</v>
      </c>
      <c r="BT12" s="2">
        <f t="shared" si="25"/>
        <v>1E-3</v>
      </c>
      <c r="BU12" s="2">
        <f t="shared" si="26"/>
        <v>4.9989999999999997</v>
      </c>
      <c r="BV12" s="2">
        <f t="shared" si="27"/>
        <v>4.9994999999999996E-3</v>
      </c>
      <c r="BX12" s="2">
        <f>IF(AND(ISNUMBER($BN12),$BO12="Left 2nd Stage",SUM($BX$5:BX11)=0),$BN12,0)</f>
        <v>0</v>
      </c>
      <c r="BY12" s="2">
        <f>IF(AND(ISNUMBER($BN12),$BO12="Left Bankfull",SUM($BY$5:$BY11)=0),$BN12,0)</f>
        <v>0</v>
      </c>
      <c r="BZ12" s="2">
        <f>IF(AND(ISNUMBER($BN12),$BO12="Right 2nd Stage",SUM($BZ$5:$BZ11)=0),$BN11,0)</f>
        <v>0</v>
      </c>
      <c r="CA12" s="2">
        <f t="shared" si="46"/>
        <v>0</v>
      </c>
    </row>
    <row r="13" spans="1:79" ht="15">
      <c r="A13" s="2">
        <v>9</v>
      </c>
      <c r="B13" s="111">
        <f>IF(ISNUMBER(XS_Designer!F13),XS_Designer!F13,NA())</f>
        <v>-1E-3</v>
      </c>
      <c r="C13" s="111">
        <f>IF(ISNUMBER(XS_Designer!G13),XS_Designer!G13,NA())</f>
        <v>1E-3</v>
      </c>
      <c r="D13" s="111" t="str">
        <f>IF(ISNUMBER(XS_Designer!I13),XS_Designer!I13,"")</f>
        <v/>
      </c>
      <c r="E13" s="2" t="str">
        <f t="shared" si="28"/>
        <v/>
      </c>
      <c r="F13" s="111" t="str">
        <f>IF(ISTEXT(XS_Designer!H13),VLOOKUP(XS_Designer!H13,$K$12:$L$20,2,FALSE),"")</f>
        <v/>
      </c>
      <c r="G13" s="54" t="str">
        <f t="shared" si="29"/>
        <v/>
      </c>
      <c r="K13" s="3" t="s">
        <v>832</v>
      </c>
      <c r="L13" s="3" t="s">
        <v>469</v>
      </c>
      <c r="N13" s="22">
        <f>J4</f>
        <v>90</v>
      </c>
      <c r="O13" s="22">
        <f t="array" ref="O13">MAX(IF(NOT(ISERROR(C5:C104)),C5:C104))</f>
        <v>3.5010000000000003</v>
      </c>
      <c r="Q13" s="2" t="str">
        <f t="shared" si="30"/>
        <v>Y</v>
      </c>
      <c r="R13" s="166">
        <f t="shared" si="31"/>
        <v>-1E-3</v>
      </c>
      <c r="S13" s="2">
        <f t="shared" si="32"/>
        <v>0</v>
      </c>
      <c r="T13" s="2">
        <f t="shared" si="33"/>
        <v>0.04</v>
      </c>
      <c r="U13" s="2" t="str">
        <f t="shared" si="34"/>
        <v>L-BKF</v>
      </c>
      <c r="V13" s="326">
        <f t="shared" si="35"/>
        <v>-5.0000000000000001E-4</v>
      </c>
      <c r="W13" s="97">
        <f t="shared" si="36"/>
        <v>4.0010000000000003</v>
      </c>
      <c r="X13" s="2">
        <f t="shared" si="1"/>
        <v>4.5010000000000003</v>
      </c>
      <c r="Y13" s="95">
        <f t="shared" si="37"/>
        <v>0.04</v>
      </c>
      <c r="Z13" s="261">
        <f t="shared" si="38"/>
        <v>-1E-3</v>
      </c>
      <c r="AA13" s="95">
        <f>IF(ISNUMBER(Y13),INDEX(Y13:Y111,MATCH(TRUE,INDEX(Y13:Y111&lt;&gt;Y13,),0)),"")</f>
        <v>0.1</v>
      </c>
      <c r="AB13" s="95" t="str">
        <f t="shared" si="40"/>
        <v>L-BKF</v>
      </c>
      <c r="AC13" s="95">
        <f t="shared" si="41"/>
        <v>-1E-3</v>
      </c>
      <c r="AD13" s="95" t="str">
        <f>IF(ISTEXT(AB13),INDEX(AB13:AB111,MATCH(TRUE,INDEX(AB13:AB111&lt;&gt;AB13,),0)),"")</f>
        <v>R-BKF</v>
      </c>
      <c r="AE13" s="18">
        <f t="shared" si="43"/>
        <v>5.0012499999999998</v>
      </c>
      <c r="AF13" s="18">
        <f t="shared" si="2"/>
        <v>0</v>
      </c>
      <c r="AG13" s="18">
        <f t="shared" si="3"/>
        <v>0.04</v>
      </c>
      <c r="AH13" s="18">
        <f t="shared" si="4"/>
        <v>0.04</v>
      </c>
      <c r="AI13" s="18">
        <f>IF(AND(ISNUMBER(AI12),ISNUMBER(S13)),(VLOOKUP(AD13,AB13:AC111,2,FALSE)),IF(ISNUMBER(S13),R13,NA()))</f>
        <v>0</v>
      </c>
      <c r="AJ13" s="18">
        <f t="shared" si="5"/>
        <v>2.5006249999999999</v>
      </c>
      <c r="AK13" s="18" t="str">
        <f t="shared" si="6"/>
        <v>R-BKF</v>
      </c>
      <c r="AL13" s="18" t="str">
        <f t="shared" si="7"/>
        <v>R-BKF</v>
      </c>
      <c r="AM13" s="2"/>
      <c r="AN13" s="1"/>
      <c r="AO13" s="1"/>
      <c r="AP13" s="1"/>
      <c r="AQ13" s="1"/>
      <c r="AS13" s="166">
        <f t="shared" si="8"/>
        <v>0</v>
      </c>
      <c r="AT13" s="40">
        <f t="shared" si="45"/>
        <v>0</v>
      </c>
      <c r="AU13" s="166">
        <f t="shared" si="9"/>
        <v>0</v>
      </c>
      <c r="AV13" s="40">
        <f t="shared" si="0"/>
        <v>0</v>
      </c>
      <c r="AW13" s="152"/>
      <c r="AY13" s="166">
        <f t="shared" si="10"/>
        <v>0</v>
      </c>
      <c r="AZ13">
        <f t="shared" si="11"/>
        <v>0</v>
      </c>
      <c r="BA13" s="341">
        <f t="shared" si="12"/>
        <v>0</v>
      </c>
      <c r="BB13">
        <f t="shared" si="13"/>
        <v>5</v>
      </c>
      <c r="BD13">
        <f t="shared" si="14"/>
        <v>5</v>
      </c>
      <c r="BE13" s="2">
        <f t="shared" si="15"/>
        <v>0</v>
      </c>
      <c r="BF13" s="122">
        <f t="shared" si="16"/>
        <v>0</v>
      </c>
      <c r="BG13" t="str">
        <f t="shared" si="17"/>
        <v>MAX WSE</v>
      </c>
      <c r="BH13" s="122">
        <f t="shared" si="18"/>
        <v>0</v>
      </c>
      <c r="BJ13" s="122">
        <f t="shared" si="19"/>
        <v>5</v>
      </c>
      <c r="BL13" s="2">
        <f t="shared" si="47"/>
        <v>0.04</v>
      </c>
      <c r="BM13" s="2"/>
      <c r="BN13" s="152">
        <f t="shared" si="21"/>
        <v>0</v>
      </c>
      <c r="BO13" s="2" t="str">
        <f>IF(BP13="Left",IF(ISERROR(VLOOKUP(BN13,XS_Designer_Summary!$A$21:$B$25,2,TRUE)),"",VLOOKUP(BN13,XS_Designer_Summary!$A$21:$B$25,2,TRUE)),IF(ISERROR(VLOOKUP(-BN13,XS_Designer_Summary!$A$28:$B$32,2,TRUE)),"",VLOOKUP(-BN13,XS_Designer_Summary!$A$28:$B$32,2,TRUE)))</f>
        <v>Thalweg</v>
      </c>
      <c r="BP13" s="2" t="str">
        <f>IF(AU13&lt;XS_Designer_Summary!$B$7,"Left",IF(AU13&gt;XS_Designer_Summary!$B$7,"Right","Thalweg"))</f>
        <v>Thalweg</v>
      </c>
      <c r="BQ13" s="2">
        <f t="shared" si="22"/>
        <v>0</v>
      </c>
      <c r="BR13" s="2">
        <f t="shared" si="23"/>
        <v>0.04</v>
      </c>
      <c r="BS13" s="2">
        <f t="shared" si="24"/>
        <v>0</v>
      </c>
      <c r="BT13" s="2">
        <f t="shared" si="25"/>
        <v>0</v>
      </c>
      <c r="BU13" s="2">
        <f t="shared" si="26"/>
        <v>5</v>
      </c>
      <c r="BV13" s="2">
        <f t="shared" si="27"/>
        <v>0</v>
      </c>
      <c r="BX13" s="2">
        <f>IF(AND(ISNUMBER($BN13),$BO13="Left 2nd Stage",SUM($BX$5:BX12)=0),$BN13,0)</f>
        <v>0</v>
      </c>
      <c r="BY13" s="2">
        <f>IF(AND(ISNUMBER($BN13),$BO13="Left Bankfull",SUM($BY$5:$BY12)=0),$BN13,0)</f>
        <v>0</v>
      </c>
      <c r="BZ13" s="2">
        <f>IF(AND(ISNUMBER($BN13),$BO13="Right 2nd Stage",SUM($BZ$5:$BZ12)=0),$BN12,0)</f>
        <v>0</v>
      </c>
      <c r="CA13" s="2">
        <f t="shared" si="46"/>
        <v>0</v>
      </c>
    </row>
    <row r="14" spans="1:79" ht="15">
      <c r="A14" s="2">
        <v>10</v>
      </c>
      <c r="B14" s="111">
        <f>IF(ISNUMBER(XS_Designer!F14),XS_Designer!F14,NA())</f>
        <v>0</v>
      </c>
      <c r="C14" s="111">
        <f>IF(ISNUMBER(XS_Designer!G14),XS_Designer!G14,NA())</f>
        <v>0</v>
      </c>
      <c r="D14" s="111" t="str">
        <f>IF(ISNUMBER(XS_Designer!I14),XS_Designer!I14,"")</f>
        <v/>
      </c>
      <c r="E14" s="2" t="str">
        <f t="shared" si="28"/>
        <v/>
      </c>
      <c r="F14" s="111" t="str">
        <f>IF(ISTEXT(XS_Designer!H14),VLOOKUP(XS_Designer!H14,$K$12:$L$20,2,FALSE),"")</f>
        <v>R-BKF</v>
      </c>
      <c r="G14" s="54" t="str">
        <f t="shared" si="29"/>
        <v/>
      </c>
      <c r="K14" s="14" t="s">
        <v>160</v>
      </c>
      <c r="L14" s="45" t="s">
        <v>279</v>
      </c>
      <c r="Q14" s="2" t="str">
        <f t="shared" si="30"/>
        <v>Y</v>
      </c>
      <c r="R14" s="166">
        <f t="shared" si="31"/>
        <v>0</v>
      </c>
      <c r="S14" s="2">
        <f t="shared" si="32"/>
        <v>1E-3</v>
      </c>
      <c r="T14" s="2">
        <f t="shared" si="33"/>
        <v>0.04</v>
      </c>
      <c r="U14" s="2" t="str">
        <f t="shared" si="34"/>
        <v>R-BKF</v>
      </c>
      <c r="V14" s="326">
        <f t="shared" si="35"/>
        <v>5.0000000000000001E-4</v>
      </c>
      <c r="W14" s="97">
        <f t="shared" si="36"/>
        <v>4.0010000000000003</v>
      </c>
      <c r="X14" s="2">
        <f t="shared" si="1"/>
        <v>4.5010000000000003</v>
      </c>
      <c r="Y14" s="95">
        <f t="shared" si="37"/>
        <v>0.04</v>
      </c>
      <c r="Z14" s="261">
        <f t="shared" si="38"/>
        <v>0</v>
      </c>
      <c r="AA14" s="95">
        <f>IF(ISNUMBER(Y14),INDEX(Y14:Y111,MATCH(TRUE,INDEX(Y14:Y111&lt;&gt;Y14,),0)),"")</f>
        <v>0.1</v>
      </c>
      <c r="AB14" s="95" t="str">
        <f t="shared" si="40"/>
        <v>R-BKF</v>
      </c>
      <c r="AC14" s="95">
        <f t="shared" si="41"/>
        <v>0</v>
      </c>
      <c r="AD14" s="95" t="str">
        <f>IF(ISTEXT(AB14),INDEX(AB14:AB111,MATCH(TRUE,INDEX(AB14:AB111&lt;&gt;AB14,),0)),"")</f>
        <v>R-2 Stg</v>
      </c>
      <c r="AE14" s="18">
        <f t="shared" si="43"/>
        <v>5.0012499999999998</v>
      </c>
      <c r="AF14" s="18">
        <f t="shared" si="2"/>
        <v>0</v>
      </c>
      <c r="AG14" s="18">
        <f t="shared" si="3"/>
        <v>0.04</v>
      </c>
      <c r="AH14" s="18">
        <f t="shared" si="4"/>
        <v>0.04</v>
      </c>
      <c r="AI14" s="18">
        <f>IF(AND(ISNUMBER(AI13),ISNUMBER(S14)),(VLOOKUP(AD14,AB14:AC111,2,FALSE)),IF(ISNUMBER(S14),R14,NA()))</f>
        <v>5.0012499999999998</v>
      </c>
      <c r="AJ14" s="18">
        <f t="shared" si="5"/>
        <v>2.5006249999999999</v>
      </c>
      <c r="AK14" s="18" t="str">
        <f t="shared" si="6"/>
        <v>R-BKF</v>
      </c>
      <c r="AL14" s="18" t="str">
        <f t="shared" si="7"/>
        <v>R-BKF</v>
      </c>
      <c r="AM14" s="2"/>
      <c r="AN14" s="1"/>
      <c r="AO14" s="1"/>
      <c r="AP14" s="1"/>
      <c r="AQ14" s="1"/>
      <c r="AR14" s="2"/>
      <c r="AS14" s="166">
        <f t="shared" si="8"/>
        <v>1E-3</v>
      </c>
      <c r="AT14" s="40">
        <f t="shared" si="45"/>
        <v>1E-3</v>
      </c>
      <c r="AU14" s="166">
        <f t="shared" si="9"/>
        <v>1E-3</v>
      </c>
      <c r="AV14" s="40">
        <f t="shared" si="0"/>
        <v>1E-3</v>
      </c>
      <c r="AW14" s="152"/>
      <c r="AY14" s="166">
        <f t="shared" si="10"/>
        <v>1E-3</v>
      </c>
      <c r="AZ14">
        <f t="shared" si="11"/>
        <v>1E-3</v>
      </c>
      <c r="BA14" s="341">
        <f t="shared" si="12"/>
        <v>1E-3</v>
      </c>
      <c r="BB14">
        <f t="shared" si="13"/>
        <v>1E-3</v>
      </c>
      <c r="BD14">
        <f t="shared" si="14"/>
        <v>4.9989999999999997</v>
      </c>
      <c r="BE14" s="2">
        <f t="shared" si="15"/>
        <v>0</v>
      </c>
      <c r="BF14" s="122">
        <f t="shared" si="16"/>
        <v>0</v>
      </c>
      <c r="BG14" t="str">
        <f t="shared" si="17"/>
        <v>MAX WSE</v>
      </c>
      <c r="BH14" s="122">
        <f t="shared" si="18"/>
        <v>1E-3</v>
      </c>
      <c r="BJ14" s="122">
        <f t="shared" si="19"/>
        <v>4.9989999999999997</v>
      </c>
      <c r="BL14" s="2">
        <f t="shared" si="47"/>
        <v>0.04</v>
      </c>
      <c r="BM14" s="2"/>
      <c r="BN14" s="2">
        <f t="shared" si="21"/>
        <v>1E-3</v>
      </c>
      <c r="BO14" s="2" t="str">
        <f>IF(BP14="Left",IF(ISERROR(VLOOKUP(BN14,XS_Designer_Summary!$A$21:$B$25,2,TRUE)),"",VLOOKUP(BN14,XS_Designer_Summary!$A$21:$B$25,2,TRUE)),IF(ISERROR(VLOOKUP(-BN14,XS_Designer_Summary!$A$28:$B$32,2,TRUE)),"",VLOOKUP(-BN14,XS_Designer_Summary!$A$28:$B$32,2,TRUE)))</f>
        <v>Right Bankfull</v>
      </c>
      <c r="BP14" s="2" t="str">
        <f>IF(AU14&lt;XS_Designer_Summary!$B$7,"Left",IF(AU14&gt;XS_Designer_Summary!$B$7,"Right","Thalweg"))</f>
        <v>Right</v>
      </c>
      <c r="BQ14" s="2">
        <f t="shared" si="22"/>
        <v>1.414213562373095E-3</v>
      </c>
      <c r="BR14" s="2">
        <f t="shared" si="23"/>
        <v>0.04</v>
      </c>
      <c r="BS14" s="2">
        <f t="shared" si="24"/>
        <v>1.1313708498984765E-5</v>
      </c>
      <c r="BT14" s="2">
        <f t="shared" si="25"/>
        <v>1E-3</v>
      </c>
      <c r="BU14" s="2">
        <f t="shared" si="26"/>
        <v>4.9989999999999997</v>
      </c>
      <c r="BV14" s="2">
        <f t="shared" si="27"/>
        <v>4.9994999999999996E-3</v>
      </c>
      <c r="BX14" s="2">
        <f>IF(AND(ISNUMBER($BN14),$BO14="Left 2nd Stage",SUM($BX$5:BX13)=0),$BN14,0)</f>
        <v>0</v>
      </c>
      <c r="BY14" s="2">
        <f>IF(AND(ISNUMBER($BN14),$BO14="Left Bankfull",SUM($BY$5:$BY13)=0),$BN14,0)</f>
        <v>0</v>
      </c>
      <c r="BZ14" s="2">
        <f>IF(AND(ISNUMBER($BN14),$BO14="Right 2nd Stage",SUM($BZ$5:$BZ13)=0),$BN13,0)</f>
        <v>0</v>
      </c>
      <c r="CA14" s="2">
        <f t="shared" si="46"/>
        <v>0</v>
      </c>
    </row>
    <row r="15" spans="1:79" ht="15">
      <c r="A15" s="2">
        <v>11</v>
      </c>
      <c r="B15" s="111">
        <f>IF(ISNUMBER(XS_Designer!F15),XS_Designer!F15,NA())</f>
        <v>1E-3</v>
      </c>
      <c r="C15" s="111">
        <f>IF(ISNUMBER(XS_Designer!G15),XS_Designer!G15,NA())</f>
        <v>1E-3</v>
      </c>
      <c r="D15" s="111" t="str">
        <f>IF(ISNUMBER(XS_Designer!I15),XS_Designer!I15,"")</f>
        <v/>
      </c>
      <c r="E15" s="2" t="str">
        <f t="shared" si="28"/>
        <v/>
      </c>
      <c r="F15" s="111" t="str">
        <f>IF(ISTEXT(XS_Designer!H15),VLOOKUP(XS_Designer!H15,$K$12:$L$20,2,FALSE),"")</f>
        <v/>
      </c>
      <c r="G15" s="54" t="str">
        <f t="shared" si="29"/>
        <v/>
      </c>
      <c r="K15" s="22" t="s">
        <v>466</v>
      </c>
      <c r="L15" s="22" t="s">
        <v>470</v>
      </c>
      <c r="N15" s="375" t="s">
        <v>948</v>
      </c>
      <c r="O15" s="375"/>
      <c r="P15" s="2"/>
      <c r="Q15" s="2" t="str">
        <f t="shared" si="30"/>
        <v>Y</v>
      </c>
      <c r="R15" s="166">
        <f t="shared" si="31"/>
        <v>1E-3</v>
      </c>
      <c r="S15" s="2">
        <f t="shared" si="32"/>
        <v>0.50124999999999997</v>
      </c>
      <c r="T15" s="2">
        <f t="shared" si="33"/>
        <v>0.04</v>
      </c>
      <c r="U15" s="2" t="str">
        <f t="shared" si="34"/>
        <v>R-BKF</v>
      </c>
      <c r="V15" s="326">
        <f t="shared" si="35"/>
        <v>0.25112499999999999</v>
      </c>
      <c r="W15" s="97">
        <f t="shared" si="36"/>
        <v>4.0010000000000003</v>
      </c>
      <c r="X15" s="2">
        <f t="shared" si="1"/>
        <v>4.5010000000000003</v>
      </c>
      <c r="Y15" s="95">
        <f t="shared" si="37"/>
        <v>0.04</v>
      </c>
      <c r="Z15" s="261">
        <f t="shared" si="38"/>
        <v>1E-3</v>
      </c>
      <c r="AA15" s="95">
        <f t="shared" ref="AA15:AA16" si="51">IF(ISNUMBER(Y15),INDEX(Y15:Y115,MATCH(TRUE,INDEX(Y15:Y115&lt;&gt;Y15,),0)),"")</f>
        <v>0.1</v>
      </c>
      <c r="AB15" s="95" t="str">
        <f t="shared" si="40"/>
        <v>R-BKF</v>
      </c>
      <c r="AC15" s="95">
        <f t="shared" si="41"/>
        <v>1E-3</v>
      </c>
      <c r="AD15" s="95" t="str">
        <f t="shared" ref="AD15:AD16" si="52">IF(ISTEXT(AB15),INDEX(AB15:AB115,MATCH(TRUE,INDEX(AB15:AB115&lt;&gt;AB15,),0)),"")</f>
        <v>R-2 Stg</v>
      </c>
      <c r="AE15" s="18">
        <f t="shared" si="43"/>
        <v>5.0012499999999998</v>
      </c>
      <c r="AF15" s="18">
        <f t="shared" si="2"/>
        <v>0</v>
      </c>
      <c r="AG15" s="18">
        <f t="shared" si="3"/>
        <v>0.04</v>
      </c>
      <c r="AH15" s="18">
        <f t="shared" si="4"/>
        <v>0.04</v>
      </c>
      <c r="AI15" s="18">
        <f t="shared" ref="AI15:AI16" si="53">IF(AND(ISNUMBER(AI14),ISNUMBER(S15)),(VLOOKUP(AD15,AB15:AC115,2,FALSE)),IF(ISNUMBER(S15),R15,NA()))</f>
        <v>5.0012499999999998</v>
      </c>
      <c r="AJ15" s="18">
        <f t="shared" si="5"/>
        <v>2.5006249999999999</v>
      </c>
      <c r="AK15" s="18" t="str">
        <f t="shared" si="6"/>
        <v>R-BKF</v>
      </c>
      <c r="AL15" s="18" t="str">
        <f t="shared" si="7"/>
        <v>R-BKF</v>
      </c>
      <c r="AN15" s="1"/>
      <c r="AO15" s="1"/>
      <c r="AP15" s="1"/>
      <c r="AQ15" s="1"/>
      <c r="AR15" s="2"/>
      <c r="AS15" s="166">
        <f t="shared" si="8"/>
        <v>0.50124999999999997</v>
      </c>
      <c r="AT15" s="40">
        <f t="shared" si="45"/>
        <v>0.126</v>
      </c>
      <c r="AU15" s="166">
        <f t="shared" si="9"/>
        <v>0.50124999999999997</v>
      </c>
      <c r="AV15" s="40">
        <f t="shared" si="0"/>
        <v>0.126</v>
      </c>
      <c r="AW15" s="152"/>
      <c r="AY15" s="166">
        <f t="shared" si="10"/>
        <v>0.50124999999999997</v>
      </c>
      <c r="AZ15">
        <f t="shared" si="11"/>
        <v>0.126</v>
      </c>
      <c r="BA15" s="341">
        <f t="shared" si="12"/>
        <v>0.50124999999999997</v>
      </c>
      <c r="BB15">
        <f t="shared" si="13"/>
        <v>0.126</v>
      </c>
      <c r="BD15">
        <f t="shared" si="14"/>
        <v>4.8739999999999997</v>
      </c>
      <c r="BE15" s="2">
        <f t="shared" si="15"/>
        <v>0</v>
      </c>
      <c r="BF15" s="122">
        <f t="shared" si="16"/>
        <v>0</v>
      </c>
      <c r="BG15" t="str">
        <f t="shared" si="17"/>
        <v>MAX WSE</v>
      </c>
      <c r="BH15" s="122">
        <f t="shared" si="18"/>
        <v>0.126</v>
      </c>
      <c r="BJ15" s="122">
        <f t="shared" si="19"/>
        <v>4.8739999999999997</v>
      </c>
      <c r="BL15" s="2">
        <f t="shared" si="47"/>
        <v>0.04</v>
      </c>
      <c r="BM15" s="2"/>
      <c r="BN15" s="2">
        <f t="shared" si="21"/>
        <v>0.50124999999999997</v>
      </c>
      <c r="BO15" s="2" t="str">
        <f>IF(BP15="Left",IF(ISERROR(VLOOKUP(BN15,XS_Designer_Summary!$A$21:$B$25,2,TRUE)),"",VLOOKUP(BN15,XS_Designer_Summary!$A$21:$B$25,2,TRUE)),IF(ISERROR(VLOOKUP(-BN15,XS_Designer_Summary!$A$28:$B$32,2,TRUE)),"",VLOOKUP(-BN15,XS_Designer_Summary!$A$28:$B$32,2,TRUE)))</f>
        <v>Right Bankfull</v>
      </c>
      <c r="BP15" s="2" t="str">
        <f>IF(AU15&lt;XS_Designer_Summary!$B$7,"Left",IF(AU15&gt;XS_Designer_Summary!$B$7,"Right","Thalweg"))</f>
        <v>Right</v>
      </c>
      <c r="BQ15" s="2">
        <f t="shared" si="22"/>
        <v>0.51563074239226658</v>
      </c>
      <c r="BR15" s="2">
        <f t="shared" si="23"/>
        <v>0.04</v>
      </c>
      <c r="BS15" s="2">
        <f t="shared" si="24"/>
        <v>4.1250459391381344E-3</v>
      </c>
      <c r="BT15" s="2">
        <f t="shared" si="25"/>
        <v>0.50024999999999997</v>
      </c>
      <c r="BU15" s="2">
        <f t="shared" si="26"/>
        <v>4.8739999999999997</v>
      </c>
      <c r="BV15" s="2">
        <f t="shared" si="27"/>
        <v>2.4694841249999997</v>
      </c>
      <c r="BX15" s="2">
        <f>IF(AND(ISNUMBER($BN15),$BO15="Left 2nd Stage",SUM($BX$5:BX14)=0),$BN15,0)</f>
        <v>0</v>
      </c>
      <c r="BY15" s="2">
        <f>IF(AND(ISNUMBER($BN15),$BO15="Left Bankfull",SUM($BY$5:$BY14)=0),$BN15,0)</f>
        <v>0</v>
      </c>
      <c r="BZ15" s="2">
        <f>IF(AND(ISNUMBER($BN15),$BO15="Right 2nd Stage",SUM($BZ$5:$BZ14)=0),$BN14,0)</f>
        <v>0</v>
      </c>
      <c r="CA15" s="2">
        <f t="shared" si="46"/>
        <v>0</v>
      </c>
    </row>
    <row r="16" spans="1:79" ht="15">
      <c r="A16" s="2">
        <v>12</v>
      </c>
      <c r="B16" s="111">
        <f>IF(ISNUMBER(XS_Designer!F16),XS_Designer!F16,NA())</f>
        <v>0.50124999999999997</v>
      </c>
      <c r="C16" s="111">
        <f>IF(ISNUMBER(XS_Designer!G16),XS_Designer!G16,NA())</f>
        <v>0.126</v>
      </c>
      <c r="D16" s="111" t="str">
        <f>IF(ISNUMBER(XS_Designer!I16),XS_Designer!I16,"")</f>
        <v/>
      </c>
      <c r="E16" s="2" t="str">
        <f t="shared" si="28"/>
        <v/>
      </c>
      <c r="F16" s="111" t="str">
        <f>IF(ISTEXT(XS_Designer!H16),VLOOKUP(XS_Designer!H16,$K$12:$L$20,2,FALSE),"")</f>
        <v/>
      </c>
      <c r="G16" s="54" t="str">
        <f t="shared" si="29"/>
        <v/>
      </c>
      <c r="I16" s="1"/>
      <c r="K16" s="22" t="s">
        <v>716</v>
      </c>
      <c r="L16" s="22" t="str">
        <f>IF(L9="Yes","R-IB","R-BKF")</f>
        <v>R-BKF</v>
      </c>
      <c r="N16" s="22"/>
      <c r="O16" s="3" t="s">
        <v>271</v>
      </c>
      <c r="P16" s="2"/>
      <c r="Q16" s="2" t="str">
        <f t="shared" si="30"/>
        <v>Y</v>
      </c>
      <c r="R16" s="166">
        <f t="shared" si="31"/>
        <v>0.50124999999999997</v>
      </c>
      <c r="S16" s="2">
        <f t="shared" si="32"/>
        <v>1.00125</v>
      </c>
      <c r="T16" s="2">
        <f t="shared" si="33"/>
        <v>0.04</v>
      </c>
      <c r="U16" s="2" t="str">
        <f t="shared" si="34"/>
        <v>R-BKF</v>
      </c>
      <c r="V16" s="326">
        <f t="shared" si="35"/>
        <v>0.75124999999999997</v>
      </c>
      <c r="W16" s="97">
        <f t="shared" si="36"/>
        <v>4.0010000000000003</v>
      </c>
      <c r="X16" s="2">
        <f t="shared" si="1"/>
        <v>4.5010000000000003</v>
      </c>
      <c r="Y16" s="95">
        <f t="shared" si="37"/>
        <v>0.04</v>
      </c>
      <c r="Z16" s="261">
        <f t="shared" si="38"/>
        <v>0.50124999999999997</v>
      </c>
      <c r="AA16" s="95">
        <f t="shared" si="51"/>
        <v>0.1</v>
      </c>
      <c r="AB16" s="95" t="str">
        <f t="shared" si="40"/>
        <v>R-BKF</v>
      </c>
      <c r="AC16" s="95">
        <f t="shared" si="41"/>
        <v>0.50124999999999997</v>
      </c>
      <c r="AD16" s="95" t="str">
        <f t="shared" si="52"/>
        <v>R-2 Stg</v>
      </c>
      <c r="AE16" s="18">
        <f t="shared" si="43"/>
        <v>5.0012499999999998</v>
      </c>
      <c r="AF16" s="18">
        <f t="shared" si="2"/>
        <v>0</v>
      </c>
      <c r="AG16" s="18">
        <f t="shared" si="3"/>
        <v>0.04</v>
      </c>
      <c r="AH16" s="18">
        <f t="shared" si="4"/>
        <v>0.04</v>
      </c>
      <c r="AI16" s="18">
        <f t="shared" si="53"/>
        <v>5.0012499999999998</v>
      </c>
      <c r="AJ16" s="18">
        <f t="shared" si="5"/>
        <v>2.5006249999999999</v>
      </c>
      <c r="AK16" s="18" t="str">
        <f t="shared" si="6"/>
        <v>R-BKF</v>
      </c>
      <c r="AL16" s="18" t="str">
        <f t="shared" si="7"/>
        <v>R-BKF</v>
      </c>
      <c r="AN16" s="1"/>
      <c r="AO16" s="1"/>
      <c r="AP16" s="1"/>
      <c r="AQ16" s="1"/>
      <c r="AR16" s="2"/>
      <c r="AS16" s="166">
        <f t="shared" si="8"/>
        <v>1.00125</v>
      </c>
      <c r="AT16" s="40">
        <f t="shared" si="45"/>
        <v>0.251</v>
      </c>
      <c r="AU16" s="166">
        <f t="shared" si="9"/>
        <v>1.00125</v>
      </c>
      <c r="AV16" s="40">
        <f t="shared" si="0"/>
        <v>0.251</v>
      </c>
      <c r="AW16" s="152"/>
      <c r="AY16" s="166">
        <f t="shared" si="10"/>
        <v>1.00125</v>
      </c>
      <c r="AZ16">
        <f t="shared" si="11"/>
        <v>0.251</v>
      </c>
      <c r="BA16" s="341">
        <f t="shared" si="12"/>
        <v>1.00125</v>
      </c>
      <c r="BB16">
        <f t="shared" si="13"/>
        <v>0.251</v>
      </c>
      <c r="BD16">
        <f t="shared" si="14"/>
        <v>4.7489999999999997</v>
      </c>
      <c r="BE16" s="2">
        <f t="shared" si="15"/>
        <v>0</v>
      </c>
      <c r="BF16" s="122">
        <f t="shared" si="16"/>
        <v>0</v>
      </c>
      <c r="BG16" t="str">
        <f t="shared" si="17"/>
        <v>MAX WSE</v>
      </c>
      <c r="BH16" s="122">
        <f t="shared" si="18"/>
        <v>0.251</v>
      </c>
      <c r="BJ16" s="122">
        <f t="shared" si="19"/>
        <v>4.7489999999999997</v>
      </c>
      <c r="BL16" s="2">
        <f t="shared" si="47"/>
        <v>0.04</v>
      </c>
      <c r="BM16" s="2"/>
      <c r="BN16" s="2">
        <f t="shared" si="21"/>
        <v>1.00125</v>
      </c>
      <c r="BO16" s="2" t="str">
        <f>IF(BP16="Left",IF(ISERROR(VLOOKUP(BN16,XS_Designer_Summary!$A$21:$B$25,2,TRUE)),"",VLOOKUP(BN16,XS_Designer_Summary!$A$21:$B$25,2,TRUE)),IF(ISERROR(VLOOKUP(-BN16,XS_Designer_Summary!$A$28:$B$32,2,TRUE)),"",VLOOKUP(-BN16,XS_Designer_Summary!$A$28:$B$32,2,TRUE)))</f>
        <v>Right Bankfull</v>
      </c>
      <c r="BP16" s="2" t="str">
        <f>IF(AU16&lt;XS_Designer_Summary!$B$7,"Left",IF(AU16&gt;XS_Designer_Summary!$B$7,"Right","Thalweg"))</f>
        <v>Right</v>
      </c>
      <c r="BQ16" s="2">
        <f t="shared" si="22"/>
        <v>0.51538820320220757</v>
      </c>
      <c r="BR16" s="2">
        <f t="shared" si="23"/>
        <v>0.04</v>
      </c>
      <c r="BS16" s="2">
        <f t="shared" si="24"/>
        <v>4.1231056256176629E-3</v>
      </c>
      <c r="BT16" s="2">
        <f t="shared" si="25"/>
        <v>0.5</v>
      </c>
      <c r="BU16" s="2">
        <f t="shared" si="26"/>
        <v>4.7489999999999997</v>
      </c>
      <c r="BV16" s="2">
        <f t="shared" si="27"/>
        <v>2.4057499999999998</v>
      </c>
      <c r="BX16" s="2">
        <f>IF(AND(ISNUMBER($BN16),$BO16="Left 2nd Stage",SUM($BX$5:BX15)=0),$BN16,0)</f>
        <v>0</v>
      </c>
      <c r="BY16" s="2">
        <f>IF(AND(ISNUMBER($BN16),$BO16="Left Bankfull",SUM($BY$5:$BY15)=0),$BN16,0)</f>
        <v>0</v>
      </c>
      <c r="BZ16" s="2">
        <f>IF(AND(ISNUMBER($BN16),$BO16="Right 2nd Stage",SUM($BZ$5:$BZ15)=0),$BN15,0)</f>
        <v>0</v>
      </c>
      <c r="CA16" s="2">
        <f t="shared" si="46"/>
        <v>0</v>
      </c>
    </row>
    <row r="17" spans="1:79" ht="15">
      <c r="A17" s="2">
        <v>13</v>
      </c>
      <c r="B17" s="111">
        <f>IF(ISNUMBER(XS_Designer!F17),XS_Designer!F17,NA())</f>
        <v>1.00125</v>
      </c>
      <c r="C17" s="111">
        <f>IF(ISNUMBER(XS_Designer!G17),XS_Designer!G17,NA())</f>
        <v>0.251</v>
      </c>
      <c r="D17" s="111" t="str">
        <f>IF(ISNUMBER(XS_Designer!I17),XS_Designer!I17,"")</f>
        <v/>
      </c>
      <c r="E17" s="2" t="str">
        <f t="shared" si="28"/>
        <v/>
      </c>
      <c r="F17" s="111" t="str">
        <f>IF(ISTEXT(XS_Designer!H17),VLOOKUP(XS_Designer!H17,$K$12:$L$20,2,FALSE),"")</f>
        <v/>
      </c>
      <c r="G17" s="54" t="str">
        <f t="shared" si="29"/>
        <v/>
      </c>
      <c r="I17" s="1"/>
      <c r="K17" s="22" t="s">
        <v>652</v>
      </c>
      <c r="L17" s="22" t="s">
        <v>767</v>
      </c>
      <c r="N17" s="22"/>
      <c r="O17" s="3">
        <f>K4</f>
        <v>5</v>
      </c>
      <c r="P17" s="2"/>
      <c r="Q17" s="2" t="str">
        <f t="shared" si="30"/>
        <v>Y</v>
      </c>
      <c r="R17" s="166">
        <f t="shared" si="31"/>
        <v>1.00125</v>
      </c>
      <c r="S17" s="2">
        <f t="shared" si="32"/>
        <v>2.0012499999999998</v>
      </c>
      <c r="T17" s="2">
        <f t="shared" si="33"/>
        <v>0.04</v>
      </c>
      <c r="U17" s="2" t="str">
        <f t="shared" si="34"/>
        <v>R-BKF</v>
      </c>
      <c r="V17" s="326">
        <f t="shared" si="35"/>
        <v>1.5012499999999998</v>
      </c>
      <c r="W17" s="97">
        <f t="shared" si="36"/>
        <v>4.0010000000000003</v>
      </c>
      <c r="X17" s="2">
        <f t="shared" si="1"/>
        <v>4.5010000000000003</v>
      </c>
      <c r="Y17" s="95">
        <f t="shared" si="37"/>
        <v>0.04</v>
      </c>
      <c r="Z17" s="261">
        <f t="shared" si="38"/>
        <v>1.00125</v>
      </c>
      <c r="AA17" s="95">
        <f>IF(ISNUMBER(Y17),INDEX(Y17:Y116,MATCH(TRUE,INDEX(Y17:Y116&lt;&gt;Y17,),0)),"")</f>
        <v>0.1</v>
      </c>
      <c r="AB17" s="95" t="str">
        <f t="shared" si="40"/>
        <v>R-BKF</v>
      </c>
      <c r="AC17" s="95">
        <f t="shared" si="41"/>
        <v>1.00125</v>
      </c>
      <c r="AD17" s="95" t="str">
        <f>IF(ISTEXT(AB17),INDEX(AB17:AB116,MATCH(TRUE,INDEX(AB17:AB116&lt;&gt;AB17,),0)),"")</f>
        <v>R-2 Stg</v>
      </c>
      <c r="AE17" s="18">
        <f t="shared" si="43"/>
        <v>5.0012499999999998</v>
      </c>
      <c r="AF17" s="18">
        <f t="shared" si="2"/>
        <v>0</v>
      </c>
      <c r="AG17" s="18">
        <f t="shared" si="3"/>
        <v>0.04</v>
      </c>
      <c r="AH17" s="18">
        <f t="shared" si="4"/>
        <v>0.04</v>
      </c>
      <c r="AI17" s="18">
        <f>IF(AND(ISNUMBER(AI16),ISNUMBER(S17)),(VLOOKUP(AD17,AB17:AC116,2,FALSE)),IF(ISNUMBER(S17),R17,NA()))</f>
        <v>5.0012499999999998</v>
      </c>
      <c r="AJ17" s="18">
        <f t="shared" si="5"/>
        <v>2.5006249999999999</v>
      </c>
      <c r="AK17" s="18" t="str">
        <f t="shared" si="6"/>
        <v>R-BKF</v>
      </c>
      <c r="AL17" s="18" t="str">
        <f t="shared" si="7"/>
        <v>R-BKF</v>
      </c>
      <c r="AN17" s="1"/>
      <c r="AO17" s="1"/>
      <c r="AP17" s="1"/>
      <c r="AQ17" s="1"/>
      <c r="AS17" s="166">
        <f t="shared" si="8"/>
        <v>2.0012499999999998</v>
      </c>
      <c r="AT17" s="40">
        <f t="shared" si="45"/>
        <v>0.501</v>
      </c>
      <c r="AU17" s="166">
        <f t="shared" si="9"/>
        <v>2.0012499999999998</v>
      </c>
      <c r="AV17" s="40">
        <f t="shared" si="0"/>
        <v>0.501</v>
      </c>
      <c r="AW17" s="152"/>
      <c r="AY17" s="166">
        <f t="shared" si="10"/>
        <v>2.0012499999999998</v>
      </c>
      <c r="AZ17">
        <f t="shared" si="11"/>
        <v>0.501</v>
      </c>
      <c r="BA17" s="341">
        <f t="shared" si="12"/>
        <v>2.0012499999999998</v>
      </c>
      <c r="BB17">
        <f t="shared" si="13"/>
        <v>0.501</v>
      </c>
      <c r="BD17">
        <f t="shared" si="14"/>
        <v>4.4989999999999997</v>
      </c>
      <c r="BE17" s="2">
        <f t="shared" si="15"/>
        <v>0</v>
      </c>
      <c r="BF17" s="122">
        <f t="shared" si="16"/>
        <v>0</v>
      </c>
      <c r="BG17" t="str">
        <f t="shared" si="17"/>
        <v>MAX WSE</v>
      </c>
      <c r="BH17" s="122">
        <f t="shared" si="18"/>
        <v>0.501</v>
      </c>
      <c r="BJ17" s="122">
        <f t="shared" si="19"/>
        <v>4.4989999999999997</v>
      </c>
      <c r="BL17" s="2">
        <f t="shared" si="47"/>
        <v>0.04</v>
      </c>
      <c r="BM17" s="2"/>
      <c r="BN17" s="2">
        <f t="shared" si="21"/>
        <v>2.0012499999999998</v>
      </c>
      <c r="BO17" s="2" t="str">
        <f>IF(BP17="Left",IF(ISERROR(VLOOKUP(BN17,XS_Designer_Summary!$A$21:$B$25,2,TRUE)),"",VLOOKUP(BN17,XS_Designer_Summary!$A$21:$B$25,2,TRUE)),IF(ISERROR(VLOOKUP(-BN17,XS_Designer_Summary!$A$28:$B$32,2,TRUE)),"",VLOOKUP(-BN17,XS_Designer_Summary!$A$28:$B$32,2,TRUE)))</f>
        <v>Right Bankfull</v>
      </c>
      <c r="BP17" s="2" t="str">
        <f>IF(AU17&lt;XS_Designer_Summary!$B$7,"Left",IF(AU17&gt;XS_Designer_Summary!$B$7,"Right","Thalweg"))</f>
        <v>Right</v>
      </c>
      <c r="BQ17" s="2">
        <f t="shared" si="22"/>
        <v>1.0307764064044149</v>
      </c>
      <c r="BR17" s="2">
        <f t="shared" si="23"/>
        <v>0.04</v>
      </c>
      <c r="BS17" s="2">
        <f t="shared" si="24"/>
        <v>8.2462112512353223E-3</v>
      </c>
      <c r="BT17" s="2">
        <f t="shared" si="25"/>
        <v>0.99999999999999978</v>
      </c>
      <c r="BU17" s="2">
        <f t="shared" si="26"/>
        <v>4.4989999999999997</v>
      </c>
      <c r="BV17" s="2">
        <f t="shared" si="27"/>
        <v>4.6239999999999988</v>
      </c>
      <c r="BX17" s="2">
        <f>IF(AND(ISNUMBER($BN17),$BO17="Left 2nd Stage",SUM($BX$5:BX16)=0),$BN17,0)</f>
        <v>0</v>
      </c>
      <c r="BY17" s="2">
        <f>IF(AND(ISNUMBER($BN17),$BO17="Left Bankfull",SUM($BY$5:$BY16)=0),$BN17,0)</f>
        <v>0</v>
      </c>
      <c r="BZ17" s="2">
        <f>IF(AND(ISNUMBER($BN17),$BO17="Right 2nd Stage",SUM($BZ$5:$BZ16)=0),$BN16,0)</f>
        <v>0</v>
      </c>
      <c r="CA17" s="2">
        <f t="shared" si="46"/>
        <v>0</v>
      </c>
    </row>
    <row r="18" spans="1:79" ht="15">
      <c r="A18" s="2">
        <v>14</v>
      </c>
      <c r="B18" s="111">
        <f>IF(ISNUMBER(XS_Designer!F18),XS_Designer!F18,NA())</f>
        <v>2.0012499999999998</v>
      </c>
      <c r="C18" s="111">
        <f>IF(ISNUMBER(XS_Designer!G18),XS_Designer!G18,NA())</f>
        <v>0.501</v>
      </c>
      <c r="D18" s="111" t="str">
        <f>IF(ISNUMBER(XS_Designer!I18),XS_Designer!I18,"")</f>
        <v/>
      </c>
      <c r="E18" s="2" t="str">
        <f t="shared" si="28"/>
        <v/>
      </c>
      <c r="F18" s="111" t="str">
        <f>IF(ISTEXT(XS_Designer!H18),VLOOKUP(XS_Designer!H18,$K$12:$L$20,2,FALSE),"")</f>
        <v/>
      </c>
      <c r="G18" s="54" t="str">
        <f t="shared" si="29"/>
        <v/>
      </c>
      <c r="K18" s="22" t="s">
        <v>831</v>
      </c>
      <c r="L18" s="22" t="s">
        <v>85</v>
      </c>
      <c r="N18" s="22">
        <f>O4</f>
        <v>-27.201250000000002</v>
      </c>
      <c r="O18" s="22">
        <f>O17</f>
        <v>5</v>
      </c>
      <c r="Q18" s="2" t="str">
        <f t="shared" si="30"/>
        <v>Y</v>
      </c>
      <c r="R18" s="166">
        <f t="shared" si="31"/>
        <v>2.0012499999999998</v>
      </c>
      <c r="S18" s="2">
        <f t="shared" si="32"/>
        <v>5.0012499999999998</v>
      </c>
      <c r="T18" s="2">
        <f t="shared" si="33"/>
        <v>0.04</v>
      </c>
      <c r="U18" s="2" t="str">
        <f t="shared" si="34"/>
        <v>R-BKF</v>
      </c>
      <c r="V18" s="326">
        <f t="shared" si="35"/>
        <v>3.5012499999999998</v>
      </c>
      <c r="W18" s="97">
        <f t="shared" si="36"/>
        <v>4.0010000000000003</v>
      </c>
      <c r="X18" s="2">
        <f t="shared" si="1"/>
        <v>4.5010000000000003</v>
      </c>
      <c r="Y18" s="95">
        <f t="shared" si="37"/>
        <v>0.04</v>
      </c>
      <c r="Z18" s="261">
        <f t="shared" si="38"/>
        <v>2.0012499999999998</v>
      </c>
      <c r="AA18" s="95">
        <f>IF(ISNUMBER(Y18),INDEX(Y18:Y116,MATCH(TRUE,INDEX(Y18:Y116&lt;&gt;Y18,),0)),"")</f>
        <v>0.1</v>
      </c>
      <c r="AB18" s="95" t="str">
        <f t="shared" si="40"/>
        <v>R-BKF</v>
      </c>
      <c r="AC18" s="95">
        <f t="shared" si="41"/>
        <v>2.0012499999999998</v>
      </c>
      <c r="AD18" s="95" t="str">
        <f>IF(ISTEXT(AB18),INDEX(AB18:AB116,MATCH(TRUE,INDEX(AB18:AB116&lt;&gt;AB18,),0)),"")</f>
        <v>R-2 Stg</v>
      </c>
      <c r="AE18" s="18">
        <f t="shared" si="43"/>
        <v>5.0012499999999998</v>
      </c>
      <c r="AF18" s="18">
        <f t="shared" si="2"/>
        <v>16.10125</v>
      </c>
      <c r="AG18" s="18">
        <f t="shared" si="3"/>
        <v>0.1</v>
      </c>
      <c r="AH18" s="18">
        <f t="shared" si="4"/>
        <v>0.1</v>
      </c>
      <c r="AI18" s="18">
        <f>IF(AND(ISNUMBER(AI17),ISNUMBER(S18)),(VLOOKUP(AD18,AB18:AC116,2,FALSE)),IF(ISNUMBER(S18),R18,NA()))</f>
        <v>5.0012499999999998</v>
      </c>
      <c r="AJ18" s="18">
        <f t="shared" si="5"/>
        <v>10.80125</v>
      </c>
      <c r="AK18" s="18" t="str">
        <f t="shared" si="6"/>
        <v>R-2 Stg</v>
      </c>
      <c r="AL18" s="18" t="str">
        <f t="shared" si="7"/>
        <v>R-2 Stg</v>
      </c>
      <c r="AN18" s="1"/>
      <c r="AO18" s="1"/>
      <c r="AP18" s="1"/>
      <c r="AQ18" s="1"/>
      <c r="AR18" s="2"/>
      <c r="AS18" s="166">
        <f t="shared" si="8"/>
        <v>5.0012499999999998</v>
      </c>
      <c r="AT18" s="40">
        <f t="shared" si="45"/>
        <v>2.0009999999999999</v>
      </c>
      <c r="AU18" s="166">
        <f t="shared" si="9"/>
        <v>5.0012499999999998</v>
      </c>
      <c r="AV18" s="40">
        <f t="shared" si="0"/>
        <v>2.0009999999999999</v>
      </c>
      <c r="AW18" s="152"/>
      <c r="AY18" s="166">
        <f t="shared" si="10"/>
        <v>5.0012499999999998</v>
      </c>
      <c r="AZ18">
        <f t="shared" si="11"/>
        <v>2.0009999999999999</v>
      </c>
      <c r="BA18" s="341">
        <f t="shared" si="12"/>
        <v>5.0012499999999998</v>
      </c>
      <c r="BB18">
        <f t="shared" si="13"/>
        <v>2.0009999999999999</v>
      </c>
      <c r="BD18">
        <f t="shared" si="14"/>
        <v>2.9990000000000001</v>
      </c>
      <c r="BE18" s="2">
        <f t="shared" si="15"/>
        <v>0</v>
      </c>
      <c r="BF18" s="264">
        <f t="shared" si="16"/>
        <v>0</v>
      </c>
      <c r="BG18" t="str">
        <f t="shared" si="17"/>
        <v>MAX WSE</v>
      </c>
      <c r="BH18" s="122">
        <f t="shared" si="18"/>
        <v>2.0009999999999999</v>
      </c>
      <c r="BJ18" s="122">
        <f t="shared" si="19"/>
        <v>2.9990000000000001</v>
      </c>
      <c r="BL18" s="2">
        <f t="shared" si="47"/>
        <v>0.04</v>
      </c>
      <c r="BM18" s="2"/>
      <c r="BN18" s="2">
        <f t="shared" si="21"/>
        <v>5.0012499999999998</v>
      </c>
      <c r="BO18" s="2" t="str">
        <f>IF(BP18="Left",IF(ISERROR(VLOOKUP(BN18,XS_Designer_Summary!$A$21:$B$25,2,TRUE)),"",VLOOKUP(BN18,XS_Designer_Summary!$A$21:$B$25,2,TRUE)),IF(ISERROR(VLOOKUP(-BN18,XS_Designer_Summary!$A$28:$B$32,2,TRUE)),"",VLOOKUP(-BN18,XS_Designer_Summary!$A$28:$B$32,2,TRUE)))</f>
        <v>Right Bankfull</v>
      </c>
      <c r="BP18" s="2" t="str">
        <f>IF(AU18&lt;XS_Designer_Summary!$B$7,"Left",IF(AU18&gt;XS_Designer_Summary!$B$7,"Right","Thalweg"))</f>
        <v>Right</v>
      </c>
      <c r="BQ18" s="2">
        <f t="shared" si="22"/>
        <v>3.3541019662496847</v>
      </c>
      <c r="BR18" s="2">
        <f t="shared" si="23"/>
        <v>0.04</v>
      </c>
      <c r="BS18" s="2">
        <f t="shared" si="24"/>
        <v>2.6832815729997489E-2</v>
      </c>
      <c r="BT18" s="2">
        <f t="shared" si="25"/>
        <v>3</v>
      </c>
      <c r="BU18" s="2">
        <f t="shared" si="26"/>
        <v>2.9990000000000001</v>
      </c>
      <c r="BV18" s="2">
        <f t="shared" si="27"/>
        <v>11.247</v>
      </c>
      <c r="BX18" s="2">
        <f>IF(AND(ISNUMBER($BN18),$BO18="Left 2nd Stage",SUM($BX$5:BX17)=0),$BN18,0)</f>
        <v>0</v>
      </c>
      <c r="BY18" s="2">
        <f>IF(AND(ISNUMBER($BN18),$BO18="Left Bankfull",SUM($BY$5:$BY17)=0),$BN18,0)</f>
        <v>0</v>
      </c>
      <c r="BZ18" s="2">
        <f>IF(AND(ISNUMBER($BN18),$BO18="Right 2nd Stage",SUM($BZ$5:$BZ17)=0),$BN17,0)</f>
        <v>0</v>
      </c>
      <c r="CA18" s="2">
        <f t="shared" si="46"/>
        <v>0</v>
      </c>
    </row>
    <row r="19" spans="1:79" ht="15">
      <c r="A19" s="2">
        <v>15</v>
      </c>
      <c r="B19" s="111">
        <f>IF(ISNUMBER(XS_Designer!F19),XS_Designer!F19,NA())</f>
        <v>5.0012499999999998</v>
      </c>
      <c r="C19" s="111">
        <f>IF(ISNUMBER(XS_Designer!G19),XS_Designer!G19,NA())</f>
        <v>2.0009999999999999</v>
      </c>
      <c r="D19" s="111">
        <f>IF(ISNUMBER(XS_Designer!I19),XS_Designer!I19,"")</f>
        <v>0.1</v>
      </c>
      <c r="E19" s="2" t="str">
        <f t="shared" si="28"/>
        <v>5.00125 to 27.20125</v>
      </c>
      <c r="F19" s="111" t="str">
        <f>IF(ISTEXT(XS_Designer!H19),VLOOKUP(XS_Designer!H19,$K$12:$L$20,2,FALSE),"")</f>
        <v>R-2 Stg</v>
      </c>
      <c r="G19" s="54" t="str">
        <f t="shared" si="29"/>
        <v>5.00125 to 27.20125</v>
      </c>
      <c r="I19" s="2"/>
      <c r="J19" s="2"/>
      <c r="K19" s="22" t="s">
        <v>82</v>
      </c>
      <c r="L19" s="22" t="s">
        <v>10</v>
      </c>
      <c r="M19" s="2"/>
      <c r="N19" s="22">
        <f>O11</f>
        <v>27.201250000000002</v>
      </c>
      <c r="O19" s="22">
        <f>O17</f>
        <v>5</v>
      </c>
      <c r="Q19" s="2" t="str">
        <f t="shared" si="30"/>
        <v>Y</v>
      </c>
      <c r="R19" s="166">
        <f t="shared" si="31"/>
        <v>5.0012499999999998</v>
      </c>
      <c r="S19" s="2">
        <f t="shared" si="32"/>
        <v>15.001249999999999</v>
      </c>
      <c r="T19" s="2">
        <f t="shared" si="33"/>
        <v>0.1</v>
      </c>
      <c r="U19" s="2" t="str">
        <f t="shared" si="34"/>
        <v>R-2 Stg</v>
      </c>
      <c r="V19" s="326">
        <f t="shared" si="35"/>
        <v>10.001249999999999</v>
      </c>
      <c r="W19" s="97">
        <f t="shared" si="36"/>
        <v>4.0010000000000003</v>
      </c>
      <c r="X19" s="2">
        <f t="shared" si="1"/>
        <v>4.5010000000000003</v>
      </c>
      <c r="Y19" s="95">
        <f t="shared" si="37"/>
        <v>0.1</v>
      </c>
      <c r="Z19" s="261">
        <f t="shared" si="38"/>
        <v>5.0012499999999998</v>
      </c>
      <c r="AA19" s="95" t="str">
        <f>IF(ISNUMBER(Y19),INDEX(Y19:Y116,MATCH(TRUE,INDEX(Y19:Y116&lt;&gt;Y19,),0)),"")</f>
        <v/>
      </c>
      <c r="AB19" s="95" t="str">
        <f t="shared" si="40"/>
        <v>R-2 Stg</v>
      </c>
      <c r="AC19" s="95">
        <f t="shared" si="41"/>
        <v>5.0012499999999998</v>
      </c>
      <c r="AD19" s="95" t="str">
        <f>IF(ISTEXT(AB19),INDEX(AB19:AB116,MATCH(TRUE,INDEX(AB19:AB116&lt;&gt;AB19,),0)),"")</f>
        <v>R-3 Stg</v>
      </c>
      <c r="AE19" s="18">
        <f t="shared" si="43"/>
        <v>27.201250000000002</v>
      </c>
      <c r="AF19" s="18">
        <f t="shared" si="2"/>
        <v>16.10125</v>
      </c>
      <c r="AG19" s="18">
        <f t="shared" si="3"/>
        <v>0.1</v>
      </c>
      <c r="AH19" s="18">
        <f t="shared" si="4"/>
        <v>0.1</v>
      </c>
      <c r="AI19" s="18">
        <f>IF(AND(ISNUMBER(AI18),ISNUMBER(S19)),(VLOOKUP(AD19,AB19:AC116,2,FALSE)),IF(ISNUMBER(S19),R19,NA()))</f>
        <v>16.60125</v>
      </c>
      <c r="AJ19" s="18">
        <f t="shared" si="5"/>
        <v>10.80125</v>
      </c>
      <c r="AK19" s="18" t="str">
        <f t="shared" si="6"/>
        <v>R-2 Stg</v>
      </c>
      <c r="AL19" s="18" t="str">
        <f t="shared" si="7"/>
        <v>R-2 Stg</v>
      </c>
      <c r="AN19" s="1"/>
      <c r="AO19" s="1"/>
      <c r="AP19" s="1"/>
      <c r="AQ19" s="1"/>
      <c r="AR19" s="2"/>
      <c r="AS19" s="166">
        <f t="shared" si="8"/>
        <v>15.001249999999999</v>
      </c>
      <c r="AT19" s="40">
        <f t="shared" si="45"/>
        <v>2.2010000000000001</v>
      </c>
      <c r="AU19" s="166">
        <f t="shared" si="9"/>
        <v>15.001249999999999</v>
      </c>
      <c r="AV19" s="40">
        <f t="shared" si="0"/>
        <v>2.2010000000000001</v>
      </c>
      <c r="AW19" s="152"/>
      <c r="AY19" s="166">
        <f t="shared" si="10"/>
        <v>15.001249999999999</v>
      </c>
      <c r="AZ19">
        <f t="shared" si="11"/>
        <v>2.2010000000000001</v>
      </c>
      <c r="BA19" s="341">
        <f t="shared" si="12"/>
        <v>15.001249999999999</v>
      </c>
      <c r="BB19">
        <f t="shared" si="13"/>
        <v>2.2010000000000001</v>
      </c>
      <c r="BD19">
        <f t="shared" si="14"/>
        <v>2.7989999999999999</v>
      </c>
      <c r="BE19" s="2">
        <f t="shared" si="15"/>
        <v>0</v>
      </c>
      <c r="BF19" s="122">
        <f t="shared" si="16"/>
        <v>0</v>
      </c>
      <c r="BG19" t="str">
        <f t="shared" si="17"/>
        <v>MAX WSE</v>
      </c>
      <c r="BH19" s="122">
        <f t="shared" si="18"/>
        <v>2.2010000000000001</v>
      </c>
      <c r="BJ19" s="122">
        <f t="shared" si="19"/>
        <v>2.7989999999999999</v>
      </c>
      <c r="BL19" s="2">
        <f t="shared" si="47"/>
        <v>0.1</v>
      </c>
      <c r="BM19" s="2"/>
      <c r="BN19" s="2">
        <f t="shared" si="21"/>
        <v>15.001249999999999</v>
      </c>
      <c r="BO19" s="2" t="str">
        <f>IF(BP19="Left",IF(ISERROR(VLOOKUP(BN19,XS_Designer_Summary!$A$21:$B$25,2,TRUE)),"",VLOOKUP(BN19,XS_Designer_Summary!$A$21:$B$25,2,TRUE)),IF(ISERROR(VLOOKUP(-BN19,XS_Designer_Summary!$A$28:$B$32,2,TRUE)),"",VLOOKUP(-BN19,XS_Designer_Summary!$A$28:$B$32,2,TRUE)))</f>
        <v>Right 2nd Stage</v>
      </c>
      <c r="BP19" s="2" t="str">
        <f>IF(AU19&lt;XS_Designer_Summary!$B$7,"Left",IF(AU19&gt;XS_Designer_Summary!$B$7,"Right","Thalweg"))</f>
        <v>Right</v>
      </c>
      <c r="BQ19" s="2">
        <f t="shared" si="22"/>
        <v>10.001999800039989</v>
      </c>
      <c r="BR19" s="2">
        <f t="shared" si="23"/>
        <v>0.1</v>
      </c>
      <c r="BS19" s="2">
        <f t="shared" si="24"/>
        <v>0.31629100524675063</v>
      </c>
      <c r="BT19" s="2">
        <f t="shared" si="25"/>
        <v>10</v>
      </c>
      <c r="BU19" s="2">
        <f t="shared" si="26"/>
        <v>2.7989999999999999</v>
      </c>
      <c r="BV19" s="2">
        <f t="shared" si="27"/>
        <v>28.990000000000002</v>
      </c>
      <c r="BX19" s="2">
        <f>IF(AND(ISNUMBER($BN19),$BO19="Left 2nd Stage",SUM($BX$5:BX18)=0),$BN19,0)</f>
        <v>0</v>
      </c>
      <c r="BY19" s="2">
        <f>IF(AND(ISNUMBER($BN19),$BO19="Left Bankfull",SUM($BY$5:$BY18)=0),$BN19,0)</f>
        <v>0</v>
      </c>
      <c r="BZ19" s="2">
        <f>IF(AND(ISNUMBER($BN19),$BO19="Right 2nd Stage",SUM($BZ$5:$BZ18)=0),$BN18,0)</f>
        <v>5.0012499999999998</v>
      </c>
      <c r="CA19" s="2">
        <f t="shared" si="46"/>
        <v>0</v>
      </c>
    </row>
    <row r="20" spans="1:79" ht="15">
      <c r="A20" s="2">
        <v>16</v>
      </c>
      <c r="B20" s="111">
        <f>IF(ISNUMBER(XS_Designer!F20),XS_Designer!F20,NA())</f>
        <v>15.001249999999999</v>
      </c>
      <c r="C20" s="111">
        <f>IF(ISNUMBER(XS_Designer!G20),XS_Designer!G20,NA())</f>
        <v>2.2010000000000001</v>
      </c>
      <c r="D20" s="111" t="str">
        <f>IF(ISNUMBER(XS_Designer!I20),XS_Designer!I20,"")</f>
        <v/>
      </c>
      <c r="E20" s="2" t="str">
        <f t="shared" si="28"/>
        <v/>
      </c>
      <c r="F20" s="111" t="str">
        <f>IF(ISTEXT(XS_Designer!H20),VLOOKUP(XS_Designer!H20,$K$12:$L$20,2,FALSE),"")</f>
        <v/>
      </c>
      <c r="G20" s="54" t="str">
        <f t="shared" si="29"/>
        <v/>
      </c>
      <c r="I20" s="27"/>
      <c r="J20" s="40"/>
      <c r="K20" s="22" t="s">
        <v>401</v>
      </c>
      <c r="L20" s="22"/>
      <c r="M20" s="2"/>
      <c r="N20" s="2"/>
      <c r="O20" s="2"/>
      <c r="P20" s="2"/>
      <c r="Q20" s="2" t="str">
        <f t="shared" si="30"/>
        <v>Y</v>
      </c>
      <c r="R20" s="166">
        <f t="shared" si="31"/>
        <v>15.001249999999999</v>
      </c>
      <c r="S20" s="2">
        <f t="shared" si="32"/>
        <v>16.60125</v>
      </c>
      <c r="T20" s="2">
        <f t="shared" si="33"/>
        <v>0.1</v>
      </c>
      <c r="U20" s="2" t="str">
        <f t="shared" si="34"/>
        <v>R-2 Stg</v>
      </c>
      <c r="V20" s="326">
        <f t="shared" si="35"/>
        <v>15.80125</v>
      </c>
      <c r="W20" s="97">
        <f t="shared" si="36"/>
        <v>4.0010000000000003</v>
      </c>
      <c r="X20" s="2">
        <f t="shared" si="1"/>
        <v>4.5010000000000003</v>
      </c>
      <c r="Y20" s="95">
        <f t="shared" si="37"/>
        <v>0.1</v>
      </c>
      <c r="Z20" s="261">
        <f t="shared" si="38"/>
        <v>15.001249999999999</v>
      </c>
      <c r="AA20" s="95" t="str">
        <f t="shared" ref="AA20:AA21" si="54">IF(ISNUMBER(Y20),INDEX(Y20:Y120,MATCH(TRUE,INDEX(Y20:Y120&lt;&gt;Y20,),0)),"")</f>
        <v/>
      </c>
      <c r="AB20" s="95" t="str">
        <f t="shared" si="40"/>
        <v>R-2 Stg</v>
      </c>
      <c r="AC20" s="95">
        <f t="shared" si="41"/>
        <v>15.001249999999999</v>
      </c>
      <c r="AD20" s="95" t="str">
        <f t="shared" ref="AD20:AD21" si="55">IF(ISTEXT(AB20),INDEX(AB20:AB120,MATCH(TRUE,INDEX(AB20:AB120&lt;&gt;AB20,),0)),"")</f>
        <v>R-3 Stg</v>
      </c>
      <c r="AE20" s="18">
        <f t="shared" si="43"/>
        <v>27.201250000000002</v>
      </c>
      <c r="AF20" s="18">
        <f t="shared" si="2"/>
        <v>16.10125</v>
      </c>
      <c r="AG20" s="18">
        <f t="shared" si="3"/>
        <v>0.1</v>
      </c>
      <c r="AH20" s="18">
        <f t="shared" si="4"/>
        <v>0.1</v>
      </c>
      <c r="AI20" s="18">
        <f t="shared" ref="AI20:AI21" si="56">IF(AND(ISNUMBER(AI19),ISNUMBER(S20)),(VLOOKUP(AD20,AB20:AC120,2,FALSE)),IF(ISNUMBER(S20),R20,NA()))</f>
        <v>16.60125</v>
      </c>
      <c r="AJ20" s="18">
        <f t="shared" si="5"/>
        <v>21.901250000000001</v>
      </c>
      <c r="AK20" s="18" t="str">
        <f t="shared" si="6"/>
        <v>R-3 Stg</v>
      </c>
      <c r="AL20" s="18" t="str">
        <f t="shared" si="7"/>
        <v>R-3 Stg</v>
      </c>
      <c r="AN20" s="1"/>
      <c r="AO20" s="1"/>
      <c r="AP20" s="1"/>
      <c r="AQ20" s="1"/>
      <c r="AR20" s="2"/>
      <c r="AS20" s="166">
        <f t="shared" si="8"/>
        <v>16.60125</v>
      </c>
      <c r="AT20" s="40">
        <f t="shared" si="45"/>
        <v>3.0010000000000003</v>
      </c>
      <c r="AU20" s="166">
        <f t="shared" si="9"/>
        <v>16.60125</v>
      </c>
      <c r="AV20" s="40">
        <f t="shared" si="0"/>
        <v>3.0010000000000003</v>
      </c>
      <c r="AW20" s="152"/>
      <c r="AY20" s="166">
        <f t="shared" si="10"/>
        <v>16.60125</v>
      </c>
      <c r="AZ20">
        <f t="shared" si="11"/>
        <v>3.0010000000000003</v>
      </c>
      <c r="BA20" s="341">
        <f t="shared" si="12"/>
        <v>16.60125</v>
      </c>
      <c r="BB20">
        <f t="shared" si="13"/>
        <v>3.0010000000000003</v>
      </c>
      <c r="BD20">
        <f t="shared" si="14"/>
        <v>1.9989999999999997</v>
      </c>
      <c r="BE20" s="2">
        <f t="shared" si="15"/>
        <v>0</v>
      </c>
      <c r="BF20" s="122">
        <f t="shared" si="16"/>
        <v>0</v>
      </c>
      <c r="BG20" t="str">
        <f t="shared" si="17"/>
        <v>MAX WSE</v>
      </c>
      <c r="BH20" s="122">
        <f t="shared" si="18"/>
        <v>3.0010000000000003</v>
      </c>
      <c r="BJ20" s="122">
        <f t="shared" si="19"/>
        <v>1.9989999999999997</v>
      </c>
      <c r="BL20" s="2">
        <f t="shared" si="47"/>
        <v>0.1</v>
      </c>
      <c r="BM20" s="2"/>
      <c r="BN20" s="2">
        <f t="shared" si="21"/>
        <v>16.60125</v>
      </c>
      <c r="BO20" s="2" t="str">
        <f>IF(BP20="Left",IF(ISERROR(VLOOKUP(BN20,XS_Designer_Summary!$A$21:$B$25,2,TRUE)),"",VLOOKUP(BN20,XS_Designer_Summary!$A$21:$B$25,2,TRUE)),IF(ISERROR(VLOOKUP(-BN20,XS_Designer_Summary!$A$28:$B$32,2,TRUE)),"",VLOOKUP(-BN20,XS_Designer_Summary!$A$28:$B$32,2,TRUE)))</f>
        <v>Right 2nd Stage</v>
      </c>
      <c r="BP20" s="2" t="str">
        <f>IF(AU20&lt;XS_Designer_Summary!$B$7,"Left",IF(AU20&gt;XS_Designer_Summary!$B$7,"Right","Thalweg"))</f>
        <v>Right</v>
      </c>
      <c r="BQ20" s="2">
        <f t="shared" si="22"/>
        <v>1.7888543819998333</v>
      </c>
      <c r="BR20" s="2">
        <f t="shared" si="23"/>
        <v>0.1</v>
      </c>
      <c r="BS20" s="2">
        <f t="shared" si="24"/>
        <v>5.6568542494923858E-2</v>
      </c>
      <c r="BT20" s="2">
        <f t="shared" si="25"/>
        <v>1.6000000000000014</v>
      </c>
      <c r="BU20" s="2">
        <f t="shared" si="26"/>
        <v>1.9989999999999997</v>
      </c>
      <c r="BV20" s="2">
        <f t="shared" si="27"/>
        <v>3.8384000000000036</v>
      </c>
      <c r="BX20" s="2">
        <f>IF(AND(ISNUMBER($BN20),$BO20="Left 2nd Stage",SUM($BX$5:BX19)=0),$BN20,0)</f>
        <v>0</v>
      </c>
      <c r="BY20" s="2">
        <f>IF(AND(ISNUMBER($BN20),$BO20="Left Bankfull",SUM($BY$5:$BY19)=0),$BN20,0)</f>
        <v>0</v>
      </c>
      <c r="BZ20" s="2">
        <f>IF(AND(ISNUMBER($BN20),$BO20="Right 2nd Stage",SUM($BZ$5:$BZ19)=0),$BN19,0)</f>
        <v>0</v>
      </c>
      <c r="CA20" s="2">
        <f t="shared" si="46"/>
        <v>0</v>
      </c>
    </row>
    <row r="21" spans="1:79" ht="15">
      <c r="A21" s="2">
        <v>17</v>
      </c>
      <c r="B21" s="111">
        <f>IF(ISNUMBER(XS_Designer!F21),XS_Designer!F21,NA())</f>
        <v>16.60125</v>
      </c>
      <c r="C21" s="111">
        <f>IF(ISNUMBER(XS_Designer!G21),XS_Designer!G21,NA())</f>
        <v>3.0010000000000003</v>
      </c>
      <c r="D21" s="111">
        <f>IF(ISNUMBER(XS_Designer!I21),XS_Designer!I21,"")</f>
        <v>0.1</v>
      </c>
      <c r="E21" s="2" t="str">
        <f t="shared" si="28"/>
        <v/>
      </c>
      <c r="F21" s="111" t="str">
        <f>IF(ISTEXT(XS_Designer!H21),VLOOKUP(XS_Designer!H21,$K$12:$L$20,2,FALSE),"")</f>
        <v>R-3 Stg</v>
      </c>
      <c r="G21" s="54" t="str">
        <f t="shared" si="29"/>
        <v/>
      </c>
      <c r="K21" s="1"/>
      <c r="L21" s="1"/>
      <c r="N21" s="2"/>
      <c r="O21" s="335" t="s">
        <v>881</v>
      </c>
      <c r="P21" s="2"/>
      <c r="Q21" s="2" t="str">
        <f t="shared" si="30"/>
        <v>Y</v>
      </c>
      <c r="R21" s="166">
        <f t="shared" si="31"/>
        <v>16.60125</v>
      </c>
      <c r="S21" s="2">
        <f t="shared" si="32"/>
        <v>26.60125</v>
      </c>
      <c r="T21" s="2">
        <f t="shared" si="33"/>
        <v>0.1</v>
      </c>
      <c r="U21" s="2" t="str">
        <f t="shared" si="34"/>
        <v>R-3 Stg</v>
      </c>
      <c r="V21" s="326">
        <f t="shared" si="35"/>
        <v>21.60125</v>
      </c>
      <c r="W21" s="97">
        <f t="shared" si="36"/>
        <v>4.0010000000000003</v>
      </c>
      <c r="X21" s="2">
        <f t="shared" si="1"/>
        <v>4.5010000000000003</v>
      </c>
      <c r="Y21" s="95">
        <f t="shared" si="37"/>
        <v>0.1</v>
      </c>
      <c r="Z21" s="261">
        <f t="shared" si="38"/>
        <v>16.60125</v>
      </c>
      <c r="AA21" s="95" t="str">
        <f t="shared" si="54"/>
        <v/>
      </c>
      <c r="AB21" s="95" t="str">
        <f t="shared" si="40"/>
        <v>R-3 Stg</v>
      </c>
      <c r="AC21" s="95">
        <f t="shared" si="41"/>
        <v>16.60125</v>
      </c>
      <c r="AD21" s="95">
        <f t="shared" si="55"/>
        <v>0</v>
      </c>
      <c r="AE21" s="18">
        <f t="shared" si="43"/>
        <v>27.201250000000002</v>
      </c>
      <c r="AF21" s="18">
        <f t="shared" si="2"/>
        <v>16.10125</v>
      </c>
      <c r="AG21" s="18">
        <f t="shared" si="3"/>
        <v>0.1</v>
      </c>
      <c r="AH21" s="18">
        <f t="shared" si="4"/>
        <v>0.1</v>
      </c>
      <c r="AI21" s="18">
        <f t="shared" si="56"/>
        <v>27.201250000000002</v>
      </c>
      <c r="AJ21" s="18">
        <f t="shared" si="5"/>
        <v>21.901250000000001</v>
      </c>
      <c r="AK21" s="18" t="str">
        <f t="shared" si="6"/>
        <v>R-3 Stg</v>
      </c>
      <c r="AL21" s="18" t="str">
        <f t="shared" si="7"/>
        <v>R-3 Stg</v>
      </c>
      <c r="AN21" s="1"/>
      <c r="AO21" s="1"/>
      <c r="AP21" s="1"/>
      <c r="AQ21" s="1"/>
      <c r="AR21" s="2"/>
      <c r="AS21" s="166">
        <f t="shared" si="8"/>
        <v>26.60125</v>
      </c>
      <c r="AT21" s="40">
        <f t="shared" si="45"/>
        <v>3.2010000000000005</v>
      </c>
      <c r="AU21" s="166">
        <f t="shared" si="9"/>
        <v>26.60125</v>
      </c>
      <c r="AV21" s="40">
        <f t="shared" si="0"/>
        <v>3.2010000000000005</v>
      </c>
      <c r="AW21" s="152"/>
      <c r="AY21" s="166">
        <f t="shared" si="10"/>
        <v>26.60125</v>
      </c>
      <c r="AZ21">
        <f t="shared" si="11"/>
        <v>3.2010000000000005</v>
      </c>
      <c r="BA21" s="341">
        <f t="shared" si="12"/>
        <v>26.60125</v>
      </c>
      <c r="BB21">
        <f t="shared" si="13"/>
        <v>3.2010000000000005</v>
      </c>
      <c r="BD21">
        <f t="shared" si="14"/>
        <v>1.7989999999999995</v>
      </c>
      <c r="BE21" s="2">
        <f t="shared" si="15"/>
        <v>0</v>
      </c>
      <c r="BF21" s="122">
        <f t="shared" si="16"/>
        <v>0</v>
      </c>
      <c r="BG21" t="str">
        <f t="shared" si="17"/>
        <v>MAX WSE</v>
      </c>
      <c r="BH21" s="122">
        <f t="shared" si="18"/>
        <v>3.2010000000000005</v>
      </c>
      <c r="BJ21" s="122">
        <f t="shared" si="19"/>
        <v>1.7989999999999995</v>
      </c>
      <c r="BL21" s="2">
        <f t="shared" si="47"/>
        <v>0.1</v>
      </c>
      <c r="BM21" s="2"/>
      <c r="BN21" s="2">
        <f t="shared" si="21"/>
        <v>26.60125</v>
      </c>
      <c r="BO21" s="2" t="str">
        <f>IF(BP21="Left",IF(ISERROR(VLOOKUP(BN21,XS_Designer_Summary!$A$21:$B$25,2,TRUE)),"",VLOOKUP(BN21,XS_Designer_Summary!$A$21:$B$25,2,TRUE)),IF(ISERROR(VLOOKUP(-BN21,XS_Designer_Summary!$A$28:$B$32,2,TRUE)),"",VLOOKUP(-BN21,XS_Designer_Summary!$A$28:$B$32,2,TRUE)))</f>
        <v>Right 3rd Stage</v>
      </c>
      <c r="BP21" s="2" t="str">
        <f>IF(AU21&lt;XS_Designer_Summary!$B$7,"Left",IF(AU21&gt;XS_Designer_Summary!$B$7,"Right","Thalweg"))</f>
        <v>Right</v>
      </c>
      <c r="BQ21" s="2">
        <f t="shared" si="22"/>
        <v>10.001999800039989</v>
      </c>
      <c r="BR21" s="2">
        <f t="shared" si="23"/>
        <v>0.1</v>
      </c>
      <c r="BS21" s="2">
        <f t="shared" si="24"/>
        <v>0.31629100524675063</v>
      </c>
      <c r="BT21" s="2">
        <f t="shared" si="25"/>
        <v>10</v>
      </c>
      <c r="BU21" s="2">
        <f t="shared" si="26"/>
        <v>1.7989999999999995</v>
      </c>
      <c r="BV21" s="2">
        <f t="shared" si="27"/>
        <v>18.989999999999995</v>
      </c>
      <c r="BX21" s="2">
        <f>IF(AND(ISNUMBER($BN21),$BO21="Left 2nd Stage",SUM($BX$5:BX20)=0),$BN21,0)</f>
        <v>0</v>
      </c>
      <c r="BY21" s="2">
        <f>IF(AND(ISNUMBER($BN21),$BO21="Left Bankfull",SUM($BY$5:$BY20)=0),$BN21,0)</f>
        <v>0</v>
      </c>
      <c r="BZ21" s="2">
        <f>IF(AND(ISNUMBER($BN21),$BO21="Right 2nd Stage",SUM($BZ$5:$BZ20)=0),$BN20,0)</f>
        <v>0</v>
      </c>
      <c r="CA21" s="2">
        <f t="shared" si="46"/>
        <v>0</v>
      </c>
    </row>
    <row r="22" spans="1:79" ht="15">
      <c r="A22" s="2">
        <v>18</v>
      </c>
      <c r="B22" s="111">
        <f>IF(ISNUMBER(XS_Designer!F22),XS_Designer!F22,NA())</f>
        <v>26.60125</v>
      </c>
      <c r="C22" s="111">
        <f>IF(ISNUMBER(XS_Designer!G22),XS_Designer!G22,NA())</f>
        <v>3.2010000000000005</v>
      </c>
      <c r="D22" s="111" t="str">
        <f>IF(ISNUMBER(XS_Designer!I22),XS_Designer!I22,"")</f>
        <v/>
      </c>
      <c r="E22" s="2" t="str">
        <f t="shared" si="28"/>
        <v/>
      </c>
      <c r="F22" s="111" t="str">
        <f>IF(ISTEXT(XS_Designer!H22),VLOOKUP(XS_Designer!H22,$K$12:$L$20,2,FALSE),"")</f>
        <v/>
      </c>
      <c r="G22" s="54" t="str">
        <f t="shared" si="29"/>
        <v/>
      </c>
      <c r="I22" s="2"/>
      <c r="J22" s="2"/>
      <c r="K22" s="1" t="s">
        <v>716</v>
      </c>
      <c r="L22" s="1"/>
      <c r="M22" s="2"/>
      <c r="N22" s="2"/>
      <c r="O22" s="7">
        <f t="array" ref="O22">ROUND(((MAX(IF(NOT(ISNA(C5:C104)),C5:C104))-MIN(IF(NOT(ISNA(C5:C104)),C5:C104)))/7.5),1)</f>
        <v>0.5</v>
      </c>
      <c r="P22" s="2"/>
      <c r="Q22" s="2" t="str">
        <f t="shared" si="30"/>
        <v>Y</v>
      </c>
      <c r="R22" s="166">
        <f t="shared" si="31"/>
        <v>26.60125</v>
      </c>
      <c r="S22" s="2">
        <f t="shared" si="32"/>
        <v>27.201250000000002</v>
      </c>
      <c r="T22" s="2">
        <f t="shared" si="33"/>
        <v>0.1</v>
      </c>
      <c r="U22" s="2" t="str">
        <f t="shared" si="34"/>
        <v>R-3 Stg</v>
      </c>
      <c r="V22" s="326">
        <f t="shared" si="35"/>
        <v>26.901250000000001</v>
      </c>
      <c r="W22" s="97">
        <f t="shared" si="36"/>
        <v>4.0010000000000003</v>
      </c>
      <c r="X22" s="2">
        <f t="shared" si="1"/>
        <v>4.5010000000000003</v>
      </c>
      <c r="Y22" s="95">
        <f t="shared" si="37"/>
        <v>0.1</v>
      </c>
      <c r="Z22" s="261">
        <f t="shared" si="38"/>
        <v>26.60125</v>
      </c>
      <c r="AA22" s="95" t="str">
        <f>IF(ISNUMBER(Y22),INDEX(Y22:Y121,MATCH(TRUE,INDEX(Y22:Y121&lt;&gt;Y22,),0)),"")</f>
        <v/>
      </c>
      <c r="AB22" s="95" t="str">
        <f t="shared" si="40"/>
        <v>R-3 Stg</v>
      </c>
      <c r="AC22" s="95">
        <f t="shared" si="41"/>
        <v>26.60125</v>
      </c>
      <c r="AD22" s="95">
        <f>IF(ISTEXT(AB22),INDEX(AB22:AB121,MATCH(TRUE,INDEX(AB22:AB121&lt;&gt;AB22,),0)),"")</f>
        <v>0</v>
      </c>
      <c r="AE22" s="18">
        <f t="shared" si="43"/>
        <v>27.201250000000002</v>
      </c>
      <c r="AF22" s="18" t="str">
        <f t="shared" si="2"/>
        <v/>
      </c>
      <c r="AG22" s="18" t="str">
        <f t="shared" si="3"/>
        <v/>
      </c>
      <c r="AH22" s="18" t="str">
        <f t="shared" si="4"/>
        <v/>
      </c>
      <c r="AI22" s="18">
        <f>IF(AND(ISNUMBER(AI21),ISNUMBER(S22)),(VLOOKUP(AD22,AB22:AC121,2,FALSE)),IF(ISNUMBER(S22),R22,NA()))</f>
        <v>27.201250000000002</v>
      </c>
      <c r="AJ22" s="18" t="e">
        <f t="shared" si="5"/>
        <v>#N/A</v>
      </c>
      <c r="AK22" s="18" t="str">
        <f t="shared" si="6"/>
        <v/>
      </c>
      <c r="AL22" s="18" t="str">
        <f t="shared" si="7"/>
        <v/>
      </c>
      <c r="AN22" s="1"/>
      <c r="AO22" s="1"/>
      <c r="AP22" s="1"/>
      <c r="AQ22" s="1"/>
      <c r="AR22" s="2"/>
      <c r="AS22" s="166">
        <f t="shared" si="8"/>
        <v>27.201250000000002</v>
      </c>
      <c r="AT22" s="40">
        <f t="shared" si="45"/>
        <v>5</v>
      </c>
      <c r="AU22" s="166">
        <f t="shared" si="9"/>
        <v>27.201250000000002</v>
      </c>
      <c r="AV22" s="40">
        <f t="shared" si="0"/>
        <v>3.5010000000000003</v>
      </c>
      <c r="AW22" s="152"/>
      <c r="AY22" s="166">
        <f t="shared" si="10"/>
        <v>27.201250000000002</v>
      </c>
      <c r="AZ22">
        <f t="shared" si="11"/>
        <v>3.5010000000000003</v>
      </c>
      <c r="BA22" s="341">
        <f t="shared" si="12"/>
        <v>27.201250000000002</v>
      </c>
      <c r="BB22">
        <f t="shared" si="13"/>
        <v>3.5010000000000003</v>
      </c>
      <c r="BD22">
        <f t="shared" si="14"/>
        <v>1.4989999999999997</v>
      </c>
      <c r="BE22" s="2">
        <f t="shared" si="15"/>
        <v>0</v>
      </c>
      <c r="BF22" s="122">
        <f t="shared" si="16"/>
        <v>0</v>
      </c>
      <c r="BG22" t="str">
        <f t="shared" si="17"/>
        <v>MAX WSE</v>
      </c>
      <c r="BH22" s="122">
        <f t="shared" si="18"/>
        <v>3.5010000000000003</v>
      </c>
      <c r="BJ22" s="122">
        <f t="shared" si="19"/>
        <v>1.4989999999999997</v>
      </c>
      <c r="BL22" s="2">
        <f t="shared" si="47"/>
        <v>0.1</v>
      </c>
      <c r="BM22" s="2"/>
      <c r="BN22" s="2">
        <f t="shared" si="21"/>
        <v>27.201250000000002</v>
      </c>
      <c r="BO22" s="2" t="str">
        <f>IF(BP22="Left",IF(ISERROR(VLOOKUP(BN22,XS_Designer_Summary!$A$21:$B$25,2,TRUE)),"",VLOOKUP(BN22,XS_Designer_Summary!$A$21:$B$25,2,TRUE)),IF(ISERROR(VLOOKUP(-BN22,XS_Designer_Summary!$A$28:$B$32,2,TRUE)),"",VLOOKUP(-BN22,XS_Designer_Summary!$A$28:$B$32,2,TRUE)))</f>
        <v>Right 3rd Stage</v>
      </c>
      <c r="BP22" s="2" t="str">
        <f>IF(AU22&lt;XS_Designer_Summary!$B$7,"Left",IF(AU22&gt;XS_Designer_Summary!$B$7,"Right","Thalweg"))</f>
        <v>Right</v>
      </c>
      <c r="BQ22" s="2">
        <f t="shared" si="22"/>
        <v>0.67082039324993814</v>
      </c>
      <c r="BR22" s="2">
        <f t="shared" si="23"/>
        <v>0.1</v>
      </c>
      <c r="BS22" s="2">
        <f t="shared" si="24"/>
        <v>2.1213203435596469E-2</v>
      </c>
      <c r="BT22" s="2">
        <f t="shared" si="25"/>
        <v>0.60000000000000142</v>
      </c>
      <c r="BU22" s="2">
        <f t="shared" si="26"/>
        <v>1.4989999999999997</v>
      </c>
      <c r="BV22" s="2">
        <f t="shared" si="27"/>
        <v>0.98940000000000206</v>
      </c>
      <c r="BX22" s="2">
        <f>IF(AND(ISNUMBER($BN22),$BO22="Left 2nd Stage",SUM($BX$5:BX21)=0),$BN22,0)</f>
        <v>0</v>
      </c>
      <c r="BY22" s="2">
        <f>IF(AND(ISNUMBER($BN22),$BO22="Left Bankfull",SUM($BY$5:$BY21)=0),$BN22,0)</f>
        <v>0</v>
      </c>
      <c r="BZ22" s="2">
        <f>IF(AND(ISNUMBER($BN22),$BO22="Right 2nd Stage",SUM($BZ$5:$BZ21)=0),$BN21,0)</f>
        <v>0</v>
      </c>
      <c r="CA22" s="2">
        <f t="shared" si="46"/>
        <v>0</v>
      </c>
    </row>
    <row r="23" spans="1:79" ht="15">
      <c r="A23" s="2">
        <v>19</v>
      </c>
      <c r="B23" s="111">
        <f>IF(ISNUMBER(XS_Designer!F23),XS_Designer!F23,NA())</f>
        <v>27.201250000000002</v>
      </c>
      <c r="C23" s="111">
        <f>IF(ISNUMBER(XS_Designer!G23),XS_Designer!G23,NA())</f>
        <v>3.5010000000000003</v>
      </c>
      <c r="D23" s="111" t="str">
        <f>IF(ISNUMBER(XS_Designer!I23),XS_Designer!I23,"")</f>
        <v/>
      </c>
      <c r="E23" s="2" t="str">
        <f t="shared" si="28"/>
        <v/>
      </c>
      <c r="F23" s="111">
        <f>IF(ISTEXT(XS_Designer!H23),VLOOKUP(XS_Designer!H23,$K$12:$L$20,2,FALSE),"")</f>
        <v>0</v>
      </c>
      <c r="G23" s="54" t="str">
        <f t="shared" si="29"/>
        <v/>
      </c>
      <c r="I23" s="27"/>
      <c r="J23" s="27"/>
      <c r="K23" s="1"/>
      <c r="L23" s="1"/>
      <c r="M23" s="195"/>
      <c r="N23" s="2"/>
      <c r="P23" s="2"/>
      <c r="Q23" s="2" t="str">
        <f t="shared" si="30"/>
        <v>Y</v>
      </c>
      <c r="R23" s="166">
        <f t="shared" si="31"/>
        <v>27.201250000000002</v>
      </c>
      <c r="S23" s="2" t="str">
        <f t="shared" si="32"/>
        <v/>
      </c>
      <c r="T23" s="2" t="str">
        <f t="shared" si="33"/>
        <v/>
      </c>
      <c r="U23" s="2">
        <f t="shared" si="34"/>
        <v>0</v>
      </c>
      <c r="V23" s="326" t="str">
        <f t="shared" si="35"/>
        <v/>
      </c>
      <c r="W23" s="97" t="e">
        <f t="shared" si="36"/>
        <v>#N/A</v>
      </c>
      <c r="X23" s="2" t="e">
        <f t="shared" si="1"/>
        <v>#N/A</v>
      </c>
      <c r="Y23" s="95" t="str">
        <f t="shared" si="37"/>
        <v/>
      </c>
      <c r="Z23" s="261">
        <f t="shared" si="38"/>
        <v>27.201250000000002</v>
      </c>
      <c r="AA23" s="95" t="str">
        <f>IF(ISNUMBER(Y23),INDEX(Y23:Y121,MATCH(TRUE,INDEX(Y23:Y121&lt;&gt;Y23,),0)),"")</f>
        <v/>
      </c>
      <c r="AB23" s="95">
        <f t="shared" si="40"/>
        <v>0</v>
      </c>
      <c r="AC23" s="95">
        <f t="shared" si="41"/>
        <v>27.201250000000002</v>
      </c>
      <c r="AD23" s="95" t="str">
        <f>IF(ISTEXT(AB23),INDEX(AB23:AB121,MATCH(TRUE,INDEX(AB23:AB121&lt;&gt;AB23,),0)),"")</f>
        <v/>
      </c>
      <c r="AE23" s="18" t="str">
        <f t="shared" si="43"/>
        <v/>
      </c>
      <c r="AF23" s="18" t="str">
        <f t="shared" si="2"/>
        <v/>
      </c>
      <c r="AG23" s="18" t="str">
        <f t="shared" si="3"/>
        <v/>
      </c>
      <c r="AH23" s="18" t="str">
        <f t="shared" si="4"/>
        <v/>
      </c>
      <c r="AI23" s="18" t="e">
        <f>IF(AND(ISNUMBER(AI22),ISNUMBER(S23)),(VLOOKUP(AD23,AB23:AC121,2,FALSE)),IF(ISNUMBER(S23),R23,NA()))</f>
        <v>#N/A</v>
      </c>
      <c r="AJ23" s="18" t="e">
        <f t="shared" si="5"/>
        <v>#N/A</v>
      </c>
      <c r="AK23" s="18" t="str">
        <f t="shared" si="6"/>
        <v/>
      </c>
      <c r="AL23" s="18" t="str">
        <f t="shared" si="7"/>
        <v/>
      </c>
      <c r="AN23" s="1"/>
      <c r="AO23" s="1"/>
      <c r="AP23" s="1"/>
      <c r="AQ23" s="1"/>
      <c r="AR23" s="2"/>
      <c r="AS23" s="166">
        <f t="shared" si="8"/>
        <v>27.201250000000002</v>
      </c>
      <c r="AT23" s="40">
        <f t="shared" si="45"/>
        <v>5</v>
      </c>
      <c r="AU23" s="166">
        <f t="shared" si="9"/>
        <v>27.201250000000002</v>
      </c>
      <c r="AV23" s="40">
        <f t="shared" si="0"/>
        <v>5</v>
      </c>
      <c r="AW23" s="152"/>
      <c r="AY23" s="166">
        <f t="shared" si="10"/>
        <v>27.201250000000002</v>
      </c>
      <c r="AZ23">
        <f t="shared" si="11"/>
        <v>3.5010000000000003</v>
      </c>
      <c r="BA23" s="341">
        <f t="shared" si="12"/>
        <v>27.201250000000002</v>
      </c>
      <c r="BB23">
        <f t="shared" si="13"/>
        <v>3.5010000000000003</v>
      </c>
      <c r="BD23">
        <f t="shared" si="14"/>
        <v>1.4989999999999997</v>
      </c>
      <c r="BE23" s="2">
        <f t="shared" si="15"/>
        <v>0</v>
      </c>
      <c r="BF23" s="122">
        <f t="shared" si="16"/>
        <v>0</v>
      </c>
      <c r="BG23" t="str">
        <f t="shared" si="17"/>
        <v>MAX WSE</v>
      </c>
      <c r="BH23" s="122">
        <f t="shared" si="18"/>
        <v>5</v>
      </c>
      <c r="BJ23" s="122">
        <f t="shared" si="19"/>
        <v>1.4989999999999997</v>
      </c>
      <c r="BL23" s="2">
        <f t="shared" si="47"/>
        <v>0.1</v>
      </c>
      <c r="BM23" s="2"/>
      <c r="BN23" s="2">
        <f t="shared" si="21"/>
        <v>27.201250000000002</v>
      </c>
      <c r="BO23" s="2" t="str">
        <f>IF(BP23="Left",IF(ISERROR(VLOOKUP(BN23,XS_Designer_Summary!$A$21:$B$25,2,TRUE)),"",VLOOKUP(BN23,XS_Designer_Summary!$A$21:$B$25,2,TRUE)),IF(ISERROR(VLOOKUP(-BN23,XS_Designer_Summary!$A$28:$B$32,2,TRUE)),"",VLOOKUP(-BN23,XS_Designer_Summary!$A$28:$B$32,2,TRUE)))</f>
        <v>Right 3rd Stage</v>
      </c>
      <c r="BP23" s="2" t="str">
        <f>IF(AU23&lt;XS_Designer_Summary!$B$7,"Left",IF(AU23&gt;XS_Designer_Summary!$B$7,"Right","Thalweg"))</f>
        <v>Right</v>
      </c>
      <c r="BQ23" s="2">
        <f t="shared" si="22"/>
        <v>1.4989999999999997</v>
      </c>
      <c r="BR23" s="2">
        <f t="shared" si="23"/>
        <v>0.1</v>
      </c>
      <c r="BS23" s="2">
        <f t="shared" si="24"/>
        <v>4.7402542125924006E-2</v>
      </c>
      <c r="BT23" s="2">
        <f t="shared" si="25"/>
        <v>0</v>
      </c>
      <c r="BU23" s="2">
        <f t="shared" si="26"/>
        <v>1.4989999999999997</v>
      </c>
      <c r="BV23" s="2">
        <f t="shared" si="27"/>
        <v>0</v>
      </c>
      <c r="BX23" s="2">
        <f>IF(AND(ISNUMBER($BN23),$BO23="Left 2nd Stage",SUM($BX$5:BX22)=0),$BN23,0)</f>
        <v>0</v>
      </c>
      <c r="BY23" s="2">
        <f>IF(AND(ISNUMBER($BN23),$BO23="Left Bankfull",SUM($BY$5:$BY22)=0),$BN23,0)</f>
        <v>0</v>
      </c>
      <c r="BZ23" s="2">
        <f>IF(AND(ISNUMBER($BN23),$BO23="Right 2nd Stage",SUM($BZ$5:$BZ22)=0),$BN22,0)</f>
        <v>0</v>
      </c>
      <c r="CA23" s="2">
        <f t="shared" si="46"/>
        <v>0</v>
      </c>
    </row>
    <row r="24" spans="1:79" ht="15">
      <c r="A24" s="2">
        <v>20</v>
      </c>
      <c r="B24" s="111" t="e">
        <f>IF(ISNUMBER(XS_Designer!F24),XS_Designer!F24,NA())</f>
        <v>#N/A</v>
      </c>
      <c r="C24" s="111" t="e">
        <f>IF(ISNUMBER(XS_Designer!G24),XS_Designer!G24,NA())</f>
        <v>#N/A</v>
      </c>
      <c r="D24" s="111" t="str">
        <f>IF(ISNUMBER(XS_Designer!I24),XS_Designer!I24,"")</f>
        <v/>
      </c>
      <c r="E24" s="2" t="str">
        <f t="shared" si="28"/>
        <v/>
      </c>
      <c r="F24" s="111" t="str">
        <f>IF(ISTEXT(XS_Designer!H24),VLOOKUP(XS_Designer!H24,$K$12:$L$20,2,FALSE),"")</f>
        <v/>
      </c>
      <c r="G24" s="54" t="str">
        <f t="shared" si="29"/>
        <v/>
      </c>
      <c r="N24" s="2"/>
      <c r="O24" s="2"/>
      <c r="P24" s="2"/>
      <c r="Q24" s="2" t="str">
        <f t="shared" si="30"/>
        <v>N</v>
      </c>
      <c r="R24" s="2" t="str">
        <f t="shared" si="31"/>
        <v/>
      </c>
      <c r="S24" s="2" t="str">
        <f t="shared" si="32"/>
        <v/>
      </c>
      <c r="T24" s="2" t="str">
        <f t="shared" si="33"/>
        <v/>
      </c>
      <c r="U24" s="2" t="str">
        <f t="shared" si="34"/>
        <v/>
      </c>
      <c r="V24" s="97" t="str">
        <f t="shared" si="35"/>
        <v/>
      </c>
      <c r="W24" s="97" t="e">
        <f t="shared" si="36"/>
        <v>#N/A</v>
      </c>
      <c r="X24" s="2" t="e">
        <f t="shared" si="1"/>
        <v>#N/A</v>
      </c>
      <c r="Y24" s="95" t="str">
        <f t="shared" si="37"/>
        <v/>
      </c>
      <c r="Z24" s="261" t="str">
        <f t="shared" si="38"/>
        <v/>
      </c>
      <c r="AA24" s="95" t="str">
        <f>IF(ISNUMBER(Y24),INDEX(Y24:Y121,MATCH(TRUE,INDEX(Y24:Y121&lt;&gt;Y24,),0)),"")</f>
        <v/>
      </c>
      <c r="AB24" s="95" t="str">
        <f t="shared" si="40"/>
        <v/>
      </c>
      <c r="AC24" s="95" t="str">
        <f t="shared" si="41"/>
        <v/>
      </c>
      <c r="AD24" s="95" t="e">
        <f>IF(ISTEXT(AB24),INDEX(AB24:AB121,MATCH(TRUE,INDEX(AB24:AB121&lt;&gt;AB24,),0)),"")</f>
        <v>#N/A</v>
      </c>
      <c r="AE24" s="18" t="str">
        <f t="shared" si="43"/>
        <v/>
      </c>
      <c r="AF24" s="18" t="str">
        <f t="shared" si="2"/>
        <v/>
      </c>
      <c r="AG24" s="18" t="str">
        <f t="shared" si="3"/>
        <v/>
      </c>
      <c r="AH24" s="18" t="str">
        <f t="shared" si="4"/>
        <v/>
      </c>
      <c r="AI24" s="18" t="e">
        <f>IF(AND(ISNUMBER(AI23),ISNUMBER(S24)),(VLOOKUP(AD24,AB24:AC121,2,FALSE)),IF(ISNUMBER(S24),R24,NA()))</f>
        <v>#N/A</v>
      </c>
      <c r="AJ24" s="18" t="e">
        <f t="shared" si="5"/>
        <v>#N/A</v>
      </c>
      <c r="AK24" s="18" t="str">
        <f t="shared" si="6"/>
        <v/>
      </c>
      <c r="AL24" s="18" t="str">
        <f t="shared" si="7"/>
        <v/>
      </c>
      <c r="AN24" s="1"/>
      <c r="AO24" s="1"/>
      <c r="AP24" s="1"/>
      <c r="AQ24" s="1"/>
      <c r="AR24" s="2"/>
      <c r="AS24" s="166">
        <f t="shared" si="8"/>
        <v>27.201250000000002</v>
      </c>
      <c r="AT24" s="40">
        <f t="shared" si="45"/>
        <v>5</v>
      </c>
      <c r="AU24" s="166">
        <f t="shared" si="9"/>
        <v>27.201250000000002</v>
      </c>
      <c r="AV24" s="40">
        <f t="shared" si="0"/>
        <v>5</v>
      </c>
      <c r="AW24" s="152"/>
      <c r="AY24" s="166">
        <f t="shared" si="10"/>
        <v>27.201250000000002</v>
      </c>
      <c r="AZ24">
        <f t="shared" si="11"/>
        <v>3.5010000000000003</v>
      </c>
      <c r="BA24" s="341">
        <f t="shared" si="12"/>
        <v>27.201250000000002</v>
      </c>
      <c r="BB24">
        <f t="shared" si="13"/>
        <v>3.5010000000000003</v>
      </c>
      <c r="BD24">
        <f t="shared" si="14"/>
        <v>1.4989999999999997</v>
      </c>
      <c r="BE24" s="2">
        <f t="shared" si="15"/>
        <v>0</v>
      </c>
      <c r="BF24" s="122">
        <f t="shared" si="16"/>
        <v>0</v>
      </c>
      <c r="BG24" t="str">
        <f t="shared" si="17"/>
        <v>MAX WSE</v>
      </c>
      <c r="BH24" s="122">
        <f t="shared" si="18"/>
        <v>5</v>
      </c>
      <c r="BJ24" s="122">
        <f t="shared" si="19"/>
        <v>1.4989999999999997</v>
      </c>
      <c r="BL24" s="2">
        <f t="shared" si="47"/>
        <v>0</v>
      </c>
      <c r="BM24" s="2"/>
      <c r="BN24" s="2">
        <f t="shared" si="21"/>
        <v>27.201250000000002</v>
      </c>
      <c r="BO24" s="2" t="str">
        <f>IF(BP24="Left",IF(ISERROR(VLOOKUP(BN24,XS_Designer_Summary!$A$21:$B$25,2,TRUE)),"",VLOOKUP(BN24,XS_Designer_Summary!$A$21:$B$25,2,TRUE)),IF(ISERROR(VLOOKUP(-BN24,XS_Designer_Summary!$A$28:$B$32,2,TRUE)),"",VLOOKUP(-BN24,XS_Designer_Summary!$A$28:$B$32,2,TRUE)))</f>
        <v>Right 3rd Stage</v>
      </c>
      <c r="BP24" s="2" t="str">
        <f>IF(AU24&lt;XS_Designer_Summary!$B$7,"Left",IF(AU24&gt;XS_Designer_Summary!$B$7,"Right","Thalweg"))</f>
        <v>Right</v>
      </c>
      <c r="BQ24" s="2">
        <f t="shared" si="22"/>
        <v>0</v>
      </c>
      <c r="BR24" s="2">
        <f t="shared" si="23"/>
        <v>0</v>
      </c>
      <c r="BS24" s="2">
        <f t="shared" si="24"/>
        <v>0</v>
      </c>
      <c r="BT24" s="2">
        <f t="shared" si="25"/>
        <v>0</v>
      </c>
      <c r="BU24" s="2">
        <f t="shared" si="26"/>
        <v>1.4989999999999997</v>
      </c>
      <c r="BV24" s="2">
        <f t="shared" si="27"/>
        <v>0</v>
      </c>
      <c r="BX24" s="2">
        <f>IF(AND(ISNUMBER($BN24),$BO24="Left 2nd Stage",SUM($BX$5:BX23)=0),$BN24,0)</f>
        <v>0</v>
      </c>
      <c r="BY24" s="2">
        <f>IF(AND(ISNUMBER($BN24),$BO24="Left Bankfull",SUM($BY$5:$BY23)=0),$BN24,0)</f>
        <v>0</v>
      </c>
      <c r="BZ24" s="2">
        <f>IF(AND(ISNUMBER($BN24),$BO24="Right 2nd Stage",SUM($BZ$5:$BZ23)=0),$BN23,0)</f>
        <v>0</v>
      </c>
      <c r="CA24" s="2">
        <f t="shared" si="46"/>
        <v>0</v>
      </c>
    </row>
    <row r="25" spans="1:79" ht="15">
      <c r="A25" s="2">
        <v>21</v>
      </c>
      <c r="B25" s="111" t="e">
        <f>IF(ISNUMBER(XS_Designer!F25),XS_Designer!F25,NA())</f>
        <v>#N/A</v>
      </c>
      <c r="C25" s="111" t="e">
        <f>IF(ISNUMBER(XS_Designer!G25),XS_Designer!G25,NA())</f>
        <v>#N/A</v>
      </c>
      <c r="D25" s="111" t="str">
        <f>IF(ISNUMBER(XS_Designer!I25),XS_Designer!I25,"")</f>
        <v/>
      </c>
      <c r="E25" s="2" t="str">
        <f t="shared" si="28"/>
        <v/>
      </c>
      <c r="F25" s="111" t="str">
        <f>IF(ISTEXT(XS_Designer!H25),VLOOKUP(XS_Designer!H25,$K$12:$L$20,2,FALSE),"")</f>
        <v/>
      </c>
      <c r="G25" s="54" t="str">
        <f t="shared" si="29"/>
        <v/>
      </c>
      <c r="K25" s="375" t="s">
        <v>946</v>
      </c>
      <c r="L25" s="375"/>
      <c r="N25" s="2"/>
      <c r="P25" s="2"/>
      <c r="Q25" s="2" t="str">
        <f t="shared" si="30"/>
        <v>N</v>
      </c>
      <c r="R25" s="2" t="str">
        <f t="shared" si="31"/>
        <v/>
      </c>
      <c r="S25" s="2" t="str">
        <f t="shared" si="32"/>
        <v/>
      </c>
      <c r="T25" s="2" t="str">
        <f t="shared" si="33"/>
        <v/>
      </c>
      <c r="U25" s="2" t="str">
        <f t="shared" si="34"/>
        <v/>
      </c>
      <c r="V25" s="97" t="str">
        <f t="shared" si="35"/>
        <v/>
      </c>
      <c r="W25" s="97" t="e">
        <f t="shared" si="36"/>
        <v>#N/A</v>
      </c>
      <c r="X25" s="2" t="e">
        <f t="shared" si="1"/>
        <v>#N/A</v>
      </c>
      <c r="Y25" s="95" t="str">
        <f t="shared" si="37"/>
        <v/>
      </c>
      <c r="Z25" s="261" t="str">
        <f t="shared" si="38"/>
        <v/>
      </c>
      <c r="AA25" s="95" t="str">
        <f t="shared" ref="AA25:AA26" si="57">IF(ISNUMBER(Y25),INDEX(Y25:Y125,MATCH(TRUE,INDEX(Y25:Y125&lt;&gt;Y25,),0)),"")</f>
        <v/>
      </c>
      <c r="AB25" s="95" t="str">
        <f t="shared" si="40"/>
        <v/>
      </c>
      <c r="AC25" s="95" t="str">
        <f t="shared" si="41"/>
        <v/>
      </c>
      <c r="AD25" s="95" t="e">
        <f t="shared" ref="AD25:AD26" si="58">IF(ISTEXT(AB25),INDEX(AB25:AB125,MATCH(TRUE,INDEX(AB25:AB125&lt;&gt;AB25,),0)),"")</f>
        <v>#N/A</v>
      </c>
      <c r="AE25" s="18" t="str">
        <f t="shared" si="43"/>
        <v/>
      </c>
      <c r="AF25" s="18" t="str">
        <f t="shared" si="2"/>
        <v/>
      </c>
      <c r="AG25" s="18" t="str">
        <f t="shared" si="3"/>
        <v/>
      </c>
      <c r="AH25" s="18" t="str">
        <f t="shared" si="4"/>
        <v/>
      </c>
      <c r="AI25" s="18" t="e">
        <f t="shared" ref="AI25:AI26" si="59">IF(AND(ISNUMBER(AI24),ISNUMBER(S25)),(VLOOKUP(AD25,AB25:AC125,2,FALSE)),IF(ISNUMBER(S25),R25,NA()))</f>
        <v>#N/A</v>
      </c>
      <c r="AJ25" s="18" t="e">
        <f t="shared" si="5"/>
        <v>#N/A</v>
      </c>
      <c r="AK25" s="18" t="str">
        <f t="shared" si="6"/>
        <v/>
      </c>
      <c r="AL25" s="18" t="str">
        <f t="shared" si="7"/>
        <v/>
      </c>
      <c r="AN25" s="1"/>
      <c r="AO25" s="1"/>
      <c r="AP25" s="1"/>
      <c r="AQ25" s="1"/>
      <c r="AR25" s="2"/>
      <c r="AS25" s="166">
        <f t="shared" si="8"/>
        <v>27.201250000000002</v>
      </c>
      <c r="AT25" s="40">
        <f t="shared" si="45"/>
        <v>5</v>
      </c>
      <c r="AU25" s="166">
        <f t="shared" si="9"/>
        <v>27.201250000000002</v>
      </c>
      <c r="AV25" s="40">
        <f t="shared" si="0"/>
        <v>5</v>
      </c>
      <c r="AW25" s="152"/>
      <c r="AY25" s="166">
        <f t="shared" si="10"/>
        <v>27.201250000000002</v>
      </c>
      <c r="AZ25">
        <f t="shared" si="11"/>
        <v>3.5010000000000003</v>
      </c>
      <c r="BA25" s="341">
        <f t="shared" si="12"/>
        <v>27.201250000000002</v>
      </c>
      <c r="BB25">
        <f t="shared" si="13"/>
        <v>3.5010000000000003</v>
      </c>
      <c r="BD25">
        <f t="shared" si="14"/>
        <v>1.4989999999999997</v>
      </c>
      <c r="BE25" s="2">
        <f t="shared" si="15"/>
        <v>0</v>
      </c>
      <c r="BF25" s="122">
        <f t="shared" si="16"/>
        <v>0</v>
      </c>
      <c r="BG25" t="str">
        <f t="shared" si="17"/>
        <v>MAX WSE</v>
      </c>
      <c r="BH25" s="122">
        <f t="shared" si="18"/>
        <v>5</v>
      </c>
      <c r="BJ25" s="122">
        <f t="shared" si="19"/>
        <v>1.4989999999999997</v>
      </c>
      <c r="BL25" s="2">
        <f t="shared" si="47"/>
        <v>0</v>
      </c>
      <c r="BM25" s="2"/>
      <c r="BN25" s="2">
        <f t="shared" si="21"/>
        <v>27.201250000000002</v>
      </c>
      <c r="BO25" s="2" t="str">
        <f>IF(BP25="Left",IF(ISERROR(VLOOKUP(BN25,XS_Designer_Summary!$A$21:$B$25,2,TRUE)),"",VLOOKUP(BN25,XS_Designer_Summary!$A$21:$B$25,2,TRUE)),IF(ISERROR(VLOOKUP(-BN25,XS_Designer_Summary!$A$28:$B$32,2,TRUE)),"",VLOOKUP(-BN25,XS_Designer_Summary!$A$28:$B$32,2,TRUE)))</f>
        <v>Right 3rd Stage</v>
      </c>
      <c r="BP25" s="2" t="str">
        <f>IF(AU25&lt;XS_Designer_Summary!$B$7,"Left",IF(AU25&gt;XS_Designer_Summary!$B$7,"Right","Thalweg"))</f>
        <v>Right</v>
      </c>
      <c r="BQ25" s="2">
        <f t="shared" si="22"/>
        <v>0</v>
      </c>
      <c r="BR25" s="2">
        <f t="shared" si="23"/>
        <v>0</v>
      </c>
      <c r="BS25" s="2">
        <f t="shared" si="24"/>
        <v>0</v>
      </c>
      <c r="BT25" s="2">
        <f t="shared" si="25"/>
        <v>0</v>
      </c>
      <c r="BU25" s="2">
        <f t="shared" si="26"/>
        <v>1.4989999999999997</v>
      </c>
      <c r="BV25" s="2">
        <f t="shared" si="27"/>
        <v>0</v>
      </c>
      <c r="BX25" s="2">
        <f>IF(AND(ISNUMBER($BN25),$BO25="Left 2nd Stage",SUM($BX$5:BX24)=0),$BN25,0)</f>
        <v>0</v>
      </c>
      <c r="BY25" s="2">
        <f>IF(AND(ISNUMBER($BN25),$BO25="Left Bankfull",SUM($BY$5:$BY24)=0),$BN25,0)</f>
        <v>0</v>
      </c>
      <c r="BZ25" s="2">
        <f>IF(AND(ISNUMBER($BN25),$BO25="Right 2nd Stage",SUM($BZ$5:$BZ24)=0),$BN24,0)</f>
        <v>0</v>
      </c>
      <c r="CA25" s="2">
        <f t="shared" si="46"/>
        <v>0</v>
      </c>
    </row>
    <row r="26" spans="1:79" ht="15">
      <c r="A26" s="2">
        <v>22</v>
      </c>
      <c r="B26" s="111" t="e">
        <f>IF(ISNUMBER(XS_Designer!F26),XS_Designer!F26,NA())</f>
        <v>#N/A</v>
      </c>
      <c r="C26" s="111" t="e">
        <f>IF(ISNUMBER(XS_Designer!G26),XS_Designer!G26,NA())</f>
        <v>#N/A</v>
      </c>
      <c r="D26" s="111" t="str">
        <f>IF(ISNUMBER(XS_Designer!I26),XS_Designer!I26,"")</f>
        <v/>
      </c>
      <c r="E26" s="2" t="str">
        <f t="shared" si="28"/>
        <v/>
      </c>
      <c r="F26" s="111" t="str">
        <f>IF(ISTEXT(XS_Designer!H26),VLOOKUP(XS_Designer!H26,$K$12:$L$20,2,FALSE),"")</f>
        <v/>
      </c>
      <c r="G26" s="54" t="str">
        <f t="shared" si="29"/>
        <v/>
      </c>
      <c r="K26" s="5" t="s">
        <v>459</v>
      </c>
      <c r="L26" s="5" t="s">
        <v>644</v>
      </c>
      <c r="N26" s="2"/>
      <c r="P26" s="2"/>
      <c r="Q26" s="2" t="str">
        <f t="shared" si="30"/>
        <v>N</v>
      </c>
      <c r="R26" s="2" t="str">
        <f t="shared" si="31"/>
        <v/>
      </c>
      <c r="S26" s="2" t="str">
        <f t="shared" si="32"/>
        <v/>
      </c>
      <c r="T26" s="2" t="str">
        <f t="shared" si="33"/>
        <v/>
      </c>
      <c r="U26" s="2" t="str">
        <f t="shared" si="34"/>
        <v/>
      </c>
      <c r="V26" s="97" t="str">
        <f t="shared" si="35"/>
        <v/>
      </c>
      <c r="W26" s="97" t="e">
        <f t="shared" si="36"/>
        <v>#N/A</v>
      </c>
      <c r="X26" s="2" t="e">
        <f t="shared" si="1"/>
        <v>#N/A</v>
      </c>
      <c r="Y26" s="95" t="str">
        <f t="shared" si="37"/>
        <v/>
      </c>
      <c r="Z26" s="261" t="str">
        <f t="shared" si="38"/>
        <v/>
      </c>
      <c r="AA26" s="95" t="str">
        <f t="shared" si="57"/>
        <v/>
      </c>
      <c r="AB26" s="95" t="str">
        <f t="shared" si="40"/>
        <v/>
      </c>
      <c r="AC26" s="95" t="str">
        <f t="shared" si="41"/>
        <v/>
      </c>
      <c r="AD26" s="95" t="e">
        <f t="shared" si="58"/>
        <v>#N/A</v>
      </c>
      <c r="AE26" s="18" t="str">
        <f t="shared" si="43"/>
        <v/>
      </c>
      <c r="AF26" s="18" t="str">
        <f t="shared" si="2"/>
        <v/>
      </c>
      <c r="AG26" s="18" t="str">
        <f t="shared" si="3"/>
        <v/>
      </c>
      <c r="AH26" s="18" t="str">
        <f t="shared" si="4"/>
        <v/>
      </c>
      <c r="AI26" s="18" t="e">
        <f t="shared" si="59"/>
        <v>#N/A</v>
      </c>
      <c r="AJ26" s="18" t="e">
        <f t="shared" si="5"/>
        <v>#N/A</v>
      </c>
      <c r="AK26" s="18" t="str">
        <f t="shared" si="6"/>
        <v/>
      </c>
      <c r="AL26" s="18" t="str">
        <f t="shared" si="7"/>
        <v/>
      </c>
      <c r="AN26" s="1"/>
      <c r="AO26" s="1"/>
      <c r="AP26" s="1"/>
      <c r="AQ26" s="1"/>
      <c r="AR26" s="2"/>
      <c r="AS26" s="166">
        <f t="shared" si="8"/>
        <v>27.201250000000002</v>
      </c>
      <c r="AT26" s="40">
        <f t="shared" si="45"/>
        <v>5</v>
      </c>
      <c r="AU26" s="166">
        <f t="shared" si="9"/>
        <v>27.201250000000002</v>
      </c>
      <c r="AV26" s="40">
        <f t="shared" si="0"/>
        <v>5</v>
      </c>
      <c r="AW26" s="152"/>
      <c r="AY26" s="166">
        <f t="shared" si="10"/>
        <v>27.201250000000002</v>
      </c>
      <c r="AZ26">
        <f t="shared" si="11"/>
        <v>3.5010000000000003</v>
      </c>
      <c r="BA26" s="341">
        <f t="shared" si="12"/>
        <v>27.201250000000002</v>
      </c>
      <c r="BB26">
        <f t="shared" si="13"/>
        <v>3.5010000000000003</v>
      </c>
      <c r="BD26">
        <f t="shared" si="14"/>
        <v>1.4989999999999997</v>
      </c>
      <c r="BE26" s="2">
        <f t="shared" si="15"/>
        <v>0</v>
      </c>
      <c r="BF26" s="122">
        <f t="shared" si="16"/>
        <v>0</v>
      </c>
      <c r="BG26" t="str">
        <f t="shared" si="17"/>
        <v>MAX WSE</v>
      </c>
      <c r="BH26" s="122">
        <f t="shared" si="18"/>
        <v>5</v>
      </c>
      <c r="BJ26" s="122">
        <f t="shared" si="19"/>
        <v>1.4989999999999997</v>
      </c>
      <c r="BL26" s="2">
        <f t="shared" si="47"/>
        <v>0</v>
      </c>
      <c r="BM26" s="2"/>
      <c r="BN26" s="2">
        <f t="shared" si="21"/>
        <v>27.201250000000002</v>
      </c>
      <c r="BO26" s="2" t="str">
        <f>IF(BP26="Left",IF(ISERROR(VLOOKUP(BN26,XS_Designer_Summary!$A$21:$B$25,2,TRUE)),"",VLOOKUP(BN26,XS_Designer_Summary!$A$21:$B$25,2,TRUE)),IF(ISERROR(VLOOKUP(-BN26,XS_Designer_Summary!$A$28:$B$32,2,TRUE)),"",VLOOKUP(-BN26,XS_Designer_Summary!$A$28:$B$32,2,TRUE)))</f>
        <v>Right 3rd Stage</v>
      </c>
      <c r="BP26" s="2" t="str">
        <f>IF(AU26&lt;XS_Designer_Summary!$B$7,"Left",IF(AU26&gt;XS_Designer_Summary!$B$7,"Right","Thalweg"))</f>
        <v>Right</v>
      </c>
      <c r="BQ26" s="2">
        <f t="shared" si="22"/>
        <v>0</v>
      </c>
      <c r="BR26" s="2">
        <f t="shared" si="23"/>
        <v>0</v>
      </c>
      <c r="BS26" s="2">
        <f t="shared" si="24"/>
        <v>0</v>
      </c>
      <c r="BT26" s="2">
        <f t="shared" si="25"/>
        <v>0</v>
      </c>
      <c r="BU26" s="2">
        <f t="shared" si="26"/>
        <v>1.4989999999999997</v>
      </c>
      <c r="BV26" s="2">
        <f t="shared" si="27"/>
        <v>0</v>
      </c>
      <c r="BX26" s="2">
        <f>IF(AND(ISNUMBER($BN26),$BO26="Left 2nd Stage",SUM($BX$5:BX25)=0),$BN26,0)</f>
        <v>0</v>
      </c>
      <c r="BY26" s="2">
        <f>IF(AND(ISNUMBER($BN26),$BO26="Left Bankfull",SUM($BY$5:$BY25)=0),$BN26,0)</f>
        <v>0</v>
      </c>
      <c r="BZ26" s="2">
        <f>IF(AND(ISNUMBER($BN26),$BO26="Right 2nd Stage",SUM($BZ$5:$BZ25)=0),$BN25,0)</f>
        <v>0</v>
      </c>
      <c r="CA26" s="2">
        <f t="shared" si="46"/>
        <v>0</v>
      </c>
    </row>
    <row r="27" spans="1:79" ht="15">
      <c r="A27" s="2">
        <v>23</v>
      </c>
      <c r="B27" s="111" t="e">
        <f>IF(ISNUMBER(XS_Designer!F27),XS_Designer!F27,NA())</f>
        <v>#N/A</v>
      </c>
      <c r="C27" s="111" t="e">
        <f>IF(ISNUMBER(XS_Designer!G27),XS_Designer!G27,NA())</f>
        <v>#N/A</v>
      </c>
      <c r="D27" s="111" t="str">
        <f>IF(ISNUMBER(XS_Designer!I27),XS_Designer!I27,"")</f>
        <v/>
      </c>
      <c r="E27" s="2" t="str">
        <f t="shared" si="28"/>
        <v/>
      </c>
      <c r="F27" s="111" t="str">
        <f>IF(ISTEXT(XS_Designer!H27),VLOOKUP(XS_Designer!H27,$K$12:$L$20,2,FALSE),"")</f>
        <v/>
      </c>
      <c r="G27" s="54" t="str">
        <f t="shared" si="29"/>
        <v/>
      </c>
      <c r="K27" s="5">
        <f t="array" ref="K27">INDEX($D$5:$D$104,MATCH(TRUE,ISNUMBER($D$5:$D$104),0))</f>
        <v>0.1</v>
      </c>
      <c r="L27" s="5" t="str">
        <f>VLOOKUP("L*", F5:F104, 1,FALSE)</f>
        <v>L-3 Stg</v>
      </c>
      <c r="N27" s="2"/>
      <c r="O27" s="2"/>
      <c r="P27" s="2"/>
      <c r="Q27" s="2" t="str">
        <f t="shared" si="30"/>
        <v>N</v>
      </c>
      <c r="R27" s="2" t="str">
        <f t="shared" si="31"/>
        <v/>
      </c>
      <c r="S27" s="2" t="str">
        <f t="shared" si="32"/>
        <v/>
      </c>
      <c r="T27" s="2" t="str">
        <f t="shared" si="33"/>
        <v/>
      </c>
      <c r="U27" s="2" t="str">
        <f t="shared" si="34"/>
        <v/>
      </c>
      <c r="V27" s="97" t="str">
        <f t="shared" si="35"/>
        <v/>
      </c>
      <c r="W27" s="97" t="e">
        <f t="shared" si="36"/>
        <v>#N/A</v>
      </c>
      <c r="X27" s="2" t="e">
        <f t="shared" si="1"/>
        <v>#N/A</v>
      </c>
      <c r="Y27" s="95" t="str">
        <f t="shared" si="37"/>
        <v/>
      </c>
      <c r="Z27" s="261" t="str">
        <f t="shared" si="38"/>
        <v/>
      </c>
      <c r="AA27" s="95" t="str">
        <f>IF(ISNUMBER(Y27),INDEX(Y27:Y126,MATCH(TRUE,INDEX(Y27:Y126&lt;&gt;Y27,),0)),"")</f>
        <v/>
      </c>
      <c r="AB27" s="95" t="str">
        <f t="shared" si="40"/>
        <v/>
      </c>
      <c r="AC27" s="95" t="str">
        <f t="shared" si="41"/>
        <v/>
      </c>
      <c r="AD27" s="95" t="e">
        <f>IF(ISTEXT(AB27),INDEX(AB27:AB126,MATCH(TRUE,INDEX(AB27:AB126&lt;&gt;AB27,),0)),"")</f>
        <v>#N/A</v>
      </c>
      <c r="AE27" s="18" t="str">
        <f t="shared" si="43"/>
        <v/>
      </c>
      <c r="AF27" s="18" t="str">
        <f t="shared" si="2"/>
        <v/>
      </c>
      <c r="AG27" s="18" t="str">
        <f t="shared" si="3"/>
        <v/>
      </c>
      <c r="AH27" s="18" t="str">
        <f t="shared" si="4"/>
        <v/>
      </c>
      <c r="AI27" s="18" t="e">
        <f>IF(AND(ISNUMBER(AI26),ISNUMBER(S27)),(VLOOKUP(AD27,AB27:AC126,2,FALSE)),IF(ISNUMBER(S27),R27,NA()))</f>
        <v>#N/A</v>
      </c>
      <c r="AJ27" s="18" t="e">
        <f t="shared" si="5"/>
        <v>#N/A</v>
      </c>
      <c r="AK27" s="18" t="str">
        <f t="shared" si="6"/>
        <v/>
      </c>
      <c r="AL27" s="18" t="str">
        <f t="shared" si="7"/>
        <v/>
      </c>
      <c r="AN27" s="1"/>
      <c r="AO27" s="1"/>
      <c r="AP27" s="1"/>
      <c r="AQ27" s="1"/>
      <c r="AR27" s="2"/>
      <c r="AS27" s="166">
        <f t="shared" si="8"/>
        <v>27.201250000000002</v>
      </c>
      <c r="AT27" s="40">
        <f t="shared" si="45"/>
        <v>5</v>
      </c>
      <c r="AU27" s="166">
        <f t="shared" si="9"/>
        <v>27.201250000000002</v>
      </c>
      <c r="AV27" s="40">
        <f t="shared" si="0"/>
        <v>5</v>
      </c>
      <c r="AW27" s="152"/>
      <c r="AY27" s="166">
        <f t="shared" si="10"/>
        <v>27.201250000000002</v>
      </c>
      <c r="AZ27">
        <f t="shared" si="11"/>
        <v>3.5010000000000003</v>
      </c>
      <c r="BA27" s="341">
        <f t="shared" si="12"/>
        <v>27.201250000000002</v>
      </c>
      <c r="BB27">
        <f t="shared" si="13"/>
        <v>3.5010000000000003</v>
      </c>
      <c r="BD27">
        <f t="shared" si="14"/>
        <v>1.4989999999999997</v>
      </c>
      <c r="BE27" s="2">
        <f t="shared" si="15"/>
        <v>0</v>
      </c>
      <c r="BF27" s="122">
        <f t="shared" si="16"/>
        <v>0</v>
      </c>
      <c r="BG27" t="str">
        <f t="shared" si="17"/>
        <v>MAX WSE</v>
      </c>
      <c r="BH27" s="122">
        <f t="shared" si="18"/>
        <v>5</v>
      </c>
      <c r="BJ27" s="122">
        <f t="shared" si="19"/>
        <v>1.4989999999999997</v>
      </c>
      <c r="BL27" s="2">
        <f t="shared" si="47"/>
        <v>0</v>
      </c>
      <c r="BM27" s="2"/>
      <c r="BN27" s="2">
        <f t="shared" si="21"/>
        <v>27.201250000000002</v>
      </c>
      <c r="BO27" s="2" t="str">
        <f>IF(BP27="Left",IF(ISERROR(VLOOKUP(BN27,XS_Designer_Summary!$A$21:$B$25,2,TRUE)),"",VLOOKUP(BN27,XS_Designer_Summary!$A$21:$B$25,2,TRUE)),IF(ISERROR(VLOOKUP(-BN27,XS_Designer_Summary!$A$28:$B$32,2,TRUE)),"",VLOOKUP(-BN27,XS_Designer_Summary!$A$28:$B$32,2,TRUE)))</f>
        <v>Right 3rd Stage</v>
      </c>
      <c r="BP27" s="2" t="str">
        <f>IF(AU27&lt;XS_Designer_Summary!$B$7,"Left",IF(AU27&gt;XS_Designer_Summary!$B$7,"Right","Thalweg"))</f>
        <v>Right</v>
      </c>
      <c r="BQ27" s="2">
        <f t="shared" si="22"/>
        <v>0</v>
      </c>
      <c r="BR27" s="2">
        <f t="shared" si="23"/>
        <v>0</v>
      </c>
      <c r="BS27" s="2">
        <f t="shared" si="24"/>
        <v>0</v>
      </c>
      <c r="BT27" s="2">
        <f t="shared" si="25"/>
        <v>0</v>
      </c>
      <c r="BU27" s="2">
        <f t="shared" si="26"/>
        <v>1.4989999999999997</v>
      </c>
      <c r="BV27" s="2">
        <f t="shared" si="27"/>
        <v>0</v>
      </c>
      <c r="BX27" s="2">
        <f>IF(AND(ISNUMBER($BN27),$BO27="Left 2nd Stage",SUM($BX$5:BX26)=0),$BN27,0)</f>
        <v>0</v>
      </c>
      <c r="BY27" s="2">
        <f>IF(AND(ISNUMBER($BN27),$BO27="Left Bankfull",SUM($BY$5:$BY26)=0),$BN27,0)</f>
        <v>0</v>
      </c>
      <c r="BZ27" s="2">
        <f>IF(AND(ISNUMBER($BN27),$BO27="Right 2nd Stage",SUM($BZ$5:$BZ26)=0),$BN26,0)</f>
        <v>0</v>
      </c>
      <c r="CA27" s="2">
        <f t="shared" si="46"/>
        <v>0</v>
      </c>
    </row>
    <row r="28" spans="1:79" ht="15">
      <c r="A28" s="2">
        <v>24</v>
      </c>
      <c r="B28" s="111" t="e">
        <f>IF(ISNUMBER(XS_Designer!F28),XS_Designer!F28,NA())</f>
        <v>#N/A</v>
      </c>
      <c r="C28" s="111" t="e">
        <f>IF(ISNUMBER(XS_Designer!G28),XS_Designer!G28,NA())</f>
        <v>#N/A</v>
      </c>
      <c r="D28" s="111" t="str">
        <f>IF(ISNUMBER(XS_Designer!I28),XS_Designer!I28,"")</f>
        <v/>
      </c>
      <c r="E28" s="2" t="str">
        <f t="shared" si="28"/>
        <v/>
      </c>
      <c r="F28" s="111" t="str">
        <f>IF(ISTEXT(XS_Designer!H28),VLOOKUP(XS_Designer!H28,$K$12:$L$20,2,FALSE),"")</f>
        <v/>
      </c>
      <c r="G28" s="54" t="str">
        <f t="shared" si="29"/>
        <v/>
      </c>
      <c r="K28" s="1"/>
      <c r="L28" s="1"/>
      <c r="N28" s="2"/>
      <c r="P28" s="2"/>
      <c r="Q28" s="2" t="str">
        <f t="shared" si="30"/>
        <v>N</v>
      </c>
      <c r="R28" s="2" t="str">
        <f t="shared" si="31"/>
        <v/>
      </c>
      <c r="S28" s="2" t="str">
        <f t="shared" si="32"/>
        <v/>
      </c>
      <c r="T28" s="2" t="str">
        <f t="shared" si="33"/>
        <v/>
      </c>
      <c r="U28" s="2" t="str">
        <f t="shared" si="34"/>
        <v/>
      </c>
      <c r="V28" s="97" t="str">
        <f t="shared" si="35"/>
        <v/>
      </c>
      <c r="W28" s="97" t="e">
        <f t="shared" si="36"/>
        <v>#N/A</v>
      </c>
      <c r="X28" s="2" t="e">
        <f t="shared" si="1"/>
        <v>#N/A</v>
      </c>
      <c r="Y28" s="95" t="str">
        <f t="shared" si="37"/>
        <v/>
      </c>
      <c r="Z28" s="261" t="str">
        <f t="shared" si="38"/>
        <v/>
      </c>
      <c r="AA28" s="95" t="str">
        <f>IF(ISNUMBER(Y28),INDEX(Y28:Y126,MATCH(TRUE,INDEX(Y28:Y126&lt;&gt;Y28,),0)),"")</f>
        <v/>
      </c>
      <c r="AB28" s="95" t="str">
        <f t="shared" si="40"/>
        <v/>
      </c>
      <c r="AC28" s="95" t="str">
        <f t="shared" si="41"/>
        <v/>
      </c>
      <c r="AD28" s="95" t="e">
        <f>IF(ISTEXT(AB28),INDEX(AB28:AB126,MATCH(TRUE,INDEX(AB28:AB126&lt;&gt;AB28,),0)),"")</f>
        <v>#N/A</v>
      </c>
      <c r="AE28" s="18" t="str">
        <f t="shared" si="43"/>
        <v/>
      </c>
      <c r="AF28" s="18" t="str">
        <f t="shared" si="2"/>
        <v/>
      </c>
      <c r="AG28" s="18" t="str">
        <f t="shared" si="3"/>
        <v/>
      </c>
      <c r="AH28" s="18" t="str">
        <f t="shared" si="4"/>
        <v/>
      </c>
      <c r="AI28" s="18" t="e">
        <f>IF(AND(ISNUMBER(AI27),ISNUMBER(S28)),(VLOOKUP(AD28,AB28:AC126,2,FALSE)),IF(ISNUMBER(S28),R28,NA()))</f>
        <v>#N/A</v>
      </c>
      <c r="AJ28" s="18" t="e">
        <f t="shared" si="5"/>
        <v>#N/A</v>
      </c>
      <c r="AK28" s="18" t="str">
        <f t="shared" si="6"/>
        <v/>
      </c>
      <c r="AL28" s="18" t="str">
        <f t="shared" si="7"/>
        <v/>
      </c>
      <c r="AN28" s="1"/>
      <c r="AO28" s="1"/>
      <c r="AP28" s="1"/>
      <c r="AQ28" s="1"/>
      <c r="AR28" s="2"/>
      <c r="AS28" s="166">
        <f t="shared" si="8"/>
        <v>27.201250000000002</v>
      </c>
      <c r="AT28" s="40">
        <f t="shared" si="45"/>
        <v>5</v>
      </c>
      <c r="AU28" s="166">
        <f t="shared" si="9"/>
        <v>27.201250000000002</v>
      </c>
      <c r="AV28" s="40">
        <f t="shared" si="0"/>
        <v>5</v>
      </c>
      <c r="AW28" s="152"/>
      <c r="AY28" s="166">
        <f t="shared" si="10"/>
        <v>27.201250000000002</v>
      </c>
      <c r="AZ28">
        <f t="shared" si="11"/>
        <v>3.5010000000000003</v>
      </c>
      <c r="BA28" s="341">
        <f t="shared" si="12"/>
        <v>27.201250000000002</v>
      </c>
      <c r="BB28">
        <f t="shared" si="13"/>
        <v>3.5010000000000003</v>
      </c>
      <c r="BD28">
        <f t="shared" si="14"/>
        <v>1.4989999999999997</v>
      </c>
      <c r="BE28" s="2">
        <f t="shared" si="15"/>
        <v>0</v>
      </c>
      <c r="BF28" s="122">
        <f t="shared" si="16"/>
        <v>0</v>
      </c>
      <c r="BG28" t="str">
        <f t="shared" si="17"/>
        <v>MAX WSE</v>
      </c>
      <c r="BH28" s="122">
        <f t="shared" si="18"/>
        <v>5</v>
      </c>
      <c r="BJ28" s="122">
        <f t="shared" si="19"/>
        <v>1.4989999999999997</v>
      </c>
      <c r="BL28" s="2">
        <f t="shared" si="47"/>
        <v>0</v>
      </c>
      <c r="BM28" s="2"/>
      <c r="BN28" s="2">
        <f t="shared" si="21"/>
        <v>27.201250000000002</v>
      </c>
      <c r="BO28" s="2" t="str">
        <f>IF(BP28="Left",IF(ISERROR(VLOOKUP(BN28,XS_Designer_Summary!$A$21:$B$25,2,TRUE)),"",VLOOKUP(BN28,XS_Designer_Summary!$A$21:$B$25,2,TRUE)),IF(ISERROR(VLOOKUP(-BN28,XS_Designer_Summary!$A$28:$B$32,2,TRUE)),"",VLOOKUP(-BN28,XS_Designer_Summary!$A$28:$B$32,2,TRUE)))</f>
        <v>Right 3rd Stage</v>
      </c>
      <c r="BP28" s="2" t="str">
        <f>IF(AU28&lt;XS_Designer_Summary!$B$7,"Left",IF(AU28&gt;XS_Designer_Summary!$B$7,"Right","Thalweg"))</f>
        <v>Right</v>
      </c>
      <c r="BQ28" s="2">
        <f t="shared" si="22"/>
        <v>0</v>
      </c>
      <c r="BR28" s="2">
        <f t="shared" si="23"/>
        <v>0</v>
      </c>
      <c r="BS28" s="2">
        <f t="shared" si="24"/>
        <v>0</v>
      </c>
      <c r="BT28" s="2">
        <f t="shared" si="25"/>
        <v>0</v>
      </c>
      <c r="BU28" s="2">
        <f t="shared" si="26"/>
        <v>1.4989999999999997</v>
      </c>
      <c r="BV28" s="2">
        <f t="shared" si="27"/>
        <v>0</v>
      </c>
      <c r="BX28" s="2">
        <f>IF(AND(ISNUMBER($BN28),$BO28="Left 2nd Stage",SUM($BX$5:BX27)=0),$BN28,0)</f>
        <v>0</v>
      </c>
      <c r="BY28" s="2">
        <f>IF(AND(ISNUMBER($BN28),$BO28="Left Bankfull",SUM($BY$5:$BY27)=0),$BN28,0)</f>
        <v>0</v>
      </c>
      <c r="BZ28" s="2">
        <f>IF(AND(ISNUMBER($BN28),$BO28="Right 2nd Stage",SUM($BZ$5:$BZ27)=0),$BN27,0)</f>
        <v>0</v>
      </c>
      <c r="CA28" s="2">
        <f t="shared" si="46"/>
        <v>0</v>
      </c>
    </row>
    <row r="29" spans="1:79" ht="15">
      <c r="A29" s="2">
        <v>25</v>
      </c>
      <c r="B29" s="111" t="e">
        <f>IF(ISNUMBER(XS_Designer!F29),XS_Designer!F29,NA())</f>
        <v>#N/A</v>
      </c>
      <c r="C29" s="111" t="e">
        <f>IF(ISNUMBER(XS_Designer!G29),XS_Designer!G29,NA())</f>
        <v>#N/A</v>
      </c>
      <c r="D29" s="111" t="str">
        <f>IF(ISNUMBER(XS_Designer!I29),XS_Designer!I29,"")</f>
        <v/>
      </c>
      <c r="E29" s="2" t="str">
        <f t="shared" si="28"/>
        <v/>
      </c>
      <c r="F29" s="111" t="str">
        <f>IF(ISTEXT(XS_Designer!H29),VLOOKUP(XS_Designer!H29,$K$12:$L$20,2,FALSE),"")</f>
        <v/>
      </c>
      <c r="G29" s="54" t="str">
        <f t="shared" si="29"/>
        <v/>
      </c>
      <c r="K29" s="1"/>
      <c r="L29" s="1"/>
      <c r="N29" s="2"/>
      <c r="P29" s="2"/>
      <c r="Q29" s="2" t="str">
        <f t="shared" si="30"/>
        <v>N</v>
      </c>
      <c r="R29" s="2" t="str">
        <f t="shared" si="31"/>
        <v/>
      </c>
      <c r="S29" s="2" t="str">
        <f t="shared" si="32"/>
        <v/>
      </c>
      <c r="T29" s="2" t="str">
        <f t="shared" si="33"/>
        <v/>
      </c>
      <c r="U29" s="2" t="str">
        <f t="shared" si="34"/>
        <v/>
      </c>
      <c r="V29" s="97" t="str">
        <f t="shared" si="35"/>
        <v/>
      </c>
      <c r="W29" s="97" t="e">
        <f t="shared" si="36"/>
        <v>#N/A</v>
      </c>
      <c r="X29" s="2" t="e">
        <f t="shared" si="1"/>
        <v>#N/A</v>
      </c>
      <c r="Y29" s="95" t="str">
        <f t="shared" si="37"/>
        <v/>
      </c>
      <c r="Z29" s="261" t="str">
        <f t="shared" si="38"/>
        <v/>
      </c>
      <c r="AA29" s="95" t="str">
        <f>IF(ISNUMBER(Y29),INDEX(Y29:Y126,MATCH(TRUE,INDEX(Y29:Y126&lt;&gt;Y29,),0)),"")</f>
        <v/>
      </c>
      <c r="AB29" s="95" t="str">
        <f t="shared" si="40"/>
        <v/>
      </c>
      <c r="AC29" s="95" t="str">
        <f t="shared" si="41"/>
        <v/>
      </c>
      <c r="AD29" s="95" t="e">
        <f>IF(ISTEXT(AB29),INDEX(AB29:AB126,MATCH(TRUE,INDEX(AB29:AB126&lt;&gt;AB29,),0)),"")</f>
        <v>#N/A</v>
      </c>
      <c r="AE29" s="18" t="str">
        <f t="shared" si="43"/>
        <v/>
      </c>
      <c r="AF29" s="18" t="str">
        <f t="shared" si="2"/>
        <v/>
      </c>
      <c r="AG29" s="18" t="str">
        <f t="shared" si="3"/>
        <v/>
      </c>
      <c r="AH29" s="18" t="str">
        <f t="shared" si="4"/>
        <v/>
      </c>
      <c r="AI29" s="18" t="e">
        <f>IF(AND(ISNUMBER(AI28),ISNUMBER(S29)),(VLOOKUP(AD29,AB29:AC126,2,FALSE)),IF(ISNUMBER(S29),R29,NA()))</f>
        <v>#N/A</v>
      </c>
      <c r="AJ29" s="18" t="e">
        <f t="shared" si="5"/>
        <v>#N/A</v>
      </c>
      <c r="AK29" s="18" t="str">
        <f t="shared" si="6"/>
        <v/>
      </c>
      <c r="AL29" s="18" t="str">
        <f t="shared" si="7"/>
        <v/>
      </c>
      <c r="AN29" s="1"/>
      <c r="AO29" s="1"/>
      <c r="AP29" s="1"/>
      <c r="AQ29" s="1"/>
      <c r="AR29" s="2"/>
      <c r="AS29" s="166">
        <f t="shared" si="8"/>
        <v>27.201250000000002</v>
      </c>
      <c r="AT29" s="40">
        <f t="shared" si="45"/>
        <v>5</v>
      </c>
      <c r="AU29" s="166">
        <f t="shared" si="9"/>
        <v>27.201250000000002</v>
      </c>
      <c r="AV29" s="40">
        <f t="shared" si="0"/>
        <v>5</v>
      </c>
      <c r="AW29" s="152"/>
      <c r="AY29" s="166">
        <f t="shared" si="10"/>
        <v>27.201250000000002</v>
      </c>
      <c r="AZ29">
        <f t="shared" si="11"/>
        <v>3.5010000000000003</v>
      </c>
      <c r="BA29" s="341">
        <f t="shared" si="12"/>
        <v>27.201250000000002</v>
      </c>
      <c r="BB29">
        <f t="shared" si="13"/>
        <v>3.5010000000000003</v>
      </c>
      <c r="BD29">
        <f t="shared" si="14"/>
        <v>1.4989999999999997</v>
      </c>
      <c r="BE29" s="2">
        <f t="shared" si="15"/>
        <v>0</v>
      </c>
      <c r="BF29" s="122">
        <f t="shared" si="16"/>
        <v>0</v>
      </c>
      <c r="BG29" t="str">
        <f t="shared" si="17"/>
        <v>MAX WSE</v>
      </c>
      <c r="BH29" s="122">
        <f t="shared" si="18"/>
        <v>5</v>
      </c>
      <c r="BJ29" s="122">
        <f t="shared" si="19"/>
        <v>1.4989999999999997</v>
      </c>
      <c r="BL29" s="2">
        <f t="shared" si="47"/>
        <v>0</v>
      </c>
      <c r="BM29" s="2"/>
      <c r="BN29" s="2">
        <f t="shared" si="21"/>
        <v>27.201250000000002</v>
      </c>
      <c r="BO29" s="2" t="str">
        <f>IF(BP29="Left",IF(ISERROR(VLOOKUP(BN29,XS_Designer_Summary!$A$21:$B$25,2,TRUE)),"",VLOOKUP(BN29,XS_Designer_Summary!$A$21:$B$25,2,TRUE)),IF(ISERROR(VLOOKUP(-BN29,XS_Designer_Summary!$A$28:$B$32,2,TRUE)),"",VLOOKUP(-BN29,XS_Designer_Summary!$A$28:$B$32,2,TRUE)))</f>
        <v>Right 3rd Stage</v>
      </c>
      <c r="BP29" s="2" t="str">
        <f>IF(AU29&lt;XS_Designer_Summary!$B$7,"Left",IF(AU29&gt;XS_Designer_Summary!$B$7,"Right","Thalweg"))</f>
        <v>Right</v>
      </c>
      <c r="BQ29" s="2">
        <f t="shared" si="22"/>
        <v>0</v>
      </c>
      <c r="BR29" s="2">
        <f t="shared" si="23"/>
        <v>0</v>
      </c>
      <c r="BS29" s="2">
        <f t="shared" si="24"/>
        <v>0</v>
      </c>
      <c r="BT29" s="2">
        <f t="shared" si="25"/>
        <v>0</v>
      </c>
      <c r="BU29" s="2">
        <f t="shared" si="26"/>
        <v>1.4989999999999997</v>
      </c>
      <c r="BV29" s="2">
        <f t="shared" si="27"/>
        <v>0</v>
      </c>
      <c r="BX29" s="2">
        <f>IF(AND(ISNUMBER($BN29),$BO29="Left 2nd Stage",SUM($BX$5:BX28)=0),$BN29,0)</f>
        <v>0</v>
      </c>
      <c r="BY29" s="2">
        <f>IF(AND(ISNUMBER($BN29),$BO29="Left Bankfull",SUM($BY$5:$BY28)=0),$BN29,0)</f>
        <v>0</v>
      </c>
      <c r="BZ29" s="2">
        <f>IF(AND(ISNUMBER($BN29),$BO29="Right 2nd Stage",SUM($BZ$5:$BZ28)=0),$BN28,0)</f>
        <v>0</v>
      </c>
      <c r="CA29" s="2">
        <f t="shared" si="46"/>
        <v>0</v>
      </c>
    </row>
    <row r="30" spans="1:79" ht="15">
      <c r="A30" s="2">
        <v>26</v>
      </c>
      <c r="B30" s="111" t="e">
        <f>IF(ISNUMBER(XS_Designer!F30),XS_Designer!F30,NA())</f>
        <v>#N/A</v>
      </c>
      <c r="C30" s="111" t="e">
        <f>IF(ISNUMBER(XS_Designer!G30),XS_Designer!G30,NA())</f>
        <v>#N/A</v>
      </c>
      <c r="D30" s="111" t="str">
        <f>IF(ISNUMBER(XS_Designer!I30),XS_Designer!I30,"")</f>
        <v/>
      </c>
      <c r="E30" s="2" t="str">
        <f t="shared" si="28"/>
        <v/>
      </c>
      <c r="F30" s="111" t="str">
        <f>IF(ISTEXT(XS_Designer!H30),VLOOKUP(XS_Designer!H30,$K$12:$L$20,2,FALSE),"")</f>
        <v/>
      </c>
      <c r="G30" s="54" t="str">
        <f t="shared" si="29"/>
        <v/>
      </c>
      <c r="N30" s="2"/>
      <c r="O30" s="2"/>
      <c r="P30" s="2"/>
      <c r="Q30" s="2" t="str">
        <f t="shared" si="30"/>
        <v>N</v>
      </c>
      <c r="R30" s="2" t="str">
        <f t="shared" si="31"/>
        <v/>
      </c>
      <c r="S30" s="2" t="str">
        <f t="shared" si="32"/>
        <v/>
      </c>
      <c r="T30" s="2" t="str">
        <f t="shared" si="33"/>
        <v/>
      </c>
      <c r="U30" s="2" t="str">
        <f t="shared" si="34"/>
        <v/>
      </c>
      <c r="V30" s="97" t="str">
        <f t="shared" si="35"/>
        <v/>
      </c>
      <c r="W30" s="97" t="e">
        <f t="shared" si="36"/>
        <v>#N/A</v>
      </c>
      <c r="X30" s="2" t="e">
        <f t="shared" si="1"/>
        <v>#N/A</v>
      </c>
      <c r="Y30" s="95" t="str">
        <f t="shared" si="37"/>
        <v/>
      </c>
      <c r="Z30" s="261" t="str">
        <f t="shared" si="38"/>
        <v/>
      </c>
      <c r="AA30" s="95" t="str">
        <f t="shared" ref="AA30:AA31" si="60">IF(ISNUMBER(Y30),INDEX(Y30:Y130,MATCH(TRUE,INDEX(Y30:Y130&lt;&gt;Y30,),0)),"")</f>
        <v/>
      </c>
      <c r="AB30" s="95" t="str">
        <f t="shared" si="40"/>
        <v/>
      </c>
      <c r="AC30" s="95" t="str">
        <f t="shared" si="41"/>
        <v/>
      </c>
      <c r="AD30" s="95" t="e">
        <f t="shared" ref="AD30:AD31" si="61">IF(ISTEXT(AB30),INDEX(AB30:AB130,MATCH(TRUE,INDEX(AB30:AB130&lt;&gt;AB30,),0)),"")</f>
        <v>#N/A</v>
      </c>
      <c r="AE30" s="18" t="str">
        <f t="shared" si="43"/>
        <v/>
      </c>
      <c r="AF30" s="18" t="str">
        <f t="shared" si="2"/>
        <v/>
      </c>
      <c r="AG30" s="18" t="str">
        <f t="shared" si="3"/>
        <v/>
      </c>
      <c r="AH30" s="18" t="str">
        <f t="shared" si="4"/>
        <v/>
      </c>
      <c r="AI30" s="18" t="e">
        <f t="shared" ref="AI30:AI31" si="62">IF(AND(ISNUMBER(AI29),ISNUMBER(S30)),(VLOOKUP(AD30,AB30:AC130,2,FALSE)),IF(ISNUMBER(S30),R30,NA()))</f>
        <v>#N/A</v>
      </c>
      <c r="AJ30" s="18" t="e">
        <f t="shared" si="5"/>
        <v>#N/A</v>
      </c>
      <c r="AK30" s="18" t="str">
        <f t="shared" si="6"/>
        <v/>
      </c>
      <c r="AL30" s="18" t="str">
        <f t="shared" si="7"/>
        <v/>
      </c>
      <c r="AN30" s="1"/>
      <c r="AO30" s="1"/>
      <c r="AP30" s="1"/>
      <c r="AQ30" s="1"/>
      <c r="AR30" s="2"/>
      <c r="AS30" s="166">
        <f t="shared" si="8"/>
        <v>27.201250000000002</v>
      </c>
      <c r="AT30" s="40">
        <f t="shared" si="45"/>
        <v>5</v>
      </c>
      <c r="AU30" s="166">
        <f t="shared" si="9"/>
        <v>27.201250000000002</v>
      </c>
      <c r="AV30" s="40">
        <f t="shared" si="0"/>
        <v>5</v>
      </c>
      <c r="AW30" s="152"/>
      <c r="AY30" s="166">
        <f t="shared" si="10"/>
        <v>27.201250000000002</v>
      </c>
      <c r="AZ30">
        <f t="shared" si="11"/>
        <v>3.5010000000000003</v>
      </c>
      <c r="BA30" s="341">
        <f t="shared" si="12"/>
        <v>27.201250000000002</v>
      </c>
      <c r="BB30">
        <f t="shared" si="13"/>
        <v>3.5010000000000003</v>
      </c>
      <c r="BD30">
        <f t="shared" si="14"/>
        <v>1.4989999999999997</v>
      </c>
      <c r="BE30" s="2">
        <f t="shared" si="15"/>
        <v>0</v>
      </c>
      <c r="BF30" s="122">
        <f t="shared" si="16"/>
        <v>0</v>
      </c>
      <c r="BG30" t="str">
        <f t="shared" si="17"/>
        <v>MAX WSE</v>
      </c>
      <c r="BH30" s="122">
        <f t="shared" si="18"/>
        <v>5</v>
      </c>
      <c r="BJ30" s="122">
        <f t="shared" si="19"/>
        <v>1.4989999999999997</v>
      </c>
      <c r="BL30" s="2">
        <f t="shared" si="47"/>
        <v>0</v>
      </c>
      <c r="BM30" s="2"/>
      <c r="BN30" s="2">
        <f t="shared" si="21"/>
        <v>27.201250000000002</v>
      </c>
      <c r="BO30" s="2" t="str">
        <f>IF(BP30="Left",IF(ISERROR(VLOOKUP(BN30,XS_Designer_Summary!$A$21:$B$25,2,TRUE)),"",VLOOKUP(BN30,XS_Designer_Summary!$A$21:$B$25,2,TRUE)),IF(ISERROR(VLOOKUP(-BN30,XS_Designer_Summary!$A$28:$B$32,2,TRUE)),"",VLOOKUP(-BN30,XS_Designer_Summary!$A$28:$B$32,2,TRUE)))</f>
        <v>Right 3rd Stage</v>
      </c>
      <c r="BP30" s="2" t="str">
        <f>IF(AU30&lt;XS_Designer_Summary!$B$7,"Left",IF(AU30&gt;XS_Designer_Summary!$B$7,"Right","Thalweg"))</f>
        <v>Right</v>
      </c>
      <c r="BQ30" s="2">
        <f t="shared" si="22"/>
        <v>0</v>
      </c>
      <c r="BR30" s="2">
        <f t="shared" si="23"/>
        <v>0</v>
      </c>
      <c r="BS30" s="2">
        <f t="shared" si="24"/>
        <v>0</v>
      </c>
      <c r="BT30" s="2">
        <f t="shared" si="25"/>
        <v>0</v>
      </c>
      <c r="BU30" s="2">
        <f t="shared" si="26"/>
        <v>1.4989999999999997</v>
      </c>
      <c r="BV30" s="2">
        <f t="shared" si="27"/>
        <v>0</v>
      </c>
      <c r="BX30" s="2">
        <f>IF(AND(ISNUMBER($BN30),$BO30="Left 2nd Stage",SUM($BX$5:BX29)=0),$BN30,0)</f>
        <v>0</v>
      </c>
      <c r="BY30" s="2">
        <f>IF(AND(ISNUMBER($BN30),$BO30="Left Bankfull",SUM($BY$5:$BY29)=0),$BN30,0)</f>
        <v>0</v>
      </c>
      <c r="BZ30" s="2">
        <f>IF(AND(ISNUMBER($BN30),$BO30="Right 2nd Stage",SUM($BZ$5:$BZ29)=0),$BN29,0)</f>
        <v>0</v>
      </c>
      <c r="CA30" s="2">
        <f t="shared" si="46"/>
        <v>0</v>
      </c>
    </row>
    <row r="31" spans="1:79" ht="15">
      <c r="A31" s="2">
        <v>27</v>
      </c>
      <c r="B31" s="111" t="e">
        <f>IF(ISNUMBER(XS_Designer!F31),XS_Designer!F31,NA())</f>
        <v>#N/A</v>
      </c>
      <c r="C31" s="111" t="e">
        <f>IF(ISNUMBER(XS_Designer!G31),XS_Designer!G31,NA())</f>
        <v>#N/A</v>
      </c>
      <c r="D31" s="111" t="str">
        <f>IF(ISNUMBER(XS_Designer!I31),XS_Designer!I31,"")</f>
        <v/>
      </c>
      <c r="E31" s="2" t="str">
        <f t="shared" si="28"/>
        <v/>
      </c>
      <c r="F31" s="111" t="str">
        <f>IF(ISTEXT(XS_Designer!H31),VLOOKUP(XS_Designer!H31,$K$12:$L$20,2,FALSE),"")</f>
        <v/>
      </c>
      <c r="G31" s="54" t="str">
        <f t="shared" si="29"/>
        <v/>
      </c>
      <c r="N31" s="2"/>
      <c r="P31" s="2"/>
      <c r="Q31" s="2" t="str">
        <f t="shared" si="30"/>
        <v>N</v>
      </c>
      <c r="R31" s="2" t="str">
        <f t="shared" si="31"/>
        <v/>
      </c>
      <c r="S31" s="2" t="str">
        <f t="shared" si="32"/>
        <v/>
      </c>
      <c r="T31" s="2" t="str">
        <f t="shared" si="33"/>
        <v/>
      </c>
      <c r="U31" s="2" t="str">
        <f t="shared" si="34"/>
        <v/>
      </c>
      <c r="V31" s="97" t="str">
        <f t="shared" si="35"/>
        <v/>
      </c>
      <c r="W31" s="97" t="e">
        <f t="shared" si="36"/>
        <v>#N/A</v>
      </c>
      <c r="X31" s="2" t="e">
        <f t="shared" si="1"/>
        <v>#N/A</v>
      </c>
      <c r="Y31" s="95" t="str">
        <f t="shared" si="37"/>
        <v/>
      </c>
      <c r="Z31" s="261" t="str">
        <f t="shared" si="38"/>
        <v/>
      </c>
      <c r="AA31" s="95" t="str">
        <f t="shared" si="60"/>
        <v/>
      </c>
      <c r="AB31" s="95" t="str">
        <f t="shared" si="40"/>
        <v/>
      </c>
      <c r="AC31" s="95" t="str">
        <f t="shared" si="41"/>
        <v/>
      </c>
      <c r="AD31" s="95" t="e">
        <f t="shared" si="61"/>
        <v>#N/A</v>
      </c>
      <c r="AE31" s="18" t="str">
        <f t="shared" si="43"/>
        <v/>
      </c>
      <c r="AF31" s="18" t="str">
        <f t="shared" si="2"/>
        <v/>
      </c>
      <c r="AG31" s="18" t="str">
        <f t="shared" si="3"/>
        <v/>
      </c>
      <c r="AH31" s="18" t="str">
        <f t="shared" si="4"/>
        <v/>
      </c>
      <c r="AI31" s="18" t="e">
        <f t="shared" si="62"/>
        <v>#N/A</v>
      </c>
      <c r="AJ31" s="18" t="e">
        <f t="shared" si="5"/>
        <v>#N/A</v>
      </c>
      <c r="AK31" s="18" t="str">
        <f t="shared" si="6"/>
        <v/>
      </c>
      <c r="AL31" s="18" t="str">
        <f t="shared" si="7"/>
        <v/>
      </c>
      <c r="AN31" s="1"/>
      <c r="AO31" s="1"/>
      <c r="AP31" s="1"/>
      <c r="AQ31" s="1"/>
      <c r="AS31" s="166">
        <f t="shared" si="8"/>
        <v>27.201250000000002</v>
      </c>
      <c r="AT31" s="40">
        <f t="shared" si="45"/>
        <v>5</v>
      </c>
      <c r="AU31" s="166">
        <f t="shared" si="9"/>
        <v>27.201250000000002</v>
      </c>
      <c r="AV31" s="40">
        <f t="shared" si="0"/>
        <v>5</v>
      </c>
      <c r="AW31" s="152"/>
      <c r="AY31" s="166">
        <f t="shared" si="10"/>
        <v>27.201250000000002</v>
      </c>
      <c r="AZ31">
        <f t="shared" si="11"/>
        <v>3.5010000000000003</v>
      </c>
      <c r="BA31" s="341">
        <f t="shared" si="12"/>
        <v>27.201250000000002</v>
      </c>
      <c r="BB31">
        <f t="shared" si="13"/>
        <v>3.5010000000000003</v>
      </c>
      <c r="BD31">
        <f t="shared" si="14"/>
        <v>1.4989999999999997</v>
      </c>
      <c r="BE31" s="2">
        <f t="shared" si="15"/>
        <v>0</v>
      </c>
      <c r="BF31" s="122">
        <f t="shared" si="16"/>
        <v>0</v>
      </c>
      <c r="BG31" t="str">
        <f t="shared" si="17"/>
        <v>MAX WSE</v>
      </c>
      <c r="BH31" s="122">
        <f t="shared" si="18"/>
        <v>5</v>
      </c>
      <c r="BJ31" s="122">
        <f t="shared" si="19"/>
        <v>1.4989999999999997</v>
      </c>
      <c r="BL31" s="2">
        <f t="shared" si="47"/>
        <v>0</v>
      </c>
      <c r="BM31" s="2"/>
      <c r="BN31" s="2">
        <f t="shared" si="21"/>
        <v>27.201250000000002</v>
      </c>
      <c r="BO31" s="2" t="str">
        <f>IF(BP31="Left",IF(ISERROR(VLOOKUP(BN31,XS_Designer_Summary!$A$21:$B$25,2,TRUE)),"",VLOOKUP(BN31,XS_Designer_Summary!$A$21:$B$25,2,TRUE)),IF(ISERROR(VLOOKUP(-BN31,XS_Designer_Summary!$A$28:$B$32,2,TRUE)),"",VLOOKUP(-BN31,XS_Designer_Summary!$A$28:$B$32,2,TRUE)))</f>
        <v>Right 3rd Stage</v>
      </c>
      <c r="BP31" s="2" t="str">
        <f>IF(AU31&lt;XS_Designer_Summary!$B$7,"Left",IF(AU31&gt;XS_Designer_Summary!$B$7,"Right","Thalweg"))</f>
        <v>Right</v>
      </c>
      <c r="BQ31" s="2">
        <f t="shared" si="22"/>
        <v>0</v>
      </c>
      <c r="BR31" s="2">
        <f t="shared" si="23"/>
        <v>0</v>
      </c>
      <c r="BS31" s="2">
        <f t="shared" si="24"/>
        <v>0</v>
      </c>
      <c r="BT31" s="2">
        <f t="shared" si="25"/>
        <v>0</v>
      </c>
      <c r="BU31" s="2">
        <f t="shared" si="26"/>
        <v>1.4989999999999997</v>
      </c>
      <c r="BV31" s="2">
        <f t="shared" si="27"/>
        <v>0</v>
      </c>
      <c r="BX31" s="2">
        <f>IF(AND(ISNUMBER($BN31),$BO31="Left 2nd Stage",SUM($BX$5:BX30)=0),$BN31,0)</f>
        <v>0</v>
      </c>
      <c r="BY31" s="2">
        <f>IF(AND(ISNUMBER($BN31),$BO31="Left Bankfull",SUM($BY$5:$BY30)=0),$BN31,0)</f>
        <v>0</v>
      </c>
      <c r="BZ31" s="2">
        <f>IF(AND(ISNUMBER($BN31),$BO31="Right 2nd Stage",SUM($BZ$5:$BZ30)=0),$BN30,0)</f>
        <v>0</v>
      </c>
      <c r="CA31" s="2">
        <f t="shared" si="46"/>
        <v>0</v>
      </c>
    </row>
    <row r="32" spans="1:79" ht="15">
      <c r="A32" s="2">
        <v>28</v>
      </c>
      <c r="B32" s="111" t="e">
        <f>IF(ISNUMBER(XS_Designer!F32),XS_Designer!F32,NA())</f>
        <v>#N/A</v>
      </c>
      <c r="C32" s="111" t="e">
        <f>IF(ISNUMBER(XS_Designer!G32),XS_Designer!G32,NA())</f>
        <v>#N/A</v>
      </c>
      <c r="D32" s="111" t="str">
        <f>IF(ISNUMBER(XS_Designer!I32),XS_Designer!I32,"")</f>
        <v/>
      </c>
      <c r="E32" s="2" t="str">
        <f t="shared" si="28"/>
        <v/>
      </c>
      <c r="F32" s="111" t="str">
        <f>IF(ISTEXT(XS_Designer!H32),VLOOKUP(XS_Designer!H32,$K$12:$L$20,2,FALSE),"")</f>
        <v/>
      </c>
      <c r="G32" s="54" t="str">
        <f t="shared" si="29"/>
        <v/>
      </c>
      <c r="N32" s="2"/>
      <c r="P32" s="2"/>
      <c r="Q32" s="2" t="str">
        <f t="shared" si="30"/>
        <v>N</v>
      </c>
      <c r="R32" s="2" t="str">
        <f t="shared" si="31"/>
        <v/>
      </c>
      <c r="S32" s="2" t="str">
        <f t="shared" si="32"/>
        <v/>
      </c>
      <c r="T32" s="2" t="str">
        <f t="shared" si="33"/>
        <v/>
      </c>
      <c r="U32" s="2" t="str">
        <f t="shared" si="34"/>
        <v/>
      </c>
      <c r="V32" s="97" t="str">
        <f t="shared" si="35"/>
        <v/>
      </c>
      <c r="W32" s="97" t="e">
        <f t="shared" si="36"/>
        <v>#N/A</v>
      </c>
      <c r="X32" s="2" t="e">
        <f t="shared" si="1"/>
        <v>#N/A</v>
      </c>
      <c r="Y32" s="95" t="str">
        <f t="shared" si="37"/>
        <v/>
      </c>
      <c r="Z32" s="261" t="str">
        <f t="shared" si="38"/>
        <v/>
      </c>
      <c r="AA32" s="95" t="str">
        <f>IF(ISNUMBER(Y32),INDEX(Y32:Y131,MATCH(TRUE,INDEX(Y32:Y131&lt;&gt;Y32,),0)),"")</f>
        <v/>
      </c>
      <c r="AB32" s="95" t="str">
        <f t="shared" si="40"/>
        <v/>
      </c>
      <c r="AC32" s="95" t="str">
        <f t="shared" si="41"/>
        <v/>
      </c>
      <c r="AD32" s="95" t="e">
        <f>IF(ISTEXT(AB32),INDEX(AB32:AB131,MATCH(TRUE,INDEX(AB32:AB131&lt;&gt;AB32,),0)),"")</f>
        <v>#N/A</v>
      </c>
      <c r="AE32" s="18" t="str">
        <f t="shared" si="43"/>
        <v/>
      </c>
      <c r="AF32" s="18" t="str">
        <f t="shared" si="2"/>
        <v/>
      </c>
      <c r="AG32" s="18" t="str">
        <f t="shared" si="3"/>
        <v/>
      </c>
      <c r="AH32" s="18" t="str">
        <f t="shared" si="4"/>
        <v/>
      </c>
      <c r="AI32" s="18" t="e">
        <f>IF(AND(ISNUMBER(AI31),ISNUMBER(S32)),(VLOOKUP(AD32,AB32:AC131,2,FALSE)),IF(ISNUMBER(S32),R32,NA()))</f>
        <v>#N/A</v>
      </c>
      <c r="AJ32" s="18" t="e">
        <f t="shared" si="5"/>
        <v>#N/A</v>
      </c>
      <c r="AK32" s="18" t="str">
        <f t="shared" si="6"/>
        <v/>
      </c>
      <c r="AL32" s="18" t="str">
        <f t="shared" si="7"/>
        <v/>
      </c>
      <c r="AN32" s="1"/>
      <c r="AO32" s="1"/>
      <c r="AP32" s="1"/>
      <c r="AQ32" s="1"/>
      <c r="AS32" s="166">
        <f t="shared" si="8"/>
        <v>27.201250000000002</v>
      </c>
      <c r="AT32" s="40">
        <f t="shared" si="45"/>
        <v>5</v>
      </c>
      <c r="AU32" s="166">
        <f t="shared" si="9"/>
        <v>27.201250000000002</v>
      </c>
      <c r="AV32" s="40">
        <f t="shared" si="0"/>
        <v>5</v>
      </c>
      <c r="AW32" s="152"/>
      <c r="AY32" s="166">
        <f t="shared" si="10"/>
        <v>27.201250000000002</v>
      </c>
      <c r="AZ32">
        <f t="shared" si="11"/>
        <v>3.5010000000000003</v>
      </c>
      <c r="BA32" s="341">
        <f t="shared" si="12"/>
        <v>27.201250000000002</v>
      </c>
      <c r="BB32">
        <f t="shared" si="13"/>
        <v>3.5010000000000003</v>
      </c>
      <c r="BD32">
        <f t="shared" si="14"/>
        <v>1.4989999999999997</v>
      </c>
      <c r="BE32" s="2">
        <f t="shared" si="15"/>
        <v>0</v>
      </c>
      <c r="BF32" s="122">
        <f t="shared" si="16"/>
        <v>0</v>
      </c>
      <c r="BG32" t="str">
        <f t="shared" si="17"/>
        <v>MAX WSE</v>
      </c>
      <c r="BH32" s="122">
        <f t="shared" si="18"/>
        <v>5</v>
      </c>
      <c r="BJ32" s="122">
        <f t="shared" si="19"/>
        <v>1.4989999999999997</v>
      </c>
      <c r="BL32" s="2">
        <f t="shared" si="47"/>
        <v>0</v>
      </c>
      <c r="BM32" s="2"/>
      <c r="BN32" s="2">
        <f t="shared" si="21"/>
        <v>27.201250000000002</v>
      </c>
      <c r="BO32" s="2" t="str">
        <f>IF(BP32="Left",IF(ISERROR(VLOOKUP(BN32,XS_Designer_Summary!$A$21:$B$25,2,TRUE)),"",VLOOKUP(BN32,XS_Designer_Summary!$A$21:$B$25,2,TRUE)),IF(ISERROR(VLOOKUP(-BN32,XS_Designer_Summary!$A$28:$B$32,2,TRUE)),"",VLOOKUP(-BN32,XS_Designer_Summary!$A$28:$B$32,2,TRUE)))</f>
        <v>Right 3rd Stage</v>
      </c>
      <c r="BP32" s="2" t="str">
        <f>IF(AU32&lt;XS_Designer_Summary!$B$7,"Left",IF(AU32&gt;XS_Designer_Summary!$B$7,"Right","Thalweg"))</f>
        <v>Right</v>
      </c>
      <c r="BQ32" s="2">
        <f t="shared" si="22"/>
        <v>0</v>
      </c>
      <c r="BR32" s="2">
        <f t="shared" si="23"/>
        <v>0</v>
      </c>
      <c r="BS32" s="2">
        <f t="shared" si="24"/>
        <v>0</v>
      </c>
      <c r="BT32" s="2">
        <f t="shared" si="25"/>
        <v>0</v>
      </c>
      <c r="BU32" s="2">
        <f t="shared" si="26"/>
        <v>1.4989999999999997</v>
      </c>
      <c r="BV32" s="2">
        <f t="shared" si="27"/>
        <v>0</v>
      </c>
      <c r="BX32" s="2">
        <f>IF(AND(ISNUMBER($BN32),$BO32="Left 2nd Stage",SUM($BX$5:BX31)=0),$BN32,0)</f>
        <v>0</v>
      </c>
      <c r="BY32" s="2">
        <f>IF(AND(ISNUMBER($BN32),$BO32="Left Bankfull",SUM($BY$5:$BY31)=0),$BN32,0)</f>
        <v>0</v>
      </c>
      <c r="BZ32" s="2">
        <f>IF(AND(ISNUMBER($BN32),$BO32="Right 2nd Stage",SUM($BZ$5:$BZ31)=0),$BN31,0)</f>
        <v>0</v>
      </c>
      <c r="CA32" s="2">
        <f t="shared" si="46"/>
        <v>0</v>
      </c>
    </row>
    <row r="33" spans="1:79">
      <c r="A33" s="2">
        <v>29</v>
      </c>
      <c r="B33" s="111" t="e">
        <f>IF(ISNUMBER(XS_Designer!F33),XS_Designer!F33,NA())</f>
        <v>#N/A</v>
      </c>
      <c r="C33" s="111" t="e">
        <f>IF(ISNUMBER(XS_Designer!G33),XS_Designer!G33,NA())</f>
        <v>#N/A</v>
      </c>
      <c r="D33" s="111" t="str">
        <f>IF(ISNUMBER(XS_Designer!I33),XS_Designer!I33,"")</f>
        <v/>
      </c>
      <c r="E33" s="2" t="str">
        <f t="shared" si="28"/>
        <v/>
      </c>
      <c r="F33" s="111" t="str">
        <f>IF(ISTEXT(XS_Designer!H33),VLOOKUP(XS_Designer!H33,$K$12:$L$20,2,FALSE),"")</f>
        <v/>
      </c>
      <c r="G33" s="54" t="str">
        <f t="shared" si="29"/>
        <v/>
      </c>
      <c r="Q33" s="2" t="str">
        <f t="shared" si="30"/>
        <v>N</v>
      </c>
      <c r="R33" s="2" t="str">
        <f t="shared" si="31"/>
        <v/>
      </c>
      <c r="S33" s="2" t="str">
        <f t="shared" si="32"/>
        <v/>
      </c>
      <c r="T33" s="2" t="str">
        <f t="shared" si="33"/>
        <v/>
      </c>
      <c r="U33" s="2" t="str">
        <f t="shared" si="34"/>
        <v/>
      </c>
      <c r="V33" s="97" t="str">
        <f t="shared" si="35"/>
        <v/>
      </c>
      <c r="W33" s="97" t="e">
        <f t="shared" si="36"/>
        <v>#N/A</v>
      </c>
      <c r="X33" s="2" t="e">
        <f t="shared" si="1"/>
        <v>#N/A</v>
      </c>
      <c r="Y33" s="95" t="str">
        <f t="shared" si="37"/>
        <v/>
      </c>
      <c r="Z33" s="261" t="str">
        <f t="shared" si="38"/>
        <v/>
      </c>
      <c r="AA33" s="95" t="str">
        <f>IF(ISNUMBER(Y33),INDEX(Y33:Y131,MATCH(TRUE,INDEX(Y33:Y131&lt;&gt;Y33,),0)),"")</f>
        <v/>
      </c>
      <c r="AB33" s="95" t="str">
        <f t="shared" si="40"/>
        <v/>
      </c>
      <c r="AC33" s="95" t="str">
        <f t="shared" si="41"/>
        <v/>
      </c>
      <c r="AD33" s="95" t="e">
        <f>IF(ISTEXT(AB33),INDEX(AB33:AB131,MATCH(TRUE,INDEX(AB33:AB131&lt;&gt;AB33,),0)),"")</f>
        <v>#N/A</v>
      </c>
      <c r="AE33" s="18" t="str">
        <f t="shared" si="43"/>
        <v/>
      </c>
      <c r="AF33" s="18" t="str">
        <f t="shared" si="2"/>
        <v/>
      </c>
      <c r="AG33" s="18" t="str">
        <f t="shared" si="3"/>
        <v/>
      </c>
      <c r="AH33" s="18" t="str">
        <f t="shared" si="4"/>
        <v/>
      </c>
      <c r="AI33" s="18" t="e">
        <f>IF(AND(ISNUMBER(AI32),ISNUMBER(S33)),(VLOOKUP(AD33,AB33:AC131,2,FALSE)),IF(ISNUMBER(S33),R33,NA()))</f>
        <v>#N/A</v>
      </c>
      <c r="AJ33" s="18" t="e">
        <f t="shared" si="5"/>
        <v>#N/A</v>
      </c>
      <c r="AK33" s="18" t="str">
        <f t="shared" si="6"/>
        <v/>
      </c>
      <c r="AL33" s="18" t="str">
        <f t="shared" si="7"/>
        <v/>
      </c>
      <c r="AQ33" t="str">
        <f>IF(ISNUMBER(AG92),AG92,IF(ISNUMBER(AF92),AH91,""))</f>
        <v/>
      </c>
      <c r="AS33" s="166">
        <f t="shared" si="8"/>
        <v>27.201250000000002</v>
      </c>
      <c r="AT33" s="40">
        <f t="shared" si="45"/>
        <v>5</v>
      </c>
      <c r="AU33" s="166">
        <f t="shared" si="9"/>
        <v>27.201250000000002</v>
      </c>
      <c r="AV33" s="40">
        <f t="shared" si="0"/>
        <v>5</v>
      </c>
      <c r="AW33" s="152"/>
      <c r="AY33" s="166">
        <f t="shared" si="10"/>
        <v>27.201250000000002</v>
      </c>
      <c r="AZ33">
        <f t="shared" si="11"/>
        <v>3.5010000000000003</v>
      </c>
      <c r="BA33" s="341">
        <f t="shared" si="12"/>
        <v>27.201250000000002</v>
      </c>
      <c r="BB33">
        <f t="shared" si="13"/>
        <v>3.5010000000000003</v>
      </c>
      <c r="BD33">
        <f t="shared" si="14"/>
        <v>1.4989999999999997</v>
      </c>
      <c r="BE33" s="2">
        <f t="shared" si="15"/>
        <v>0</v>
      </c>
      <c r="BF33" s="122">
        <f t="shared" si="16"/>
        <v>0</v>
      </c>
      <c r="BG33" t="str">
        <f t="shared" si="17"/>
        <v>MAX WSE</v>
      </c>
      <c r="BH33" s="122">
        <f t="shared" si="18"/>
        <v>5</v>
      </c>
      <c r="BJ33" s="122">
        <f t="shared" si="19"/>
        <v>1.4989999999999997</v>
      </c>
      <c r="BL33" s="2">
        <f t="shared" si="47"/>
        <v>0</v>
      </c>
      <c r="BM33" s="2"/>
      <c r="BN33" s="2">
        <f t="shared" si="21"/>
        <v>27.201250000000002</v>
      </c>
      <c r="BO33" s="2" t="str">
        <f>IF(BP33="Left",IF(ISERROR(VLOOKUP(BN33,XS_Designer_Summary!$A$21:$B$25,2,TRUE)),"",VLOOKUP(BN33,XS_Designer_Summary!$A$21:$B$25,2,TRUE)),IF(ISERROR(VLOOKUP(-BN33,XS_Designer_Summary!$A$28:$B$32,2,TRUE)),"",VLOOKUP(-BN33,XS_Designer_Summary!$A$28:$B$32,2,TRUE)))</f>
        <v>Right 3rd Stage</v>
      </c>
      <c r="BP33" s="2" t="str">
        <f>IF(AU33&lt;XS_Designer_Summary!$B$7,"Left",IF(AU33&gt;XS_Designer_Summary!$B$7,"Right","Thalweg"))</f>
        <v>Right</v>
      </c>
      <c r="BQ33" s="2">
        <f t="shared" si="22"/>
        <v>0</v>
      </c>
      <c r="BR33" s="2">
        <f t="shared" si="23"/>
        <v>0</v>
      </c>
      <c r="BS33" s="2">
        <f t="shared" si="24"/>
        <v>0</v>
      </c>
      <c r="BT33" s="2">
        <f t="shared" si="25"/>
        <v>0</v>
      </c>
      <c r="BU33" s="2">
        <f t="shared" si="26"/>
        <v>1.4989999999999997</v>
      </c>
      <c r="BV33" s="2">
        <f t="shared" si="27"/>
        <v>0</v>
      </c>
      <c r="BX33" s="2">
        <f>IF(AND(ISNUMBER($BN33),$BO33="Left 2nd Stage",SUM($BX$5:BX32)=0),$BN33,0)</f>
        <v>0</v>
      </c>
      <c r="BY33" s="2">
        <f>IF(AND(ISNUMBER($BN33),$BO33="Left Bankfull",SUM($BY$5:$BY32)=0),$BN33,0)</f>
        <v>0</v>
      </c>
      <c r="BZ33" s="2">
        <f>IF(AND(ISNUMBER($BN33),$BO33="Right 2nd Stage",SUM($BZ$5:$BZ32)=0),$BN32,0)</f>
        <v>0</v>
      </c>
      <c r="CA33" s="2">
        <f t="shared" si="46"/>
        <v>0</v>
      </c>
    </row>
    <row r="34" spans="1:79">
      <c r="A34" s="2">
        <v>30</v>
      </c>
      <c r="B34" s="111" t="e">
        <f>IF(ISNUMBER(XS_Designer!F34),XS_Designer!F34,NA())</f>
        <v>#N/A</v>
      </c>
      <c r="C34" s="111" t="e">
        <f>IF(ISNUMBER(XS_Designer!G34),XS_Designer!G34,NA())</f>
        <v>#N/A</v>
      </c>
      <c r="D34" s="111" t="str">
        <f>IF(ISNUMBER(XS_Designer!I34),XS_Designer!I34,"")</f>
        <v/>
      </c>
      <c r="E34" s="2" t="str">
        <f t="shared" si="28"/>
        <v/>
      </c>
      <c r="F34" s="111" t="str">
        <f>IF(ISTEXT(XS_Designer!H34),VLOOKUP(XS_Designer!H34,$K$12:$L$20,2,FALSE),"")</f>
        <v/>
      </c>
      <c r="G34" s="54" t="str">
        <f t="shared" si="29"/>
        <v/>
      </c>
      <c r="Q34" s="2" t="str">
        <f t="shared" si="30"/>
        <v>N</v>
      </c>
      <c r="R34" s="2" t="str">
        <f t="shared" si="31"/>
        <v/>
      </c>
      <c r="S34" s="2" t="str">
        <f t="shared" si="32"/>
        <v/>
      </c>
      <c r="T34" s="2" t="str">
        <f t="shared" si="33"/>
        <v/>
      </c>
      <c r="U34" s="2" t="str">
        <f t="shared" si="34"/>
        <v/>
      </c>
      <c r="V34" s="97" t="str">
        <f t="shared" si="35"/>
        <v/>
      </c>
      <c r="W34" s="97" t="e">
        <f t="shared" si="36"/>
        <v>#N/A</v>
      </c>
      <c r="X34" s="2" t="e">
        <f t="shared" si="1"/>
        <v>#N/A</v>
      </c>
      <c r="Y34" s="95" t="str">
        <f t="shared" si="37"/>
        <v/>
      </c>
      <c r="Z34" s="261" t="str">
        <f t="shared" si="38"/>
        <v/>
      </c>
      <c r="AA34" s="95" t="str">
        <f>IF(ISNUMBER(Y34),INDEX(Y34:Y131,MATCH(TRUE,INDEX(Y34:Y131&lt;&gt;Y34,),0)),"")</f>
        <v/>
      </c>
      <c r="AB34" s="95" t="str">
        <f t="shared" si="40"/>
        <v/>
      </c>
      <c r="AC34" s="95" t="str">
        <f t="shared" si="41"/>
        <v/>
      </c>
      <c r="AD34" s="95" t="e">
        <f>IF(ISTEXT(AB34),INDEX(AB34:AB131,MATCH(TRUE,INDEX(AB34:AB131&lt;&gt;AB34,),0)),"")</f>
        <v>#N/A</v>
      </c>
      <c r="AE34" s="18" t="str">
        <f t="shared" si="43"/>
        <v/>
      </c>
      <c r="AF34" s="18" t="str">
        <f t="shared" si="2"/>
        <v/>
      </c>
      <c r="AG34" s="18" t="str">
        <f t="shared" si="3"/>
        <v/>
      </c>
      <c r="AH34" s="18" t="str">
        <f t="shared" si="4"/>
        <v/>
      </c>
      <c r="AI34" s="18" t="e">
        <f>IF(AND(ISNUMBER(AI33),ISNUMBER(S34)),(VLOOKUP(AD34,AB34:AC131,2,FALSE)),IF(ISNUMBER(S34),R34,NA()))</f>
        <v>#N/A</v>
      </c>
      <c r="AJ34" s="18" t="e">
        <f t="shared" si="5"/>
        <v>#N/A</v>
      </c>
      <c r="AK34" s="18" t="str">
        <f t="shared" si="6"/>
        <v/>
      </c>
      <c r="AL34" s="18" t="str">
        <f t="shared" si="7"/>
        <v/>
      </c>
      <c r="AS34" s="166">
        <f t="shared" si="8"/>
        <v>27.201250000000002</v>
      </c>
      <c r="AT34" s="40">
        <f t="shared" si="45"/>
        <v>5</v>
      </c>
      <c r="AU34" s="166">
        <f t="shared" si="9"/>
        <v>27.201250000000002</v>
      </c>
      <c r="AV34" s="40">
        <f t="shared" si="0"/>
        <v>5</v>
      </c>
      <c r="AW34" s="152"/>
      <c r="AY34" s="166">
        <f t="shared" si="10"/>
        <v>27.201250000000002</v>
      </c>
      <c r="AZ34">
        <f t="shared" si="11"/>
        <v>3.5010000000000003</v>
      </c>
      <c r="BA34" s="341">
        <f t="shared" si="12"/>
        <v>27.201250000000002</v>
      </c>
      <c r="BB34">
        <f t="shared" si="13"/>
        <v>3.5010000000000003</v>
      </c>
      <c r="BD34">
        <f t="shared" si="14"/>
        <v>1.4989999999999997</v>
      </c>
      <c r="BE34" s="2">
        <f t="shared" si="15"/>
        <v>0</v>
      </c>
      <c r="BF34" s="122">
        <f t="shared" si="16"/>
        <v>0</v>
      </c>
      <c r="BG34" t="str">
        <f t="shared" si="17"/>
        <v>MAX WSE</v>
      </c>
      <c r="BH34" s="122">
        <f t="shared" si="18"/>
        <v>5</v>
      </c>
      <c r="BJ34" s="122">
        <f t="shared" si="19"/>
        <v>1.4989999999999997</v>
      </c>
      <c r="BL34" s="2">
        <f t="shared" si="47"/>
        <v>0</v>
      </c>
      <c r="BM34" s="2"/>
      <c r="BN34" s="2">
        <f t="shared" si="21"/>
        <v>27.201250000000002</v>
      </c>
      <c r="BO34" s="2" t="str">
        <f>IF(BP34="Left",IF(ISERROR(VLOOKUP(BN34,XS_Designer_Summary!$A$21:$B$25,2,TRUE)),"",VLOOKUP(BN34,XS_Designer_Summary!$A$21:$B$25,2,TRUE)),IF(ISERROR(VLOOKUP(-BN34,XS_Designer_Summary!$A$28:$B$32,2,TRUE)),"",VLOOKUP(-BN34,XS_Designer_Summary!$A$28:$B$32,2,TRUE)))</f>
        <v>Right 3rd Stage</v>
      </c>
      <c r="BP34" s="2" t="str">
        <f>IF(AU34&lt;XS_Designer_Summary!$B$7,"Left",IF(AU34&gt;XS_Designer_Summary!$B$7,"Right","Thalweg"))</f>
        <v>Right</v>
      </c>
      <c r="BQ34" s="2">
        <f t="shared" si="22"/>
        <v>0</v>
      </c>
      <c r="BR34" s="2">
        <f t="shared" si="23"/>
        <v>0</v>
      </c>
      <c r="BS34" s="2">
        <f t="shared" si="24"/>
        <v>0</v>
      </c>
      <c r="BT34" s="2">
        <f t="shared" si="25"/>
        <v>0</v>
      </c>
      <c r="BU34" s="2">
        <f t="shared" si="26"/>
        <v>1.4989999999999997</v>
      </c>
      <c r="BV34" s="2">
        <f t="shared" si="27"/>
        <v>0</v>
      </c>
      <c r="BX34" s="2">
        <f>IF(AND(ISNUMBER($BN34),$BO34="Left 2nd Stage",SUM($BX$5:BX33)=0),$BN34,0)</f>
        <v>0</v>
      </c>
      <c r="BY34" s="2">
        <f>IF(AND(ISNUMBER($BN34),$BO34="Left Bankfull",SUM($BY$5:$BY33)=0),$BN34,0)</f>
        <v>0</v>
      </c>
      <c r="BZ34" s="2">
        <f>IF(AND(ISNUMBER($BN34),$BO34="Right 2nd Stage",SUM($BZ$5:$BZ33)=0),$BN33,0)</f>
        <v>0</v>
      </c>
      <c r="CA34" s="2">
        <f t="shared" si="46"/>
        <v>0</v>
      </c>
    </row>
    <row r="35" spans="1:79">
      <c r="A35" s="2">
        <v>31</v>
      </c>
      <c r="B35" s="111" t="e">
        <f>IF(ISNUMBER(XS_Designer!F35),XS_Designer!F35,NA())</f>
        <v>#N/A</v>
      </c>
      <c r="C35" s="111" t="e">
        <f>IF(ISNUMBER(XS_Designer!G35),XS_Designer!G35,NA())</f>
        <v>#N/A</v>
      </c>
      <c r="D35" s="111" t="str">
        <f>IF(ISNUMBER(XS_Designer!I35),XS_Designer!I35,"")</f>
        <v/>
      </c>
      <c r="E35" s="2" t="str">
        <f t="shared" si="28"/>
        <v/>
      </c>
      <c r="F35" s="111" t="str">
        <f>IF(ISTEXT(XS_Designer!H35),VLOOKUP(XS_Designer!H35,$K$12:$L$20,2,FALSE),"")</f>
        <v/>
      </c>
      <c r="G35" s="54" t="str">
        <f t="shared" si="29"/>
        <v/>
      </c>
      <c r="Q35" s="2" t="str">
        <f t="shared" si="30"/>
        <v>N</v>
      </c>
      <c r="R35" s="2" t="str">
        <f t="shared" si="31"/>
        <v/>
      </c>
      <c r="S35" s="2" t="str">
        <f t="shared" si="32"/>
        <v/>
      </c>
      <c r="T35" s="2" t="str">
        <f t="shared" si="33"/>
        <v/>
      </c>
      <c r="U35" s="2" t="str">
        <f t="shared" si="34"/>
        <v/>
      </c>
      <c r="V35" s="97" t="str">
        <f t="shared" si="35"/>
        <v/>
      </c>
      <c r="W35" s="97" t="e">
        <f t="shared" si="36"/>
        <v>#N/A</v>
      </c>
      <c r="X35" s="2" t="e">
        <f t="shared" si="1"/>
        <v>#N/A</v>
      </c>
      <c r="Y35" s="95" t="str">
        <f t="shared" si="37"/>
        <v/>
      </c>
      <c r="Z35" s="261" t="str">
        <f t="shared" si="38"/>
        <v/>
      </c>
      <c r="AA35" s="95" t="str">
        <f t="shared" ref="AA35:AA36" si="63">IF(ISNUMBER(Y35),INDEX(Y35:Y135,MATCH(TRUE,INDEX(Y35:Y135&lt;&gt;Y35,),0)),"")</f>
        <v/>
      </c>
      <c r="AB35" s="95" t="str">
        <f t="shared" si="40"/>
        <v/>
      </c>
      <c r="AC35" s="95" t="str">
        <f t="shared" si="41"/>
        <v/>
      </c>
      <c r="AD35" s="95" t="e">
        <f t="shared" ref="AD35:AD36" si="64">IF(ISTEXT(AB35),INDEX(AB35:AB135,MATCH(TRUE,INDEX(AB35:AB135&lt;&gt;AB35,),0)),"")</f>
        <v>#N/A</v>
      </c>
      <c r="AE35" s="18" t="str">
        <f t="shared" si="43"/>
        <v/>
      </c>
      <c r="AF35" s="18" t="str">
        <f t="shared" si="2"/>
        <v/>
      </c>
      <c r="AG35" s="18" t="str">
        <f t="shared" si="3"/>
        <v/>
      </c>
      <c r="AH35" s="18" t="str">
        <f t="shared" si="4"/>
        <v/>
      </c>
      <c r="AI35" s="18" t="e">
        <f t="shared" ref="AI35:AI36" si="65">IF(AND(ISNUMBER(AI34),ISNUMBER(S35)),(VLOOKUP(AD35,AB35:AC135,2,FALSE)),IF(ISNUMBER(S35),R35,NA()))</f>
        <v>#N/A</v>
      </c>
      <c r="AJ35" s="18" t="e">
        <f t="shared" si="5"/>
        <v>#N/A</v>
      </c>
      <c r="AK35" s="18" t="str">
        <f t="shared" si="6"/>
        <v/>
      </c>
      <c r="AL35" s="18" t="str">
        <f t="shared" si="7"/>
        <v/>
      </c>
      <c r="AS35" s="166">
        <f t="shared" si="8"/>
        <v>27.201250000000002</v>
      </c>
      <c r="AT35" s="40">
        <f t="shared" si="45"/>
        <v>5</v>
      </c>
      <c r="AU35" s="166">
        <f t="shared" si="9"/>
        <v>27.201250000000002</v>
      </c>
      <c r="AV35" s="40">
        <f t="shared" si="0"/>
        <v>5</v>
      </c>
      <c r="AW35" s="152"/>
      <c r="AY35" s="166">
        <f t="shared" si="10"/>
        <v>27.201250000000002</v>
      </c>
      <c r="AZ35">
        <f t="shared" si="11"/>
        <v>3.5010000000000003</v>
      </c>
      <c r="BA35" s="341">
        <f t="shared" si="12"/>
        <v>27.201250000000002</v>
      </c>
      <c r="BB35">
        <f t="shared" si="13"/>
        <v>3.5010000000000003</v>
      </c>
      <c r="BD35">
        <f t="shared" si="14"/>
        <v>1.4989999999999997</v>
      </c>
      <c r="BE35" s="2">
        <f t="shared" si="15"/>
        <v>0</v>
      </c>
      <c r="BF35" s="122">
        <f t="shared" si="16"/>
        <v>0</v>
      </c>
      <c r="BG35" t="str">
        <f t="shared" si="17"/>
        <v>MAX WSE</v>
      </c>
      <c r="BH35" s="122">
        <f t="shared" si="18"/>
        <v>5</v>
      </c>
      <c r="BJ35" s="122">
        <f t="shared" si="19"/>
        <v>1.4989999999999997</v>
      </c>
      <c r="BL35" s="2">
        <f t="shared" si="47"/>
        <v>0</v>
      </c>
      <c r="BM35" s="2"/>
      <c r="BN35" s="2">
        <f t="shared" si="21"/>
        <v>27.201250000000002</v>
      </c>
      <c r="BO35" s="2" t="str">
        <f>IF(BP35="Left",IF(ISERROR(VLOOKUP(BN35,XS_Designer_Summary!$A$21:$B$25,2,TRUE)),"",VLOOKUP(BN35,XS_Designer_Summary!$A$21:$B$25,2,TRUE)),IF(ISERROR(VLOOKUP(-BN35,XS_Designer_Summary!$A$28:$B$32,2,TRUE)),"",VLOOKUP(-BN35,XS_Designer_Summary!$A$28:$B$32,2,TRUE)))</f>
        <v>Right 3rd Stage</v>
      </c>
      <c r="BP35" s="2" t="str">
        <f>IF(AU35&lt;XS_Designer_Summary!$B$7,"Left",IF(AU35&gt;XS_Designer_Summary!$B$7,"Right","Thalweg"))</f>
        <v>Right</v>
      </c>
      <c r="BQ35" s="2">
        <f t="shared" si="22"/>
        <v>0</v>
      </c>
      <c r="BR35" s="2">
        <f t="shared" si="23"/>
        <v>0</v>
      </c>
      <c r="BS35" s="2">
        <f t="shared" si="24"/>
        <v>0</v>
      </c>
      <c r="BT35" s="2">
        <f t="shared" si="25"/>
        <v>0</v>
      </c>
      <c r="BU35" s="2">
        <f t="shared" si="26"/>
        <v>1.4989999999999997</v>
      </c>
      <c r="BV35" s="2">
        <f t="shared" si="27"/>
        <v>0</v>
      </c>
      <c r="BX35" s="2">
        <f>IF(AND(ISNUMBER($BN35),$BO35="Left 2nd Stage",SUM($BX$5:BX34)=0),$BN35,0)</f>
        <v>0</v>
      </c>
      <c r="BY35" s="2">
        <f>IF(AND(ISNUMBER($BN35),$BO35="Left Bankfull",SUM($BY$5:$BY34)=0),$BN35,0)</f>
        <v>0</v>
      </c>
      <c r="BZ35" s="2">
        <f>IF(AND(ISNUMBER($BN35),$BO35="Right 2nd Stage",SUM($BZ$5:$BZ34)=0),$BN34,0)</f>
        <v>0</v>
      </c>
      <c r="CA35" s="2">
        <f t="shared" si="46"/>
        <v>0</v>
      </c>
    </row>
    <row r="36" spans="1:79">
      <c r="A36" s="2">
        <v>32</v>
      </c>
      <c r="B36" s="111" t="e">
        <f>IF(ISNUMBER(XS_Designer!F36),XS_Designer!F36,NA())</f>
        <v>#N/A</v>
      </c>
      <c r="C36" s="111" t="e">
        <f>IF(ISNUMBER(XS_Designer!G36),XS_Designer!G36,NA())</f>
        <v>#N/A</v>
      </c>
      <c r="D36" s="111" t="str">
        <f>IF(ISNUMBER(XS_Designer!I36),XS_Designer!I36,"")</f>
        <v/>
      </c>
      <c r="E36" s="2" t="str">
        <f t="shared" si="28"/>
        <v/>
      </c>
      <c r="F36" s="111" t="str">
        <f>IF(ISTEXT(XS_Designer!H36),VLOOKUP(XS_Designer!H36,$K$12:$L$20,2,FALSE),"")</f>
        <v/>
      </c>
      <c r="G36" s="54" t="str">
        <f t="shared" si="29"/>
        <v/>
      </c>
      <c r="Q36" s="2" t="str">
        <f t="shared" si="30"/>
        <v>N</v>
      </c>
      <c r="R36" s="2" t="str">
        <f t="shared" si="31"/>
        <v/>
      </c>
      <c r="S36" s="2" t="str">
        <f t="shared" si="32"/>
        <v/>
      </c>
      <c r="T36" s="2" t="str">
        <f t="shared" si="33"/>
        <v/>
      </c>
      <c r="U36" s="2" t="str">
        <f t="shared" si="34"/>
        <v/>
      </c>
      <c r="V36" s="97" t="str">
        <f t="shared" si="35"/>
        <v/>
      </c>
      <c r="W36" s="97" t="e">
        <f t="shared" si="36"/>
        <v>#N/A</v>
      </c>
      <c r="X36" s="2" t="e">
        <f t="shared" si="1"/>
        <v>#N/A</v>
      </c>
      <c r="Y36" s="95" t="str">
        <f t="shared" si="37"/>
        <v/>
      </c>
      <c r="Z36" s="261" t="str">
        <f t="shared" si="38"/>
        <v/>
      </c>
      <c r="AA36" s="95" t="str">
        <f t="shared" si="63"/>
        <v/>
      </c>
      <c r="AB36" s="95" t="str">
        <f t="shared" si="40"/>
        <v/>
      </c>
      <c r="AC36" s="95" t="str">
        <f t="shared" si="41"/>
        <v/>
      </c>
      <c r="AD36" s="95" t="e">
        <f t="shared" si="64"/>
        <v>#N/A</v>
      </c>
      <c r="AE36" s="18" t="str">
        <f t="shared" si="43"/>
        <v/>
      </c>
      <c r="AF36" s="18" t="str">
        <f t="shared" si="2"/>
        <v/>
      </c>
      <c r="AG36" s="18" t="str">
        <f t="shared" si="3"/>
        <v/>
      </c>
      <c r="AH36" s="18" t="str">
        <f t="shared" si="4"/>
        <v/>
      </c>
      <c r="AI36" s="18" t="e">
        <f t="shared" si="65"/>
        <v>#N/A</v>
      </c>
      <c r="AJ36" s="18" t="e">
        <f t="shared" si="5"/>
        <v>#N/A</v>
      </c>
      <c r="AK36" s="18" t="str">
        <f t="shared" si="6"/>
        <v/>
      </c>
      <c r="AL36" s="18" t="str">
        <f t="shared" si="7"/>
        <v/>
      </c>
      <c r="AQ36" t="str">
        <f>IF(ISNUMBER(AG93),AG93,IF(ISNUMBER(AF93),AQ33,""))</f>
        <v/>
      </c>
      <c r="AS36" s="166">
        <f t="shared" si="8"/>
        <v>27.201250000000002</v>
      </c>
      <c r="AT36" s="40">
        <f t="shared" si="45"/>
        <v>5</v>
      </c>
      <c r="AU36" s="166">
        <f t="shared" si="9"/>
        <v>27.201250000000002</v>
      </c>
      <c r="AV36" s="40">
        <f t="shared" si="0"/>
        <v>5</v>
      </c>
      <c r="AW36" s="152"/>
      <c r="AY36" s="166">
        <f t="shared" si="10"/>
        <v>27.201250000000002</v>
      </c>
      <c r="AZ36">
        <f t="shared" si="11"/>
        <v>3.5010000000000003</v>
      </c>
      <c r="BA36" s="341">
        <f t="shared" si="12"/>
        <v>27.201250000000002</v>
      </c>
      <c r="BB36">
        <f t="shared" si="13"/>
        <v>3.5010000000000003</v>
      </c>
      <c r="BD36">
        <f t="shared" si="14"/>
        <v>1.4989999999999997</v>
      </c>
      <c r="BE36" s="2">
        <f t="shared" si="15"/>
        <v>0</v>
      </c>
      <c r="BF36" s="122">
        <f t="shared" si="16"/>
        <v>0</v>
      </c>
      <c r="BG36" t="str">
        <f t="shared" si="17"/>
        <v>MAX WSE</v>
      </c>
      <c r="BH36" s="122">
        <f t="shared" si="18"/>
        <v>5</v>
      </c>
      <c r="BJ36" s="122">
        <f t="shared" si="19"/>
        <v>1.4989999999999997</v>
      </c>
      <c r="BL36" s="2">
        <f t="shared" si="47"/>
        <v>0</v>
      </c>
      <c r="BM36" s="2"/>
      <c r="BN36" s="2">
        <f t="shared" si="21"/>
        <v>27.201250000000002</v>
      </c>
      <c r="BO36" s="2" t="str">
        <f>IF(BP36="Left",IF(ISERROR(VLOOKUP(BN36,XS_Designer_Summary!$A$21:$B$25,2,TRUE)),"",VLOOKUP(BN36,XS_Designer_Summary!$A$21:$B$25,2,TRUE)),IF(ISERROR(VLOOKUP(-BN36,XS_Designer_Summary!$A$28:$B$32,2,TRUE)),"",VLOOKUP(-BN36,XS_Designer_Summary!$A$28:$B$32,2,TRUE)))</f>
        <v>Right 3rd Stage</v>
      </c>
      <c r="BP36" s="2" t="str">
        <f>IF(AU36&lt;XS_Designer_Summary!$B$7,"Left",IF(AU36&gt;XS_Designer_Summary!$B$7,"Right","Thalweg"))</f>
        <v>Right</v>
      </c>
      <c r="BQ36" s="2">
        <f t="shared" si="22"/>
        <v>0</v>
      </c>
      <c r="BR36" s="2">
        <f t="shared" si="23"/>
        <v>0</v>
      </c>
      <c r="BS36" s="2">
        <f t="shared" si="24"/>
        <v>0</v>
      </c>
      <c r="BT36" s="2">
        <f t="shared" si="25"/>
        <v>0</v>
      </c>
      <c r="BU36" s="2">
        <f t="shared" si="26"/>
        <v>1.4989999999999997</v>
      </c>
      <c r="BV36" s="2">
        <f t="shared" si="27"/>
        <v>0</v>
      </c>
      <c r="BX36" s="2">
        <f>IF(AND(ISNUMBER($BN36),$BO36="Left 2nd Stage",SUM($BX$5:BX35)=0),$BN36,0)</f>
        <v>0</v>
      </c>
      <c r="BY36" s="2">
        <f>IF(AND(ISNUMBER($BN36),$BO36="Left Bankfull",SUM($BY$5:$BY35)=0),$BN36,0)</f>
        <v>0</v>
      </c>
      <c r="BZ36" s="2">
        <f>IF(AND(ISNUMBER($BN36),$BO36="Right 2nd Stage",SUM($BZ$5:$BZ35)=0),$BN35,0)</f>
        <v>0</v>
      </c>
      <c r="CA36" s="2">
        <f t="shared" si="46"/>
        <v>0</v>
      </c>
    </row>
    <row r="37" spans="1:79">
      <c r="A37" s="2">
        <v>33</v>
      </c>
      <c r="B37" s="111" t="e">
        <f>IF(ISNUMBER(XS_Designer!F37),XS_Designer!F37,NA())</f>
        <v>#N/A</v>
      </c>
      <c r="C37" s="111" t="e">
        <f>IF(ISNUMBER(XS_Designer!G37),XS_Designer!G37,NA())</f>
        <v>#N/A</v>
      </c>
      <c r="D37" s="111" t="str">
        <f>IF(ISNUMBER(XS_Designer!I37),XS_Designer!I37,"")</f>
        <v/>
      </c>
      <c r="E37" s="2" t="str">
        <f t="shared" si="28"/>
        <v/>
      </c>
      <c r="F37" s="111" t="str">
        <f>IF(ISTEXT(XS_Designer!H37),VLOOKUP(XS_Designer!H37,$K$12:$L$20,2,FALSE),"")</f>
        <v/>
      </c>
      <c r="G37" s="54" t="str">
        <f t="shared" si="29"/>
        <v/>
      </c>
      <c r="N37" s="2"/>
      <c r="O37" s="2"/>
      <c r="P37" s="2"/>
      <c r="Q37" s="2" t="str">
        <f t="shared" si="30"/>
        <v>N</v>
      </c>
      <c r="R37" s="2" t="str">
        <f t="shared" si="31"/>
        <v/>
      </c>
      <c r="S37" s="2" t="str">
        <f t="shared" si="32"/>
        <v/>
      </c>
      <c r="T37" s="2" t="str">
        <f t="shared" si="33"/>
        <v/>
      </c>
      <c r="U37" s="2" t="str">
        <f t="shared" si="34"/>
        <v/>
      </c>
      <c r="V37" s="97" t="str">
        <f t="shared" si="35"/>
        <v/>
      </c>
      <c r="W37" s="97" t="e">
        <f t="shared" si="36"/>
        <v>#N/A</v>
      </c>
      <c r="X37" s="2" t="e">
        <f t="shared" si="1"/>
        <v>#N/A</v>
      </c>
      <c r="Y37" s="95" t="str">
        <f t="shared" si="37"/>
        <v/>
      </c>
      <c r="Z37" s="261" t="str">
        <f t="shared" si="38"/>
        <v/>
      </c>
      <c r="AA37" s="95" t="str">
        <f>IF(ISNUMBER(Y37),INDEX(Y37:Y136,MATCH(TRUE,INDEX(Y37:Y136&lt;&gt;Y37,),0)),"")</f>
        <v/>
      </c>
      <c r="AB37" s="95" t="str">
        <f t="shared" si="40"/>
        <v/>
      </c>
      <c r="AC37" s="95" t="str">
        <f t="shared" si="41"/>
        <v/>
      </c>
      <c r="AD37" s="95" t="e">
        <f>IF(ISTEXT(AB37),INDEX(AB37:AB136,MATCH(TRUE,INDEX(AB37:AB136&lt;&gt;AB37,),0)),"")</f>
        <v>#N/A</v>
      </c>
      <c r="AE37" s="18" t="str">
        <f t="shared" si="43"/>
        <v/>
      </c>
      <c r="AF37" s="18" t="str">
        <f t="shared" si="2"/>
        <v/>
      </c>
      <c r="AG37" s="18" t="str">
        <f t="shared" si="3"/>
        <v/>
      </c>
      <c r="AH37" s="18" t="str">
        <f t="shared" si="4"/>
        <v/>
      </c>
      <c r="AI37" s="18" t="e">
        <f>IF(AND(ISNUMBER(AI36),ISNUMBER(S37)),(VLOOKUP(AD37,AB37:AC136,2,FALSE)),IF(ISNUMBER(S37),R37,NA()))</f>
        <v>#N/A</v>
      </c>
      <c r="AJ37" s="18" t="e">
        <f t="shared" si="5"/>
        <v>#N/A</v>
      </c>
      <c r="AK37" s="18" t="str">
        <f t="shared" si="6"/>
        <v/>
      </c>
      <c r="AL37" s="18" t="str">
        <f t="shared" si="7"/>
        <v/>
      </c>
      <c r="AQ37" t="str">
        <f t="shared" ref="AQ37:AQ48" si="66">IF(ISNUMBER(AG94),AG94,IF(ISNUMBER(AF94),AQ36,""))</f>
        <v/>
      </c>
      <c r="AS37" s="166">
        <f t="shared" si="8"/>
        <v>27.201250000000002</v>
      </c>
      <c r="AT37" s="40">
        <f t="shared" si="45"/>
        <v>5</v>
      </c>
      <c r="AU37" s="166">
        <f t="shared" si="9"/>
        <v>27.201250000000002</v>
      </c>
      <c r="AV37" s="40">
        <f t="shared" si="0"/>
        <v>5</v>
      </c>
      <c r="AW37" s="152"/>
      <c r="AY37" s="166">
        <f t="shared" si="10"/>
        <v>27.201250000000002</v>
      </c>
      <c r="AZ37">
        <f t="shared" si="11"/>
        <v>3.5010000000000003</v>
      </c>
      <c r="BA37" s="341">
        <f t="shared" si="12"/>
        <v>27.201250000000002</v>
      </c>
      <c r="BB37">
        <f t="shared" si="13"/>
        <v>3.5010000000000003</v>
      </c>
      <c r="BD37">
        <f t="shared" si="14"/>
        <v>1.4989999999999997</v>
      </c>
      <c r="BE37" s="2">
        <f t="shared" si="15"/>
        <v>0</v>
      </c>
      <c r="BF37" s="122">
        <f t="shared" si="16"/>
        <v>0</v>
      </c>
      <c r="BG37" t="str">
        <f t="shared" si="17"/>
        <v>MAX WSE</v>
      </c>
      <c r="BH37" s="122">
        <f t="shared" si="18"/>
        <v>5</v>
      </c>
      <c r="BJ37" s="122">
        <f t="shared" si="19"/>
        <v>1.4989999999999997</v>
      </c>
      <c r="BL37" s="2">
        <f t="shared" si="47"/>
        <v>0</v>
      </c>
      <c r="BM37" s="2"/>
      <c r="BN37" s="2">
        <f t="shared" si="21"/>
        <v>27.201250000000002</v>
      </c>
      <c r="BO37" s="2" t="str">
        <f>IF(BP37="Left",IF(ISERROR(VLOOKUP(BN37,XS_Designer_Summary!$A$21:$B$25,2,TRUE)),"",VLOOKUP(BN37,XS_Designer_Summary!$A$21:$B$25,2,TRUE)),IF(ISERROR(VLOOKUP(-BN37,XS_Designer_Summary!$A$28:$B$32,2,TRUE)),"",VLOOKUP(-BN37,XS_Designer_Summary!$A$28:$B$32,2,TRUE)))</f>
        <v>Right 3rd Stage</v>
      </c>
      <c r="BP37" s="2" t="str">
        <f>IF(AU37&lt;XS_Designer_Summary!$B$7,"Left",IF(AU37&gt;XS_Designer_Summary!$B$7,"Right","Thalweg"))</f>
        <v>Right</v>
      </c>
      <c r="BQ37" s="2">
        <f t="shared" si="22"/>
        <v>0</v>
      </c>
      <c r="BR37" s="2">
        <f t="shared" si="23"/>
        <v>0</v>
      </c>
      <c r="BS37" s="2">
        <f t="shared" si="24"/>
        <v>0</v>
      </c>
      <c r="BT37" s="2">
        <f t="shared" si="25"/>
        <v>0</v>
      </c>
      <c r="BU37" s="2">
        <f t="shared" si="26"/>
        <v>1.4989999999999997</v>
      </c>
      <c r="BV37" s="2">
        <f t="shared" si="27"/>
        <v>0</v>
      </c>
      <c r="BX37" s="2">
        <f>IF(AND(ISNUMBER($BN37),$BO37="Left 2nd Stage",SUM($BX$5:BX36)=0),$BN37,0)</f>
        <v>0</v>
      </c>
      <c r="BY37" s="2">
        <f>IF(AND(ISNUMBER($BN37),$BO37="Left Bankfull",SUM($BY$5:$BY36)=0),$BN37,0)</f>
        <v>0</v>
      </c>
      <c r="BZ37" s="2">
        <f>IF(AND(ISNUMBER($BN37),$BO37="Right 2nd Stage",SUM($BZ$5:$BZ36)=0),$BN36,0)</f>
        <v>0</v>
      </c>
      <c r="CA37" s="2">
        <f t="shared" si="46"/>
        <v>0</v>
      </c>
    </row>
    <row r="38" spans="1:79">
      <c r="A38" s="2">
        <v>34</v>
      </c>
      <c r="B38" s="111" t="e">
        <f>IF(ISNUMBER(XS_Designer!F38),XS_Designer!F38,NA())</f>
        <v>#N/A</v>
      </c>
      <c r="C38" s="111" t="e">
        <f>IF(ISNUMBER(XS_Designer!G38),XS_Designer!G38,NA())</f>
        <v>#N/A</v>
      </c>
      <c r="D38" s="111" t="str">
        <f>IF(ISNUMBER(XS_Designer!I38),XS_Designer!I38,"")</f>
        <v/>
      </c>
      <c r="E38" s="2" t="str">
        <f t="shared" si="28"/>
        <v/>
      </c>
      <c r="F38" s="111" t="str">
        <f>IF(ISTEXT(XS_Designer!H38),VLOOKUP(XS_Designer!H38,$K$12:$L$20,2,FALSE),"")</f>
        <v/>
      </c>
      <c r="G38" s="54" t="str">
        <f t="shared" si="29"/>
        <v/>
      </c>
      <c r="N38" s="2"/>
      <c r="O38" s="2"/>
      <c r="P38" s="2"/>
      <c r="Q38" s="2" t="str">
        <f t="shared" si="30"/>
        <v>N</v>
      </c>
      <c r="R38" s="2" t="str">
        <f t="shared" si="31"/>
        <v/>
      </c>
      <c r="S38" s="2" t="str">
        <f t="shared" si="32"/>
        <v/>
      </c>
      <c r="T38" s="2" t="str">
        <f t="shared" si="33"/>
        <v/>
      </c>
      <c r="U38" s="2" t="str">
        <f t="shared" si="34"/>
        <v/>
      </c>
      <c r="V38" s="97" t="str">
        <f t="shared" si="35"/>
        <v/>
      </c>
      <c r="W38" s="97" t="e">
        <f t="shared" si="36"/>
        <v>#N/A</v>
      </c>
      <c r="X38" s="2" t="e">
        <f t="shared" si="1"/>
        <v>#N/A</v>
      </c>
      <c r="Y38" s="95" t="str">
        <f t="shared" si="37"/>
        <v/>
      </c>
      <c r="Z38" s="261" t="str">
        <f t="shared" si="38"/>
        <v/>
      </c>
      <c r="AA38" s="95" t="str">
        <f>IF(ISNUMBER(Y38),INDEX(Y38:Y136,MATCH(TRUE,INDEX(Y38:Y136&lt;&gt;Y38,),0)),"")</f>
        <v/>
      </c>
      <c r="AB38" s="95" t="str">
        <f t="shared" si="40"/>
        <v/>
      </c>
      <c r="AC38" s="95" t="str">
        <f t="shared" si="41"/>
        <v/>
      </c>
      <c r="AD38" s="95" t="e">
        <f>IF(ISTEXT(AB38),INDEX(AB38:AB136,MATCH(TRUE,INDEX(AB38:AB136&lt;&gt;AB38,),0)),"")</f>
        <v>#N/A</v>
      </c>
      <c r="AE38" s="18" t="str">
        <f t="shared" si="43"/>
        <v/>
      </c>
      <c r="AF38" s="18" t="str">
        <f t="shared" si="2"/>
        <v/>
      </c>
      <c r="AG38" s="18" t="str">
        <f t="shared" si="3"/>
        <v/>
      </c>
      <c r="AH38" s="18" t="str">
        <f t="shared" si="4"/>
        <v/>
      </c>
      <c r="AI38" s="18" t="e">
        <f>IF(AND(ISNUMBER(AI37),ISNUMBER(S38)),(VLOOKUP(AD38,AB38:AC136,2,FALSE)),IF(ISNUMBER(S38),R38,NA()))</f>
        <v>#N/A</v>
      </c>
      <c r="AJ38" s="18" t="e">
        <f t="shared" si="5"/>
        <v>#N/A</v>
      </c>
      <c r="AK38" s="18" t="str">
        <f t="shared" si="6"/>
        <v/>
      </c>
      <c r="AL38" s="18" t="str">
        <f t="shared" si="7"/>
        <v/>
      </c>
      <c r="AQ38" t="str">
        <f t="shared" si="66"/>
        <v/>
      </c>
      <c r="AS38" s="166">
        <f t="shared" si="8"/>
        <v>27.201250000000002</v>
      </c>
      <c r="AT38" s="40">
        <f t="shared" si="45"/>
        <v>5</v>
      </c>
      <c r="AU38" s="166">
        <f t="shared" si="9"/>
        <v>27.201250000000002</v>
      </c>
      <c r="AV38" s="40">
        <f t="shared" si="0"/>
        <v>5</v>
      </c>
      <c r="AW38" s="152"/>
      <c r="AY38" s="166">
        <f t="shared" si="10"/>
        <v>27.201250000000002</v>
      </c>
      <c r="AZ38">
        <f t="shared" si="11"/>
        <v>3.5010000000000003</v>
      </c>
      <c r="BA38" s="341">
        <f t="shared" si="12"/>
        <v>27.201250000000002</v>
      </c>
      <c r="BB38">
        <f t="shared" si="13"/>
        <v>3.5010000000000003</v>
      </c>
      <c r="BD38">
        <f t="shared" si="14"/>
        <v>1.4989999999999997</v>
      </c>
      <c r="BE38" s="2">
        <f t="shared" si="15"/>
        <v>0</v>
      </c>
      <c r="BF38" s="122">
        <f t="shared" si="16"/>
        <v>0</v>
      </c>
      <c r="BG38" t="str">
        <f t="shared" si="17"/>
        <v>MAX WSE</v>
      </c>
      <c r="BH38" s="122">
        <f t="shared" si="18"/>
        <v>5</v>
      </c>
      <c r="BJ38" s="122">
        <f t="shared" si="19"/>
        <v>1.4989999999999997</v>
      </c>
      <c r="BL38" s="2">
        <f t="shared" si="47"/>
        <v>0</v>
      </c>
      <c r="BM38" s="2"/>
      <c r="BN38" s="2">
        <f t="shared" si="21"/>
        <v>27.201250000000002</v>
      </c>
      <c r="BO38" s="2" t="str">
        <f>IF(BP38="Left",IF(ISERROR(VLOOKUP(BN38,XS_Designer_Summary!$A$21:$B$25,2,TRUE)),"",VLOOKUP(BN38,XS_Designer_Summary!$A$21:$B$25,2,TRUE)),IF(ISERROR(VLOOKUP(-BN38,XS_Designer_Summary!$A$28:$B$32,2,TRUE)),"",VLOOKUP(-BN38,XS_Designer_Summary!$A$28:$B$32,2,TRUE)))</f>
        <v>Right 3rd Stage</v>
      </c>
      <c r="BP38" s="2" t="str">
        <f>IF(AU38&lt;XS_Designer_Summary!$B$7,"Left",IF(AU38&gt;XS_Designer_Summary!$B$7,"Right","Thalweg"))</f>
        <v>Right</v>
      </c>
      <c r="BQ38" s="2">
        <f t="shared" si="22"/>
        <v>0</v>
      </c>
      <c r="BR38" s="2">
        <f t="shared" si="23"/>
        <v>0</v>
      </c>
      <c r="BS38" s="2">
        <f t="shared" si="24"/>
        <v>0</v>
      </c>
      <c r="BT38" s="2">
        <f t="shared" si="25"/>
        <v>0</v>
      </c>
      <c r="BU38" s="2">
        <f t="shared" si="26"/>
        <v>1.4989999999999997</v>
      </c>
      <c r="BV38" s="2">
        <f t="shared" si="27"/>
        <v>0</v>
      </c>
      <c r="BX38" s="2">
        <f>IF(AND(ISNUMBER($BN38),$BO38="Left 2nd Stage",SUM($BX$5:BX37)=0),$BN38,0)</f>
        <v>0</v>
      </c>
      <c r="BY38" s="2">
        <f>IF(AND(ISNUMBER($BN38),$BO38="Left Bankfull",SUM($BY$5:$BY37)=0),$BN38,0)</f>
        <v>0</v>
      </c>
      <c r="BZ38" s="2">
        <f>IF(AND(ISNUMBER($BN38),$BO38="Right 2nd Stage",SUM($BZ$5:$BZ37)=0),$BN37,0)</f>
        <v>0</v>
      </c>
      <c r="CA38" s="2">
        <f t="shared" si="46"/>
        <v>0</v>
      </c>
    </row>
    <row r="39" spans="1:79">
      <c r="A39" s="2">
        <v>35</v>
      </c>
      <c r="B39" s="111" t="e">
        <f>IF(ISNUMBER(XS_Designer!F39),XS_Designer!F39,NA())</f>
        <v>#N/A</v>
      </c>
      <c r="C39" s="111" t="e">
        <f>IF(ISNUMBER(XS_Designer!G39),XS_Designer!G39,NA())</f>
        <v>#N/A</v>
      </c>
      <c r="D39" s="111" t="str">
        <f>IF(ISNUMBER(XS_Designer!I39),XS_Designer!I39,"")</f>
        <v/>
      </c>
      <c r="E39" s="2" t="str">
        <f t="shared" si="28"/>
        <v/>
      </c>
      <c r="F39" s="111" t="str">
        <f>IF(ISTEXT(XS_Designer!H39),VLOOKUP(XS_Designer!H39,$K$12:$L$20,2,FALSE),"")</f>
        <v/>
      </c>
      <c r="G39" s="54" t="str">
        <f t="shared" si="29"/>
        <v/>
      </c>
      <c r="N39" s="2"/>
      <c r="O39" s="2"/>
      <c r="P39" s="2"/>
      <c r="Q39" s="2" t="str">
        <f t="shared" si="30"/>
        <v>N</v>
      </c>
      <c r="R39" s="2" t="str">
        <f t="shared" si="31"/>
        <v/>
      </c>
      <c r="S39" s="2" t="str">
        <f t="shared" si="32"/>
        <v/>
      </c>
      <c r="T39" s="2" t="str">
        <f t="shared" si="33"/>
        <v/>
      </c>
      <c r="U39" s="2" t="str">
        <f t="shared" si="34"/>
        <v/>
      </c>
      <c r="V39" s="97" t="str">
        <f t="shared" si="35"/>
        <v/>
      </c>
      <c r="W39" s="97" t="e">
        <f t="shared" si="36"/>
        <v>#N/A</v>
      </c>
      <c r="X39" s="2" t="e">
        <f t="shared" si="1"/>
        <v>#N/A</v>
      </c>
      <c r="Y39" s="95" t="str">
        <f t="shared" si="37"/>
        <v/>
      </c>
      <c r="Z39" s="261" t="str">
        <f t="shared" si="38"/>
        <v/>
      </c>
      <c r="AA39" s="95" t="str">
        <f>IF(ISNUMBER(Y39),INDEX(Y39:Y136,MATCH(TRUE,INDEX(Y39:Y136&lt;&gt;Y39,),0)),"")</f>
        <v/>
      </c>
      <c r="AB39" s="95" t="str">
        <f t="shared" si="40"/>
        <v/>
      </c>
      <c r="AC39" s="95" t="str">
        <f t="shared" si="41"/>
        <v/>
      </c>
      <c r="AD39" s="95" t="e">
        <f>IF(ISTEXT(AB39),INDEX(AB39:AB136,MATCH(TRUE,INDEX(AB39:AB136&lt;&gt;AB39,),0)),"")</f>
        <v>#N/A</v>
      </c>
      <c r="AE39" s="18" t="str">
        <f t="shared" si="43"/>
        <v/>
      </c>
      <c r="AF39" s="18" t="str">
        <f t="shared" si="2"/>
        <v/>
      </c>
      <c r="AG39" s="18" t="str">
        <f t="shared" si="3"/>
        <v/>
      </c>
      <c r="AH39" s="18" t="str">
        <f t="shared" si="4"/>
        <v/>
      </c>
      <c r="AI39" s="18" t="e">
        <f>IF(AND(ISNUMBER(AI38),ISNUMBER(S39)),(VLOOKUP(AD39,AB39:AC136,2,FALSE)),IF(ISNUMBER(S39),R39,NA()))</f>
        <v>#N/A</v>
      </c>
      <c r="AJ39" s="18" t="e">
        <f t="shared" si="5"/>
        <v>#N/A</v>
      </c>
      <c r="AK39" s="18" t="str">
        <f t="shared" si="6"/>
        <v/>
      </c>
      <c r="AL39" s="18" t="str">
        <f t="shared" si="7"/>
        <v/>
      </c>
      <c r="AQ39" t="str">
        <f t="shared" si="66"/>
        <v/>
      </c>
      <c r="AS39" s="166">
        <f t="shared" si="8"/>
        <v>27.201250000000002</v>
      </c>
      <c r="AT39" s="40">
        <f t="shared" si="45"/>
        <v>5</v>
      </c>
      <c r="AU39" s="166">
        <f t="shared" si="9"/>
        <v>27.201250000000002</v>
      </c>
      <c r="AV39" s="40">
        <f t="shared" si="0"/>
        <v>5</v>
      </c>
      <c r="AW39" s="152"/>
      <c r="AY39" s="166">
        <f t="shared" si="10"/>
        <v>27.201250000000002</v>
      </c>
      <c r="AZ39">
        <f t="shared" si="11"/>
        <v>3.5010000000000003</v>
      </c>
      <c r="BA39" s="341">
        <f t="shared" si="12"/>
        <v>27.201250000000002</v>
      </c>
      <c r="BB39">
        <f t="shared" si="13"/>
        <v>3.5010000000000003</v>
      </c>
      <c r="BD39">
        <f t="shared" si="14"/>
        <v>1.4989999999999997</v>
      </c>
      <c r="BE39" s="2">
        <f t="shared" si="15"/>
        <v>0</v>
      </c>
      <c r="BF39" s="122">
        <f t="shared" si="16"/>
        <v>0</v>
      </c>
      <c r="BG39" t="str">
        <f t="shared" si="17"/>
        <v>MAX WSE</v>
      </c>
      <c r="BH39" s="122">
        <f t="shared" si="18"/>
        <v>5</v>
      </c>
      <c r="BJ39" s="122">
        <f t="shared" si="19"/>
        <v>1.4989999999999997</v>
      </c>
      <c r="BL39" s="2">
        <f t="shared" si="47"/>
        <v>0</v>
      </c>
      <c r="BM39" s="2"/>
      <c r="BN39" s="2">
        <f t="shared" si="21"/>
        <v>27.201250000000002</v>
      </c>
      <c r="BO39" s="2" t="str">
        <f>IF(BP39="Left",IF(ISERROR(VLOOKUP(BN39,XS_Designer_Summary!$A$21:$B$25,2,TRUE)),"",VLOOKUP(BN39,XS_Designer_Summary!$A$21:$B$25,2,TRUE)),IF(ISERROR(VLOOKUP(-BN39,XS_Designer_Summary!$A$28:$B$32,2,TRUE)),"",VLOOKUP(-BN39,XS_Designer_Summary!$A$28:$B$32,2,TRUE)))</f>
        <v>Right 3rd Stage</v>
      </c>
      <c r="BP39" s="2" t="str">
        <f>IF(AU39&lt;XS_Designer_Summary!$B$7,"Left",IF(AU39&gt;XS_Designer_Summary!$B$7,"Right","Thalweg"))</f>
        <v>Right</v>
      </c>
      <c r="BQ39" s="2">
        <f t="shared" si="22"/>
        <v>0</v>
      </c>
      <c r="BR39" s="2">
        <f t="shared" si="23"/>
        <v>0</v>
      </c>
      <c r="BS39" s="2">
        <f t="shared" si="24"/>
        <v>0</v>
      </c>
      <c r="BT39" s="2">
        <f t="shared" si="25"/>
        <v>0</v>
      </c>
      <c r="BU39" s="2">
        <f t="shared" si="26"/>
        <v>1.4989999999999997</v>
      </c>
      <c r="BV39" s="2">
        <f t="shared" si="27"/>
        <v>0</v>
      </c>
      <c r="BX39" s="2">
        <f>IF(AND(ISNUMBER($BN39),$BO39="Left 2nd Stage",SUM($BX$5:BX38)=0),$BN39,0)</f>
        <v>0</v>
      </c>
      <c r="BY39" s="2">
        <f>IF(AND(ISNUMBER($BN39),$BO39="Left Bankfull",SUM($BY$5:$BY38)=0),$BN39,0)</f>
        <v>0</v>
      </c>
      <c r="BZ39" s="2">
        <f>IF(AND(ISNUMBER($BN39),$BO39="Right 2nd Stage",SUM($BZ$5:$BZ38)=0),$BN38,0)</f>
        <v>0</v>
      </c>
      <c r="CA39" s="2">
        <f t="shared" si="46"/>
        <v>0</v>
      </c>
    </row>
    <row r="40" spans="1:79">
      <c r="A40" s="2">
        <v>36</v>
      </c>
      <c r="B40" s="111" t="e">
        <f>IF(ISNUMBER(XS_Designer!F40),XS_Designer!F40,NA())</f>
        <v>#N/A</v>
      </c>
      <c r="C40" s="111" t="e">
        <f>IF(ISNUMBER(XS_Designer!G40),XS_Designer!G40,NA())</f>
        <v>#N/A</v>
      </c>
      <c r="D40" s="111" t="str">
        <f>IF(ISNUMBER(XS_Designer!I40),XS_Designer!I40,"")</f>
        <v/>
      </c>
      <c r="E40" s="2" t="str">
        <f t="shared" si="28"/>
        <v/>
      </c>
      <c r="F40" s="111" t="str">
        <f>IF(ISTEXT(XS_Designer!H40),VLOOKUP(XS_Designer!H40,$K$12:$L$20,2,FALSE),"")</f>
        <v/>
      </c>
      <c r="G40" s="54" t="str">
        <f t="shared" si="29"/>
        <v/>
      </c>
      <c r="N40" s="2"/>
      <c r="O40" s="2"/>
      <c r="P40" s="2"/>
      <c r="Q40" s="2" t="str">
        <f t="shared" si="30"/>
        <v>N</v>
      </c>
      <c r="R40" s="2" t="str">
        <f t="shared" si="31"/>
        <v/>
      </c>
      <c r="S40" s="2" t="str">
        <f t="shared" si="32"/>
        <v/>
      </c>
      <c r="T40" s="2" t="str">
        <f t="shared" si="33"/>
        <v/>
      </c>
      <c r="U40" s="2" t="str">
        <f t="shared" si="34"/>
        <v/>
      </c>
      <c r="V40" s="97" t="str">
        <f t="shared" si="35"/>
        <v/>
      </c>
      <c r="W40" s="97" t="e">
        <f t="shared" si="36"/>
        <v>#N/A</v>
      </c>
      <c r="X40" s="2" t="e">
        <f t="shared" si="1"/>
        <v>#N/A</v>
      </c>
      <c r="Y40" s="95" t="str">
        <f t="shared" si="37"/>
        <v/>
      </c>
      <c r="Z40" s="261" t="str">
        <f t="shared" si="38"/>
        <v/>
      </c>
      <c r="AA40" s="95" t="str">
        <f t="shared" ref="AA40:AA41" si="67">IF(ISNUMBER(Y40),INDEX(Y40:Y140,MATCH(TRUE,INDEX(Y40:Y140&lt;&gt;Y40,),0)),"")</f>
        <v/>
      </c>
      <c r="AB40" s="95" t="str">
        <f t="shared" si="40"/>
        <v/>
      </c>
      <c r="AC40" s="95" t="str">
        <f t="shared" si="41"/>
        <v/>
      </c>
      <c r="AD40" s="95" t="e">
        <f t="shared" ref="AD40:AD41" si="68">IF(ISTEXT(AB40),INDEX(AB40:AB140,MATCH(TRUE,INDEX(AB40:AB140&lt;&gt;AB40,),0)),"")</f>
        <v>#N/A</v>
      </c>
      <c r="AE40" s="18" t="str">
        <f t="shared" si="43"/>
        <v/>
      </c>
      <c r="AF40" s="18" t="str">
        <f t="shared" si="2"/>
        <v/>
      </c>
      <c r="AG40" s="18" t="str">
        <f t="shared" si="3"/>
        <v/>
      </c>
      <c r="AH40" s="18" t="str">
        <f t="shared" si="4"/>
        <v/>
      </c>
      <c r="AI40" s="18" t="e">
        <f t="shared" ref="AI40:AI41" si="69">IF(AND(ISNUMBER(AI39),ISNUMBER(S40)),(VLOOKUP(AD40,AB40:AC140,2,FALSE)),IF(ISNUMBER(S40),R40,NA()))</f>
        <v>#N/A</v>
      </c>
      <c r="AJ40" s="18" t="e">
        <f t="shared" si="5"/>
        <v>#N/A</v>
      </c>
      <c r="AK40" s="18" t="str">
        <f t="shared" si="6"/>
        <v/>
      </c>
      <c r="AL40" s="18" t="str">
        <f t="shared" si="7"/>
        <v/>
      </c>
      <c r="AQ40" t="str">
        <f t="shared" si="66"/>
        <v/>
      </c>
      <c r="AS40" s="166">
        <f t="shared" si="8"/>
        <v>27.201250000000002</v>
      </c>
      <c r="AT40" s="40">
        <f t="shared" si="45"/>
        <v>5</v>
      </c>
      <c r="AU40" s="166">
        <f t="shared" si="9"/>
        <v>27.201250000000002</v>
      </c>
      <c r="AV40" s="40">
        <f t="shared" si="0"/>
        <v>5</v>
      </c>
      <c r="AW40" s="152"/>
      <c r="AY40" s="166">
        <f t="shared" si="10"/>
        <v>27.201250000000002</v>
      </c>
      <c r="AZ40">
        <f t="shared" si="11"/>
        <v>3.5010000000000003</v>
      </c>
      <c r="BA40" s="341">
        <f t="shared" si="12"/>
        <v>27.201250000000002</v>
      </c>
      <c r="BB40">
        <f t="shared" si="13"/>
        <v>3.5010000000000003</v>
      </c>
      <c r="BD40">
        <f t="shared" si="14"/>
        <v>1.4989999999999997</v>
      </c>
      <c r="BE40" s="2">
        <f t="shared" si="15"/>
        <v>0</v>
      </c>
      <c r="BF40" s="122">
        <f t="shared" si="16"/>
        <v>0</v>
      </c>
      <c r="BG40" t="str">
        <f t="shared" si="17"/>
        <v>MAX WSE</v>
      </c>
      <c r="BH40" s="122">
        <f t="shared" si="18"/>
        <v>5</v>
      </c>
      <c r="BJ40" s="122">
        <f t="shared" si="19"/>
        <v>1.4989999999999997</v>
      </c>
      <c r="BL40" s="2">
        <f t="shared" si="47"/>
        <v>0</v>
      </c>
      <c r="BM40" s="2"/>
      <c r="BN40" s="2">
        <f t="shared" si="21"/>
        <v>27.201250000000002</v>
      </c>
      <c r="BO40" s="2" t="str">
        <f>IF(BP40="Left",IF(ISERROR(VLOOKUP(BN40,XS_Designer_Summary!$A$21:$B$25,2,TRUE)),"",VLOOKUP(BN40,XS_Designer_Summary!$A$21:$B$25,2,TRUE)),IF(ISERROR(VLOOKUP(-BN40,XS_Designer_Summary!$A$28:$B$32,2,TRUE)),"",VLOOKUP(-BN40,XS_Designer_Summary!$A$28:$B$32,2,TRUE)))</f>
        <v>Right 3rd Stage</v>
      </c>
      <c r="BP40" s="2" t="str">
        <f>IF(AU40&lt;XS_Designer_Summary!$B$7,"Left",IF(AU40&gt;XS_Designer_Summary!$B$7,"Right","Thalweg"))</f>
        <v>Right</v>
      </c>
      <c r="BQ40" s="2">
        <f t="shared" si="22"/>
        <v>0</v>
      </c>
      <c r="BR40" s="2">
        <f t="shared" si="23"/>
        <v>0</v>
      </c>
      <c r="BS40" s="2">
        <f t="shared" si="24"/>
        <v>0</v>
      </c>
      <c r="BT40" s="2">
        <f t="shared" si="25"/>
        <v>0</v>
      </c>
      <c r="BU40" s="2">
        <f t="shared" si="26"/>
        <v>1.4989999999999997</v>
      </c>
      <c r="BV40" s="2">
        <f t="shared" si="27"/>
        <v>0</v>
      </c>
      <c r="BX40" s="2">
        <f>IF(AND(ISNUMBER($BN40),$BO40="Left 2nd Stage",SUM($BX$5:BX39)=0),$BN40,0)</f>
        <v>0</v>
      </c>
      <c r="BY40" s="2">
        <f>IF(AND(ISNUMBER($BN40),$BO40="Left Bankfull",SUM($BY$5:$BY39)=0),$BN40,0)</f>
        <v>0</v>
      </c>
      <c r="BZ40" s="2">
        <f>IF(AND(ISNUMBER($BN40),$BO40="Right 2nd Stage",SUM($BZ$5:$BZ39)=0),$BN39,0)</f>
        <v>0</v>
      </c>
      <c r="CA40" s="2">
        <f t="shared" si="46"/>
        <v>0</v>
      </c>
    </row>
    <row r="41" spans="1:79">
      <c r="A41" s="2">
        <v>37</v>
      </c>
      <c r="B41" s="111" t="e">
        <f>IF(ISNUMBER(XS_Designer!F41),XS_Designer!F41,NA())</f>
        <v>#N/A</v>
      </c>
      <c r="C41" s="111" t="e">
        <f>IF(ISNUMBER(XS_Designer!G41),XS_Designer!G41,NA())</f>
        <v>#N/A</v>
      </c>
      <c r="D41" s="111" t="str">
        <f>IF(ISNUMBER(XS_Designer!I41),XS_Designer!I41,"")</f>
        <v/>
      </c>
      <c r="E41" s="2" t="str">
        <f t="shared" si="28"/>
        <v/>
      </c>
      <c r="F41" s="111" t="str">
        <f>IF(ISTEXT(XS_Designer!H41),VLOOKUP(XS_Designer!H41,$K$12:$L$20,2,FALSE),"")</f>
        <v/>
      </c>
      <c r="G41" s="54" t="str">
        <f t="shared" si="29"/>
        <v/>
      </c>
      <c r="N41" s="2"/>
      <c r="O41" s="2"/>
      <c r="P41" s="2"/>
      <c r="Q41" s="2" t="str">
        <f t="shared" si="30"/>
        <v>N</v>
      </c>
      <c r="R41" s="2" t="str">
        <f t="shared" si="31"/>
        <v/>
      </c>
      <c r="S41" s="2" t="str">
        <f t="shared" si="32"/>
        <v/>
      </c>
      <c r="T41" s="2" t="str">
        <f t="shared" si="33"/>
        <v/>
      </c>
      <c r="U41" s="2" t="str">
        <f t="shared" si="34"/>
        <v/>
      </c>
      <c r="V41" s="97" t="str">
        <f t="shared" si="35"/>
        <v/>
      </c>
      <c r="W41" s="97" t="e">
        <f t="shared" si="36"/>
        <v>#N/A</v>
      </c>
      <c r="X41" s="2" t="e">
        <f t="shared" si="1"/>
        <v>#N/A</v>
      </c>
      <c r="Y41" s="95" t="str">
        <f t="shared" si="37"/>
        <v/>
      </c>
      <c r="Z41" s="261" t="str">
        <f t="shared" si="38"/>
        <v/>
      </c>
      <c r="AA41" s="95" t="str">
        <f t="shared" si="67"/>
        <v/>
      </c>
      <c r="AB41" s="95" t="str">
        <f t="shared" si="40"/>
        <v/>
      </c>
      <c r="AC41" s="95" t="str">
        <f t="shared" si="41"/>
        <v/>
      </c>
      <c r="AD41" s="95" t="e">
        <f t="shared" si="68"/>
        <v>#N/A</v>
      </c>
      <c r="AE41" s="18" t="str">
        <f t="shared" si="43"/>
        <v/>
      </c>
      <c r="AF41" s="18" t="str">
        <f t="shared" si="2"/>
        <v/>
      </c>
      <c r="AG41" s="18" t="str">
        <f t="shared" si="3"/>
        <v/>
      </c>
      <c r="AH41" s="18" t="str">
        <f t="shared" si="4"/>
        <v/>
      </c>
      <c r="AI41" s="18" t="e">
        <f t="shared" si="69"/>
        <v>#N/A</v>
      </c>
      <c r="AJ41" s="18" t="e">
        <f t="shared" si="5"/>
        <v>#N/A</v>
      </c>
      <c r="AK41" s="18" t="str">
        <f t="shared" si="6"/>
        <v/>
      </c>
      <c r="AL41" s="18" t="str">
        <f t="shared" si="7"/>
        <v/>
      </c>
      <c r="AQ41" t="str">
        <f t="shared" si="66"/>
        <v/>
      </c>
      <c r="AS41" s="166">
        <f t="shared" si="8"/>
        <v>27.201250000000002</v>
      </c>
      <c r="AT41" s="40">
        <f t="shared" si="45"/>
        <v>5</v>
      </c>
      <c r="AU41" s="166">
        <f t="shared" si="9"/>
        <v>27.201250000000002</v>
      </c>
      <c r="AV41" s="40">
        <f t="shared" si="0"/>
        <v>5</v>
      </c>
      <c r="AW41" s="152"/>
      <c r="AY41" s="166">
        <f t="shared" si="10"/>
        <v>27.201250000000002</v>
      </c>
      <c r="AZ41">
        <f t="shared" si="11"/>
        <v>3.5010000000000003</v>
      </c>
      <c r="BA41" s="341">
        <f t="shared" si="12"/>
        <v>27.201250000000002</v>
      </c>
      <c r="BB41">
        <f t="shared" si="13"/>
        <v>3.5010000000000003</v>
      </c>
      <c r="BD41">
        <f t="shared" si="14"/>
        <v>1.4989999999999997</v>
      </c>
      <c r="BE41" s="2">
        <f t="shared" si="15"/>
        <v>0</v>
      </c>
      <c r="BF41" s="122">
        <f t="shared" si="16"/>
        <v>0</v>
      </c>
      <c r="BG41" t="str">
        <f t="shared" si="17"/>
        <v>MAX WSE</v>
      </c>
      <c r="BH41" s="122">
        <f t="shared" si="18"/>
        <v>5</v>
      </c>
      <c r="BJ41" s="122">
        <f t="shared" si="19"/>
        <v>1.4989999999999997</v>
      </c>
      <c r="BL41" s="2">
        <f t="shared" si="47"/>
        <v>0</v>
      </c>
      <c r="BM41" s="2"/>
      <c r="BN41" s="2">
        <f t="shared" si="21"/>
        <v>27.201250000000002</v>
      </c>
      <c r="BO41" s="2" t="str">
        <f>IF(BP41="Left",IF(ISERROR(VLOOKUP(BN41,XS_Designer_Summary!$A$21:$B$25,2,TRUE)),"",VLOOKUP(BN41,XS_Designer_Summary!$A$21:$B$25,2,TRUE)),IF(ISERROR(VLOOKUP(-BN41,XS_Designer_Summary!$A$28:$B$32,2,TRUE)),"",VLOOKUP(-BN41,XS_Designer_Summary!$A$28:$B$32,2,TRUE)))</f>
        <v>Right 3rd Stage</v>
      </c>
      <c r="BP41" s="2" t="str">
        <f>IF(AU41&lt;XS_Designer_Summary!$B$7,"Left",IF(AU41&gt;XS_Designer_Summary!$B$7,"Right","Thalweg"))</f>
        <v>Right</v>
      </c>
      <c r="BQ41" s="2">
        <f t="shared" si="22"/>
        <v>0</v>
      </c>
      <c r="BR41" s="2">
        <f t="shared" si="23"/>
        <v>0</v>
      </c>
      <c r="BS41" s="2">
        <f t="shared" si="24"/>
        <v>0</v>
      </c>
      <c r="BT41" s="2">
        <f t="shared" si="25"/>
        <v>0</v>
      </c>
      <c r="BU41" s="2">
        <f t="shared" si="26"/>
        <v>1.4989999999999997</v>
      </c>
      <c r="BV41" s="2">
        <f t="shared" si="27"/>
        <v>0</v>
      </c>
      <c r="BX41" s="2">
        <f>IF(AND(ISNUMBER($BN41),$BO41="Left 2nd Stage",SUM($BX$5:BX40)=0),$BN41,0)</f>
        <v>0</v>
      </c>
      <c r="BY41" s="2">
        <f>IF(AND(ISNUMBER($BN41),$BO41="Left Bankfull",SUM($BY$5:$BY40)=0),$BN41,0)</f>
        <v>0</v>
      </c>
      <c r="BZ41" s="2">
        <f>IF(AND(ISNUMBER($BN41),$BO41="Right 2nd Stage",SUM($BZ$5:$BZ40)=0),$BN40,0)</f>
        <v>0</v>
      </c>
      <c r="CA41" s="2">
        <f t="shared" si="46"/>
        <v>0</v>
      </c>
    </row>
    <row r="42" spans="1:79">
      <c r="A42" s="2">
        <v>38</v>
      </c>
      <c r="B42" s="111" t="e">
        <f>IF(ISNUMBER(XS_Designer!F42),XS_Designer!F42,NA())</f>
        <v>#N/A</v>
      </c>
      <c r="C42" s="111" t="e">
        <f>IF(ISNUMBER(XS_Designer!G42),XS_Designer!G42,NA())</f>
        <v>#N/A</v>
      </c>
      <c r="D42" s="111" t="str">
        <f>IF(ISNUMBER(XS_Designer!I42),XS_Designer!I42,"")</f>
        <v/>
      </c>
      <c r="E42" s="2" t="str">
        <f t="shared" si="28"/>
        <v/>
      </c>
      <c r="F42" s="111" t="str">
        <f>IF(ISTEXT(XS_Designer!H42),VLOOKUP(XS_Designer!H42,$K$12:$L$20,2,FALSE),"")</f>
        <v/>
      </c>
      <c r="G42" s="54" t="str">
        <f t="shared" si="29"/>
        <v/>
      </c>
      <c r="N42" s="2"/>
      <c r="O42" s="2"/>
      <c r="P42" s="2"/>
      <c r="Q42" s="2" t="str">
        <f t="shared" si="30"/>
        <v>N</v>
      </c>
      <c r="R42" s="2" t="str">
        <f t="shared" si="31"/>
        <v/>
      </c>
      <c r="S42" s="2" t="str">
        <f t="shared" si="32"/>
        <v/>
      </c>
      <c r="T42" s="2" t="str">
        <f t="shared" si="33"/>
        <v/>
      </c>
      <c r="U42" s="2" t="str">
        <f t="shared" si="34"/>
        <v/>
      </c>
      <c r="V42" s="97" t="str">
        <f t="shared" si="35"/>
        <v/>
      </c>
      <c r="W42" s="97" t="e">
        <f t="shared" si="36"/>
        <v>#N/A</v>
      </c>
      <c r="X42" s="2" t="e">
        <f t="shared" si="1"/>
        <v>#N/A</v>
      </c>
      <c r="Y42" s="95" t="str">
        <f t="shared" si="37"/>
        <v/>
      </c>
      <c r="Z42" s="261" t="str">
        <f t="shared" si="38"/>
        <v/>
      </c>
      <c r="AA42" s="95" t="str">
        <f>IF(ISNUMBER(Y42),INDEX(Y42:Y141,MATCH(TRUE,INDEX(Y42:Y141&lt;&gt;Y42,),0)),"")</f>
        <v/>
      </c>
      <c r="AB42" s="95" t="str">
        <f t="shared" si="40"/>
        <v/>
      </c>
      <c r="AC42" s="95" t="str">
        <f t="shared" si="41"/>
        <v/>
      </c>
      <c r="AD42" s="95" t="e">
        <f>IF(ISTEXT(AB42),INDEX(AB42:AB141,MATCH(TRUE,INDEX(AB42:AB141&lt;&gt;AB42,),0)),"")</f>
        <v>#N/A</v>
      </c>
      <c r="AE42" s="18" t="str">
        <f t="shared" si="43"/>
        <v/>
      </c>
      <c r="AF42" s="18" t="str">
        <f t="shared" si="2"/>
        <v/>
      </c>
      <c r="AG42" s="18" t="str">
        <f t="shared" si="3"/>
        <v/>
      </c>
      <c r="AH42" s="18" t="str">
        <f t="shared" si="4"/>
        <v/>
      </c>
      <c r="AI42" s="18" t="e">
        <f>IF(AND(ISNUMBER(AI41),ISNUMBER(S42)),(VLOOKUP(AD42,AB42:AC141,2,FALSE)),IF(ISNUMBER(S42),R42,NA()))</f>
        <v>#N/A</v>
      </c>
      <c r="AJ42" s="18" t="e">
        <f t="shared" si="5"/>
        <v>#N/A</v>
      </c>
      <c r="AK42" s="18" t="str">
        <f t="shared" si="6"/>
        <v/>
      </c>
      <c r="AL42" s="18" t="str">
        <f t="shared" si="7"/>
        <v/>
      </c>
      <c r="AQ42" t="str">
        <f t="shared" si="66"/>
        <v/>
      </c>
      <c r="AS42" s="166">
        <f t="shared" si="8"/>
        <v>27.201250000000002</v>
      </c>
      <c r="AT42" s="40">
        <f t="shared" si="45"/>
        <v>5</v>
      </c>
      <c r="AU42" s="166">
        <f t="shared" si="9"/>
        <v>27.201250000000002</v>
      </c>
      <c r="AV42" s="40">
        <f t="shared" si="0"/>
        <v>5</v>
      </c>
      <c r="AW42" s="152"/>
      <c r="AY42" s="166">
        <f t="shared" si="10"/>
        <v>27.201250000000002</v>
      </c>
      <c r="AZ42">
        <f t="shared" si="11"/>
        <v>3.5010000000000003</v>
      </c>
      <c r="BA42" s="341">
        <f t="shared" si="12"/>
        <v>27.201250000000002</v>
      </c>
      <c r="BB42">
        <f t="shared" si="13"/>
        <v>3.5010000000000003</v>
      </c>
      <c r="BD42">
        <f t="shared" si="14"/>
        <v>1.4989999999999997</v>
      </c>
      <c r="BE42" s="2">
        <f t="shared" si="15"/>
        <v>0</v>
      </c>
      <c r="BF42" s="122">
        <f t="shared" si="16"/>
        <v>0</v>
      </c>
      <c r="BG42" t="str">
        <f t="shared" si="17"/>
        <v>MAX WSE</v>
      </c>
      <c r="BH42" s="122">
        <f t="shared" si="18"/>
        <v>5</v>
      </c>
      <c r="BJ42" s="122">
        <f t="shared" si="19"/>
        <v>1.4989999999999997</v>
      </c>
      <c r="BL42" s="2">
        <f t="shared" si="47"/>
        <v>0</v>
      </c>
      <c r="BM42" s="2"/>
      <c r="BN42" s="2">
        <f t="shared" si="21"/>
        <v>27.201250000000002</v>
      </c>
      <c r="BO42" s="2" t="str">
        <f>IF(BP42="Left",IF(ISERROR(VLOOKUP(BN42,XS_Designer_Summary!$A$21:$B$25,2,TRUE)),"",VLOOKUP(BN42,XS_Designer_Summary!$A$21:$B$25,2,TRUE)),IF(ISERROR(VLOOKUP(-BN42,XS_Designer_Summary!$A$28:$B$32,2,TRUE)),"",VLOOKUP(-BN42,XS_Designer_Summary!$A$28:$B$32,2,TRUE)))</f>
        <v>Right 3rd Stage</v>
      </c>
      <c r="BP42" s="2" t="str">
        <f>IF(AU42&lt;XS_Designer_Summary!$B$7,"Left",IF(AU42&gt;XS_Designer_Summary!$B$7,"Right","Thalweg"))</f>
        <v>Right</v>
      </c>
      <c r="BQ42" s="2">
        <f t="shared" si="22"/>
        <v>0</v>
      </c>
      <c r="BR42" s="2">
        <f t="shared" si="23"/>
        <v>0</v>
      </c>
      <c r="BS42" s="2">
        <f t="shared" si="24"/>
        <v>0</v>
      </c>
      <c r="BT42" s="2">
        <f t="shared" si="25"/>
        <v>0</v>
      </c>
      <c r="BU42" s="2">
        <f t="shared" si="26"/>
        <v>1.4989999999999997</v>
      </c>
      <c r="BV42" s="2">
        <f t="shared" si="27"/>
        <v>0</v>
      </c>
      <c r="BX42" s="2">
        <f>IF(AND(ISNUMBER($BN42),$BO42="Left 2nd Stage",SUM($BX$5:BX41)=0),$BN42,0)</f>
        <v>0</v>
      </c>
      <c r="BY42" s="2">
        <f>IF(AND(ISNUMBER($BN42),$BO42="Left Bankfull",SUM($BY$5:$BY41)=0),$BN42,0)</f>
        <v>0</v>
      </c>
      <c r="BZ42" s="2">
        <f>IF(AND(ISNUMBER($BN42),$BO42="Right 2nd Stage",SUM($BZ$5:$BZ41)=0),$BN41,0)</f>
        <v>0</v>
      </c>
      <c r="CA42" s="2">
        <f t="shared" si="46"/>
        <v>0</v>
      </c>
    </row>
    <row r="43" spans="1:79">
      <c r="A43" s="2">
        <v>39</v>
      </c>
      <c r="B43" s="111" t="e">
        <f>IF(ISNUMBER(XS_Designer!F43),XS_Designer!F43,NA())</f>
        <v>#N/A</v>
      </c>
      <c r="C43" s="111" t="e">
        <f>IF(ISNUMBER(XS_Designer!G43),XS_Designer!G43,NA())</f>
        <v>#N/A</v>
      </c>
      <c r="D43" s="111" t="str">
        <f>IF(ISNUMBER(XS_Designer!I43),XS_Designer!I43,"")</f>
        <v/>
      </c>
      <c r="E43" s="2" t="str">
        <f t="shared" si="28"/>
        <v/>
      </c>
      <c r="F43" s="111" t="str">
        <f>IF(ISTEXT(XS_Designer!H43),VLOOKUP(XS_Designer!H43,$K$12:$L$20,2,FALSE),"")</f>
        <v/>
      </c>
      <c r="G43" s="54" t="str">
        <f t="shared" si="29"/>
        <v/>
      </c>
      <c r="N43" s="2"/>
      <c r="O43" s="2"/>
      <c r="P43" s="2"/>
      <c r="Q43" s="2" t="str">
        <f t="shared" si="30"/>
        <v>N</v>
      </c>
      <c r="R43" s="2" t="str">
        <f t="shared" si="31"/>
        <v/>
      </c>
      <c r="S43" s="2" t="str">
        <f t="shared" si="32"/>
        <v/>
      </c>
      <c r="T43" s="2" t="str">
        <f t="shared" si="33"/>
        <v/>
      </c>
      <c r="U43" s="2" t="str">
        <f t="shared" si="34"/>
        <v/>
      </c>
      <c r="V43" s="97" t="str">
        <f t="shared" si="35"/>
        <v/>
      </c>
      <c r="W43" s="97" t="e">
        <f t="shared" si="36"/>
        <v>#N/A</v>
      </c>
      <c r="X43" s="2" t="e">
        <f t="shared" si="1"/>
        <v>#N/A</v>
      </c>
      <c r="Y43" s="95" t="str">
        <f t="shared" si="37"/>
        <v/>
      </c>
      <c r="Z43" s="261" t="str">
        <f t="shared" si="38"/>
        <v/>
      </c>
      <c r="AA43" s="95" t="str">
        <f>IF(ISNUMBER(Y43),INDEX(Y43:Y141,MATCH(TRUE,INDEX(Y43:Y141&lt;&gt;Y43,),0)),"")</f>
        <v/>
      </c>
      <c r="AB43" s="95" t="str">
        <f t="shared" si="40"/>
        <v/>
      </c>
      <c r="AC43" s="95" t="str">
        <f t="shared" si="41"/>
        <v/>
      </c>
      <c r="AD43" s="95" t="e">
        <f>IF(ISTEXT(AB43),INDEX(AB43:AB141,MATCH(TRUE,INDEX(AB43:AB141&lt;&gt;AB43,),0)),"")</f>
        <v>#N/A</v>
      </c>
      <c r="AE43" s="18" t="str">
        <f t="shared" si="43"/>
        <v/>
      </c>
      <c r="AF43" s="18" t="str">
        <f t="shared" si="2"/>
        <v/>
      </c>
      <c r="AG43" s="18" t="str">
        <f t="shared" si="3"/>
        <v/>
      </c>
      <c r="AH43" s="18" t="str">
        <f t="shared" si="4"/>
        <v/>
      </c>
      <c r="AI43" s="18" t="e">
        <f>IF(AND(ISNUMBER(AI42),ISNUMBER(S43)),(VLOOKUP(AD43,AB43:AC141,2,FALSE)),IF(ISNUMBER(S43),R43,NA()))</f>
        <v>#N/A</v>
      </c>
      <c r="AJ43" s="18" t="e">
        <f t="shared" si="5"/>
        <v>#N/A</v>
      </c>
      <c r="AK43" s="18" t="str">
        <f t="shared" si="6"/>
        <v/>
      </c>
      <c r="AL43" s="18" t="str">
        <f t="shared" si="7"/>
        <v/>
      </c>
      <c r="AQ43" t="str">
        <f t="shared" si="66"/>
        <v/>
      </c>
      <c r="AS43" s="166">
        <f t="shared" si="8"/>
        <v>27.201250000000002</v>
      </c>
      <c r="AT43" s="40">
        <f t="shared" si="45"/>
        <v>5</v>
      </c>
      <c r="AU43" s="166">
        <f t="shared" si="9"/>
        <v>27.201250000000002</v>
      </c>
      <c r="AV43" s="40">
        <f t="shared" si="0"/>
        <v>5</v>
      </c>
      <c r="AW43" s="152"/>
      <c r="AY43" s="166">
        <f t="shared" si="10"/>
        <v>27.201250000000002</v>
      </c>
      <c r="AZ43">
        <f t="shared" si="11"/>
        <v>3.5010000000000003</v>
      </c>
      <c r="BA43" s="341">
        <f t="shared" si="12"/>
        <v>27.201250000000002</v>
      </c>
      <c r="BB43">
        <f t="shared" si="13"/>
        <v>3.5010000000000003</v>
      </c>
      <c r="BD43">
        <f t="shared" si="14"/>
        <v>1.4989999999999997</v>
      </c>
      <c r="BE43" s="2">
        <f t="shared" si="15"/>
        <v>0</v>
      </c>
      <c r="BF43" s="122">
        <f t="shared" si="16"/>
        <v>0</v>
      </c>
      <c r="BG43" t="str">
        <f t="shared" si="17"/>
        <v>MAX WSE</v>
      </c>
      <c r="BH43" s="122">
        <f t="shared" si="18"/>
        <v>5</v>
      </c>
      <c r="BJ43" s="122">
        <f t="shared" si="19"/>
        <v>1.4989999999999997</v>
      </c>
      <c r="BL43" s="2">
        <f t="shared" si="47"/>
        <v>0</v>
      </c>
      <c r="BM43" s="2"/>
      <c r="BN43" s="2">
        <f t="shared" si="21"/>
        <v>27.201250000000002</v>
      </c>
      <c r="BO43" s="2" t="str">
        <f>IF(BP43="Left",IF(ISERROR(VLOOKUP(BN43,XS_Designer_Summary!$A$21:$B$25,2,TRUE)),"",VLOOKUP(BN43,XS_Designer_Summary!$A$21:$B$25,2,TRUE)),IF(ISERROR(VLOOKUP(-BN43,XS_Designer_Summary!$A$28:$B$32,2,TRUE)),"",VLOOKUP(-BN43,XS_Designer_Summary!$A$28:$B$32,2,TRUE)))</f>
        <v>Right 3rd Stage</v>
      </c>
      <c r="BP43" s="2" t="str">
        <f>IF(AU43&lt;XS_Designer_Summary!$B$7,"Left",IF(AU43&gt;XS_Designer_Summary!$B$7,"Right","Thalweg"))</f>
        <v>Right</v>
      </c>
      <c r="BQ43" s="2">
        <f t="shared" si="22"/>
        <v>0</v>
      </c>
      <c r="BR43" s="2">
        <f t="shared" si="23"/>
        <v>0</v>
      </c>
      <c r="BS43" s="2">
        <f t="shared" si="24"/>
        <v>0</v>
      </c>
      <c r="BT43" s="2">
        <f t="shared" si="25"/>
        <v>0</v>
      </c>
      <c r="BU43" s="2">
        <f t="shared" si="26"/>
        <v>1.4989999999999997</v>
      </c>
      <c r="BV43" s="2">
        <f t="shared" si="27"/>
        <v>0</v>
      </c>
      <c r="BX43" s="2">
        <f>IF(AND(ISNUMBER($BN43),$BO43="Left 2nd Stage",SUM($BX$5:BX42)=0),$BN43,0)</f>
        <v>0</v>
      </c>
      <c r="BY43" s="2">
        <f>IF(AND(ISNUMBER($BN43),$BO43="Left Bankfull",SUM($BY$5:$BY42)=0),$BN43,0)</f>
        <v>0</v>
      </c>
      <c r="BZ43" s="2">
        <f>IF(AND(ISNUMBER($BN43),$BO43="Right 2nd Stage",SUM($BZ$5:$BZ42)=0),$BN42,0)</f>
        <v>0</v>
      </c>
      <c r="CA43" s="2">
        <f t="shared" si="46"/>
        <v>0</v>
      </c>
    </row>
    <row r="44" spans="1:79">
      <c r="A44" s="2">
        <v>40</v>
      </c>
      <c r="B44" s="111" t="e">
        <f>IF(ISNUMBER(XS_Designer!F44),XS_Designer!F44,NA())</f>
        <v>#N/A</v>
      </c>
      <c r="C44" s="111" t="e">
        <f>IF(ISNUMBER(XS_Designer!G44),XS_Designer!G44,NA())</f>
        <v>#N/A</v>
      </c>
      <c r="D44" s="111" t="str">
        <f>IF(ISNUMBER(XS_Designer!I44),XS_Designer!I44,"")</f>
        <v/>
      </c>
      <c r="E44" s="2" t="str">
        <f t="shared" si="28"/>
        <v/>
      </c>
      <c r="F44" s="111" t="str">
        <f>IF(ISTEXT(XS_Designer!H44),VLOOKUP(XS_Designer!H44,$K$12:$L$20,2,FALSE),"")</f>
        <v/>
      </c>
      <c r="G44" s="54" t="str">
        <f t="shared" si="29"/>
        <v/>
      </c>
      <c r="N44" s="2"/>
      <c r="O44" s="2"/>
      <c r="P44" s="2"/>
      <c r="Q44" s="2" t="str">
        <f t="shared" si="30"/>
        <v>N</v>
      </c>
      <c r="R44" s="2" t="str">
        <f t="shared" si="31"/>
        <v/>
      </c>
      <c r="S44" s="2" t="str">
        <f t="shared" si="32"/>
        <v/>
      </c>
      <c r="T44" s="2" t="str">
        <f t="shared" si="33"/>
        <v/>
      </c>
      <c r="U44" s="2" t="str">
        <f t="shared" si="34"/>
        <v/>
      </c>
      <c r="V44" s="97" t="str">
        <f t="shared" si="35"/>
        <v/>
      </c>
      <c r="W44" s="97" t="e">
        <f t="shared" si="36"/>
        <v>#N/A</v>
      </c>
      <c r="X44" s="2" t="e">
        <f t="shared" si="1"/>
        <v>#N/A</v>
      </c>
      <c r="Y44" s="95" t="str">
        <f t="shared" si="37"/>
        <v/>
      </c>
      <c r="Z44" s="261" t="str">
        <f t="shared" si="38"/>
        <v/>
      </c>
      <c r="AA44" s="95" t="str">
        <f>IF(ISNUMBER(Y44),INDEX(Y44:Y141,MATCH(TRUE,INDEX(Y44:Y141&lt;&gt;Y44,),0)),"")</f>
        <v/>
      </c>
      <c r="AB44" s="95" t="str">
        <f t="shared" si="40"/>
        <v/>
      </c>
      <c r="AC44" s="95" t="str">
        <f t="shared" si="41"/>
        <v/>
      </c>
      <c r="AD44" s="95" t="e">
        <f>IF(ISTEXT(AB44),INDEX(AB44:AB141,MATCH(TRUE,INDEX(AB44:AB141&lt;&gt;AB44,),0)),"")</f>
        <v>#N/A</v>
      </c>
      <c r="AE44" s="18" t="str">
        <f t="shared" si="43"/>
        <v/>
      </c>
      <c r="AF44" s="18" t="str">
        <f t="shared" si="2"/>
        <v/>
      </c>
      <c r="AG44" s="18" t="str">
        <f t="shared" si="3"/>
        <v/>
      </c>
      <c r="AH44" s="18" t="str">
        <f t="shared" si="4"/>
        <v/>
      </c>
      <c r="AI44" s="18" t="e">
        <f>IF(AND(ISNUMBER(AI43),ISNUMBER(S44)),(VLOOKUP(AD44,AB44:AC141,2,FALSE)),IF(ISNUMBER(S44),R44,NA()))</f>
        <v>#N/A</v>
      </c>
      <c r="AJ44" s="18" t="e">
        <f t="shared" si="5"/>
        <v>#N/A</v>
      </c>
      <c r="AK44" s="18" t="str">
        <f t="shared" si="6"/>
        <v/>
      </c>
      <c r="AL44" s="18" t="str">
        <f t="shared" si="7"/>
        <v/>
      </c>
      <c r="AQ44" t="str">
        <f t="shared" si="66"/>
        <v/>
      </c>
      <c r="AS44" s="166">
        <f t="shared" si="8"/>
        <v>27.201250000000002</v>
      </c>
      <c r="AT44" s="40">
        <f t="shared" si="45"/>
        <v>5</v>
      </c>
      <c r="AU44" s="166">
        <f t="shared" si="9"/>
        <v>27.201250000000002</v>
      </c>
      <c r="AV44" s="40">
        <f t="shared" si="0"/>
        <v>5</v>
      </c>
      <c r="AW44" s="152"/>
      <c r="AY44" s="166">
        <f t="shared" si="10"/>
        <v>27.201250000000002</v>
      </c>
      <c r="AZ44">
        <f t="shared" si="11"/>
        <v>3.5010000000000003</v>
      </c>
      <c r="BA44" s="341">
        <f t="shared" si="12"/>
        <v>27.201250000000002</v>
      </c>
      <c r="BB44">
        <f t="shared" si="13"/>
        <v>3.5010000000000003</v>
      </c>
      <c r="BD44">
        <f t="shared" si="14"/>
        <v>1.4989999999999997</v>
      </c>
      <c r="BE44" s="2">
        <f t="shared" si="15"/>
        <v>0</v>
      </c>
      <c r="BF44" s="122">
        <f t="shared" si="16"/>
        <v>0</v>
      </c>
      <c r="BG44" t="str">
        <f t="shared" si="17"/>
        <v>MAX WSE</v>
      </c>
      <c r="BH44" s="122">
        <f t="shared" si="18"/>
        <v>5</v>
      </c>
      <c r="BJ44" s="122">
        <f t="shared" si="19"/>
        <v>1.4989999999999997</v>
      </c>
      <c r="BL44" s="2">
        <f t="shared" si="47"/>
        <v>0</v>
      </c>
      <c r="BM44" s="2"/>
      <c r="BN44" s="2">
        <f t="shared" si="21"/>
        <v>27.201250000000002</v>
      </c>
      <c r="BO44" s="2" t="str">
        <f>IF(BP44="Left",IF(ISERROR(VLOOKUP(BN44,XS_Designer_Summary!$A$21:$B$25,2,TRUE)),"",VLOOKUP(BN44,XS_Designer_Summary!$A$21:$B$25,2,TRUE)),IF(ISERROR(VLOOKUP(-BN44,XS_Designer_Summary!$A$28:$B$32,2,TRUE)),"",VLOOKUP(-BN44,XS_Designer_Summary!$A$28:$B$32,2,TRUE)))</f>
        <v>Right 3rd Stage</v>
      </c>
      <c r="BP44" s="2" t="str">
        <f>IF(AU44&lt;XS_Designer_Summary!$B$7,"Left",IF(AU44&gt;XS_Designer_Summary!$B$7,"Right","Thalweg"))</f>
        <v>Right</v>
      </c>
      <c r="BQ44" s="2">
        <f t="shared" si="22"/>
        <v>0</v>
      </c>
      <c r="BR44" s="2">
        <f t="shared" si="23"/>
        <v>0</v>
      </c>
      <c r="BS44" s="2">
        <f t="shared" si="24"/>
        <v>0</v>
      </c>
      <c r="BT44" s="2">
        <f t="shared" si="25"/>
        <v>0</v>
      </c>
      <c r="BU44" s="2">
        <f t="shared" si="26"/>
        <v>1.4989999999999997</v>
      </c>
      <c r="BV44" s="2">
        <f t="shared" si="27"/>
        <v>0</v>
      </c>
      <c r="BX44" s="2">
        <f>IF(AND(ISNUMBER($BN44),$BO44="Left 2nd Stage",SUM($BX$5:BX43)=0),$BN44,0)</f>
        <v>0</v>
      </c>
      <c r="BY44" s="2">
        <f>IF(AND(ISNUMBER($BN44),$BO44="Left Bankfull",SUM($BY$5:$BY43)=0),$BN44,0)</f>
        <v>0</v>
      </c>
      <c r="BZ44" s="2">
        <f>IF(AND(ISNUMBER($BN44),$BO44="Right 2nd Stage",SUM($BZ$5:$BZ43)=0),$BN43,0)</f>
        <v>0</v>
      </c>
      <c r="CA44" s="2">
        <f t="shared" si="46"/>
        <v>0</v>
      </c>
    </row>
    <row r="45" spans="1:79">
      <c r="A45" s="2">
        <v>41</v>
      </c>
      <c r="B45" s="111" t="e">
        <f>IF(ISNUMBER(XS_Designer!F45),XS_Designer!F45,NA())</f>
        <v>#N/A</v>
      </c>
      <c r="C45" s="111" t="e">
        <f>IF(ISNUMBER(XS_Designer!G45),XS_Designer!G45,NA())</f>
        <v>#N/A</v>
      </c>
      <c r="D45" s="111" t="str">
        <f>IF(ISNUMBER(XS_Designer!I45),XS_Designer!I45,"")</f>
        <v/>
      </c>
      <c r="E45" s="2" t="str">
        <f t="shared" si="28"/>
        <v/>
      </c>
      <c r="F45" s="111" t="str">
        <f>IF(ISTEXT(XS_Designer!H45),VLOOKUP(XS_Designer!H45,$K$12:$L$20,2,FALSE),"")</f>
        <v/>
      </c>
      <c r="G45" s="54" t="str">
        <f t="shared" si="29"/>
        <v/>
      </c>
      <c r="N45" s="2"/>
      <c r="O45" s="2"/>
      <c r="P45" s="2"/>
      <c r="Q45" s="2" t="str">
        <f t="shared" si="30"/>
        <v>N</v>
      </c>
      <c r="R45" s="2" t="str">
        <f t="shared" si="31"/>
        <v/>
      </c>
      <c r="S45" s="2" t="str">
        <f t="shared" si="32"/>
        <v/>
      </c>
      <c r="T45" s="2" t="str">
        <f t="shared" si="33"/>
        <v/>
      </c>
      <c r="U45" s="2" t="str">
        <f t="shared" si="34"/>
        <v/>
      </c>
      <c r="V45" s="97" t="str">
        <f t="shared" si="35"/>
        <v/>
      </c>
      <c r="W45" s="97" t="e">
        <f t="shared" si="36"/>
        <v>#N/A</v>
      </c>
      <c r="X45" s="2" t="e">
        <f t="shared" si="1"/>
        <v>#N/A</v>
      </c>
      <c r="Y45" s="95" t="str">
        <f t="shared" si="37"/>
        <v/>
      </c>
      <c r="Z45" s="261" t="str">
        <f t="shared" si="38"/>
        <v/>
      </c>
      <c r="AA45" s="95" t="str">
        <f t="shared" ref="AA45:AA46" si="70">IF(ISNUMBER(Y45),INDEX(Y45:Y145,MATCH(TRUE,INDEX(Y45:Y145&lt;&gt;Y45,),0)),"")</f>
        <v/>
      </c>
      <c r="AB45" s="95" t="str">
        <f t="shared" si="40"/>
        <v/>
      </c>
      <c r="AC45" s="95" t="str">
        <f t="shared" si="41"/>
        <v/>
      </c>
      <c r="AD45" s="95" t="e">
        <f t="shared" ref="AD45:AD46" si="71">IF(ISTEXT(AB45),INDEX(AB45:AB145,MATCH(TRUE,INDEX(AB45:AB145&lt;&gt;AB45,),0)),"")</f>
        <v>#N/A</v>
      </c>
      <c r="AE45" s="18" t="str">
        <f t="shared" si="43"/>
        <v/>
      </c>
      <c r="AF45" s="18" t="str">
        <f t="shared" si="2"/>
        <v/>
      </c>
      <c r="AG45" s="18" t="str">
        <f t="shared" si="3"/>
        <v/>
      </c>
      <c r="AH45" s="18" t="str">
        <f t="shared" si="4"/>
        <v/>
      </c>
      <c r="AI45" s="18" t="e">
        <f t="shared" ref="AI45:AI46" si="72">IF(AND(ISNUMBER(AI44),ISNUMBER(S45)),(VLOOKUP(AD45,AB45:AC145,2,FALSE)),IF(ISNUMBER(S45),R45,NA()))</f>
        <v>#N/A</v>
      </c>
      <c r="AJ45" s="18" t="e">
        <f t="shared" si="5"/>
        <v>#N/A</v>
      </c>
      <c r="AK45" s="18" t="str">
        <f t="shared" si="6"/>
        <v/>
      </c>
      <c r="AL45" s="18" t="str">
        <f t="shared" si="7"/>
        <v/>
      </c>
      <c r="AQ45" t="str">
        <f t="shared" si="66"/>
        <v/>
      </c>
      <c r="AS45" s="166">
        <f t="shared" si="8"/>
        <v>27.201250000000002</v>
      </c>
      <c r="AT45" s="40">
        <f t="shared" si="45"/>
        <v>5</v>
      </c>
      <c r="AU45" s="166">
        <f t="shared" si="9"/>
        <v>27.201250000000002</v>
      </c>
      <c r="AV45" s="40">
        <f t="shared" si="0"/>
        <v>5</v>
      </c>
      <c r="AW45" s="152"/>
      <c r="AY45" s="166">
        <f t="shared" si="10"/>
        <v>27.201250000000002</v>
      </c>
      <c r="AZ45">
        <f t="shared" si="11"/>
        <v>3.5010000000000003</v>
      </c>
      <c r="BA45" s="341">
        <f t="shared" si="12"/>
        <v>27.201250000000002</v>
      </c>
      <c r="BB45">
        <f t="shared" si="13"/>
        <v>3.5010000000000003</v>
      </c>
      <c r="BD45">
        <f t="shared" si="14"/>
        <v>1.4989999999999997</v>
      </c>
      <c r="BE45" s="2">
        <f t="shared" si="15"/>
        <v>0</v>
      </c>
      <c r="BF45" s="122">
        <f t="shared" si="16"/>
        <v>0</v>
      </c>
      <c r="BG45" t="str">
        <f t="shared" si="17"/>
        <v>MAX WSE</v>
      </c>
      <c r="BH45" s="122">
        <f t="shared" si="18"/>
        <v>5</v>
      </c>
      <c r="BJ45" s="122">
        <f t="shared" si="19"/>
        <v>1.4989999999999997</v>
      </c>
      <c r="BL45" s="2">
        <f t="shared" si="47"/>
        <v>0</v>
      </c>
      <c r="BM45" s="2"/>
      <c r="BN45" s="2">
        <f t="shared" si="21"/>
        <v>27.201250000000002</v>
      </c>
      <c r="BO45" s="2" t="str">
        <f>IF(BP45="Left",IF(ISERROR(VLOOKUP(BN45,XS_Designer_Summary!$A$21:$B$25,2,TRUE)),"",VLOOKUP(BN45,XS_Designer_Summary!$A$21:$B$25,2,TRUE)),IF(ISERROR(VLOOKUP(-BN45,XS_Designer_Summary!$A$28:$B$32,2,TRUE)),"",VLOOKUP(-BN45,XS_Designer_Summary!$A$28:$B$32,2,TRUE)))</f>
        <v>Right 3rd Stage</v>
      </c>
      <c r="BP45" s="2" t="str">
        <f>IF(AU45&lt;XS_Designer_Summary!$B$7,"Left",IF(AU45&gt;XS_Designer_Summary!$B$7,"Right","Thalweg"))</f>
        <v>Right</v>
      </c>
      <c r="BQ45" s="2">
        <f t="shared" si="22"/>
        <v>0</v>
      </c>
      <c r="BR45" s="2">
        <f t="shared" si="23"/>
        <v>0</v>
      </c>
      <c r="BS45" s="2">
        <f t="shared" si="24"/>
        <v>0</v>
      </c>
      <c r="BT45" s="2">
        <f t="shared" si="25"/>
        <v>0</v>
      </c>
      <c r="BU45" s="2">
        <f t="shared" si="26"/>
        <v>1.4989999999999997</v>
      </c>
      <c r="BV45" s="2">
        <f t="shared" si="27"/>
        <v>0</v>
      </c>
      <c r="BX45" s="2">
        <f>IF(AND(ISNUMBER($BN45),$BO45="Left 2nd Stage",SUM($BX$5:BX44)=0),$BN45,0)</f>
        <v>0</v>
      </c>
      <c r="BY45" s="2">
        <f>IF(AND(ISNUMBER($BN45),$BO45="Left Bankfull",SUM($BY$5:$BY44)=0),$BN45,0)</f>
        <v>0</v>
      </c>
      <c r="BZ45" s="2">
        <f>IF(AND(ISNUMBER($BN45),$BO45="Right 2nd Stage",SUM($BZ$5:$BZ44)=0),$BN44,0)</f>
        <v>0</v>
      </c>
      <c r="CA45" s="2">
        <f t="shared" si="46"/>
        <v>0</v>
      </c>
    </row>
    <row r="46" spans="1:79">
      <c r="A46" s="2">
        <v>42</v>
      </c>
      <c r="B46" s="111" t="e">
        <f>IF(ISNUMBER(XS_Designer!F46),XS_Designer!F46,NA())</f>
        <v>#N/A</v>
      </c>
      <c r="C46" s="111" t="e">
        <f>IF(ISNUMBER(XS_Designer!G46),XS_Designer!G46,NA())</f>
        <v>#N/A</v>
      </c>
      <c r="D46" s="111" t="str">
        <f>IF(ISNUMBER(XS_Designer!I46),XS_Designer!I46,"")</f>
        <v/>
      </c>
      <c r="E46" s="2" t="str">
        <f t="shared" si="28"/>
        <v/>
      </c>
      <c r="F46" s="111" t="str">
        <f>IF(ISTEXT(XS_Designer!H46),VLOOKUP(XS_Designer!H46,$K$12:$L$20,2,FALSE),"")</f>
        <v/>
      </c>
      <c r="G46" s="54" t="str">
        <f t="shared" si="29"/>
        <v/>
      </c>
      <c r="I46" s="328"/>
      <c r="Q46" s="2" t="str">
        <f t="shared" si="30"/>
        <v>N</v>
      </c>
      <c r="R46" s="2" t="str">
        <f t="shared" si="31"/>
        <v/>
      </c>
      <c r="S46" s="2" t="str">
        <f t="shared" si="32"/>
        <v/>
      </c>
      <c r="T46" s="2" t="str">
        <f t="shared" si="33"/>
        <v/>
      </c>
      <c r="U46" s="2" t="str">
        <f t="shared" si="34"/>
        <v/>
      </c>
      <c r="V46" s="97" t="str">
        <f t="shared" si="35"/>
        <v/>
      </c>
      <c r="W46" s="97" t="e">
        <f t="shared" si="36"/>
        <v>#N/A</v>
      </c>
      <c r="X46" s="2" t="e">
        <f t="shared" si="1"/>
        <v>#N/A</v>
      </c>
      <c r="Y46" s="95" t="str">
        <f t="shared" si="37"/>
        <v/>
      </c>
      <c r="Z46" s="261" t="str">
        <f t="shared" si="38"/>
        <v/>
      </c>
      <c r="AA46" s="95" t="str">
        <f t="shared" si="70"/>
        <v/>
      </c>
      <c r="AB46" s="95" t="str">
        <f t="shared" si="40"/>
        <v/>
      </c>
      <c r="AC46" s="95" t="str">
        <f t="shared" si="41"/>
        <v/>
      </c>
      <c r="AD46" s="95" t="e">
        <f t="shared" si="71"/>
        <v>#N/A</v>
      </c>
      <c r="AE46" s="18" t="str">
        <f t="shared" si="43"/>
        <v/>
      </c>
      <c r="AF46" s="18" t="str">
        <f t="shared" si="2"/>
        <v/>
      </c>
      <c r="AG46" s="18" t="str">
        <f t="shared" si="3"/>
        <v/>
      </c>
      <c r="AH46" s="18" t="str">
        <f t="shared" si="4"/>
        <v/>
      </c>
      <c r="AI46" s="18" t="e">
        <f t="shared" si="72"/>
        <v>#N/A</v>
      </c>
      <c r="AJ46" s="18" t="e">
        <f t="shared" si="5"/>
        <v>#N/A</v>
      </c>
      <c r="AK46" s="18" t="str">
        <f t="shared" si="6"/>
        <v/>
      </c>
      <c r="AL46" s="18" t="str">
        <f t="shared" si="7"/>
        <v/>
      </c>
      <c r="AQ46" t="str">
        <f t="shared" si="66"/>
        <v/>
      </c>
      <c r="AR46" s="2"/>
      <c r="AS46" s="166">
        <f t="shared" si="8"/>
        <v>27.201250000000002</v>
      </c>
      <c r="AT46" s="40">
        <f t="shared" si="45"/>
        <v>5</v>
      </c>
      <c r="AU46" s="166">
        <f t="shared" si="9"/>
        <v>27.201250000000002</v>
      </c>
      <c r="AV46" s="40">
        <f t="shared" si="0"/>
        <v>5</v>
      </c>
      <c r="AW46" s="152"/>
      <c r="AY46" s="166">
        <f t="shared" si="10"/>
        <v>27.201250000000002</v>
      </c>
      <c r="AZ46">
        <f t="shared" si="11"/>
        <v>3.5010000000000003</v>
      </c>
      <c r="BA46" s="341">
        <f t="shared" si="12"/>
        <v>27.201250000000002</v>
      </c>
      <c r="BB46">
        <f t="shared" si="13"/>
        <v>3.5010000000000003</v>
      </c>
      <c r="BD46">
        <f t="shared" si="14"/>
        <v>1.4989999999999997</v>
      </c>
      <c r="BE46" s="2">
        <f t="shared" si="15"/>
        <v>0</v>
      </c>
      <c r="BF46" s="122">
        <f t="shared" si="16"/>
        <v>0</v>
      </c>
      <c r="BG46" t="str">
        <f t="shared" si="17"/>
        <v>MAX WSE</v>
      </c>
      <c r="BH46" s="122">
        <f t="shared" si="18"/>
        <v>5</v>
      </c>
      <c r="BJ46" s="122">
        <f t="shared" si="19"/>
        <v>1.4989999999999997</v>
      </c>
      <c r="BL46" s="2">
        <f t="shared" si="47"/>
        <v>0</v>
      </c>
      <c r="BM46" s="2"/>
      <c r="BN46" s="2">
        <f t="shared" si="21"/>
        <v>27.201250000000002</v>
      </c>
      <c r="BO46" s="2" t="str">
        <f>IF(BP46="Left",IF(ISERROR(VLOOKUP(BN46,XS_Designer_Summary!$A$21:$B$25,2,TRUE)),"",VLOOKUP(BN46,XS_Designer_Summary!$A$21:$B$25,2,TRUE)),IF(ISERROR(VLOOKUP(-BN46,XS_Designer_Summary!$A$28:$B$32,2,TRUE)),"",VLOOKUP(-BN46,XS_Designer_Summary!$A$28:$B$32,2,TRUE)))</f>
        <v>Right 3rd Stage</v>
      </c>
      <c r="BP46" s="2" t="str">
        <f>IF(AU46&lt;XS_Designer_Summary!$B$7,"Left",IF(AU46&gt;XS_Designer_Summary!$B$7,"Right","Thalweg"))</f>
        <v>Right</v>
      </c>
      <c r="BQ46" s="2">
        <f t="shared" si="22"/>
        <v>0</v>
      </c>
      <c r="BR46" s="2">
        <f t="shared" si="23"/>
        <v>0</v>
      </c>
      <c r="BS46" s="2">
        <f t="shared" si="24"/>
        <v>0</v>
      </c>
      <c r="BT46" s="2">
        <f t="shared" si="25"/>
        <v>0</v>
      </c>
      <c r="BU46" s="2">
        <f t="shared" si="26"/>
        <v>1.4989999999999997</v>
      </c>
      <c r="BV46" s="2">
        <f t="shared" si="27"/>
        <v>0</v>
      </c>
      <c r="BX46" s="2">
        <f>IF(AND(ISNUMBER($BN46),$BO46="Left 2nd Stage",SUM($BX$5:BX45)=0),$BN46,0)</f>
        <v>0</v>
      </c>
      <c r="BY46" s="2">
        <f>IF(AND(ISNUMBER($BN46),$BO46="Left Bankfull",SUM($BY$5:$BY45)=0),$BN46,0)</f>
        <v>0</v>
      </c>
      <c r="BZ46" s="2">
        <f>IF(AND(ISNUMBER($BN46),$BO46="Right 2nd Stage",SUM($BZ$5:$BZ45)=0),$BN45,0)</f>
        <v>0</v>
      </c>
      <c r="CA46" s="2">
        <f t="shared" si="46"/>
        <v>0</v>
      </c>
    </row>
    <row r="47" spans="1:79">
      <c r="A47" s="2">
        <v>43</v>
      </c>
      <c r="B47" s="111" t="e">
        <f>IF(ISNUMBER(XS_Designer!F47),XS_Designer!F47,NA())</f>
        <v>#N/A</v>
      </c>
      <c r="C47" s="111" t="e">
        <f>IF(ISNUMBER(XS_Designer!G47),XS_Designer!G47,NA())</f>
        <v>#N/A</v>
      </c>
      <c r="D47" s="111" t="str">
        <f>IF(ISNUMBER(XS_Designer!I47),XS_Designer!I47,"")</f>
        <v/>
      </c>
      <c r="E47" s="2" t="str">
        <f t="shared" si="28"/>
        <v/>
      </c>
      <c r="F47" s="111" t="str">
        <f>IF(ISTEXT(XS_Designer!H47),VLOOKUP(XS_Designer!H47,$K$12:$L$20,2,FALSE),"")</f>
        <v/>
      </c>
      <c r="G47" s="54" t="str">
        <f t="shared" si="29"/>
        <v/>
      </c>
      <c r="I47" s="328"/>
      <c r="Q47" s="2" t="str">
        <f t="shared" si="30"/>
        <v>N</v>
      </c>
      <c r="R47" s="2" t="str">
        <f t="shared" si="31"/>
        <v/>
      </c>
      <c r="S47" s="2" t="str">
        <f t="shared" si="32"/>
        <v/>
      </c>
      <c r="T47" s="2" t="str">
        <f t="shared" si="33"/>
        <v/>
      </c>
      <c r="U47" s="2" t="str">
        <f t="shared" si="34"/>
        <v/>
      </c>
      <c r="V47" s="97" t="str">
        <f t="shared" si="35"/>
        <v/>
      </c>
      <c r="W47" s="97" t="e">
        <f t="shared" si="36"/>
        <v>#N/A</v>
      </c>
      <c r="X47" s="2" t="e">
        <f t="shared" si="1"/>
        <v>#N/A</v>
      </c>
      <c r="Y47" s="95" t="str">
        <f t="shared" si="37"/>
        <v/>
      </c>
      <c r="Z47" s="261" t="str">
        <f t="shared" si="38"/>
        <v/>
      </c>
      <c r="AA47" s="95" t="str">
        <f>IF(ISNUMBER(Y47),INDEX(Y47:Y146,MATCH(TRUE,INDEX(Y47:Y146&lt;&gt;Y47,),0)),"")</f>
        <v/>
      </c>
      <c r="AB47" s="95" t="str">
        <f t="shared" si="40"/>
        <v/>
      </c>
      <c r="AC47" s="95" t="str">
        <f t="shared" si="41"/>
        <v/>
      </c>
      <c r="AD47" s="95" t="e">
        <f>IF(ISTEXT(AB47),INDEX(AB47:AB146,MATCH(TRUE,INDEX(AB47:AB146&lt;&gt;AB47,),0)),"")</f>
        <v>#N/A</v>
      </c>
      <c r="AE47" s="18" t="str">
        <f t="shared" si="43"/>
        <v/>
      </c>
      <c r="AF47" s="18" t="str">
        <f t="shared" si="2"/>
        <v/>
      </c>
      <c r="AG47" s="18" t="str">
        <f t="shared" si="3"/>
        <v/>
      </c>
      <c r="AH47" s="18" t="str">
        <f t="shared" si="4"/>
        <v/>
      </c>
      <c r="AI47" s="18" t="e">
        <f>IF(AND(ISNUMBER(AI46),ISNUMBER(S47)),(VLOOKUP(AD47,AB47:AC146,2,FALSE)),IF(ISNUMBER(S47),R47,NA()))</f>
        <v>#N/A</v>
      </c>
      <c r="AJ47" s="18" t="e">
        <f t="shared" si="5"/>
        <v>#N/A</v>
      </c>
      <c r="AK47" s="18" t="str">
        <f t="shared" si="6"/>
        <v/>
      </c>
      <c r="AL47" s="18" t="str">
        <f t="shared" si="7"/>
        <v/>
      </c>
      <c r="AQ47" t="str">
        <f t="shared" si="66"/>
        <v/>
      </c>
      <c r="AR47" s="2"/>
      <c r="AS47" s="166">
        <f t="shared" si="8"/>
        <v>27.201250000000002</v>
      </c>
      <c r="AT47" s="40">
        <f t="shared" si="45"/>
        <v>5</v>
      </c>
      <c r="AU47" s="166">
        <f t="shared" si="9"/>
        <v>27.201250000000002</v>
      </c>
      <c r="AV47" s="40">
        <f t="shared" si="0"/>
        <v>5</v>
      </c>
      <c r="AW47" s="152"/>
      <c r="AY47" s="166">
        <f t="shared" si="10"/>
        <v>27.201250000000002</v>
      </c>
      <c r="AZ47">
        <f t="shared" si="11"/>
        <v>3.5010000000000003</v>
      </c>
      <c r="BA47" s="341">
        <f t="shared" si="12"/>
        <v>27.201250000000002</v>
      </c>
      <c r="BB47">
        <f t="shared" si="13"/>
        <v>3.5010000000000003</v>
      </c>
      <c r="BD47">
        <f t="shared" si="14"/>
        <v>1.4989999999999997</v>
      </c>
      <c r="BE47" s="2">
        <f t="shared" si="15"/>
        <v>0</v>
      </c>
      <c r="BF47" s="122">
        <f t="shared" si="16"/>
        <v>0</v>
      </c>
      <c r="BG47" t="str">
        <f t="shared" si="17"/>
        <v>MAX WSE</v>
      </c>
      <c r="BH47" s="122">
        <f t="shared" si="18"/>
        <v>5</v>
      </c>
      <c r="BJ47" s="122">
        <f t="shared" si="19"/>
        <v>1.4989999999999997</v>
      </c>
      <c r="BL47" s="2">
        <f t="shared" si="47"/>
        <v>0</v>
      </c>
      <c r="BM47" s="2"/>
      <c r="BN47" s="2">
        <f t="shared" si="21"/>
        <v>27.201250000000002</v>
      </c>
      <c r="BO47" s="2" t="str">
        <f>IF(BP47="Left",IF(ISERROR(VLOOKUP(BN47,XS_Designer_Summary!$A$21:$B$25,2,TRUE)),"",VLOOKUP(BN47,XS_Designer_Summary!$A$21:$B$25,2,TRUE)),IF(ISERROR(VLOOKUP(-BN47,XS_Designer_Summary!$A$28:$B$32,2,TRUE)),"",VLOOKUP(-BN47,XS_Designer_Summary!$A$28:$B$32,2,TRUE)))</f>
        <v>Right 3rd Stage</v>
      </c>
      <c r="BP47" s="2" t="str">
        <f>IF(AU47&lt;XS_Designer_Summary!$B$7,"Left",IF(AU47&gt;XS_Designer_Summary!$B$7,"Right","Thalweg"))</f>
        <v>Right</v>
      </c>
      <c r="BQ47" s="2">
        <f t="shared" si="22"/>
        <v>0</v>
      </c>
      <c r="BR47" s="2">
        <f t="shared" si="23"/>
        <v>0</v>
      </c>
      <c r="BS47" s="2">
        <f t="shared" si="24"/>
        <v>0</v>
      </c>
      <c r="BT47" s="2">
        <f t="shared" si="25"/>
        <v>0</v>
      </c>
      <c r="BU47" s="2">
        <f t="shared" si="26"/>
        <v>1.4989999999999997</v>
      </c>
      <c r="BV47" s="2">
        <f t="shared" si="27"/>
        <v>0</v>
      </c>
      <c r="BX47" s="2">
        <f>IF(AND(ISNUMBER($BN47),$BO47="Left 2nd Stage",SUM($BX$5:BX46)=0),$BN47,0)</f>
        <v>0</v>
      </c>
      <c r="BY47" s="2">
        <f>IF(AND(ISNUMBER($BN47),$BO47="Left Bankfull",SUM($BY$5:$BY46)=0),$BN47,0)</f>
        <v>0</v>
      </c>
      <c r="BZ47" s="2">
        <f>IF(AND(ISNUMBER($BN47),$BO47="Right 2nd Stage",SUM($BZ$5:$BZ46)=0),$BN46,0)</f>
        <v>0</v>
      </c>
      <c r="CA47" s="2">
        <f t="shared" si="46"/>
        <v>0</v>
      </c>
    </row>
    <row r="48" spans="1:79">
      <c r="A48" s="2">
        <v>44</v>
      </c>
      <c r="B48" s="111" t="e">
        <f>IF(ISNUMBER(XS_Designer!F48),XS_Designer!F48,NA())</f>
        <v>#N/A</v>
      </c>
      <c r="C48" s="111" t="e">
        <f>IF(ISNUMBER(XS_Designer!G48),XS_Designer!G48,NA())</f>
        <v>#N/A</v>
      </c>
      <c r="D48" s="111" t="str">
        <f>IF(ISNUMBER(XS_Designer!I48),XS_Designer!I48,"")</f>
        <v/>
      </c>
      <c r="E48" s="2" t="str">
        <f t="shared" si="28"/>
        <v/>
      </c>
      <c r="F48" s="111" t="str">
        <f>IF(ISTEXT(XS_Designer!H48),VLOOKUP(XS_Designer!H48,$K$12:$L$20,2,FALSE),"")</f>
        <v/>
      </c>
      <c r="G48" s="54" t="str">
        <f t="shared" si="29"/>
        <v/>
      </c>
      <c r="Q48" s="2" t="str">
        <f t="shared" si="30"/>
        <v>N</v>
      </c>
      <c r="R48" s="2" t="str">
        <f t="shared" si="31"/>
        <v/>
      </c>
      <c r="S48" s="2" t="str">
        <f t="shared" si="32"/>
        <v/>
      </c>
      <c r="T48" s="2" t="str">
        <f t="shared" si="33"/>
        <v/>
      </c>
      <c r="U48" s="2" t="str">
        <f t="shared" si="34"/>
        <v/>
      </c>
      <c r="V48" s="97" t="str">
        <f t="shared" si="35"/>
        <v/>
      </c>
      <c r="W48" s="97" t="e">
        <f t="shared" si="36"/>
        <v>#N/A</v>
      </c>
      <c r="X48" s="2" t="e">
        <f t="shared" si="1"/>
        <v>#N/A</v>
      </c>
      <c r="Y48" s="95" t="str">
        <f t="shared" si="37"/>
        <v/>
      </c>
      <c r="Z48" s="261" t="str">
        <f t="shared" si="38"/>
        <v/>
      </c>
      <c r="AA48" s="95" t="str">
        <f>IF(ISNUMBER(Y48),INDEX(Y48:Y146,MATCH(TRUE,INDEX(Y48:Y146&lt;&gt;Y48,),0)),"")</f>
        <v/>
      </c>
      <c r="AB48" s="95" t="str">
        <f t="shared" si="40"/>
        <v/>
      </c>
      <c r="AC48" s="95" t="str">
        <f t="shared" si="41"/>
        <v/>
      </c>
      <c r="AD48" s="95" t="e">
        <f>IF(ISTEXT(AB48),INDEX(AB48:AB146,MATCH(TRUE,INDEX(AB48:AB146&lt;&gt;AB48,),0)),"")</f>
        <v>#N/A</v>
      </c>
      <c r="AE48" s="18" t="str">
        <f t="shared" si="43"/>
        <v/>
      </c>
      <c r="AF48" s="18" t="str">
        <f t="shared" si="2"/>
        <v/>
      </c>
      <c r="AG48" s="18" t="str">
        <f t="shared" si="3"/>
        <v/>
      </c>
      <c r="AH48" s="18" t="str">
        <f t="shared" si="4"/>
        <v/>
      </c>
      <c r="AI48" s="18" t="e">
        <f>IF(AND(ISNUMBER(AI47),ISNUMBER(S48)),(VLOOKUP(AD48,AB48:AC146,2,FALSE)),IF(ISNUMBER(S48),R48,NA()))</f>
        <v>#N/A</v>
      </c>
      <c r="AJ48" s="18" t="e">
        <f t="shared" si="5"/>
        <v>#N/A</v>
      </c>
      <c r="AK48" s="18" t="str">
        <f t="shared" si="6"/>
        <v/>
      </c>
      <c r="AL48" s="18" t="str">
        <f t="shared" si="7"/>
        <v/>
      </c>
      <c r="AQ48" t="str">
        <f t="shared" si="66"/>
        <v/>
      </c>
      <c r="AS48" s="166">
        <f t="shared" si="8"/>
        <v>27.201250000000002</v>
      </c>
      <c r="AT48" s="40">
        <f t="shared" si="45"/>
        <v>5</v>
      </c>
      <c r="AU48" s="166">
        <f t="shared" si="9"/>
        <v>27.201250000000002</v>
      </c>
      <c r="AV48" s="40">
        <f t="shared" si="0"/>
        <v>5</v>
      </c>
      <c r="AW48" s="152"/>
      <c r="AY48" s="166">
        <f t="shared" si="10"/>
        <v>27.201250000000002</v>
      </c>
      <c r="AZ48">
        <f t="shared" si="11"/>
        <v>3.5010000000000003</v>
      </c>
      <c r="BA48" s="341">
        <f t="shared" si="12"/>
        <v>27.201250000000002</v>
      </c>
      <c r="BB48">
        <f t="shared" si="13"/>
        <v>3.5010000000000003</v>
      </c>
      <c r="BD48">
        <f t="shared" si="14"/>
        <v>1.4989999999999997</v>
      </c>
      <c r="BE48" s="2">
        <f t="shared" si="15"/>
        <v>0</v>
      </c>
      <c r="BF48" s="122">
        <f t="shared" si="16"/>
        <v>0</v>
      </c>
      <c r="BG48" t="str">
        <f t="shared" si="17"/>
        <v>MAX WSE</v>
      </c>
      <c r="BH48" s="122">
        <f t="shared" si="18"/>
        <v>5</v>
      </c>
      <c r="BJ48" s="122">
        <f t="shared" si="19"/>
        <v>1.4989999999999997</v>
      </c>
      <c r="BL48" s="2">
        <f t="shared" si="47"/>
        <v>0</v>
      </c>
      <c r="BM48" s="2"/>
      <c r="BN48" s="2">
        <f t="shared" si="21"/>
        <v>27.201250000000002</v>
      </c>
      <c r="BO48" s="2" t="str">
        <f>IF(BP48="Left",IF(ISERROR(VLOOKUP(BN48,XS_Designer_Summary!$A$21:$B$25,2,TRUE)),"",VLOOKUP(BN48,XS_Designer_Summary!$A$21:$B$25,2,TRUE)),IF(ISERROR(VLOOKUP(-BN48,XS_Designer_Summary!$A$28:$B$32,2,TRUE)),"",VLOOKUP(-BN48,XS_Designer_Summary!$A$28:$B$32,2,TRUE)))</f>
        <v>Right 3rd Stage</v>
      </c>
      <c r="BP48" s="2" t="str">
        <f>IF(AU48&lt;XS_Designer_Summary!$B$7,"Left",IF(AU48&gt;XS_Designer_Summary!$B$7,"Right","Thalweg"))</f>
        <v>Right</v>
      </c>
      <c r="BQ48" s="2">
        <f t="shared" si="22"/>
        <v>0</v>
      </c>
      <c r="BR48" s="2">
        <f t="shared" si="23"/>
        <v>0</v>
      </c>
      <c r="BS48" s="2">
        <f t="shared" si="24"/>
        <v>0</v>
      </c>
      <c r="BT48" s="2">
        <f t="shared" si="25"/>
        <v>0</v>
      </c>
      <c r="BU48" s="2">
        <f t="shared" si="26"/>
        <v>1.4989999999999997</v>
      </c>
      <c r="BV48" s="2">
        <f t="shared" si="27"/>
        <v>0</v>
      </c>
      <c r="BX48" s="2">
        <f>IF(AND(ISNUMBER($BN48),$BO48="Left 2nd Stage",SUM($BX$5:BX47)=0),$BN48,0)</f>
        <v>0</v>
      </c>
      <c r="BY48" s="2">
        <f>IF(AND(ISNUMBER($BN48),$BO48="Left Bankfull",SUM($BY$5:$BY47)=0),$BN48,0)</f>
        <v>0</v>
      </c>
      <c r="BZ48" s="2">
        <f>IF(AND(ISNUMBER($BN48),$BO48="Right 2nd Stage",SUM($BZ$5:$BZ47)=0),$BN47,0)</f>
        <v>0</v>
      </c>
      <c r="CA48" s="2">
        <f t="shared" si="46"/>
        <v>0</v>
      </c>
    </row>
    <row r="49" spans="1:79">
      <c r="A49" s="2">
        <v>45</v>
      </c>
      <c r="B49" s="111" t="e">
        <f>IF(ISNUMBER(XS_Designer!F49),XS_Designer!F49,NA())</f>
        <v>#N/A</v>
      </c>
      <c r="C49" s="111" t="e">
        <f>IF(ISNUMBER(XS_Designer!G49),XS_Designer!G49,NA())</f>
        <v>#N/A</v>
      </c>
      <c r="D49" s="111" t="str">
        <f>IF(ISNUMBER(XS_Designer!I49),XS_Designer!I49,"")</f>
        <v/>
      </c>
      <c r="E49" s="2" t="str">
        <f t="shared" si="28"/>
        <v/>
      </c>
      <c r="F49" s="111" t="str">
        <f>IF(ISTEXT(XS_Designer!H49),VLOOKUP(XS_Designer!H49,$K$12:$L$20,2,FALSE),"")</f>
        <v/>
      </c>
      <c r="G49" s="54" t="str">
        <f t="shared" si="29"/>
        <v/>
      </c>
      <c r="Q49" s="2" t="str">
        <f t="shared" si="30"/>
        <v>N</v>
      </c>
      <c r="R49" s="2" t="str">
        <f t="shared" si="31"/>
        <v/>
      </c>
      <c r="S49" s="2" t="str">
        <f t="shared" si="32"/>
        <v/>
      </c>
      <c r="T49" s="2" t="str">
        <f t="shared" si="33"/>
        <v/>
      </c>
      <c r="U49" s="2" t="str">
        <f t="shared" si="34"/>
        <v/>
      </c>
      <c r="V49" s="97" t="str">
        <f t="shared" si="35"/>
        <v/>
      </c>
      <c r="W49" s="97" t="e">
        <f t="shared" si="36"/>
        <v>#N/A</v>
      </c>
      <c r="X49" s="2" t="e">
        <f t="shared" si="1"/>
        <v>#N/A</v>
      </c>
      <c r="Y49" s="95" t="str">
        <f t="shared" si="37"/>
        <v/>
      </c>
      <c r="Z49" s="261" t="str">
        <f t="shared" si="38"/>
        <v/>
      </c>
      <c r="AA49" s="95" t="str">
        <f>IF(ISNUMBER(Y49),INDEX(Y49:Y146,MATCH(TRUE,INDEX(Y49:Y146&lt;&gt;Y49,),0)),"")</f>
        <v/>
      </c>
      <c r="AB49" s="95" t="str">
        <f t="shared" si="40"/>
        <v/>
      </c>
      <c r="AC49" s="95" t="str">
        <f t="shared" si="41"/>
        <v/>
      </c>
      <c r="AD49" s="95" t="e">
        <f>IF(ISTEXT(AB49),INDEX(AB49:AB146,MATCH(TRUE,INDEX(AB49:AB146&lt;&gt;AB49,),0)),"")</f>
        <v>#N/A</v>
      </c>
      <c r="AE49" s="18" t="str">
        <f t="shared" si="43"/>
        <v/>
      </c>
      <c r="AF49" s="18" t="str">
        <f t="shared" si="2"/>
        <v/>
      </c>
      <c r="AG49" s="18" t="str">
        <f t="shared" si="3"/>
        <v/>
      </c>
      <c r="AH49" s="18" t="str">
        <f t="shared" si="4"/>
        <v/>
      </c>
      <c r="AI49" s="18" t="e">
        <f>IF(AND(ISNUMBER(AI48),ISNUMBER(S49)),(VLOOKUP(AD49,AB49:AC146,2,FALSE)),IF(ISNUMBER(S49),R49,NA()))</f>
        <v>#N/A</v>
      </c>
      <c r="AJ49" s="18" t="e">
        <f t="shared" si="5"/>
        <v>#N/A</v>
      </c>
      <c r="AK49" s="18" t="str">
        <f t="shared" si="6"/>
        <v/>
      </c>
      <c r="AL49" s="18" t="str">
        <f t="shared" si="7"/>
        <v/>
      </c>
      <c r="AS49" s="166">
        <f t="shared" si="8"/>
        <v>27.201250000000002</v>
      </c>
      <c r="AT49" s="40">
        <f t="shared" si="45"/>
        <v>5</v>
      </c>
      <c r="AU49" s="166">
        <f t="shared" si="9"/>
        <v>27.201250000000002</v>
      </c>
      <c r="AV49" s="40">
        <f t="shared" si="0"/>
        <v>5</v>
      </c>
      <c r="AW49" s="152"/>
      <c r="AY49" s="166">
        <f t="shared" si="10"/>
        <v>27.201250000000002</v>
      </c>
      <c r="AZ49">
        <f t="shared" si="11"/>
        <v>3.5010000000000003</v>
      </c>
      <c r="BA49" s="341">
        <f t="shared" si="12"/>
        <v>27.201250000000002</v>
      </c>
      <c r="BB49">
        <f t="shared" si="13"/>
        <v>3.5010000000000003</v>
      </c>
      <c r="BD49">
        <f t="shared" si="14"/>
        <v>1.4989999999999997</v>
      </c>
      <c r="BE49" s="2">
        <f t="shared" si="15"/>
        <v>0</v>
      </c>
      <c r="BF49" s="122">
        <f t="shared" si="16"/>
        <v>0</v>
      </c>
      <c r="BG49" t="str">
        <f t="shared" si="17"/>
        <v>MAX WSE</v>
      </c>
      <c r="BH49" s="122">
        <f t="shared" si="18"/>
        <v>5</v>
      </c>
      <c r="BJ49" s="122">
        <f t="shared" si="19"/>
        <v>1.4989999999999997</v>
      </c>
      <c r="BL49" s="2">
        <f t="shared" si="47"/>
        <v>0</v>
      </c>
      <c r="BM49" s="2"/>
      <c r="BN49" s="2">
        <f t="shared" si="21"/>
        <v>27.201250000000002</v>
      </c>
      <c r="BO49" s="2" t="str">
        <f>IF(BP49="Left",IF(ISERROR(VLOOKUP(BN49,XS_Designer_Summary!$A$21:$B$25,2,TRUE)),"",VLOOKUP(BN49,XS_Designer_Summary!$A$21:$B$25,2,TRUE)),IF(ISERROR(VLOOKUP(-BN49,XS_Designer_Summary!$A$28:$B$32,2,TRUE)),"",VLOOKUP(-BN49,XS_Designer_Summary!$A$28:$B$32,2,TRUE)))</f>
        <v>Right 3rd Stage</v>
      </c>
      <c r="BP49" s="2" t="str">
        <f>IF(AU49&lt;XS_Designer_Summary!$B$7,"Left",IF(AU49&gt;XS_Designer_Summary!$B$7,"Right","Thalweg"))</f>
        <v>Right</v>
      </c>
      <c r="BQ49" s="2">
        <f t="shared" si="22"/>
        <v>0</v>
      </c>
      <c r="BR49" s="2">
        <f t="shared" si="23"/>
        <v>0</v>
      </c>
      <c r="BS49" s="2">
        <f t="shared" si="24"/>
        <v>0</v>
      </c>
      <c r="BT49" s="2">
        <f t="shared" si="25"/>
        <v>0</v>
      </c>
      <c r="BU49" s="2">
        <f t="shared" si="26"/>
        <v>1.4989999999999997</v>
      </c>
      <c r="BV49" s="2">
        <f t="shared" si="27"/>
        <v>0</v>
      </c>
      <c r="BX49" s="2">
        <f>IF(AND(ISNUMBER($BN49),$BO49="Left 2nd Stage",SUM($BX$5:BX48)=0),$BN49,0)</f>
        <v>0</v>
      </c>
      <c r="BY49" s="2">
        <f>IF(AND(ISNUMBER($BN49),$BO49="Left Bankfull",SUM($BY$5:$BY48)=0),$BN49,0)</f>
        <v>0</v>
      </c>
      <c r="BZ49" s="2">
        <f>IF(AND(ISNUMBER($BN49),$BO49="Right 2nd Stage",SUM($BZ$5:$BZ48)=0),$BN48,0)</f>
        <v>0</v>
      </c>
      <c r="CA49" s="2">
        <f t="shared" si="46"/>
        <v>0</v>
      </c>
    </row>
    <row r="50" spans="1:79">
      <c r="A50" s="2">
        <v>46</v>
      </c>
      <c r="B50" s="111" t="e">
        <f>IF(ISNUMBER(XS_Designer!F50),XS_Designer!F50,NA())</f>
        <v>#N/A</v>
      </c>
      <c r="C50" s="111" t="e">
        <f>IF(ISNUMBER(XS_Designer!G50),XS_Designer!G50,NA())</f>
        <v>#N/A</v>
      </c>
      <c r="D50" s="111" t="str">
        <f>IF(ISNUMBER(XS_Designer!I50),XS_Designer!I50,"")</f>
        <v/>
      </c>
      <c r="E50" s="2" t="str">
        <f t="shared" si="28"/>
        <v/>
      </c>
      <c r="F50" s="111" t="str">
        <f>IF(ISTEXT(XS_Designer!H50),VLOOKUP(XS_Designer!H50,$K$12:$L$20,2,FALSE),"")</f>
        <v/>
      </c>
      <c r="G50" s="54" t="str">
        <f t="shared" si="29"/>
        <v/>
      </c>
      <c r="Q50" s="2" t="str">
        <f t="shared" si="30"/>
        <v>N</v>
      </c>
      <c r="R50" s="2" t="str">
        <f t="shared" si="31"/>
        <v/>
      </c>
      <c r="S50" s="2" t="str">
        <f t="shared" si="32"/>
        <v/>
      </c>
      <c r="T50" s="2" t="str">
        <f t="shared" si="33"/>
        <v/>
      </c>
      <c r="U50" s="2" t="str">
        <f t="shared" si="34"/>
        <v/>
      </c>
      <c r="V50" s="97" t="str">
        <f t="shared" si="35"/>
        <v/>
      </c>
      <c r="W50" s="97" t="e">
        <f t="shared" si="36"/>
        <v>#N/A</v>
      </c>
      <c r="X50" s="2" t="e">
        <f t="shared" si="1"/>
        <v>#N/A</v>
      </c>
      <c r="Y50" s="95" t="str">
        <f t="shared" si="37"/>
        <v/>
      </c>
      <c r="Z50" s="261" t="str">
        <f t="shared" si="38"/>
        <v/>
      </c>
      <c r="AA50" s="95" t="str">
        <f t="shared" ref="AA50:AA51" si="73">IF(ISNUMBER(Y50),INDEX(Y50:Y150,MATCH(TRUE,INDEX(Y50:Y150&lt;&gt;Y50,),0)),"")</f>
        <v/>
      </c>
      <c r="AB50" s="95" t="str">
        <f t="shared" si="40"/>
        <v/>
      </c>
      <c r="AC50" s="95" t="str">
        <f t="shared" si="41"/>
        <v/>
      </c>
      <c r="AD50" s="95" t="e">
        <f t="shared" ref="AD50:AD51" si="74">IF(ISTEXT(AB50),INDEX(AB50:AB150,MATCH(TRUE,INDEX(AB50:AB150&lt;&gt;AB50,),0)),"")</f>
        <v>#N/A</v>
      </c>
      <c r="AE50" s="18" t="str">
        <f t="shared" si="43"/>
        <v/>
      </c>
      <c r="AF50" s="18" t="str">
        <f t="shared" si="2"/>
        <v/>
      </c>
      <c r="AG50" s="18" t="str">
        <f t="shared" si="3"/>
        <v/>
      </c>
      <c r="AH50" s="18" t="str">
        <f t="shared" si="4"/>
        <v/>
      </c>
      <c r="AI50" s="18" t="e">
        <f t="shared" ref="AI50:AI51" si="75">IF(AND(ISNUMBER(AI49),ISNUMBER(S50)),(VLOOKUP(AD50,AB50:AC150,2,FALSE)),IF(ISNUMBER(S50),R50,NA()))</f>
        <v>#N/A</v>
      </c>
      <c r="AJ50" s="18" t="e">
        <f t="shared" si="5"/>
        <v>#N/A</v>
      </c>
      <c r="AK50" s="18" t="str">
        <f t="shared" si="6"/>
        <v/>
      </c>
      <c r="AL50" s="18" t="str">
        <f t="shared" si="7"/>
        <v/>
      </c>
      <c r="AS50" s="166">
        <f t="shared" si="8"/>
        <v>27.201250000000002</v>
      </c>
      <c r="AT50" s="40">
        <f t="shared" si="45"/>
        <v>5</v>
      </c>
      <c r="AU50" s="166">
        <f t="shared" si="9"/>
        <v>27.201250000000002</v>
      </c>
      <c r="AV50" s="40">
        <f t="shared" si="0"/>
        <v>5</v>
      </c>
      <c r="AW50" s="152"/>
      <c r="AY50" s="166">
        <f t="shared" si="10"/>
        <v>27.201250000000002</v>
      </c>
      <c r="AZ50">
        <f t="shared" si="11"/>
        <v>3.5010000000000003</v>
      </c>
      <c r="BA50" s="341">
        <f t="shared" si="12"/>
        <v>27.201250000000002</v>
      </c>
      <c r="BB50">
        <f t="shared" si="13"/>
        <v>3.5010000000000003</v>
      </c>
      <c r="BD50">
        <f t="shared" si="14"/>
        <v>1.4989999999999997</v>
      </c>
      <c r="BE50" s="2">
        <f t="shared" si="15"/>
        <v>0</v>
      </c>
      <c r="BF50" s="122">
        <f t="shared" si="16"/>
        <v>0</v>
      </c>
      <c r="BG50" t="str">
        <f t="shared" si="17"/>
        <v>MAX WSE</v>
      </c>
      <c r="BH50" s="122">
        <f t="shared" si="18"/>
        <v>5</v>
      </c>
      <c r="BJ50" s="122">
        <f t="shared" si="19"/>
        <v>1.4989999999999997</v>
      </c>
      <c r="BL50" s="2">
        <f t="shared" si="47"/>
        <v>0</v>
      </c>
      <c r="BM50" s="2"/>
      <c r="BN50" s="2">
        <f t="shared" si="21"/>
        <v>27.201250000000002</v>
      </c>
      <c r="BO50" s="2" t="str">
        <f>IF(BP50="Left",IF(ISERROR(VLOOKUP(BN50,XS_Designer_Summary!$A$21:$B$25,2,TRUE)),"",VLOOKUP(BN50,XS_Designer_Summary!$A$21:$B$25,2,TRUE)),IF(ISERROR(VLOOKUP(-BN50,XS_Designer_Summary!$A$28:$B$32,2,TRUE)),"",VLOOKUP(-BN50,XS_Designer_Summary!$A$28:$B$32,2,TRUE)))</f>
        <v>Right 3rd Stage</v>
      </c>
      <c r="BP50" s="2" t="str">
        <f>IF(AU50&lt;XS_Designer_Summary!$B$7,"Left",IF(AU50&gt;XS_Designer_Summary!$B$7,"Right","Thalweg"))</f>
        <v>Right</v>
      </c>
      <c r="BQ50" s="2">
        <f t="shared" si="22"/>
        <v>0</v>
      </c>
      <c r="BR50" s="2">
        <f t="shared" si="23"/>
        <v>0</v>
      </c>
      <c r="BS50" s="2">
        <f t="shared" si="24"/>
        <v>0</v>
      </c>
      <c r="BT50" s="2">
        <f t="shared" si="25"/>
        <v>0</v>
      </c>
      <c r="BU50" s="2">
        <f t="shared" si="26"/>
        <v>1.4989999999999997</v>
      </c>
      <c r="BV50" s="2">
        <f t="shared" si="27"/>
        <v>0</v>
      </c>
      <c r="BX50" s="2">
        <f>IF(AND(ISNUMBER($BN50),$BO50="Left 2nd Stage",SUM($BX$5:BX49)=0),$BN50,0)</f>
        <v>0</v>
      </c>
      <c r="BY50" s="2">
        <f>IF(AND(ISNUMBER($BN50),$BO50="Left Bankfull",SUM($BY$5:$BY49)=0),$BN50,0)</f>
        <v>0</v>
      </c>
      <c r="BZ50" s="2">
        <f>IF(AND(ISNUMBER($BN50),$BO50="Right 2nd Stage",SUM($BZ$5:$BZ49)=0),$BN49,0)</f>
        <v>0</v>
      </c>
      <c r="CA50" s="2">
        <f t="shared" si="46"/>
        <v>0</v>
      </c>
    </row>
    <row r="51" spans="1:79">
      <c r="A51" s="2">
        <v>47</v>
      </c>
      <c r="B51" s="111" t="e">
        <f>IF(ISNUMBER(XS_Designer!F51),XS_Designer!F51,NA())</f>
        <v>#N/A</v>
      </c>
      <c r="C51" s="111" t="e">
        <f>IF(ISNUMBER(XS_Designer!G51),XS_Designer!G51,NA())</f>
        <v>#N/A</v>
      </c>
      <c r="D51" s="111" t="str">
        <f>IF(ISNUMBER(XS_Designer!I51),XS_Designer!I51,"")</f>
        <v/>
      </c>
      <c r="E51" s="2" t="str">
        <f t="shared" si="28"/>
        <v/>
      </c>
      <c r="F51" s="111" t="str">
        <f>IF(ISTEXT(XS_Designer!H51),VLOOKUP(XS_Designer!H51,$K$12:$L$20,2,FALSE),"")</f>
        <v/>
      </c>
      <c r="G51" s="54" t="str">
        <f t="shared" si="29"/>
        <v/>
      </c>
      <c r="Q51" s="2" t="str">
        <f t="shared" si="30"/>
        <v>N</v>
      </c>
      <c r="R51" s="2" t="str">
        <f t="shared" si="31"/>
        <v/>
      </c>
      <c r="S51" s="2" t="str">
        <f t="shared" si="32"/>
        <v/>
      </c>
      <c r="T51" s="2" t="str">
        <f t="shared" si="33"/>
        <v/>
      </c>
      <c r="U51" s="2" t="str">
        <f t="shared" si="34"/>
        <v/>
      </c>
      <c r="V51" s="97" t="str">
        <f t="shared" si="35"/>
        <v/>
      </c>
      <c r="W51" s="97" t="e">
        <f t="shared" si="36"/>
        <v>#N/A</v>
      </c>
      <c r="X51" s="2" t="e">
        <f t="shared" si="1"/>
        <v>#N/A</v>
      </c>
      <c r="Y51" s="95" t="str">
        <f t="shared" si="37"/>
        <v/>
      </c>
      <c r="Z51" s="261" t="str">
        <f t="shared" si="38"/>
        <v/>
      </c>
      <c r="AA51" s="95" t="str">
        <f t="shared" si="73"/>
        <v/>
      </c>
      <c r="AB51" s="95" t="str">
        <f t="shared" si="40"/>
        <v/>
      </c>
      <c r="AC51" s="95" t="str">
        <f t="shared" si="41"/>
        <v/>
      </c>
      <c r="AD51" s="95" t="e">
        <f t="shared" si="74"/>
        <v>#N/A</v>
      </c>
      <c r="AE51" s="18" t="str">
        <f t="shared" si="43"/>
        <v/>
      </c>
      <c r="AF51" s="18" t="str">
        <f t="shared" si="2"/>
        <v/>
      </c>
      <c r="AG51" s="18" t="str">
        <f t="shared" si="3"/>
        <v/>
      </c>
      <c r="AH51" s="18" t="str">
        <f t="shared" si="4"/>
        <v/>
      </c>
      <c r="AI51" s="18" t="e">
        <f t="shared" si="75"/>
        <v>#N/A</v>
      </c>
      <c r="AJ51" s="18" t="e">
        <f t="shared" si="5"/>
        <v>#N/A</v>
      </c>
      <c r="AK51" s="18" t="str">
        <f t="shared" si="6"/>
        <v/>
      </c>
      <c r="AL51" s="18" t="str">
        <f t="shared" si="7"/>
        <v/>
      </c>
      <c r="AS51" s="166">
        <f t="shared" si="8"/>
        <v>27.201250000000002</v>
      </c>
      <c r="AT51" s="40">
        <f t="shared" si="45"/>
        <v>5</v>
      </c>
      <c r="AU51" s="166">
        <f t="shared" si="9"/>
        <v>27.201250000000002</v>
      </c>
      <c r="AV51" s="40">
        <f t="shared" si="0"/>
        <v>5</v>
      </c>
      <c r="AW51" s="152"/>
      <c r="AY51" s="166">
        <f t="shared" si="10"/>
        <v>27.201250000000002</v>
      </c>
      <c r="AZ51">
        <f t="shared" si="11"/>
        <v>3.5010000000000003</v>
      </c>
      <c r="BA51" s="341">
        <f t="shared" si="12"/>
        <v>27.201250000000002</v>
      </c>
      <c r="BB51">
        <f t="shared" si="13"/>
        <v>3.5010000000000003</v>
      </c>
      <c r="BD51">
        <f t="shared" si="14"/>
        <v>1.4989999999999997</v>
      </c>
      <c r="BE51" s="2">
        <f t="shared" si="15"/>
        <v>0</v>
      </c>
      <c r="BF51" s="122">
        <f t="shared" si="16"/>
        <v>0</v>
      </c>
      <c r="BG51" t="str">
        <f t="shared" si="17"/>
        <v>MAX WSE</v>
      </c>
      <c r="BH51" s="122">
        <f t="shared" si="18"/>
        <v>5</v>
      </c>
      <c r="BJ51" s="122">
        <f t="shared" si="19"/>
        <v>1.4989999999999997</v>
      </c>
      <c r="BL51" s="2">
        <f t="shared" si="47"/>
        <v>0</v>
      </c>
      <c r="BM51" s="2"/>
      <c r="BN51" s="2">
        <f t="shared" si="21"/>
        <v>27.201250000000002</v>
      </c>
      <c r="BO51" s="2" t="str">
        <f>IF(BP51="Left",IF(ISERROR(VLOOKUP(BN51,XS_Designer_Summary!$A$21:$B$25,2,TRUE)),"",VLOOKUP(BN51,XS_Designer_Summary!$A$21:$B$25,2,TRUE)),IF(ISERROR(VLOOKUP(-BN51,XS_Designer_Summary!$A$28:$B$32,2,TRUE)),"",VLOOKUP(-BN51,XS_Designer_Summary!$A$28:$B$32,2,TRUE)))</f>
        <v>Right 3rd Stage</v>
      </c>
      <c r="BP51" s="2" t="str">
        <f>IF(AU51&lt;XS_Designer_Summary!$B$7,"Left",IF(AU51&gt;XS_Designer_Summary!$B$7,"Right","Thalweg"))</f>
        <v>Right</v>
      </c>
      <c r="BQ51" s="2">
        <f t="shared" si="22"/>
        <v>0</v>
      </c>
      <c r="BR51" s="2">
        <f t="shared" si="23"/>
        <v>0</v>
      </c>
      <c r="BS51" s="2">
        <f t="shared" si="24"/>
        <v>0</v>
      </c>
      <c r="BT51" s="2">
        <f t="shared" si="25"/>
        <v>0</v>
      </c>
      <c r="BU51" s="2">
        <f t="shared" si="26"/>
        <v>1.4989999999999997</v>
      </c>
      <c r="BV51" s="2">
        <f t="shared" si="27"/>
        <v>0</v>
      </c>
      <c r="BX51" s="2">
        <f>IF(AND(ISNUMBER($BN51),$BO51="Left 2nd Stage",SUM($BX$5:BX50)=0),$BN51,0)</f>
        <v>0</v>
      </c>
      <c r="BY51" s="2">
        <f>IF(AND(ISNUMBER($BN51),$BO51="Left Bankfull",SUM($BY$5:$BY50)=0),$BN51,0)</f>
        <v>0</v>
      </c>
      <c r="BZ51" s="2">
        <f>IF(AND(ISNUMBER($BN51),$BO51="Right 2nd Stage",SUM($BZ$5:$BZ50)=0),$BN50,0)</f>
        <v>0</v>
      </c>
      <c r="CA51" s="2">
        <f t="shared" si="46"/>
        <v>0</v>
      </c>
    </row>
    <row r="52" spans="1:79">
      <c r="A52" s="2">
        <v>48</v>
      </c>
      <c r="B52" s="111" t="e">
        <f>IF(ISNUMBER(XS_Designer!F52),XS_Designer!F52,NA())</f>
        <v>#N/A</v>
      </c>
      <c r="C52" s="111" t="e">
        <f>IF(ISNUMBER(XS_Designer!G52),XS_Designer!G52,NA())</f>
        <v>#N/A</v>
      </c>
      <c r="D52" s="111" t="str">
        <f>IF(ISNUMBER(XS_Designer!I52),XS_Designer!I52,"")</f>
        <v/>
      </c>
      <c r="E52" s="2" t="str">
        <f t="shared" si="28"/>
        <v/>
      </c>
      <c r="F52" s="111" t="str">
        <f>IF(ISTEXT(XS_Designer!H52),VLOOKUP(XS_Designer!H52,$K$12:$L$20,2,FALSE),"")</f>
        <v/>
      </c>
      <c r="G52" s="54" t="str">
        <f t="shared" si="29"/>
        <v/>
      </c>
      <c r="Q52" s="2" t="str">
        <f t="shared" si="30"/>
        <v>N</v>
      </c>
      <c r="R52" s="2" t="str">
        <f t="shared" si="31"/>
        <v/>
      </c>
      <c r="S52" s="2" t="str">
        <f t="shared" si="32"/>
        <v/>
      </c>
      <c r="T52" s="2" t="str">
        <f t="shared" si="33"/>
        <v/>
      </c>
      <c r="U52" s="2" t="str">
        <f t="shared" si="34"/>
        <v/>
      </c>
      <c r="V52" s="97" t="str">
        <f t="shared" si="35"/>
        <v/>
      </c>
      <c r="W52" s="97" t="e">
        <f t="shared" si="36"/>
        <v>#N/A</v>
      </c>
      <c r="X52" s="2" t="e">
        <f t="shared" si="1"/>
        <v>#N/A</v>
      </c>
      <c r="Y52" s="95" t="str">
        <f t="shared" si="37"/>
        <v/>
      </c>
      <c r="Z52" s="261" t="str">
        <f t="shared" si="38"/>
        <v/>
      </c>
      <c r="AA52" s="95" t="str">
        <f>IF(ISNUMBER(Y52),INDEX(Y52:Y151,MATCH(TRUE,INDEX(Y52:Y151&lt;&gt;Y52,),0)),"")</f>
        <v/>
      </c>
      <c r="AB52" s="95" t="str">
        <f t="shared" si="40"/>
        <v/>
      </c>
      <c r="AC52" s="95" t="str">
        <f t="shared" si="41"/>
        <v/>
      </c>
      <c r="AD52" s="95" t="e">
        <f>IF(ISTEXT(AB52),INDEX(AB52:AB151,MATCH(TRUE,INDEX(AB52:AB151&lt;&gt;AB52,),0)),"")</f>
        <v>#N/A</v>
      </c>
      <c r="AE52" s="18" t="str">
        <f t="shared" si="43"/>
        <v/>
      </c>
      <c r="AF52" s="18" t="str">
        <f t="shared" si="2"/>
        <v/>
      </c>
      <c r="AG52" s="18" t="str">
        <f t="shared" si="3"/>
        <v/>
      </c>
      <c r="AH52" s="18" t="str">
        <f t="shared" si="4"/>
        <v/>
      </c>
      <c r="AI52" s="18" t="e">
        <f>IF(AND(ISNUMBER(AI51),ISNUMBER(S52)),(VLOOKUP(AD52,AB52:AC151,2,FALSE)),IF(ISNUMBER(S52),R52,NA()))</f>
        <v>#N/A</v>
      </c>
      <c r="AJ52" s="18" t="e">
        <f t="shared" si="5"/>
        <v>#N/A</v>
      </c>
      <c r="AK52" s="18" t="str">
        <f t="shared" si="6"/>
        <v/>
      </c>
      <c r="AL52" s="18" t="str">
        <f t="shared" si="7"/>
        <v/>
      </c>
      <c r="AS52" s="166">
        <f t="shared" si="8"/>
        <v>27.201250000000002</v>
      </c>
      <c r="AT52" s="40">
        <f t="shared" si="45"/>
        <v>5</v>
      </c>
      <c r="AU52" s="166">
        <f t="shared" si="9"/>
        <v>27.201250000000002</v>
      </c>
      <c r="AV52" s="40">
        <f t="shared" si="0"/>
        <v>5</v>
      </c>
      <c r="AW52" s="152"/>
      <c r="AY52" s="166">
        <f t="shared" si="10"/>
        <v>27.201250000000002</v>
      </c>
      <c r="AZ52">
        <f t="shared" si="11"/>
        <v>3.5010000000000003</v>
      </c>
      <c r="BA52" s="341">
        <f t="shared" si="12"/>
        <v>27.201250000000002</v>
      </c>
      <c r="BB52">
        <f t="shared" si="13"/>
        <v>3.5010000000000003</v>
      </c>
      <c r="BD52">
        <f t="shared" si="14"/>
        <v>1.4989999999999997</v>
      </c>
      <c r="BE52" s="2">
        <f t="shared" si="15"/>
        <v>0</v>
      </c>
      <c r="BF52" s="122">
        <f t="shared" si="16"/>
        <v>0</v>
      </c>
      <c r="BG52" t="str">
        <f t="shared" si="17"/>
        <v>MAX WSE</v>
      </c>
      <c r="BH52" s="122">
        <f t="shared" si="18"/>
        <v>5</v>
      </c>
      <c r="BJ52" s="122">
        <f t="shared" si="19"/>
        <v>1.4989999999999997</v>
      </c>
      <c r="BL52" s="2">
        <f t="shared" si="47"/>
        <v>0</v>
      </c>
      <c r="BM52" s="2"/>
      <c r="BN52" s="2">
        <f t="shared" si="21"/>
        <v>27.201250000000002</v>
      </c>
      <c r="BO52" s="2" t="str">
        <f>IF(BP52="Left",IF(ISERROR(VLOOKUP(BN52,XS_Designer_Summary!$A$21:$B$25,2,TRUE)),"",VLOOKUP(BN52,XS_Designer_Summary!$A$21:$B$25,2,TRUE)),IF(ISERROR(VLOOKUP(-BN52,XS_Designer_Summary!$A$28:$B$32,2,TRUE)),"",VLOOKUP(-BN52,XS_Designer_Summary!$A$28:$B$32,2,TRUE)))</f>
        <v>Right 3rd Stage</v>
      </c>
      <c r="BP52" s="2" t="str">
        <f>IF(AU52&lt;XS_Designer_Summary!$B$7,"Left",IF(AU52&gt;XS_Designer_Summary!$B$7,"Right","Thalweg"))</f>
        <v>Right</v>
      </c>
      <c r="BQ52" s="2">
        <f t="shared" si="22"/>
        <v>0</v>
      </c>
      <c r="BR52" s="2">
        <f t="shared" si="23"/>
        <v>0</v>
      </c>
      <c r="BS52" s="2">
        <f t="shared" si="24"/>
        <v>0</v>
      </c>
      <c r="BT52" s="2">
        <f t="shared" si="25"/>
        <v>0</v>
      </c>
      <c r="BU52" s="2">
        <f t="shared" si="26"/>
        <v>1.4989999999999997</v>
      </c>
      <c r="BV52" s="2">
        <f t="shared" si="27"/>
        <v>0</v>
      </c>
      <c r="BX52" s="2">
        <f>IF(AND(ISNUMBER($BN52),$BO52="Left 2nd Stage",SUM($BX$5:BX51)=0),$BN52,0)</f>
        <v>0</v>
      </c>
      <c r="BY52" s="2">
        <f>IF(AND(ISNUMBER($BN52),$BO52="Left Bankfull",SUM($BY$5:$BY51)=0),$BN52,0)</f>
        <v>0</v>
      </c>
      <c r="BZ52" s="2">
        <f>IF(AND(ISNUMBER($BN52),$BO52="Right 2nd Stage",SUM($BZ$5:$BZ51)=0),$BN51,0)</f>
        <v>0</v>
      </c>
      <c r="CA52" s="2">
        <f t="shared" si="46"/>
        <v>0</v>
      </c>
    </row>
    <row r="53" spans="1:79">
      <c r="A53" s="2">
        <v>49</v>
      </c>
      <c r="B53" s="111" t="e">
        <f>IF(ISNUMBER(XS_Designer!F53),XS_Designer!F53,NA())</f>
        <v>#N/A</v>
      </c>
      <c r="C53" s="111" t="e">
        <f>IF(ISNUMBER(XS_Designer!G53),XS_Designer!G53,NA())</f>
        <v>#N/A</v>
      </c>
      <c r="D53" s="111" t="str">
        <f>IF(ISNUMBER(XS_Designer!I53),XS_Designer!I53,"")</f>
        <v/>
      </c>
      <c r="E53" s="2" t="str">
        <f t="shared" si="28"/>
        <v/>
      </c>
      <c r="F53" s="111" t="str">
        <f>IF(ISTEXT(XS_Designer!H53),VLOOKUP(XS_Designer!H53,$K$12:$L$20,2,FALSE),"")</f>
        <v/>
      </c>
      <c r="G53" s="54" t="str">
        <f t="shared" si="29"/>
        <v/>
      </c>
      <c r="Q53" s="2" t="str">
        <f t="shared" si="30"/>
        <v>N</v>
      </c>
      <c r="R53" s="2" t="str">
        <f t="shared" si="31"/>
        <v/>
      </c>
      <c r="S53" s="2" t="str">
        <f t="shared" si="32"/>
        <v/>
      </c>
      <c r="T53" s="2" t="str">
        <f t="shared" si="33"/>
        <v/>
      </c>
      <c r="U53" s="2" t="str">
        <f t="shared" si="34"/>
        <v/>
      </c>
      <c r="V53" s="97" t="str">
        <f t="shared" si="35"/>
        <v/>
      </c>
      <c r="W53" s="97" t="e">
        <f t="shared" si="36"/>
        <v>#N/A</v>
      </c>
      <c r="X53" s="2" t="e">
        <f t="shared" si="1"/>
        <v>#N/A</v>
      </c>
      <c r="Y53" s="95" t="str">
        <f t="shared" si="37"/>
        <v/>
      </c>
      <c r="Z53" s="261" t="str">
        <f t="shared" si="38"/>
        <v/>
      </c>
      <c r="AA53" s="95" t="str">
        <f>IF(ISNUMBER(Y53),INDEX(Y53:Y151,MATCH(TRUE,INDEX(Y53:Y151&lt;&gt;Y53,),0)),"")</f>
        <v/>
      </c>
      <c r="AB53" s="95" t="str">
        <f t="shared" si="40"/>
        <v/>
      </c>
      <c r="AC53" s="95" t="str">
        <f t="shared" si="41"/>
        <v/>
      </c>
      <c r="AD53" s="95" t="e">
        <f>IF(ISTEXT(AB53),INDEX(AB53:AB151,MATCH(TRUE,INDEX(AB53:AB151&lt;&gt;AB53,),0)),"")</f>
        <v>#N/A</v>
      </c>
      <c r="AE53" s="18" t="str">
        <f t="shared" si="43"/>
        <v/>
      </c>
      <c r="AF53" s="18" t="str">
        <f t="shared" si="2"/>
        <v/>
      </c>
      <c r="AG53" s="18" t="str">
        <f t="shared" si="3"/>
        <v/>
      </c>
      <c r="AH53" s="18" t="str">
        <f t="shared" si="4"/>
        <v/>
      </c>
      <c r="AI53" s="18" t="e">
        <f>IF(AND(ISNUMBER(AI52),ISNUMBER(S53)),(VLOOKUP(AD53,AB53:AC151,2,FALSE)),IF(ISNUMBER(S53),R53,NA()))</f>
        <v>#N/A</v>
      </c>
      <c r="AJ53" s="18" t="e">
        <f t="shared" si="5"/>
        <v>#N/A</v>
      </c>
      <c r="AK53" s="18" t="str">
        <f t="shared" si="6"/>
        <v/>
      </c>
      <c r="AL53" s="18" t="str">
        <f t="shared" si="7"/>
        <v/>
      </c>
      <c r="AS53" s="166">
        <f t="shared" si="8"/>
        <v>27.201250000000002</v>
      </c>
      <c r="AT53" s="40">
        <f t="shared" si="45"/>
        <v>5</v>
      </c>
      <c r="AU53" s="166">
        <f t="shared" si="9"/>
        <v>27.201250000000002</v>
      </c>
      <c r="AV53" s="40">
        <f t="shared" si="0"/>
        <v>5</v>
      </c>
      <c r="AW53" s="152"/>
      <c r="AY53" s="166">
        <f t="shared" si="10"/>
        <v>27.201250000000002</v>
      </c>
      <c r="AZ53">
        <f t="shared" si="11"/>
        <v>3.5010000000000003</v>
      </c>
      <c r="BA53" s="341">
        <f t="shared" si="12"/>
        <v>27.201250000000002</v>
      </c>
      <c r="BB53">
        <f t="shared" si="13"/>
        <v>3.5010000000000003</v>
      </c>
      <c r="BD53">
        <f t="shared" si="14"/>
        <v>1.4989999999999997</v>
      </c>
      <c r="BE53" s="2">
        <f t="shared" si="15"/>
        <v>0</v>
      </c>
      <c r="BF53" s="122">
        <f t="shared" si="16"/>
        <v>0</v>
      </c>
      <c r="BG53" t="str">
        <f t="shared" si="17"/>
        <v>MAX WSE</v>
      </c>
      <c r="BH53" s="122">
        <f t="shared" si="18"/>
        <v>5</v>
      </c>
      <c r="BJ53" s="122">
        <f t="shared" si="19"/>
        <v>1.4989999999999997</v>
      </c>
      <c r="BL53" s="2">
        <f t="shared" si="47"/>
        <v>0</v>
      </c>
      <c r="BM53" s="2"/>
      <c r="BN53" s="2">
        <f t="shared" si="21"/>
        <v>27.201250000000002</v>
      </c>
      <c r="BO53" s="2" t="str">
        <f>IF(BP53="Left",IF(ISERROR(VLOOKUP(BN53,XS_Designer_Summary!$A$21:$B$25,2,TRUE)),"",VLOOKUP(BN53,XS_Designer_Summary!$A$21:$B$25,2,TRUE)),IF(ISERROR(VLOOKUP(-BN53,XS_Designer_Summary!$A$28:$B$32,2,TRUE)),"",VLOOKUP(-BN53,XS_Designer_Summary!$A$28:$B$32,2,TRUE)))</f>
        <v>Right 3rd Stage</v>
      </c>
      <c r="BP53" s="2" t="str">
        <f>IF(AU53&lt;XS_Designer_Summary!$B$7,"Left",IF(AU53&gt;XS_Designer_Summary!$B$7,"Right","Thalweg"))</f>
        <v>Right</v>
      </c>
      <c r="BQ53" s="2">
        <f t="shared" si="22"/>
        <v>0</v>
      </c>
      <c r="BR53" s="2">
        <f t="shared" si="23"/>
        <v>0</v>
      </c>
      <c r="BS53" s="2">
        <f t="shared" si="24"/>
        <v>0</v>
      </c>
      <c r="BT53" s="2">
        <f t="shared" si="25"/>
        <v>0</v>
      </c>
      <c r="BU53" s="2">
        <f t="shared" si="26"/>
        <v>1.4989999999999997</v>
      </c>
      <c r="BV53" s="2">
        <f t="shared" si="27"/>
        <v>0</v>
      </c>
      <c r="BX53" s="2">
        <f>IF(AND(ISNUMBER($BN53),$BO53="Left 2nd Stage",SUM($BX$5:BX52)=0),$BN53,0)</f>
        <v>0</v>
      </c>
      <c r="BY53" s="2">
        <f>IF(AND(ISNUMBER($BN53),$BO53="Left Bankfull",SUM($BY$5:$BY52)=0),$BN53,0)</f>
        <v>0</v>
      </c>
      <c r="BZ53" s="2">
        <f>IF(AND(ISNUMBER($BN53),$BO53="Right 2nd Stage",SUM($BZ$5:$BZ52)=0),$BN52,0)</f>
        <v>0</v>
      </c>
      <c r="CA53" s="2">
        <f t="shared" si="46"/>
        <v>0</v>
      </c>
    </row>
    <row r="54" spans="1:79">
      <c r="A54" s="2">
        <v>50</v>
      </c>
      <c r="B54" s="111" t="e">
        <f>IF(ISNUMBER(XS_Designer!F54),XS_Designer!F54,NA())</f>
        <v>#N/A</v>
      </c>
      <c r="C54" s="111" t="e">
        <f>IF(ISNUMBER(XS_Designer!G54),XS_Designer!G54,NA())</f>
        <v>#N/A</v>
      </c>
      <c r="D54" s="111" t="str">
        <f>IF(ISNUMBER(XS_Designer!I54),XS_Designer!I54,"")</f>
        <v/>
      </c>
      <c r="E54" s="2" t="str">
        <f t="shared" si="28"/>
        <v/>
      </c>
      <c r="F54" s="111" t="str">
        <f>IF(ISTEXT(XS_Designer!H54),VLOOKUP(XS_Designer!H54,$K$12:$L$20,2,FALSE),"")</f>
        <v/>
      </c>
      <c r="G54" s="54" t="str">
        <f t="shared" si="29"/>
        <v/>
      </c>
      <c r="Q54" s="2" t="str">
        <f t="shared" si="30"/>
        <v>N</v>
      </c>
      <c r="R54" s="2" t="str">
        <f t="shared" si="31"/>
        <v/>
      </c>
      <c r="S54" s="2" t="str">
        <f t="shared" si="32"/>
        <v/>
      </c>
      <c r="T54" s="2" t="str">
        <f t="shared" si="33"/>
        <v/>
      </c>
      <c r="U54" s="2" t="str">
        <f t="shared" si="34"/>
        <v/>
      </c>
      <c r="V54" s="97" t="str">
        <f t="shared" si="35"/>
        <v/>
      </c>
      <c r="W54" s="97" t="e">
        <f t="shared" si="36"/>
        <v>#N/A</v>
      </c>
      <c r="X54" s="2" t="e">
        <f t="shared" si="1"/>
        <v>#N/A</v>
      </c>
      <c r="Y54" s="95" t="str">
        <f t="shared" si="37"/>
        <v/>
      </c>
      <c r="Z54" s="261" t="str">
        <f t="shared" si="38"/>
        <v/>
      </c>
      <c r="AA54" s="95" t="str">
        <f>IF(ISNUMBER(Y54),INDEX(Y54:Y151,MATCH(TRUE,INDEX(Y54:Y151&lt;&gt;Y54,),0)),"")</f>
        <v/>
      </c>
      <c r="AB54" s="95" t="str">
        <f t="shared" si="40"/>
        <v/>
      </c>
      <c r="AC54" s="95" t="str">
        <f t="shared" si="41"/>
        <v/>
      </c>
      <c r="AD54" s="95" t="e">
        <f>IF(ISTEXT(AB54),INDEX(AB54:AB151,MATCH(TRUE,INDEX(AB54:AB151&lt;&gt;AB54,),0)),"")</f>
        <v>#N/A</v>
      </c>
      <c r="AE54" s="18" t="str">
        <f t="shared" si="43"/>
        <v/>
      </c>
      <c r="AF54" s="18" t="str">
        <f t="shared" si="2"/>
        <v/>
      </c>
      <c r="AG54" s="18" t="str">
        <f t="shared" si="3"/>
        <v/>
      </c>
      <c r="AH54" s="18" t="str">
        <f t="shared" si="4"/>
        <v/>
      </c>
      <c r="AI54" s="18" t="e">
        <f>IF(AND(ISNUMBER(AI53),ISNUMBER(S54)),(VLOOKUP(AD54,AB54:AC151,2,FALSE)),IF(ISNUMBER(S54),R54,NA()))</f>
        <v>#N/A</v>
      </c>
      <c r="AJ54" s="18" t="e">
        <f t="shared" si="5"/>
        <v>#N/A</v>
      </c>
      <c r="AK54" s="18" t="str">
        <f t="shared" si="6"/>
        <v/>
      </c>
      <c r="AL54" s="18" t="str">
        <f t="shared" si="7"/>
        <v/>
      </c>
      <c r="AS54" s="166">
        <f t="shared" si="8"/>
        <v>27.201250000000002</v>
      </c>
      <c r="AT54" s="40">
        <f t="shared" si="45"/>
        <v>5</v>
      </c>
      <c r="AU54" s="166">
        <f t="shared" si="9"/>
        <v>27.201250000000002</v>
      </c>
      <c r="AV54" s="40">
        <f t="shared" si="0"/>
        <v>5</v>
      </c>
      <c r="AW54" s="152"/>
      <c r="AY54" s="166">
        <f t="shared" si="10"/>
        <v>27.201250000000002</v>
      </c>
      <c r="AZ54">
        <f t="shared" si="11"/>
        <v>3.5010000000000003</v>
      </c>
      <c r="BA54" s="341">
        <f t="shared" si="12"/>
        <v>27.201250000000002</v>
      </c>
      <c r="BB54">
        <f t="shared" si="13"/>
        <v>3.5010000000000003</v>
      </c>
      <c r="BD54">
        <f t="shared" si="14"/>
        <v>1.4989999999999997</v>
      </c>
      <c r="BE54" s="2">
        <f t="shared" si="15"/>
        <v>0</v>
      </c>
      <c r="BF54" s="122">
        <f t="shared" si="16"/>
        <v>0</v>
      </c>
      <c r="BG54" t="str">
        <f t="shared" si="17"/>
        <v>MAX WSE</v>
      </c>
      <c r="BH54" s="122">
        <f t="shared" si="18"/>
        <v>5</v>
      </c>
      <c r="BJ54" s="122">
        <f t="shared" si="19"/>
        <v>1.4989999999999997</v>
      </c>
      <c r="BL54" s="2">
        <f t="shared" si="47"/>
        <v>0</v>
      </c>
      <c r="BM54" s="2"/>
      <c r="BN54" s="2">
        <f t="shared" si="21"/>
        <v>27.201250000000002</v>
      </c>
      <c r="BO54" s="2" t="str">
        <f>IF(BP54="Left",IF(ISERROR(VLOOKUP(BN54,XS_Designer_Summary!$A$21:$B$25,2,TRUE)),"",VLOOKUP(BN54,XS_Designer_Summary!$A$21:$B$25,2,TRUE)),IF(ISERROR(VLOOKUP(-BN54,XS_Designer_Summary!$A$28:$B$32,2,TRUE)),"",VLOOKUP(-BN54,XS_Designer_Summary!$A$28:$B$32,2,TRUE)))</f>
        <v>Right 3rd Stage</v>
      </c>
      <c r="BP54" s="2" t="str">
        <f>IF(AU54&lt;XS_Designer_Summary!$B$7,"Left",IF(AU54&gt;XS_Designer_Summary!$B$7,"Right","Thalweg"))</f>
        <v>Right</v>
      </c>
      <c r="BQ54" s="2">
        <f t="shared" si="22"/>
        <v>0</v>
      </c>
      <c r="BR54" s="2">
        <f t="shared" si="23"/>
        <v>0</v>
      </c>
      <c r="BS54" s="2">
        <f t="shared" si="24"/>
        <v>0</v>
      </c>
      <c r="BT54" s="2">
        <f t="shared" si="25"/>
        <v>0</v>
      </c>
      <c r="BU54" s="2">
        <f t="shared" si="26"/>
        <v>1.4989999999999997</v>
      </c>
      <c r="BV54" s="2">
        <f t="shared" si="27"/>
        <v>0</v>
      </c>
      <c r="BX54" s="2">
        <f>IF(AND(ISNUMBER($BN54),$BO54="Left 2nd Stage",SUM($BX$5:BX53)=0),$BN54,0)</f>
        <v>0</v>
      </c>
      <c r="BY54" s="2">
        <f>IF(AND(ISNUMBER($BN54),$BO54="Left Bankfull",SUM($BY$5:$BY53)=0),$BN54,0)</f>
        <v>0</v>
      </c>
      <c r="BZ54" s="2">
        <f>IF(AND(ISNUMBER($BN54),$BO54="Right 2nd Stage",SUM($BZ$5:$BZ53)=0),$BN53,0)</f>
        <v>0</v>
      </c>
      <c r="CA54" s="2">
        <f t="shared" si="46"/>
        <v>0</v>
      </c>
    </row>
    <row r="55" spans="1:79">
      <c r="A55" s="2">
        <v>51</v>
      </c>
      <c r="B55" s="111" t="e">
        <f>IF(ISNUMBER(XS_Designer!F55),XS_Designer!F55,NA())</f>
        <v>#N/A</v>
      </c>
      <c r="C55" s="111" t="e">
        <f>IF(ISNUMBER(XS_Designer!G55),XS_Designer!G55,NA())</f>
        <v>#N/A</v>
      </c>
      <c r="D55" s="111" t="str">
        <f>IF(ISNUMBER(XS_Designer!I55),XS_Designer!I55,"")</f>
        <v/>
      </c>
      <c r="E55" s="2" t="str">
        <f t="shared" si="28"/>
        <v/>
      </c>
      <c r="F55" s="111" t="str">
        <f>IF(ISTEXT(XS_Designer!H55),VLOOKUP(XS_Designer!H55,$K$12:$L$20,2,FALSE),"")</f>
        <v/>
      </c>
      <c r="G55" s="54" t="str">
        <f t="shared" si="29"/>
        <v/>
      </c>
      <c r="Q55" s="2" t="str">
        <f t="shared" si="30"/>
        <v>N</v>
      </c>
      <c r="R55" s="2" t="str">
        <f t="shared" si="31"/>
        <v/>
      </c>
      <c r="S55" s="2" t="str">
        <f t="shared" si="32"/>
        <v/>
      </c>
      <c r="T55" s="2" t="str">
        <f t="shared" si="33"/>
        <v/>
      </c>
      <c r="U55" s="2" t="str">
        <f t="shared" si="34"/>
        <v/>
      </c>
      <c r="V55" s="97" t="str">
        <f t="shared" si="35"/>
        <v/>
      </c>
      <c r="W55" s="97" t="e">
        <f t="shared" si="36"/>
        <v>#N/A</v>
      </c>
      <c r="X55" s="2" t="e">
        <f t="shared" si="1"/>
        <v>#N/A</v>
      </c>
      <c r="Y55" s="95" t="str">
        <f t="shared" si="37"/>
        <v/>
      </c>
      <c r="Z55" s="261" t="str">
        <f t="shared" si="38"/>
        <v/>
      </c>
      <c r="AA55" s="95" t="str">
        <f t="shared" ref="AA55:AA56" si="76">IF(ISNUMBER(Y55),INDEX(Y55:Y155,MATCH(TRUE,INDEX(Y55:Y155&lt;&gt;Y55,),0)),"")</f>
        <v/>
      </c>
      <c r="AB55" s="95" t="str">
        <f t="shared" si="40"/>
        <v/>
      </c>
      <c r="AC55" s="95" t="str">
        <f t="shared" si="41"/>
        <v/>
      </c>
      <c r="AD55" s="95" t="e">
        <f t="shared" ref="AD55:AD56" si="77">IF(ISTEXT(AB55),INDEX(AB55:AB155,MATCH(TRUE,INDEX(AB55:AB155&lt;&gt;AB55,),0)),"")</f>
        <v>#N/A</v>
      </c>
      <c r="AE55" s="18" t="str">
        <f t="shared" si="43"/>
        <v/>
      </c>
      <c r="AF55" s="18" t="str">
        <f t="shared" si="2"/>
        <v/>
      </c>
      <c r="AG55" s="18" t="str">
        <f t="shared" si="3"/>
        <v/>
      </c>
      <c r="AH55" s="18" t="str">
        <f t="shared" si="4"/>
        <v/>
      </c>
      <c r="AI55" s="18" t="e">
        <f t="shared" ref="AI55:AI56" si="78">IF(AND(ISNUMBER(AI54),ISNUMBER(S55)),(VLOOKUP(AD55,AB55:AC155,2,FALSE)),IF(ISNUMBER(S55),R55,NA()))</f>
        <v>#N/A</v>
      </c>
      <c r="AJ55" s="18" t="e">
        <f t="shared" si="5"/>
        <v>#N/A</v>
      </c>
      <c r="AK55" s="18" t="str">
        <f t="shared" si="6"/>
        <v/>
      </c>
      <c r="AL55" s="18" t="str">
        <f t="shared" si="7"/>
        <v/>
      </c>
      <c r="AS55" s="166">
        <f t="shared" si="8"/>
        <v>27.201250000000002</v>
      </c>
      <c r="AT55" s="40">
        <f t="shared" si="45"/>
        <v>5</v>
      </c>
      <c r="AU55" s="166">
        <f t="shared" si="9"/>
        <v>27.201250000000002</v>
      </c>
      <c r="AV55" s="40">
        <f t="shared" si="0"/>
        <v>5</v>
      </c>
      <c r="AW55" s="152"/>
      <c r="AY55" s="166">
        <f t="shared" si="10"/>
        <v>27.201250000000002</v>
      </c>
      <c r="AZ55">
        <f t="shared" si="11"/>
        <v>3.5010000000000003</v>
      </c>
      <c r="BA55" s="341">
        <f t="shared" si="12"/>
        <v>27.201250000000002</v>
      </c>
      <c r="BB55">
        <f t="shared" si="13"/>
        <v>3.5010000000000003</v>
      </c>
      <c r="BD55">
        <f t="shared" si="14"/>
        <v>1.4989999999999997</v>
      </c>
      <c r="BE55" s="2">
        <f t="shared" si="15"/>
        <v>0</v>
      </c>
      <c r="BF55" s="122">
        <f t="shared" si="16"/>
        <v>0</v>
      </c>
      <c r="BG55" t="str">
        <f t="shared" si="17"/>
        <v>MAX WSE</v>
      </c>
      <c r="BH55" s="122">
        <f t="shared" si="18"/>
        <v>5</v>
      </c>
      <c r="BJ55" s="122">
        <f t="shared" si="19"/>
        <v>1.4989999999999997</v>
      </c>
      <c r="BL55" s="2">
        <f t="shared" si="47"/>
        <v>0</v>
      </c>
      <c r="BM55" s="2"/>
      <c r="BN55" s="2">
        <f t="shared" si="21"/>
        <v>27.201250000000002</v>
      </c>
      <c r="BO55" s="2" t="str">
        <f>IF(BP55="Left",IF(ISERROR(VLOOKUP(BN55,XS_Designer_Summary!$A$21:$B$25,2,TRUE)),"",VLOOKUP(BN55,XS_Designer_Summary!$A$21:$B$25,2,TRUE)),IF(ISERROR(VLOOKUP(-BN55,XS_Designer_Summary!$A$28:$B$32,2,TRUE)),"",VLOOKUP(-BN55,XS_Designer_Summary!$A$28:$B$32,2,TRUE)))</f>
        <v>Right 3rd Stage</v>
      </c>
      <c r="BP55" s="2" t="str">
        <f>IF(AU55&lt;XS_Designer_Summary!$B$7,"Left",IF(AU55&gt;XS_Designer_Summary!$B$7,"Right","Thalweg"))</f>
        <v>Right</v>
      </c>
      <c r="BQ55" s="2">
        <f t="shared" si="22"/>
        <v>0</v>
      </c>
      <c r="BR55" s="2">
        <f t="shared" si="23"/>
        <v>0</v>
      </c>
      <c r="BS55" s="2">
        <f t="shared" si="24"/>
        <v>0</v>
      </c>
      <c r="BT55" s="2">
        <f t="shared" si="25"/>
        <v>0</v>
      </c>
      <c r="BU55" s="2">
        <f t="shared" si="26"/>
        <v>1.4989999999999997</v>
      </c>
      <c r="BV55" s="2">
        <f t="shared" si="27"/>
        <v>0</v>
      </c>
      <c r="BX55" s="2">
        <f>IF(AND(ISNUMBER($BN55),$BO55="Left 2nd Stage",SUM($BX$5:BX54)=0),$BN55,0)</f>
        <v>0</v>
      </c>
      <c r="BY55" s="2">
        <f>IF(AND(ISNUMBER($BN55),$BO55="Left Bankfull",SUM($BY$5:$BY54)=0),$BN55,0)</f>
        <v>0</v>
      </c>
      <c r="BZ55" s="2">
        <f>IF(AND(ISNUMBER($BN55),$BO55="Right 2nd Stage",SUM($BZ$5:$BZ54)=0),$BN54,0)</f>
        <v>0</v>
      </c>
      <c r="CA55" s="2">
        <f t="shared" si="46"/>
        <v>0</v>
      </c>
    </row>
    <row r="56" spans="1:79">
      <c r="A56" s="2">
        <v>52</v>
      </c>
      <c r="B56" s="111" t="e">
        <f>IF(ISNUMBER(XS_Designer!F56),XS_Designer!F56,NA())</f>
        <v>#N/A</v>
      </c>
      <c r="C56" s="111" t="e">
        <f>IF(ISNUMBER(XS_Designer!G56),XS_Designer!G56,NA())</f>
        <v>#N/A</v>
      </c>
      <c r="D56" s="111" t="str">
        <f>IF(ISNUMBER(XS_Designer!I56),XS_Designer!I56,"")</f>
        <v/>
      </c>
      <c r="E56" s="2" t="str">
        <f t="shared" si="28"/>
        <v/>
      </c>
      <c r="F56" s="111" t="str">
        <f>IF(ISTEXT(XS_Designer!H56),VLOOKUP(XS_Designer!H56,$K$12:$L$20,2,FALSE),"")</f>
        <v/>
      </c>
      <c r="G56" s="54" t="str">
        <f t="shared" si="29"/>
        <v/>
      </c>
      <c r="Q56" s="2" t="str">
        <f t="shared" si="30"/>
        <v>N</v>
      </c>
      <c r="R56" s="2" t="str">
        <f t="shared" si="31"/>
        <v/>
      </c>
      <c r="S56" s="2" t="str">
        <f t="shared" si="32"/>
        <v/>
      </c>
      <c r="T56" s="2" t="str">
        <f t="shared" si="33"/>
        <v/>
      </c>
      <c r="U56" s="2" t="str">
        <f t="shared" si="34"/>
        <v/>
      </c>
      <c r="V56" s="97" t="str">
        <f t="shared" si="35"/>
        <v/>
      </c>
      <c r="W56" s="97" t="e">
        <f t="shared" si="36"/>
        <v>#N/A</v>
      </c>
      <c r="X56" s="2" t="e">
        <f t="shared" si="1"/>
        <v>#N/A</v>
      </c>
      <c r="Y56" s="95" t="str">
        <f t="shared" si="37"/>
        <v/>
      </c>
      <c r="Z56" s="261" t="str">
        <f t="shared" si="38"/>
        <v/>
      </c>
      <c r="AA56" s="95" t="str">
        <f t="shared" si="76"/>
        <v/>
      </c>
      <c r="AB56" s="95" t="str">
        <f t="shared" si="40"/>
        <v/>
      </c>
      <c r="AC56" s="95" t="str">
        <f t="shared" si="41"/>
        <v/>
      </c>
      <c r="AD56" s="95" t="e">
        <f t="shared" si="77"/>
        <v>#N/A</v>
      </c>
      <c r="AE56" s="18" t="str">
        <f t="shared" si="43"/>
        <v/>
      </c>
      <c r="AF56" s="18" t="str">
        <f t="shared" si="2"/>
        <v/>
      </c>
      <c r="AG56" s="18" t="str">
        <f t="shared" si="3"/>
        <v/>
      </c>
      <c r="AH56" s="18" t="str">
        <f t="shared" si="4"/>
        <v/>
      </c>
      <c r="AI56" s="18" t="e">
        <f t="shared" si="78"/>
        <v>#N/A</v>
      </c>
      <c r="AJ56" s="18" t="e">
        <f t="shared" si="5"/>
        <v>#N/A</v>
      </c>
      <c r="AK56" s="18" t="str">
        <f t="shared" si="6"/>
        <v/>
      </c>
      <c r="AL56" s="18" t="str">
        <f t="shared" si="7"/>
        <v/>
      </c>
      <c r="AS56" s="166">
        <f t="shared" si="8"/>
        <v>27.201250000000002</v>
      </c>
      <c r="AT56" s="40">
        <f t="shared" si="45"/>
        <v>5</v>
      </c>
      <c r="AU56" s="166">
        <f t="shared" si="9"/>
        <v>27.201250000000002</v>
      </c>
      <c r="AV56" s="40">
        <f t="shared" si="0"/>
        <v>5</v>
      </c>
      <c r="AW56" s="152"/>
      <c r="AY56" s="166">
        <f t="shared" si="10"/>
        <v>27.201250000000002</v>
      </c>
      <c r="AZ56">
        <f t="shared" si="11"/>
        <v>3.5010000000000003</v>
      </c>
      <c r="BA56" s="341">
        <f t="shared" si="12"/>
        <v>27.201250000000002</v>
      </c>
      <c r="BB56">
        <f t="shared" si="13"/>
        <v>3.5010000000000003</v>
      </c>
      <c r="BD56">
        <f t="shared" si="14"/>
        <v>1.4989999999999997</v>
      </c>
      <c r="BE56" s="2">
        <f t="shared" si="15"/>
        <v>0</v>
      </c>
      <c r="BF56" s="122">
        <f t="shared" si="16"/>
        <v>0</v>
      </c>
      <c r="BG56" t="str">
        <f t="shared" si="17"/>
        <v>MAX WSE</v>
      </c>
      <c r="BH56" s="122">
        <f t="shared" si="18"/>
        <v>5</v>
      </c>
      <c r="BJ56" s="122">
        <f t="shared" si="19"/>
        <v>1.4989999999999997</v>
      </c>
      <c r="BL56" s="2">
        <f t="shared" si="47"/>
        <v>0</v>
      </c>
      <c r="BM56" s="2"/>
      <c r="BN56" s="2">
        <f t="shared" si="21"/>
        <v>27.201250000000002</v>
      </c>
      <c r="BO56" s="2" t="str">
        <f>IF(BP56="Left",IF(ISERROR(VLOOKUP(BN56,XS_Designer_Summary!$A$21:$B$25,2,TRUE)),"",VLOOKUP(BN56,XS_Designer_Summary!$A$21:$B$25,2,TRUE)),IF(ISERROR(VLOOKUP(-BN56,XS_Designer_Summary!$A$28:$B$32,2,TRUE)),"",VLOOKUP(-BN56,XS_Designer_Summary!$A$28:$B$32,2,TRUE)))</f>
        <v>Right 3rd Stage</v>
      </c>
      <c r="BP56" s="2" t="str">
        <f>IF(AU56&lt;XS_Designer_Summary!$B$7,"Left",IF(AU56&gt;XS_Designer_Summary!$B$7,"Right","Thalweg"))</f>
        <v>Right</v>
      </c>
      <c r="BQ56" s="2">
        <f t="shared" si="22"/>
        <v>0</v>
      </c>
      <c r="BR56" s="2">
        <f t="shared" si="23"/>
        <v>0</v>
      </c>
      <c r="BS56" s="2">
        <f t="shared" si="24"/>
        <v>0</v>
      </c>
      <c r="BT56" s="2">
        <f t="shared" si="25"/>
        <v>0</v>
      </c>
      <c r="BU56" s="2">
        <f t="shared" si="26"/>
        <v>1.4989999999999997</v>
      </c>
      <c r="BV56" s="2">
        <f t="shared" si="27"/>
        <v>0</v>
      </c>
      <c r="BX56" s="2">
        <f>IF(AND(ISNUMBER($BN56),$BO56="Left 2nd Stage",SUM($BX$5:BX55)=0),$BN56,0)</f>
        <v>0</v>
      </c>
      <c r="BY56" s="2">
        <f>IF(AND(ISNUMBER($BN56),$BO56="Left Bankfull",SUM($BY$5:$BY55)=0),$BN56,0)</f>
        <v>0</v>
      </c>
      <c r="BZ56" s="2">
        <f>IF(AND(ISNUMBER($BN56),$BO56="Right 2nd Stage",SUM($BZ$5:$BZ55)=0),$BN55,0)</f>
        <v>0</v>
      </c>
      <c r="CA56" s="2">
        <f t="shared" si="46"/>
        <v>0</v>
      </c>
    </row>
    <row r="57" spans="1:79">
      <c r="A57" s="2">
        <v>53</v>
      </c>
      <c r="B57" s="111" t="e">
        <f>IF(ISNUMBER(XS_Designer!F57),XS_Designer!F57,NA())</f>
        <v>#N/A</v>
      </c>
      <c r="C57" s="111" t="e">
        <f>IF(ISNUMBER(XS_Designer!G57),XS_Designer!G57,NA())</f>
        <v>#N/A</v>
      </c>
      <c r="D57" s="111" t="str">
        <f>IF(ISNUMBER(XS_Designer!I57),XS_Designer!I57,"")</f>
        <v/>
      </c>
      <c r="E57" s="2" t="str">
        <f t="shared" si="28"/>
        <v/>
      </c>
      <c r="F57" s="111" t="str">
        <f>IF(ISTEXT(XS_Designer!H57),VLOOKUP(XS_Designer!H57,$K$12:$L$20,2,FALSE),"")</f>
        <v/>
      </c>
      <c r="G57" s="54" t="str">
        <f t="shared" si="29"/>
        <v/>
      </c>
      <c r="Q57" s="2" t="str">
        <f t="shared" si="30"/>
        <v>N</v>
      </c>
      <c r="R57" s="2" t="str">
        <f t="shared" si="31"/>
        <v/>
      </c>
      <c r="S57" s="2" t="str">
        <f t="shared" si="32"/>
        <v/>
      </c>
      <c r="T57" s="2" t="str">
        <f t="shared" si="33"/>
        <v/>
      </c>
      <c r="U57" s="2" t="str">
        <f t="shared" si="34"/>
        <v/>
      </c>
      <c r="V57" s="97" t="str">
        <f t="shared" si="35"/>
        <v/>
      </c>
      <c r="W57" s="97" t="e">
        <f t="shared" si="36"/>
        <v>#N/A</v>
      </c>
      <c r="X57" s="2" t="e">
        <f t="shared" si="1"/>
        <v>#N/A</v>
      </c>
      <c r="Y57" s="95" t="str">
        <f t="shared" si="37"/>
        <v/>
      </c>
      <c r="Z57" s="261" t="str">
        <f t="shared" si="38"/>
        <v/>
      </c>
      <c r="AA57" s="95" t="str">
        <f>IF(ISNUMBER(Y57),INDEX(Y57:Y156,MATCH(TRUE,INDEX(Y57:Y156&lt;&gt;Y57,),0)),"")</f>
        <v/>
      </c>
      <c r="AB57" s="95" t="str">
        <f t="shared" si="40"/>
        <v/>
      </c>
      <c r="AC57" s="95" t="str">
        <f t="shared" si="41"/>
        <v/>
      </c>
      <c r="AD57" s="95" t="e">
        <f>IF(ISTEXT(AB57),INDEX(AB57:AB156,MATCH(TRUE,INDEX(AB57:AB156&lt;&gt;AB57,),0)),"")</f>
        <v>#N/A</v>
      </c>
      <c r="AE57" s="18" t="str">
        <f t="shared" si="43"/>
        <v/>
      </c>
      <c r="AF57" s="18" t="str">
        <f t="shared" si="2"/>
        <v/>
      </c>
      <c r="AG57" s="18" t="str">
        <f t="shared" si="3"/>
        <v/>
      </c>
      <c r="AH57" s="18" t="str">
        <f t="shared" si="4"/>
        <v/>
      </c>
      <c r="AI57" s="18" t="e">
        <f>IF(AND(ISNUMBER(AI56),ISNUMBER(S57)),(VLOOKUP(AD57,AB57:AC156,2,FALSE)),IF(ISNUMBER(S57),R57,NA()))</f>
        <v>#N/A</v>
      </c>
      <c r="AJ57" s="18" t="e">
        <f t="shared" si="5"/>
        <v>#N/A</v>
      </c>
      <c r="AK57" s="18" t="str">
        <f t="shared" si="6"/>
        <v/>
      </c>
      <c r="AL57" s="18" t="str">
        <f t="shared" si="7"/>
        <v/>
      </c>
      <c r="AS57" s="166">
        <f t="shared" si="8"/>
        <v>27.201250000000002</v>
      </c>
      <c r="AT57" s="40">
        <f t="shared" si="45"/>
        <v>5</v>
      </c>
      <c r="AU57" s="166">
        <f t="shared" si="9"/>
        <v>27.201250000000002</v>
      </c>
      <c r="AV57" s="40">
        <f t="shared" si="0"/>
        <v>5</v>
      </c>
      <c r="AW57" s="152"/>
      <c r="AY57" s="166">
        <f t="shared" si="10"/>
        <v>27.201250000000002</v>
      </c>
      <c r="AZ57">
        <f t="shared" si="11"/>
        <v>3.5010000000000003</v>
      </c>
      <c r="BA57" s="341">
        <f t="shared" si="12"/>
        <v>27.201250000000002</v>
      </c>
      <c r="BB57">
        <f t="shared" si="13"/>
        <v>3.5010000000000003</v>
      </c>
      <c r="BD57">
        <f t="shared" si="14"/>
        <v>1.4989999999999997</v>
      </c>
      <c r="BE57" s="2">
        <f t="shared" si="15"/>
        <v>0</v>
      </c>
      <c r="BF57" s="122">
        <f t="shared" si="16"/>
        <v>0</v>
      </c>
      <c r="BG57" t="str">
        <f t="shared" si="17"/>
        <v>MAX WSE</v>
      </c>
      <c r="BH57" s="122">
        <f t="shared" si="18"/>
        <v>5</v>
      </c>
      <c r="BJ57" s="122">
        <f t="shared" si="19"/>
        <v>1.4989999999999997</v>
      </c>
      <c r="BL57" s="2">
        <f t="shared" si="47"/>
        <v>0</v>
      </c>
      <c r="BM57" s="2"/>
      <c r="BN57" s="2">
        <f t="shared" si="21"/>
        <v>27.201250000000002</v>
      </c>
      <c r="BO57" s="2" t="str">
        <f>IF(BP57="Left",IF(ISERROR(VLOOKUP(BN57,XS_Designer_Summary!$A$21:$B$25,2,TRUE)),"",VLOOKUP(BN57,XS_Designer_Summary!$A$21:$B$25,2,TRUE)),IF(ISERROR(VLOOKUP(-BN57,XS_Designer_Summary!$A$28:$B$32,2,TRUE)),"",VLOOKUP(-BN57,XS_Designer_Summary!$A$28:$B$32,2,TRUE)))</f>
        <v>Right 3rd Stage</v>
      </c>
      <c r="BP57" s="2" t="str">
        <f>IF(AU57&lt;XS_Designer_Summary!$B$7,"Left",IF(AU57&gt;XS_Designer_Summary!$B$7,"Right","Thalweg"))</f>
        <v>Right</v>
      </c>
      <c r="BQ57" s="2">
        <f t="shared" si="22"/>
        <v>0</v>
      </c>
      <c r="BR57" s="2">
        <f t="shared" si="23"/>
        <v>0</v>
      </c>
      <c r="BS57" s="2">
        <f t="shared" si="24"/>
        <v>0</v>
      </c>
      <c r="BT57" s="2">
        <f t="shared" si="25"/>
        <v>0</v>
      </c>
      <c r="BU57" s="2">
        <f t="shared" si="26"/>
        <v>1.4989999999999997</v>
      </c>
      <c r="BV57" s="2">
        <f t="shared" si="27"/>
        <v>0</v>
      </c>
      <c r="BX57" s="2">
        <f>IF(AND(ISNUMBER($BN57),$BO57="Left 2nd Stage",SUM($BX$5:BX56)=0),$BN57,0)</f>
        <v>0</v>
      </c>
      <c r="BY57" s="2">
        <f>IF(AND(ISNUMBER($BN57),$BO57="Left Bankfull",SUM($BY$5:$BY56)=0),$BN57,0)</f>
        <v>0</v>
      </c>
      <c r="BZ57" s="2">
        <f>IF(AND(ISNUMBER($BN57),$BO57="Right 2nd Stage",SUM($BZ$5:$BZ56)=0),$BN56,0)</f>
        <v>0</v>
      </c>
      <c r="CA57" s="2">
        <f t="shared" si="46"/>
        <v>0</v>
      </c>
    </row>
    <row r="58" spans="1:79">
      <c r="A58" s="2">
        <v>54</v>
      </c>
      <c r="B58" s="111" t="e">
        <f>IF(ISNUMBER(XS_Designer!F58),XS_Designer!F58,NA())</f>
        <v>#N/A</v>
      </c>
      <c r="C58" s="111" t="e">
        <f>IF(ISNUMBER(XS_Designer!G58),XS_Designer!G58,NA())</f>
        <v>#N/A</v>
      </c>
      <c r="D58" s="111" t="str">
        <f>IF(ISNUMBER(XS_Designer!I58),XS_Designer!I58,"")</f>
        <v/>
      </c>
      <c r="E58" s="2" t="str">
        <f t="shared" si="28"/>
        <v/>
      </c>
      <c r="F58" s="111" t="str">
        <f>IF(ISTEXT(XS_Designer!H58),VLOOKUP(XS_Designer!H58,$K$12:$L$20,2,FALSE),"")</f>
        <v/>
      </c>
      <c r="G58" s="54" t="str">
        <f t="shared" si="29"/>
        <v/>
      </c>
      <c r="Q58" s="2" t="str">
        <f t="shared" si="30"/>
        <v>N</v>
      </c>
      <c r="R58" s="2" t="str">
        <f t="shared" si="31"/>
        <v/>
      </c>
      <c r="S58" s="2" t="str">
        <f t="shared" si="32"/>
        <v/>
      </c>
      <c r="T58" s="2" t="str">
        <f t="shared" si="33"/>
        <v/>
      </c>
      <c r="U58" s="2" t="str">
        <f t="shared" si="34"/>
        <v/>
      </c>
      <c r="V58" s="97" t="str">
        <f t="shared" si="35"/>
        <v/>
      </c>
      <c r="W58" s="97" t="e">
        <f t="shared" si="36"/>
        <v>#N/A</v>
      </c>
      <c r="X58" s="2" t="e">
        <f t="shared" si="1"/>
        <v>#N/A</v>
      </c>
      <c r="Y58" s="95" t="str">
        <f t="shared" si="37"/>
        <v/>
      </c>
      <c r="Z58" s="261" t="str">
        <f t="shared" si="38"/>
        <v/>
      </c>
      <c r="AA58" s="95" t="str">
        <f>IF(ISNUMBER(Y58),INDEX(Y58:Y156,MATCH(TRUE,INDEX(Y58:Y156&lt;&gt;Y58,),0)),"")</f>
        <v/>
      </c>
      <c r="AB58" s="95" t="str">
        <f t="shared" si="40"/>
        <v/>
      </c>
      <c r="AC58" s="95" t="str">
        <f t="shared" si="41"/>
        <v/>
      </c>
      <c r="AD58" s="95" t="e">
        <f>IF(ISTEXT(AB58),INDEX(AB58:AB156,MATCH(TRUE,INDEX(AB58:AB156&lt;&gt;AB58,),0)),"")</f>
        <v>#N/A</v>
      </c>
      <c r="AE58" s="18" t="str">
        <f t="shared" si="43"/>
        <v/>
      </c>
      <c r="AF58" s="18" t="str">
        <f t="shared" si="2"/>
        <v/>
      </c>
      <c r="AG58" s="18" t="str">
        <f t="shared" si="3"/>
        <v/>
      </c>
      <c r="AH58" s="18" t="str">
        <f t="shared" si="4"/>
        <v/>
      </c>
      <c r="AI58" s="18" t="e">
        <f>IF(AND(ISNUMBER(AI57),ISNUMBER(S58)),(VLOOKUP(AD58,AB58:AC156,2,FALSE)),IF(ISNUMBER(S58),R58,NA()))</f>
        <v>#N/A</v>
      </c>
      <c r="AJ58" s="18" t="e">
        <f t="shared" si="5"/>
        <v>#N/A</v>
      </c>
      <c r="AK58" s="18" t="str">
        <f t="shared" si="6"/>
        <v/>
      </c>
      <c r="AL58" s="18" t="str">
        <f t="shared" si="7"/>
        <v/>
      </c>
      <c r="AS58" s="166">
        <f t="shared" si="8"/>
        <v>27.201250000000002</v>
      </c>
      <c r="AT58" s="40">
        <f t="shared" si="45"/>
        <v>5</v>
      </c>
      <c r="AU58" s="166">
        <f t="shared" si="9"/>
        <v>27.201250000000002</v>
      </c>
      <c r="AV58" s="40">
        <f t="shared" si="0"/>
        <v>5</v>
      </c>
      <c r="AW58" s="152"/>
      <c r="AY58" s="166">
        <f t="shared" si="10"/>
        <v>27.201250000000002</v>
      </c>
      <c r="AZ58">
        <f t="shared" si="11"/>
        <v>3.5010000000000003</v>
      </c>
      <c r="BA58" s="341">
        <f t="shared" si="12"/>
        <v>27.201250000000002</v>
      </c>
      <c r="BB58">
        <f t="shared" si="13"/>
        <v>3.5010000000000003</v>
      </c>
      <c r="BD58">
        <f t="shared" si="14"/>
        <v>1.4989999999999997</v>
      </c>
      <c r="BE58" s="2">
        <f t="shared" si="15"/>
        <v>0</v>
      </c>
      <c r="BF58" s="122">
        <f t="shared" si="16"/>
        <v>0</v>
      </c>
      <c r="BG58" t="str">
        <f t="shared" si="17"/>
        <v>MAX WSE</v>
      </c>
      <c r="BH58" s="122">
        <f t="shared" si="18"/>
        <v>5</v>
      </c>
      <c r="BJ58" s="122">
        <f t="shared" si="19"/>
        <v>1.4989999999999997</v>
      </c>
      <c r="BL58" s="2">
        <f t="shared" si="47"/>
        <v>0</v>
      </c>
      <c r="BM58" s="2"/>
      <c r="BN58" s="2">
        <f t="shared" si="21"/>
        <v>27.201250000000002</v>
      </c>
      <c r="BO58" s="2" t="str">
        <f>IF(BP58="Left",IF(ISERROR(VLOOKUP(BN58,XS_Designer_Summary!$A$21:$B$25,2,TRUE)),"",VLOOKUP(BN58,XS_Designer_Summary!$A$21:$B$25,2,TRUE)),IF(ISERROR(VLOOKUP(-BN58,XS_Designer_Summary!$A$28:$B$32,2,TRUE)),"",VLOOKUP(-BN58,XS_Designer_Summary!$A$28:$B$32,2,TRUE)))</f>
        <v>Right 3rd Stage</v>
      </c>
      <c r="BP58" s="2" t="str">
        <f>IF(AU58&lt;XS_Designer_Summary!$B$7,"Left",IF(AU58&gt;XS_Designer_Summary!$B$7,"Right","Thalweg"))</f>
        <v>Right</v>
      </c>
      <c r="BQ58" s="2">
        <f t="shared" si="22"/>
        <v>0</v>
      </c>
      <c r="BR58" s="2">
        <f t="shared" si="23"/>
        <v>0</v>
      </c>
      <c r="BS58" s="2">
        <f t="shared" si="24"/>
        <v>0</v>
      </c>
      <c r="BT58" s="2">
        <f t="shared" si="25"/>
        <v>0</v>
      </c>
      <c r="BU58" s="2">
        <f t="shared" si="26"/>
        <v>1.4989999999999997</v>
      </c>
      <c r="BV58" s="2">
        <f t="shared" si="27"/>
        <v>0</v>
      </c>
      <c r="BX58" s="2">
        <f>IF(AND(ISNUMBER($BN58),$BO58="Left 2nd Stage",SUM($BX$5:BX57)=0),$BN58,0)</f>
        <v>0</v>
      </c>
      <c r="BY58" s="2">
        <f>IF(AND(ISNUMBER($BN58),$BO58="Left Bankfull",SUM($BY$5:$BY57)=0),$BN58,0)</f>
        <v>0</v>
      </c>
      <c r="BZ58" s="2">
        <f>IF(AND(ISNUMBER($BN58),$BO58="Right 2nd Stage",SUM($BZ$5:$BZ57)=0),$BN57,0)</f>
        <v>0</v>
      </c>
      <c r="CA58" s="2">
        <f t="shared" si="46"/>
        <v>0</v>
      </c>
    </row>
    <row r="59" spans="1:79">
      <c r="A59" s="2">
        <v>55</v>
      </c>
      <c r="B59" s="111" t="e">
        <f>IF(ISNUMBER(XS_Designer!F59),XS_Designer!F59,NA())</f>
        <v>#N/A</v>
      </c>
      <c r="C59" s="111" t="e">
        <f>IF(ISNUMBER(XS_Designer!G59),XS_Designer!G59,NA())</f>
        <v>#N/A</v>
      </c>
      <c r="D59" s="111" t="str">
        <f>IF(ISNUMBER(XS_Designer!I59),XS_Designer!I59,"")</f>
        <v/>
      </c>
      <c r="E59" s="2" t="str">
        <f t="shared" si="28"/>
        <v/>
      </c>
      <c r="F59" s="111" t="str">
        <f>IF(ISTEXT(XS_Designer!H59),VLOOKUP(XS_Designer!H59,$K$12:$L$20,2,FALSE),"")</f>
        <v/>
      </c>
      <c r="G59" s="54" t="str">
        <f t="shared" si="29"/>
        <v/>
      </c>
      <c r="Q59" s="2" t="str">
        <f t="shared" si="30"/>
        <v>N</v>
      </c>
      <c r="R59" s="2" t="str">
        <f t="shared" si="31"/>
        <v/>
      </c>
      <c r="S59" s="2" t="str">
        <f t="shared" si="32"/>
        <v/>
      </c>
      <c r="T59" s="2" t="str">
        <f t="shared" si="33"/>
        <v/>
      </c>
      <c r="U59" s="2" t="str">
        <f t="shared" si="34"/>
        <v/>
      </c>
      <c r="V59" s="97" t="str">
        <f t="shared" si="35"/>
        <v/>
      </c>
      <c r="W59" s="97" t="e">
        <f t="shared" si="36"/>
        <v>#N/A</v>
      </c>
      <c r="X59" s="2" t="e">
        <f t="shared" si="1"/>
        <v>#N/A</v>
      </c>
      <c r="Y59" s="95" t="str">
        <f t="shared" si="37"/>
        <v/>
      </c>
      <c r="Z59" s="261" t="str">
        <f t="shared" si="38"/>
        <v/>
      </c>
      <c r="AA59" s="95" t="str">
        <f>IF(ISNUMBER(Y59),INDEX(Y59:Y156,MATCH(TRUE,INDEX(Y59:Y156&lt;&gt;Y59,),0)),"")</f>
        <v/>
      </c>
      <c r="AB59" s="95" t="str">
        <f t="shared" si="40"/>
        <v/>
      </c>
      <c r="AC59" s="95" t="str">
        <f t="shared" si="41"/>
        <v/>
      </c>
      <c r="AD59" s="95" t="e">
        <f>IF(ISTEXT(AB59),INDEX(AB59:AB156,MATCH(TRUE,INDEX(AB59:AB156&lt;&gt;AB59,),0)),"")</f>
        <v>#N/A</v>
      </c>
      <c r="AE59" s="18" t="str">
        <f t="shared" si="43"/>
        <v/>
      </c>
      <c r="AF59" s="18" t="str">
        <f t="shared" si="2"/>
        <v/>
      </c>
      <c r="AG59" s="18" t="str">
        <f t="shared" si="3"/>
        <v/>
      </c>
      <c r="AH59" s="18" t="str">
        <f t="shared" si="4"/>
        <v/>
      </c>
      <c r="AI59" s="18" t="e">
        <f>IF(AND(ISNUMBER(AI58),ISNUMBER(S59)),(VLOOKUP(AD59,AB59:AC156,2,FALSE)),IF(ISNUMBER(S59),R59,NA()))</f>
        <v>#N/A</v>
      </c>
      <c r="AJ59" s="18" t="e">
        <f t="shared" si="5"/>
        <v>#N/A</v>
      </c>
      <c r="AK59" s="18" t="str">
        <f t="shared" si="6"/>
        <v/>
      </c>
      <c r="AL59" s="18" t="str">
        <f t="shared" si="7"/>
        <v/>
      </c>
      <c r="AS59" s="166">
        <f t="shared" si="8"/>
        <v>27.201250000000002</v>
      </c>
      <c r="AT59" s="40">
        <f t="shared" si="45"/>
        <v>5</v>
      </c>
      <c r="AU59" s="166">
        <f t="shared" si="9"/>
        <v>27.201250000000002</v>
      </c>
      <c r="AV59" s="40">
        <f t="shared" si="0"/>
        <v>5</v>
      </c>
      <c r="AW59" s="152"/>
      <c r="AY59" s="166">
        <f t="shared" si="10"/>
        <v>27.201250000000002</v>
      </c>
      <c r="AZ59">
        <f t="shared" si="11"/>
        <v>3.5010000000000003</v>
      </c>
      <c r="BA59" s="341">
        <f t="shared" si="12"/>
        <v>27.201250000000002</v>
      </c>
      <c r="BB59">
        <f t="shared" si="13"/>
        <v>3.5010000000000003</v>
      </c>
      <c r="BD59">
        <f t="shared" si="14"/>
        <v>1.4989999999999997</v>
      </c>
      <c r="BE59" s="2">
        <f t="shared" si="15"/>
        <v>0</v>
      </c>
      <c r="BF59" s="122">
        <f t="shared" si="16"/>
        <v>0</v>
      </c>
      <c r="BG59" t="str">
        <f t="shared" si="17"/>
        <v>MAX WSE</v>
      </c>
      <c r="BH59" s="122">
        <f t="shared" si="18"/>
        <v>5</v>
      </c>
      <c r="BJ59" s="122">
        <f t="shared" si="19"/>
        <v>1.4989999999999997</v>
      </c>
      <c r="BL59" s="2">
        <f t="shared" si="47"/>
        <v>0</v>
      </c>
      <c r="BM59" s="2"/>
      <c r="BN59" s="2">
        <f t="shared" si="21"/>
        <v>27.201250000000002</v>
      </c>
      <c r="BO59" s="2" t="str">
        <f>IF(BP59="Left",IF(ISERROR(VLOOKUP(BN59,XS_Designer_Summary!$A$21:$B$25,2,TRUE)),"",VLOOKUP(BN59,XS_Designer_Summary!$A$21:$B$25,2,TRUE)),IF(ISERROR(VLOOKUP(-BN59,XS_Designer_Summary!$A$28:$B$32,2,TRUE)),"",VLOOKUP(-BN59,XS_Designer_Summary!$A$28:$B$32,2,TRUE)))</f>
        <v>Right 3rd Stage</v>
      </c>
      <c r="BP59" s="2" t="str">
        <f>IF(AU59&lt;XS_Designer_Summary!$B$7,"Left",IF(AU59&gt;XS_Designer_Summary!$B$7,"Right","Thalweg"))</f>
        <v>Right</v>
      </c>
      <c r="BQ59" s="2">
        <f t="shared" si="22"/>
        <v>0</v>
      </c>
      <c r="BR59" s="2">
        <f t="shared" si="23"/>
        <v>0</v>
      </c>
      <c r="BS59" s="2">
        <f t="shared" si="24"/>
        <v>0</v>
      </c>
      <c r="BT59" s="2">
        <f t="shared" si="25"/>
        <v>0</v>
      </c>
      <c r="BU59" s="2">
        <f t="shared" si="26"/>
        <v>1.4989999999999997</v>
      </c>
      <c r="BV59" s="2">
        <f t="shared" si="27"/>
        <v>0</v>
      </c>
      <c r="BX59" s="2">
        <f>IF(AND(ISNUMBER($BN59),$BO59="Left 2nd Stage",SUM($BX$5:BX58)=0),$BN59,0)</f>
        <v>0</v>
      </c>
      <c r="BY59" s="2">
        <f>IF(AND(ISNUMBER($BN59),$BO59="Left Bankfull",SUM($BY$5:$BY58)=0),$BN59,0)</f>
        <v>0</v>
      </c>
      <c r="BZ59" s="2">
        <f>IF(AND(ISNUMBER($BN59),$BO59="Right 2nd Stage",SUM($BZ$5:$BZ58)=0),$BN58,0)</f>
        <v>0</v>
      </c>
      <c r="CA59" s="2">
        <f t="shared" si="46"/>
        <v>0</v>
      </c>
    </row>
    <row r="60" spans="1:79">
      <c r="A60" s="2">
        <v>56</v>
      </c>
      <c r="B60" s="111" t="e">
        <f>IF(ISNUMBER(XS_Designer!F60),XS_Designer!F60,NA())</f>
        <v>#N/A</v>
      </c>
      <c r="C60" s="111" t="e">
        <f>IF(ISNUMBER(XS_Designer!G60),XS_Designer!G60,NA())</f>
        <v>#N/A</v>
      </c>
      <c r="D60" s="111" t="str">
        <f>IF(ISNUMBER(XS_Designer!I60),XS_Designer!I60,"")</f>
        <v/>
      </c>
      <c r="E60" s="2" t="str">
        <f t="shared" si="28"/>
        <v/>
      </c>
      <c r="F60" s="111" t="str">
        <f>IF(ISTEXT(XS_Designer!H60),VLOOKUP(XS_Designer!H60,$K$12:$L$20,2,FALSE),"")</f>
        <v/>
      </c>
      <c r="G60" s="54" t="str">
        <f t="shared" si="29"/>
        <v/>
      </c>
      <c r="Q60" s="2" t="str">
        <f t="shared" si="30"/>
        <v>N</v>
      </c>
      <c r="R60" s="2" t="str">
        <f t="shared" si="31"/>
        <v/>
      </c>
      <c r="S60" s="2" t="str">
        <f t="shared" si="32"/>
        <v/>
      </c>
      <c r="T60" s="2" t="str">
        <f t="shared" si="33"/>
        <v/>
      </c>
      <c r="U60" s="2" t="str">
        <f t="shared" si="34"/>
        <v/>
      </c>
      <c r="V60" s="97" t="str">
        <f t="shared" si="35"/>
        <v/>
      </c>
      <c r="W60" s="97" t="e">
        <f t="shared" si="36"/>
        <v>#N/A</v>
      </c>
      <c r="X60" s="2" t="e">
        <f t="shared" si="1"/>
        <v>#N/A</v>
      </c>
      <c r="Y60" s="95" t="str">
        <f t="shared" si="37"/>
        <v/>
      </c>
      <c r="Z60" s="261" t="str">
        <f t="shared" si="38"/>
        <v/>
      </c>
      <c r="AA60" s="95" t="str">
        <f t="shared" ref="AA60:AA61" si="79">IF(ISNUMBER(Y60),INDEX(Y60:Y160,MATCH(TRUE,INDEX(Y60:Y160&lt;&gt;Y60,),0)),"")</f>
        <v/>
      </c>
      <c r="AB60" s="95" t="str">
        <f t="shared" si="40"/>
        <v/>
      </c>
      <c r="AC60" s="95" t="str">
        <f t="shared" si="41"/>
        <v/>
      </c>
      <c r="AD60" s="95" t="e">
        <f t="shared" ref="AD60:AD61" si="80">IF(ISTEXT(AB60),INDEX(AB60:AB160,MATCH(TRUE,INDEX(AB60:AB160&lt;&gt;AB60,),0)),"")</f>
        <v>#N/A</v>
      </c>
      <c r="AE60" s="18" t="str">
        <f t="shared" si="43"/>
        <v/>
      </c>
      <c r="AF60" s="18" t="str">
        <f t="shared" si="2"/>
        <v/>
      </c>
      <c r="AG60" s="18" t="str">
        <f t="shared" si="3"/>
        <v/>
      </c>
      <c r="AH60" s="18" t="str">
        <f t="shared" si="4"/>
        <v/>
      </c>
      <c r="AI60" s="18" t="e">
        <f t="shared" ref="AI60:AI61" si="81">IF(AND(ISNUMBER(AI59),ISNUMBER(S60)),(VLOOKUP(AD60,AB60:AC160,2,FALSE)),IF(ISNUMBER(S60),R60,NA()))</f>
        <v>#N/A</v>
      </c>
      <c r="AJ60" s="18" t="e">
        <f t="shared" si="5"/>
        <v>#N/A</v>
      </c>
      <c r="AK60" s="18" t="str">
        <f t="shared" si="6"/>
        <v/>
      </c>
      <c r="AL60" s="18" t="str">
        <f t="shared" si="7"/>
        <v/>
      </c>
      <c r="AS60" s="166">
        <f t="shared" si="8"/>
        <v>27.201250000000002</v>
      </c>
      <c r="AT60" s="40">
        <f t="shared" si="45"/>
        <v>5</v>
      </c>
      <c r="AU60" s="166">
        <f t="shared" si="9"/>
        <v>27.201250000000002</v>
      </c>
      <c r="AV60" s="40">
        <f t="shared" si="0"/>
        <v>5</v>
      </c>
      <c r="AW60" s="152"/>
      <c r="AY60" s="166">
        <f t="shared" si="10"/>
        <v>27.201250000000002</v>
      </c>
      <c r="AZ60">
        <f t="shared" si="11"/>
        <v>3.5010000000000003</v>
      </c>
      <c r="BA60" s="341">
        <f t="shared" si="12"/>
        <v>27.201250000000002</v>
      </c>
      <c r="BB60">
        <f t="shared" si="13"/>
        <v>3.5010000000000003</v>
      </c>
      <c r="BD60">
        <f t="shared" si="14"/>
        <v>1.4989999999999997</v>
      </c>
      <c r="BE60" s="2">
        <f t="shared" si="15"/>
        <v>0</v>
      </c>
      <c r="BF60" s="122">
        <f t="shared" si="16"/>
        <v>0</v>
      </c>
      <c r="BG60" t="str">
        <f t="shared" si="17"/>
        <v>MAX WSE</v>
      </c>
      <c r="BH60" s="122">
        <f t="shared" si="18"/>
        <v>5</v>
      </c>
      <c r="BJ60" s="122">
        <f t="shared" si="19"/>
        <v>1.4989999999999997</v>
      </c>
      <c r="BL60" s="2">
        <f t="shared" si="47"/>
        <v>0</v>
      </c>
      <c r="BM60" s="2"/>
      <c r="BN60" s="2">
        <f t="shared" si="21"/>
        <v>27.201250000000002</v>
      </c>
      <c r="BO60" s="2" t="str">
        <f>IF(BP60="Left",IF(ISERROR(VLOOKUP(BN60,XS_Designer_Summary!$A$21:$B$25,2,TRUE)),"",VLOOKUP(BN60,XS_Designer_Summary!$A$21:$B$25,2,TRUE)),IF(ISERROR(VLOOKUP(-BN60,XS_Designer_Summary!$A$28:$B$32,2,TRUE)),"",VLOOKUP(-BN60,XS_Designer_Summary!$A$28:$B$32,2,TRUE)))</f>
        <v>Right 3rd Stage</v>
      </c>
      <c r="BP60" s="2" t="str">
        <f>IF(AU60&lt;XS_Designer_Summary!$B$7,"Left",IF(AU60&gt;XS_Designer_Summary!$B$7,"Right","Thalweg"))</f>
        <v>Right</v>
      </c>
      <c r="BQ60" s="2">
        <f t="shared" si="22"/>
        <v>0</v>
      </c>
      <c r="BR60" s="2">
        <f t="shared" si="23"/>
        <v>0</v>
      </c>
      <c r="BS60" s="2">
        <f t="shared" si="24"/>
        <v>0</v>
      </c>
      <c r="BT60" s="2">
        <f t="shared" si="25"/>
        <v>0</v>
      </c>
      <c r="BU60" s="2">
        <f t="shared" si="26"/>
        <v>1.4989999999999997</v>
      </c>
      <c r="BV60" s="2">
        <f t="shared" si="27"/>
        <v>0</v>
      </c>
      <c r="BX60" s="2">
        <f>IF(AND(ISNUMBER($BN60),$BO60="Left 2nd Stage",SUM($BX$5:BX59)=0),$BN60,0)</f>
        <v>0</v>
      </c>
      <c r="BY60" s="2">
        <f>IF(AND(ISNUMBER($BN60),$BO60="Left Bankfull",SUM($BY$5:$BY59)=0),$BN60,0)</f>
        <v>0</v>
      </c>
      <c r="BZ60" s="2">
        <f>IF(AND(ISNUMBER($BN60),$BO60="Right 2nd Stage",SUM($BZ$5:$BZ59)=0),$BN59,0)</f>
        <v>0</v>
      </c>
      <c r="CA60" s="2">
        <f t="shared" si="46"/>
        <v>0</v>
      </c>
    </row>
    <row r="61" spans="1:79">
      <c r="A61" s="2">
        <v>57</v>
      </c>
      <c r="B61" s="111" t="e">
        <f>IF(ISNUMBER(XS_Designer!F61),XS_Designer!F61,NA())</f>
        <v>#N/A</v>
      </c>
      <c r="C61" s="111" t="e">
        <f>IF(ISNUMBER(XS_Designer!G61),XS_Designer!G61,NA())</f>
        <v>#N/A</v>
      </c>
      <c r="D61" s="111" t="str">
        <f>IF(ISNUMBER(XS_Designer!I61),XS_Designer!I61,"")</f>
        <v/>
      </c>
      <c r="E61" s="2" t="str">
        <f t="shared" si="28"/>
        <v/>
      </c>
      <c r="F61" s="111" t="str">
        <f>IF(ISTEXT(XS_Designer!H61),VLOOKUP(XS_Designer!H61,$K$12:$L$20,2,FALSE),"")</f>
        <v/>
      </c>
      <c r="G61" s="54" t="str">
        <f t="shared" si="29"/>
        <v/>
      </c>
      <c r="Q61" s="2" t="str">
        <f t="shared" si="30"/>
        <v>N</v>
      </c>
      <c r="R61" s="2" t="str">
        <f t="shared" si="31"/>
        <v/>
      </c>
      <c r="S61" s="2" t="str">
        <f t="shared" si="32"/>
        <v/>
      </c>
      <c r="T61" s="2" t="str">
        <f t="shared" si="33"/>
        <v/>
      </c>
      <c r="U61" s="2" t="str">
        <f t="shared" si="34"/>
        <v/>
      </c>
      <c r="V61" s="97" t="str">
        <f t="shared" si="35"/>
        <v/>
      </c>
      <c r="W61" s="97" t="e">
        <f t="shared" si="36"/>
        <v>#N/A</v>
      </c>
      <c r="X61" s="2" t="e">
        <f t="shared" si="1"/>
        <v>#N/A</v>
      </c>
      <c r="Y61" s="95" t="str">
        <f t="shared" si="37"/>
        <v/>
      </c>
      <c r="Z61" s="261" t="str">
        <f t="shared" si="38"/>
        <v/>
      </c>
      <c r="AA61" s="95" t="str">
        <f t="shared" si="79"/>
        <v/>
      </c>
      <c r="AB61" s="95" t="str">
        <f t="shared" si="40"/>
        <v/>
      </c>
      <c r="AC61" s="95" t="str">
        <f t="shared" si="41"/>
        <v/>
      </c>
      <c r="AD61" s="95" t="e">
        <f t="shared" si="80"/>
        <v>#N/A</v>
      </c>
      <c r="AE61" s="18" t="str">
        <f t="shared" si="43"/>
        <v/>
      </c>
      <c r="AF61" s="18" t="str">
        <f t="shared" si="2"/>
        <v/>
      </c>
      <c r="AG61" s="18" t="str">
        <f t="shared" si="3"/>
        <v/>
      </c>
      <c r="AH61" s="18" t="str">
        <f t="shared" si="4"/>
        <v/>
      </c>
      <c r="AI61" s="18" t="e">
        <f t="shared" si="81"/>
        <v>#N/A</v>
      </c>
      <c r="AJ61" s="18" t="e">
        <f t="shared" si="5"/>
        <v>#N/A</v>
      </c>
      <c r="AK61" s="18" t="str">
        <f t="shared" si="6"/>
        <v/>
      </c>
      <c r="AL61" s="18" t="str">
        <f t="shared" si="7"/>
        <v/>
      </c>
      <c r="AS61" s="166">
        <f t="shared" si="8"/>
        <v>27.201250000000002</v>
      </c>
      <c r="AT61" s="40">
        <f t="shared" si="45"/>
        <v>5</v>
      </c>
      <c r="AU61" s="166">
        <f t="shared" si="9"/>
        <v>27.201250000000002</v>
      </c>
      <c r="AV61" s="40">
        <f t="shared" si="0"/>
        <v>5</v>
      </c>
      <c r="AW61" s="152"/>
      <c r="AY61" s="166">
        <f t="shared" si="10"/>
        <v>27.201250000000002</v>
      </c>
      <c r="AZ61">
        <f t="shared" si="11"/>
        <v>3.5010000000000003</v>
      </c>
      <c r="BA61" s="341">
        <f t="shared" si="12"/>
        <v>27.201250000000002</v>
      </c>
      <c r="BB61">
        <f t="shared" si="13"/>
        <v>3.5010000000000003</v>
      </c>
      <c r="BD61">
        <f t="shared" si="14"/>
        <v>1.4989999999999997</v>
      </c>
      <c r="BE61" s="2">
        <f t="shared" si="15"/>
        <v>0</v>
      </c>
      <c r="BF61" s="122">
        <f t="shared" si="16"/>
        <v>0</v>
      </c>
      <c r="BG61" t="str">
        <f t="shared" si="17"/>
        <v>MAX WSE</v>
      </c>
      <c r="BH61" s="122">
        <f t="shared" si="18"/>
        <v>5</v>
      </c>
      <c r="BJ61" s="122">
        <f t="shared" si="19"/>
        <v>1.4989999999999997</v>
      </c>
      <c r="BL61" s="2">
        <f t="shared" si="47"/>
        <v>0</v>
      </c>
      <c r="BM61" s="2"/>
      <c r="BN61" s="2">
        <f t="shared" si="21"/>
        <v>27.201250000000002</v>
      </c>
      <c r="BO61" s="2" t="str">
        <f>IF(BP61="Left",IF(ISERROR(VLOOKUP(BN61,XS_Designer_Summary!$A$21:$B$25,2,TRUE)),"",VLOOKUP(BN61,XS_Designer_Summary!$A$21:$B$25,2,TRUE)),IF(ISERROR(VLOOKUP(-BN61,XS_Designer_Summary!$A$28:$B$32,2,TRUE)),"",VLOOKUP(-BN61,XS_Designer_Summary!$A$28:$B$32,2,TRUE)))</f>
        <v>Right 3rd Stage</v>
      </c>
      <c r="BP61" s="2" t="str">
        <f>IF(AU61&lt;XS_Designer_Summary!$B$7,"Left",IF(AU61&gt;XS_Designer_Summary!$B$7,"Right","Thalweg"))</f>
        <v>Right</v>
      </c>
      <c r="BQ61" s="2">
        <f t="shared" si="22"/>
        <v>0</v>
      </c>
      <c r="BR61" s="2">
        <f t="shared" si="23"/>
        <v>0</v>
      </c>
      <c r="BS61" s="2">
        <f t="shared" si="24"/>
        <v>0</v>
      </c>
      <c r="BT61" s="2">
        <f t="shared" si="25"/>
        <v>0</v>
      </c>
      <c r="BU61" s="2">
        <f t="shared" si="26"/>
        <v>1.4989999999999997</v>
      </c>
      <c r="BV61" s="2">
        <f t="shared" si="27"/>
        <v>0</v>
      </c>
      <c r="BX61" s="2">
        <f>IF(AND(ISNUMBER($BN61),$BO61="Left 2nd Stage",SUM($BX$5:BX60)=0),$BN61,0)</f>
        <v>0</v>
      </c>
      <c r="BY61" s="2">
        <f>IF(AND(ISNUMBER($BN61),$BO61="Left Bankfull",SUM($BY$5:$BY60)=0),$BN61,0)</f>
        <v>0</v>
      </c>
      <c r="BZ61" s="2">
        <f>IF(AND(ISNUMBER($BN61),$BO61="Right 2nd Stage",SUM($BZ$5:$BZ60)=0),$BN60,0)</f>
        <v>0</v>
      </c>
      <c r="CA61" s="2">
        <f t="shared" si="46"/>
        <v>0</v>
      </c>
    </row>
    <row r="62" spans="1:79">
      <c r="A62" s="2">
        <v>58</v>
      </c>
      <c r="B62" s="111" t="e">
        <f>IF(ISNUMBER(XS_Designer!F62),XS_Designer!F62,NA())</f>
        <v>#N/A</v>
      </c>
      <c r="C62" s="111" t="e">
        <f>IF(ISNUMBER(XS_Designer!G62),XS_Designer!G62,NA())</f>
        <v>#N/A</v>
      </c>
      <c r="D62" s="111" t="str">
        <f>IF(ISNUMBER(XS_Designer!I62),XS_Designer!I62,"")</f>
        <v/>
      </c>
      <c r="E62" s="2" t="str">
        <f t="shared" si="28"/>
        <v/>
      </c>
      <c r="F62" s="111" t="str">
        <f>IF(ISTEXT(XS_Designer!H62),VLOOKUP(XS_Designer!H62,$K$12:$L$20,2,FALSE),"")</f>
        <v/>
      </c>
      <c r="G62" s="54" t="str">
        <f t="shared" si="29"/>
        <v/>
      </c>
      <c r="Q62" s="2" t="str">
        <f t="shared" si="30"/>
        <v>N</v>
      </c>
      <c r="R62" s="2" t="str">
        <f t="shared" si="31"/>
        <v/>
      </c>
      <c r="S62" s="2" t="str">
        <f t="shared" si="32"/>
        <v/>
      </c>
      <c r="T62" s="2" t="str">
        <f t="shared" si="33"/>
        <v/>
      </c>
      <c r="U62" s="2" t="str">
        <f t="shared" si="34"/>
        <v/>
      </c>
      <c r="V62" s="97" t="str">
        <f t="shared" si="35"/>
        <v/>
      </c>
      <c r="W62" s="97" t="e">
        <f t="shared" si="36"/>
        <v>#N/A</v>
      </c>
      <c r="X62" s="2" t="e">
        <f t="shared" si="1"/>
        <v>#N/A</v>
      </c>
      <c r="Y62" s="95" t="str">
        <f t="shared" si="37"/>
        <v/>
      </c>
      <c r="Z62" s="261" t="str">
        <f t="shared" si="38"/>
        <v/>
      </c>
      <c r="AA62" s="95" t="str">
        <f>IF(ISNUMBER(Y62),INDEX(Y62:Y161,MATCH(TRUE,INDEX(Y62:Y161&lt;&gt;Y62,),0)),"")</f>
        <v/>
      </c>
      <c r="AB62" s="95" t="str">
        <f t="shared" si="40"/>
        <v/>
      </c>
      <c r="AC62" s="95" t="str">
        <f t="shared" si="41"/>
        <v/>
      </c>
      <c r="AD62" s="95" t="e">
        <f>IF(ISTEXT(AB62),INDEX(AB62:AB161,MATCH(TRUE,INDEX(AB62:AB161&lt;&gt;AB62,),0)),"")</f>
        <v>#N/A</v>
      </c>
      <c r="AE62" s="18" t="str">
        <f t="shared" si="43"/>
        <v/>
      </c>
      <c r="AF62" s="18" t="str">
        <f t="shared" si="2"/>
        <v/>
      </c>
      <c r="AG62" s="18" t="str">
        <f t="shared" si="3"/>
        <v/>
      </c>
      <c r="AH62" s="18" t="str">
        <f t="shared" si="4"/>
        <v/>
      </c>
      <c r="AI62" s="18" t="e">
        <f>IF(AND(ISNUMBER(AI61),ISNUMBER(S62)),(VLOOKUP(AD62,AB62:AC161,2,FALSE)),IF(ISNUMBER(S62),R62,NA()))</f>
        <v>#N/A</v>
      </c>
      <c r="AJ62" s="18" t="e">
        <f t="shared" si="5"/>
        <v>#N/A</v>
      </c>
      <c r="AK62" s="18" t="str">
        <f t="shared" si="6"/>
        <v/>
      </c>
      <c r="AL62" s="18" t="str">
        <f t="shared" si="7"/>
        <v/>
      </c>
      <c r="AS62" s="166">
        <f t="shared" si="8"/>
        <v>27.201250000000002</v>
      </c>
      <c r="AT62" s="40">
        <f t="shared" si="45"/>
        <v>5</v>
      </c>
      <c r="AU62" s="166">
        <f t="shared" si="9"/>
        <v>27.201250000000002</v>
      </c>
      <c r="AV62" s="40">
        <f t="shared" si="0"/>
        <v>5</v>
      </c>
      <c r="AW62" s="152"/>
      <c r="AY62" s="166">
        <f t="shared" si="10"/>
        <v>27.201250000000002</v>
      </c>
      <c r="AZ62">
        <f t="shared" si="11"/>
        <v>3.5010000000000003</v>
      </c>
      <c r="BA62" s="341">
        <f t="shared" si="12"/>
        <v>27.201250000000002</v>
      </c>
      <c r="BB62">
        <f t="shared" si="13"/>
        <v>3.5010000000000003</v>
      </c>
      <c r="BD62">
        <f t="shared" si="14"/>
        <v>1.4989999999999997</v>
      </c>
      <c r="BE62" s="2">
        <f t="shared" si="15"/>
        <v>0</v>
      </c>
      <c r="BF62" s="122">
        <f t="shared" si="16"/>
        <v>0</v>
      </c>
      <c r="BG62" t="str">
        <f t="shared" si="17"/>
        <v>MAX WSE</v>
      </c>
      <c r="BH62" s="122">
        <f t="shared" si="18"/>
        <v>5</v>
      </c>
      <c r="BJ62" s="122">
        <f t="shared" si="19"/>
        <v>1.4989999999999997</v>
      </c>
      <c r="BL62" s="2">
        <f t="shared" si="47"/>
        <v>0</v>
      </c>
      <c r="BM62" s="2"/>
      <c r="BN62" s="2">
        <f t="shared" si="21"/>
        <v>27.201250000000002</v>
      </c>
      <c r="BO62" s="2" t="str">
        <f>IF(BP62="Left",IF(ISERROR(VLOOKUP(BN62,XS_Designer_Summary!$A$21:$B$25,2,TRUE)),"",VLOOKUP(BN62,XS_Designer_Summary!$A$21:$B$25,2,TRUE)),IF(ISERROR(VLOOKUP(-BN62,XS_Designer_Summary!$A$28:$B$32,2,TRUE)),"",VLOOKUP(-BN62,XS_Designer_Summary!$A$28:$B$32,2,TRUE)))</f>
        <v>Right 3rd Stage</v>
      </c>
      <c r="BP62" s="2" t="str">
        <f>IF(AU62&lt;XS_Designer_Summary!$B$7,"Left",IF(AU62&gt;XS_Designer_Summary!$B$7,"Right","Thalweg"))</f>
        <v>Right</v>
      </c>
      <c r="BQ62" s="2">
        <f t="shared" si="22"/>
        <v>0</v>
      </c>
      <c r="BR62" s="2">
        <f t="shared" si="23"/>
        <v>0</v>
      </c>
      <c r="BS62" s="2">
        <f t="shared" si="24"/>
        <v>0</v>
      </c>
      <c r="BT62" s="2">
        <f t="shared" si="25"/>
        <v>0</v>
      </c>
      <c r="BU62" s="2">
        <f t="shared" si="26"/>
        <v>1.4989999999999997</v>
      </c>
      <c r="BV62" s="2">
        <f t="shared" si="27"/>
        <v>0</v>
      </c>
      <c r="BX62" s="2">
        <f>IF(AND(ISNUMBER($BN62),$BO62="Left 2nd Stage",SUM($BX$5:BX61)=0),$BN62,0)</f>
        <v>0</v>
      </c>
      <c r="BY62" s="2">
        <f>IF(AND(ISNUMBER($BN62),$BO62="Left Bankfull",SUM($BY$5:$BY61)=0),$BN62,0)</f>
        <v>0</v>
      </c>
      <c r="BZ62" s="2">
        <f>IF(AND(ISNUMBER($BN62),$BO62="Right 2nd Stage",SUM($BZ$5:$BZ61)=0),$BN61,0)</f>
        <v>0</v>
      </c>
      <c r="CA62" s="2">
        <f t="shared" si="46"/>
        <v>0</v>
      </c>
    </row>
    <row r="63" spans="1:79">
      <c r="A63" s="2">
        <v>59</v>
      </c>
      <c r="B63" s="111" t="e">
        <f>IF(ISNUMBER(XS_Designer!F63),XS_Designer!F63,NA())</f>
        <v>#N/A</v>
      </c>
      <c r="C63" s="111" t="e">
        <f>IF(ISNUMBER(XS_Designer!G63),XS_Designer!G63,NA())</f>
        <v>#N/A</v>
      </c>
      <c r="D63" s="111" t="str">
        <f>IF(ISNUMBER(XS_Designer!I63),XS_Designer!I63,"")</f>
        <v/>
      </c>
      <c r="E63" s="2" t="str">
        <f t="shared" si="28"/>
        <v/>
      </c>
      <c r="F63" s="111" t="str">
        <f>IF(ISTEXT(XS_Designer!H63),VLOOKUP(XS_Designer!H63,$K$12:$L$20,2,FALSE),"")</f>
        <v/>
      </c>
      <c r="G63" s="54" t="str">
        <f t="shared" si="29"/>
        <v/>
      </c>
      <c r="Q63" s="2" t="str">
        <f t="shared" si="30"/>
        <v>N</v>
      </c>
      <c r="R63" s="2" t="str">
        <f t="shared" si="31"/>
        <v/>
      </c>
      <c r="S63" s="2" t="str">
        <f t="shared" si="32"/>
        <v/>
      </c>
      <c r="T63" s="2" t="str">
        <f t="shared" si="33"/>
        <v/>
      </c>
      <c r="U63" s="2" t="str">
        <f t="shared" si="34"/>
        <v/>
      </c>
      <c r="V63" s="97" t="str">
        <f t="shared" si="35"/>
        <v/>
      </c>
      <c r="W63" s="97" t="e">
        <f t="shared" si="36"/>
        <v>#N/A</v>
      </c>
      <c r="X63" s="2" t="e">
        <f t="shared" si="1"/>
        <v>#N/A</v>
      </c>
      <c r="Y63" s="95" t="str">
        <f t="shared" si="37"/>
        <v/>
      </c>
      <c r="Z63" s="261" t="str">
        <f t="shared" si="38"/>
        <v/>
      </c>
      <c r="AA63" s="95" t="str">
        <f>IF(ISNUMBER(Y63),INDEX(Y63:Y161,MATCH(TRUE,INDEX(Y63:Y161&lt;&gt;Y63,),0)),"")</f>
        <v/>
      </c>
      <c r="AB63" s="95" t="str">
        <f t="shared" si="40"/>
        <v/>
      </c>
      <c r="AC63" s="95" t="str">
        <f t="shared" si="41"/>
        <v/>
      </c>
      <c r="AD63" s="95" t="e">
        <f>IF(ISTEXT(AB63),INDEX(AB63:AB161,MATCH(TRUE,INDEX(AB63:AB161&lt;&gt;AB63,),0)),"")</f>
        <v>#N/A</v>
      </c>
      <c r="AE63" s="18" t="str">
        <f t="shared" si="43"/>
        <v/>
      </c>
      <c r="AF63" s="18" t="str">
        <f t="shared" si="2"/>
        <v/>
      </c>
      <c r="AG63" s="18" t="str">
        <f t="shared" si="3"/>
        <v/>
      </c>
      <c r="AH63" s="18" t="str">
        <f t="shared" si="4"/>
        <v/>
      </c>
      <c r="AI63" s="18" t="e">
        <f>IF(AND(ISNUMBER(AI62),ISNUMBER(S63)),(VLOOKUP(AD63,AB63:AC161,2,FALSE)),IF(ISNUMBER(S63),R63,NA()))</f>
        <v>#N/A</v>
      </c>
      <c r="AJ63" s="18" t="e">
        <f t="shared" si="5"/>
        <v>#N/A</v>
      </c>
      <c r="AK63" s="18" t="str">
        <f t="shared" si="6"/>
        <v/>
      </c>
      <c r="AL63" s="18" t="str">
        <f t="shared" si="7"/>
        <v/>
      </c>
      <c r="AS63" s="166">
        <f t="shared" si="8"/>
        <v>27.201250000000002</v>
      </c>
      <c r="AT63" s="40">
        <f t="shared" si="45"/>
        <v>5</v>
      </c>
      <c r="AU63" s="166">
        <f t="shared" si="9"/>
        <v>27.201250000000002</v>
      </c>
      <c r="AV63" s="40">
        <f t="shared" si="0"/>
        <v>5</v>
      </c>
      <c r="AW63" s="152"/>
      <c r="AY63" s="166">
        <f t="shared" si="10"/>
        <v>27.201250000000002</v>
      </c>
      <c r="AZ63">
        <f t="shared" si="11"/>
        <v>3.5010000000000003</v>
      </c>
      <c r="BA63" s="341">
        <f t="shared" si="12"/>
        <v>27.201250000000002</v>
      </c>
      <c r="BB63">
        <f t="shared" si="13"/>
        <v>3.5010000000000003</v>
      </c>
      <c r="BD63">
        <f t="shared" si="14"/>
        <v>1.4989999999999997</v>
      </c>
      <c r="BE63" s="2">
        <f t="shared" si="15"/>
        <v>0</v>
      </c>
      <c r="BF63" s="122">
        <f t="shared" si="16"/>
        <v>0</v>
      </c>
      <c r="BG63" t="str">
        <f t="shared" si="17"/>
        <v>MAX WSE</v>
      </c>
      <c r="BH63" s="122">
        <f t="shared" si="18"/>
        <v>5</v>
      </c>
      <c r="BJ63" s="122">
        <f t="shared" si="19"/>
        <v>1.4989999999999997</v>
      </c>
      <c r="BL63" s="2">
        <f t="shared" si="47"/>
        <v>0</v>
      </c>
      <c r="BM63" s="2"/>
      <c r="BN63" s="2">
        <f t="shared" si="21"/>
        <v>27.201250000000002</v>
      </c>
      <c r="BO63" s="2" t="str">
        <f>IF(BP63="Left",IF(ISERROR(VLOOKUP(BN63,XS_Designer_Summary!$A$21:$B$25,2,TRUE)),"",VLOOKUP(BN63,XS_Designer_Summary!$A$21:$B$25,2,TRUE)),IF(ISERROR(VLOOKUP(-BN63,XS_Designer_Summary!$A$28:$B$32,2,TRUE)),"",VLOOKUP(-BN63,XS_Designer_Summary!$A$28:$B$32,2,TRUE)))</f>
        <v>Right 3rd Stage</v>
      </c>
      <c r="BP63" s="2" t="str">
        <f>IF(AU63&lt;XS_Designer_Summary!$B$7,"Left",IF(AU63&gt;XS_Designer_Summary!$B$7,"Right","Thalweg"))</f>
        <v>Right</v>
      </c>
      <c r="BQ63" s="2">
        <f t="shared" si="22"/>
        <v>0</v>
      </c>
      <c r="BR63" s="2">
        <f t="shared" si="23"/>
        <v>0</v>
      </c>
      <c r="BS63" s="2">
        <f t="shared" si="24"/>
        <v>0</v>
      </c>
      <c r="BT63" s="2">
        <f t="shared" si="25"/>
        <v>0</v>
      </c>
      <c r="BU63" s="2">
        <f t="shared" si="26"/>
        <v>1.4989999999999997</v>
      </c>
      <c r="BV63" s="2">
        <f t="shared" si="27"/>
        <v>0</v>
      </c>
      <c r="BX63" s="2">
        <f>IF(AND(ISNUMBER($BN63),$BO63="Left 2nd Stage",SUM($BX$5:BX62)=0),$BN63,0)</f>
        <v>0</v>
      </c>
      <c r="BY63" s="2">
        <f>IF(AND(ISNUMBER($BN63),$BO63="Left Bankfull",SUM($BY$5:$BY62)=0),$BN63,0)</f>
        <v>0</v>
      </c>
      <c r="BZ63" s="2">
        <f>IF(AND(ISNUMBER($BN63),$BO63="Right 2nd Stage",SUM($BZ$5:$BZ62)=0),$BN62,0)</f>
        <v>0</v>
      </c>
      <c r="CA63" s="2">
        <f t="shared" si="46"/>
        <v>0</v>
      </c>
    </row>
    <row r="64" spans="1:79">
      <c r="A64" s="2">
        <v>60</v>
      </c>
      <c r="B64" s="111" t="e">
        <f>IF(ISNUMBER(XS_Designer!F64),XS_Designer!F64,NA())</f>
        <v>#N/A</v>
      </c>
      <c r="C64" s="111" t="e">
        <f>IF(ISNUMBER(XS_Designer!G64),XS_Designer!G64,NA())</f>
        <v>#N/A</v>
      </c>
      <c r="D64" s="111" t="str">
        <f>IF(ISNUMBER(XS_Designer!I64),XS_Designer!I64,"")</f>
        <v/>
      </c>
      <c r="E64" s="2" t="str">
        <f t="shared" si="28"/>
        <v/>
      </c>
      <c r="F64" s="111" t="str">
        <f>IF(ISTEXT(XS_Designer!H64),VLOOKUP(XS_Designer!H64,$K$12:$L$20,2,FALSE),"")</f>
        <v/>
      </c>
      <c r="G64" s="54" t="str">
        <f t="shared" si="29"/>
        <v/>
      </c>
      <c r="Q64" s="2" t="str">
        <f t="shared" si="30"/>
        <v>N</v>
      </c>
      <c r="R64" s="2" t="str">
        <f t="shared" si="31"/>
        <v/>
      </c>
      <c r="S64" s="2" t="str">
        <f t="shared" si="32"/>
        <v/>
      </c>
      <c r="T64" s="2" t="str">
        <f t="shared" si="33"/>
        <v/>
      </c>
      <c r="U64" s="2" t="str">
        <f t="shared" si="34"/>
        <v/>
      </c>
      <c r="V64" s="97" t="str">
        <f t="shared" si="35"/>
        <v/>
      </c>
      <c r="W64" s="97" t="e">
        <f t="shared" si="36"/>
        <v>#N/A</v>
      </c>
      <c r="X64" s="2" t="e">
        <f t="shared" si="1"/>
        <v>#N/A</v>
      </c>
      <c r="Y64" s="95" t="str">
        <f t="shared" si="37"/>
        <v/>
      </c>
      <c r="Z64" s="261" t="str">
        <f t="shared" si="38"/>
        <v/>
      </c>
      <c r="AA64" s="95" t="str">
        <f>IF(ISNUMBER(Y64),INDEX(Y64:Y161,MATCH(TRUE,INDEX(Y64:Y161&lt;&gt;Y64,),0)),"")</f>
        <v/>
      </c>
      <c r="AB64" s="95" t="str">
        <f t="shared" si="40"/>
        <v/>
      </c>
      <c r="AC64" s="95" t="str">
        <f t="shared" si="41"/>
        <v/>
      </c>
      <c r="AD64" s="95" t="e">
        <f>IF(ISTEXT(AB64),INDEX(AB64:AB161,MATCH(TRUE,INDEX(AB64:AB161&lt;&gt;AB64,),0)),"")</f>
        <v>#N/A</v>
      </c>
      <c r="AE64" s="18" t="str">
        <f t="shared" si="43"/>
        <v/>
      </c>
      <c r="AF64" s="18" t="str">
        <f t="shared" si="2"/>
        <v/>
      </c>
      <c r="AG64" s="18" t="str">
        <f t="shared" si="3"/>
        <v/>
      </c>
      <c r="AH64" s="18" t="str">
        <f t="shared" si="4"/>
        <v/>
      </c>
      <c r="AI64" s="18" t="e">
        <f>IF(AND(ISNUMBER(AI63),ISNUMBER(S64)),(VLOOKUP(AD64,AB64:AC161,2,FALSE)),IF(ISNUMBER(S64),R64,NA()))</f>
        <v>#N/A</v>
      </c>
      <c r="AJ64" s="18" t="e">
        <f t="shared" si="5"/>
        <v>#N/A</v>
      </c>
      <c r="AK64" s="18" t="str">
        <f t="shared" si="6"/>
        <v/>
      </c>
      <c r="AL64" s="18" t="str">
        <f t="shared" si="7"/>
        <v/>
      </c>
      <c r="AS64" s="166">
        <f t="shared" si="8"/>
        <v>27.201250000000002</v>
      </c>
      <c r="AT64" s="40">
        <f t="shared" si="45"/>
        <v>5</v>
      </c>
      <c r="AU64" s="166">
        <f t="shared" si="9"/>
        <v>27.201250000000002</v>
      </c>
      <c r="AV64" s="40">
        <f t="shared" si="0"/>
        <v>5</v>
      </c>
      <c r="AW64" s="152"/>
      <c r="AY64" s="166">
        <f t="shared" si="10"/>
        <v>27.201250000000002</v>
      </c>
      <c r="AZ64">
        <f t="shared" si="11"/>
        <v>3.5010000000000003</v>
      </c>
      <c r="BA64" s="341">
        <f t="shared" si="12"/>
        <v>27.201250000000002</v>
      </c>
      <c r="BB64">
        <f t="shared" si="13"/>
        <v>3.5010000000000003</v>
      </c>
      <c r="BD64">
        <f t="shared" si="14"/>
        <v>1.4989999999999997</v>
      </c>
      <c r="BE64" s="2">
        <f t="shared" si="15"/>
        <v>0</v>
      </c>
      <c r="BF64" s="122">
        <f t="shared" si="16"/>
        <v>0</v>
      </c>
      <c r="BG64" t="str">
        <f t="shared" si="17"/>
        <v>MAX WSE</v>
      </c>
      <c r="BH64" s="122">
        <f t="shared" si="18"/>
        <v>5</v>
      </c>
      <c r="BJ64" s="122">
        <f t="shared" si="19"/>
        <v>1.4989999999999997</v>
      </c>
      <c r="BL64" s="2">
        <f t="shared" si="47"/>
        <v>0</v>
      </c>
      <c r="BM64" s="2"/>
      <c r="BN64" s="2">
        <f t="shared" si="21"/>
        <v>27.201250000000002</v>
      </c>
      <c r="BO64" s="2" t="str">
        <f>IF(BP64="Left",IF(ISERROR(VLOOKUP(BN64,XS_Designer_Summary!$A$21:$B$25,2,TRUE)),"",VLOOKUP(BN64,XS_Designer_Summary!$A$21:$B$25,2,TRUE)),IF(ISERROR(VLOOKUP(-BN64,XS_Designer_Summary!$A$28:$B$32,2,TRUE)),"",VLOOKUP(-BN64,XS_Designer_Summary!$A$28:$B$32,2,TRUE)))</f>
        <v>Right 3rd Stage</v>
      </c>
      <c r="BP64" s="2" t="str">
        <f>IF(AU64&lt;XS_Designer_Summary!$B$7,"Left",IF(AU64&gt;XS_Designer_Summary!$B$7,"Right","Thalweg"))</f>
        <v>Right</v>
      </c>
      <c r="BQ64" s="2">
        <f t="shared" si="22"/>
        <v>0</v>
      </c>
      <c r="BR64" s="2">
        <f t="shared" si="23"/>
        <v>0</v>
      </c>
      <c r="BS64" s="2">
        <f t="shared" si="24"/>
        <v>0</v>
      </c>
      <c r="BT64" s="2">
        <f t="shared" si="25"/>
        <v>0</v>
      </c>
      <c r="BU64" s="2">
        <f t="shared" si="26"/>
        <v>1.4989999999999997</v>
      </c>
      <c r="BV64" s="2">
        <f t="shared" si="27"/>
        <v>0</v>
      </c>
      <c r="BX64" s="2">
        <f>IF(AND(ISNUMBER($BN64),$BO64="Left 2nd Stage",SUM($BX$5:BX63)=0),$BN64,0)</f>
        <v>0</v>
      </c>
      <c r="BY64" s="2">
        <f>IF(AND(ISNUMBER($BN64),$BO64="Left Bankfull",SUM($BY$5:$BY63)=0),$BN64,0)</f>
        <v>0</v>
      </c>
      <c r="BZ64" s="2">
        <f>IF(AND(ISNUMBER($BN64),$BO64="Right 2nd Stage",SUM($BZ$5:$BZ63)=0),$BN63,0)</f>
        <v>0</v>
      </c>
      <c r="CA64" s="2">
        <f t="shared" si="46"/>
        <v>0</v>
      </c>
    </row>
    <row r="65" spans="1:79">
      <c r="A65" s="2">
        <v>61</v>
      </c>
      <c r="B65" s="111" t="e">
        <f>IF(ISNUMBER(XS_Designer!F65),XS_Designer!F65,NA())</f>
        <v>#N/A</v>
      </c>
      <c r="C65" s="111" t="e">
        <f>IF(ISNUMBER(XS_Designer!G65),XS_Designer!G65,NA())</f>
        <v>#N/A</v>
      </c>
      <c r="D65" s="111" t="str">
        <f>IF(ISNUMBER(XS_Designer!I65),XS_Designer!I65,"")</f>
        <v/>
      </c>
      <c r="E65" s="2" t="str">
        <f t="shared" si="28"/>
        <v/>
      </c>
      <c r="F65" s="111" t="str">
        <f>IF(ISTEXT(XS_Designer!H65),VLOOKUP(XS_Designer!H65,$K$12:$L$20,2,FALSE),"")</f>
        <v/>
      </c>
      <c r="G65" s="54" t="str">
        <f t="shared" si="29"/>
        <v/>
      </c>
      <c r="Q65" s="2" t="str">
        <f t="shared" si="30"/>
        <v>N</v>
      </c>
      <c r="R65" s="2" t="str">
        <f t="shared" si="31"/>
        <v/>
      </c>
      <c r="S65" s="2" t="str">
        <f t="shared" si="32"/>
        <v/>
      </c>
      <c r="T65" s="2" t="str">
        <f t="shared" si="33"/>
        <v/>
      </c>
      <c r="U65" s="2" t="str">
        <f t="shared" si="34"/>
        <v/>
      </c>
      <c r="V65" s="97" t="str">
        <f t="shared" si="35"/>
        <v/>
      </c>
      <c r="W65" s="97" t="e">
        <f t="shared" si="36"/>
        <v>#N/A</v>
      </c>
      <c r="X65" s="2" t="e">
        <f t="shared" si="1"/>
        <v>#N/A</v>
      </c>
      <c r="Y65" s="95" t="str">
        <f t="shared" si="37"/>
        <v/>
      </c>
      <c r="Z65" s="261" t="str">
        <f t="shared" si="38"/>
        <v/>
      </c>
      <c r="AA65" s="95" t="str">
        <f t="shared" ref="AA65:AA66" si="82">IF(ISNUMBER(Y65),INDEX(Y65:Y165,MATCH(TRUE,INDEX(Y65:Y165&lt;&gt;Y65,),0)),"")</f>
        <v/>
      </c>
      <c r="AB65" s="95" t="str">
        <f t="shared" si="40"/>
        <v/>
      </c>
      <c r="AC65" s="95" t="str">
        <f t="shared" si="41"/>
        <v/>
      </c>
      <c r="AD65" s="95" t="e">
        <f t="shared" ref="AD65:AD66" si="83">IF(ISTEXT(AB65),INDEX(AB65:AB165,MATCH(TRUE,INDEX(AB65:AB165&lt;&gt;AB65,),0)),"")</f>
        <v>#N/A</v>
      </c>
      <c r="AE65" s="18" t="str">
        <f t="shared" si="43"/>
        <v/>
      </c>
      <c r="AF65" s="18" t="str">
        <f t="shared" si="2"/>
        <v/>
      </c>
      <c r="AG65" s="18" t="str">
        <f t="shared" si="3"/>
        <v/>
      </c>
      <c r="AH65" s="18" t="str">
        <f t="shared" si="4"/>
        <v/>
      </c>
      <c r="AI65" s="18" t="e">
        <f t="shared" ref="AI65:AI66" si="84">IF(AND(ISNUMBER(AI64),ISNUMBER(S65)),(VLOOKUP(AD65,AB65:AC165,2,FALSE)),IF(ISNUMBER(S65),R65,NA()))</f>
        <v>#N/A</v>
      </c>
      <c r="AJ65" s="18" t="e">
        <f t="shared" si="5"/>
        <v>#N/A</v>
      </c>
      <c r="AK65" s="18" t="str">
        <f t="shared" si="6"/>
        <v/>
      </c>
      <c r="AL65" s="18" t="str">
        <f t="shared" si="7"/>
        <v/>
      </c>
      <c r="AS65" s="166">
        <f t="shared" si="8"/>
        <v>27.201250000000002</v>
      </c>
      <c r="AT65" s="40">
        <f t="shared" si="45"/>
        <v>5</v>
      </c>
      <c r="AU65" s="166">
        <f t="shared" si="9"/>
        <v>27.201250000000002</v>
      </c>
      <c r="AV65" s="40">
        <f t="shared" si="0"/>
        <v>5</v>
      </c>
      <c r="AW65" s="152"/>
      <c r="AY65" s="166">
        <f t="shared" si="10"/>
        <v>27.201250000000002</v>
      </c>
      <c r="AZ65">
        <f t="shared" si="11"/>
        <v>3.5010000000000003</v>
      </c>
      <c r="BA65" s="341">
        <f t="shared" si="12"/>
        <v>27.201250000000002</v>
      </c>
      <c r="BB65">
        <f t="shared" si="13"/>
        <v>3.5010000000000003</v>
      </c>
      <c r="BD65">
        <f t="shared" si="14"/>
        <v>1.4989999999999997</v>
      </c>
      <c r="BE65" s="2">
        <f t="shared" si="15"/>
        <v>0</v>
      </c>
      <c r="BF65" s="122">
        <f t="shared" si="16"/>
        <v>0</v>
      </c>
      <c r="BG65" t="str">
        <f t="shared" si="17"/>
        <v>MAX WSE</v>
      </c>
      <c r="BH65" s="122">
        <f t="shared" si="18"/>
        <v>5</v>
      </c>
      <c r="BJ65" s="122">
        <f t="shared" si="19"/>
        <v>1.4989999999999997</v>
      </c>
      <c r="BL65" s="2">
        <f t="shared" si="47"/>
        <v>0</v>
      </c>
      <c r="BM65" s="2"/>
      <c r="BN65" s="2">
        <f t="shared" si="21"/>
        <v>27.201250000000002</v>
      </c>
      <c r="BO65" s="2" t="str">
        <f>IF(BP65="Left",IF(ISERROR(VLOOKUP(BN65,XS_Designer_Summary!$A$21:$B$25,2,TRUE)),"",VLOOKUP(BN65,XS_Designer_Summary!$A$21:$B$25,2,TRUE)),IF(ISERROR(VLOOKUP(-BN65,XS_Designer_Summary!$A$28:$B$32,2,TRUE)),"",VLOOKUP(-BN65,XS_Designer_Summary!$A$28:$B$32,2,TRUE)))</f>
        <v>Right 3rd Stage</v>
      </c>
      <c r="BP65" s="2" t="str">
        <f>IF(AU65&lt;XS_Designer_Summary!$B$7,"Left",IF(AU65&gt;XS_Designer_Summary!$B$7,"Right","Thalweg"))</f>
        <v>Right</v>
      </c>
      <c r="BQ65" s="2">
        <f t="shared" si="22"/>
        <v>0</v>
      </c>
      <c r="BR65" s="2">
        <f t="shared" si="23"/>
        <v>0</v>
      </c>
      <c r="BS65" s="2">
        <f t="shared" si="24"/>
        <v>0</v>
      </c>
      <c r="BT65" s="2">
        <f t="shared" si="25"/>
        <v>0</v>
      </c>
      <c r="BU65" s="2">
        <f t="shared" si="26"/>
        <v>1.4989999999999997</v>
      </c>
      <c r="BV65" s="2">
        <f t="shared" si="27"/>
        <v>0</v>
      </c>
      <c r="BX65" s="2">
        <f>IF(AND(ISNUMBER($BN65),$BO65="Left 2nd Stage",SUM($BX$5:BX64)=0),$BN65,0)</f>
        <v>0</v>
      </c>
      <c r="BY65" s="2">
        <f>IF(AND(ISNUMBER($BN65),$BO65="Left Bankfull",SUM($BY$5:$BY64)=0),$BN65,0)</f>
        <v>0</v>
      </c>
      <c r="BZ65" s="2">
        <f>IF(AND(ISNUMBER($BN65),$BO65="Right 2nd Stage",SUM($BZ$5:$BZ64)=0),$BN64,0)</f>
        <v>0</v>
      </c>
      <c r="CA65" s="2">
        <f t="shared" si="46"/>
        <v>0</v>
      </c>
    </row>
    <row r="66" spans="1:79">
      <c r="A66" s="2">
        <v>62</v>
      </c>
      <c r="B66" s="111" t="e">
        <f>IF(ISNUMBER(XS_Designer!F66),XS_Designer!F66,NA())</f>
        <v>#N/A</v>
      </c>
      <c r="C66" s="111" t="e">
        <f>IF(ISNUMBER(XS_Designer!G66),XS_Designer!G66,NA())</f>
        <v>#N/A</v>
      </c>
      <c r="D66" s="111" t="str">
        <f>IF(ISNUMBER(XS_Designer!I66),XS_Designer!I66,"")</f>
        <v/>
      </c>
      <c r="E66" s="2" t="str">
        <f t="shared" si="28"/>
        <v/>
      </c>
      <c r="F66" s="111" t="str">
        <f>IF(ISTEXT(XS_Designer!H66),VLOOKUP(XS_Designer!H66,$K$12:$L$20,2,FALSE),"")</f>
        <v/>
      </c>
      <c r="G66" s="54" t="str">
        <f t="shared" si="29"/>
        <v/>
      </c>
      <c r="Q66" s="2" t="str">
        <f t="shared" si="30"/>
        <v>N</v>
      </c>
      <c r="R66" s="2" t="str">
        <f t="shared" si="31"/>
        <v/>
      </c>
      <c r="S66" s="2" t="str">
        <f t="shared" si="32"/>
        <v/>
      </c>
      <c r="T66" s="2" t="str">
        <f t="shared" si="33"/>
        <v/>
      </c>
      <c r="U66" s="2" t="str">
        <f t="shared" si="34"/>
        <v/>
      </c>
      <c r="V66" s="97" t="str">
        <f t="shared" si="35"/>
        <v/>
      </c>
      <c r="W66" s="97" t="e">
        <f t="shared" si="36"/>
        <v>#N/A</v>
      </c>
      <c r="X66" s="2" t="e">
        <f t="shared" si="1"/>
        <v>#N/A</v>
      </c>
      <c r="Y66" s="95" t="str">
        <f t="shared" si="37"/>
        <v/>
      </c>
      <c r="Z66" s="261" t="str">
        <f t="shared" si="38"/>
        <v/>
      </c>
      <c r="AA66" s="95" t="str">
        <f t="shared" si="82"/>
        <v/>
      </c>
      <c r="AB66" s="95" t="str">
        <f t="shared" si="40"/>
        <v/>
      </c>
      <c r="AC66" s="95" t="str">
        <f t="shared" si="41"/>
        <v/>
      </c>
      <c r="AD66" s="95" t="e">
        <f t="shared" si="83"/>
        <v>#N/A</v>
      </c>
      <c r="AE66" s="18" t="str">
        <f t="shared" si="43"/>
        <v/>
      </c>
      <c r="AF66" s="18" t="str">
        <f t="shared" si="2"/>
        <v/>
      </c>
      <c r="AG66" s="18" t="str">
        <f t="shared" si="3"/>
        <v/>
      </c>
      <c r="AH66" s="18" t="str">
        <f t="shared" si="4"/>
        <v/>
      </c>
      <c r="AI66" s="18" t="e">
        <f t="shared" si="84"/>
        <v>#N/A</v>
      </c>
      <c r="AJ66" s="18" t="e">
        <f t="shared" si="5"/>
        <v>#N/A</v>
      </c>
      <c r="AK66" s="18" t="str">
        <f t="shared" si="6"/>
        <v/>
      </c>
      <c r="AL66" s="18" t="str">
        <f t="shared" si="7"/>
        <v/>
      </c>
      <c r="AS66" s="166">
        <f t="shared" si="8"/>
        <v>27.201250000000002</v>
      </c>
      <c r="AT66" s="40">
        <f t="shared" si="45"/>
        <v>5</v>
      </c>
      <c r="AU66" s="166">
        <f t="shared" si="9"/>
        <v>27.201250000000002</v>
      </c>
      <c r="AV66" s="40">
        <f t="shared" si="0"/>
        <v>5</v>
      </c>
      <c r="AW66" s="152"/>
      <c r="AY66" s="166">
        <f t="shared" si="10"/>
        <v>27.201250000000002</v>
      </c>
      <c r="AZ66">
        <f t="shared" si="11"/>
        <v>3.5010000000000003</v>
      </c>
      <c r="BA66" s="341">
        <f t="shared" si="12"/>
        <v>27.201250000000002</v>
      </c>
      <c r="BB66">
        <f t="shared" si="13"/>
        <v>3.5010000000000003</v>
      </c>
      <c r="BD66">
        <f t="shared" si="14"/>
        <v>1.4989999999999997</v>
      </c>
      <c r="BE66" s="2">
        <f t="shared" si="15"/>
        <v>0</v>
      </c>
      <c r="BF66" s="122">
        <f t="shared" si="16"/>
        <v>0</v>
      </c>
      <c r="BG66" t="str">
        <f t="shared" si="17"/>
        <v>MAX WSE</v>
      </c>
      <c r="BH66" s="122">
        <f t="shared" si="18"/>
        <v>5</v>
      </c>
      <c r="BJ66" s="122">
        <f t="shared" si="19"/>
        <v>1.4989999999999997</v>
      </c>
      <c r="BL66" s="2">
        <f t="shared" si="47"/>
        <v>0</v>
      </c>
      <c r="BM66" s="2"/>
      <c r="BN66" s="2">
        <f t="shared" si="21"/>
        <v>27.201250000000002</v>
      </c>
      <c r="BO66" s="2" t="str">
        <f>IF(BP66="Left",IF(ISERROR(VLOOKUP(BN66,XS_Designer_Summary!$A$21:$B$25,2,TRUE)),"",VLOOKUP(BN66,XS_Designer_Summary!$A$21:$B$25,2,TRUE)),IF(ISERROR(VLOOKUP(-BN66,XS_Designer_Summary!$A$28:$B$32,2,TRUE)),"",VLOOKUP(-BN66,XS_Designer_Summary!$A$28:$B$32,2,TRUE)))</f>
        <v>Right 3rd Stage</v>
      </c>
      <c r="BP66" s="2" t="str">
        <f>IF(AU66&lt;XS_Designer_Summary!$B$7,"Left",IF(AU66&gt;XS_Designer_Summary!$B$7,"Right","Thalweg"))</f>
        <v>Right</v>
      </c>
      <c r="BQ66" s="2">
        <f t="shared" si="22"/>
        <v>0</v>
      </c>
      <c r="BR66" s="2">
        <f t="shared" si="23"/>
        <v>0</v>
      </c>
      <c r="BS66" s="2">
        <f t="shared" si="24"/>
        <v>0</v>
      </c>
      <c r="BT66" s="2">
        <f t="shared" si="25"/>
        <v>0</v>
      </c>
      <c r="BU66" s="2">
        <f t="shared" si="26"/>
        <v>1.4989999999999997</v>
      </c>
      <c r="BV66" s="2">
        <f t="shared" si="27"/>
        <v>0</v>
      </c>
      <c r="BX66" s="2">
        <f>IF(AND(ISNUMBER($BN66),$BO66="Left 2nd Stage",SUM($BX$5:BX65)=0),$BN66,0)</f>
        <v>0</v>
      </c>
      <c r="BY66" s="2">
        <f>IF(AND(ISNUMBER($BN66),$BO66="Left Bankfull",SUM($BY$5:$BY65)=0),$BN66,0)</f>
        <v>0</v>
      </c>
      <c r="BZ66" s="2">
        <f>IF(AND(ISNUMBER($BN66),$BO66="Right 2nd Stage",SUM($BZ$5:$BZ65)=0),$BN65,0)</f>
        <v>0</v>
      </c>
      <c r="CA66" s="2">
        <f t="shared" si="46"/>
        <v>0</v>
      </c>
    </row>
    <row r="67" spans="1:79">
      <c r="A67" s="2">
        <v>63</v>
      </c>
      <c r="B67" s="111" t="e">
        <f>IF(ISNUMBER(XS_Designer!F67),XS_Designer!F67,NA())</f>
        <v>#N/A</v>
      </c>
      <c r="C67" s="111" t="e">
        <f>IF(ISNUMBER(XS_Designer!G67),XS_Designer!G67,NA())</f>
        <v>#N/A</v>
      </c>
      <c r="D67" s="111" t="str">
        <f>IF(ISNUMBER(XS_Designer!I67),XS_Designer!I67,"")</f>
        <v/>
      </c>
      <c r="E67" s="2" t="str">
        <f t="shared" si="28"/>
        <v/>
      </c>
      <c r="F67" s="111" t="str">
        <f>IF(ISTEXT(XS_Designer!H67),VLOOKUP(XS_Designer!H67,$K$12:$L$20,2,FALSE),"")</f>
        <v/>
      </c>
      <c r="G67" s="54" t="str">
        <f t="shared" si="29"/>
        <v/>
      </c>
      <c r="Q67" s="2" t="str">
        <f t="shared" si="30"/>
        <v>N</v>
      </c>
      <c r="R67" s="2" t="str">
        <f t="shared" si="31"/>
        <v/>
      </c>
      <c r="S67" s="2" t="str">
        <f t="shared" si="32"/>
        <v/>
      </c>
      <c r="T67" s="2" t="str">
        <f t="shared" si="33"/>
        <v/>
      </c>
      <c r="U67" s="2" t="str">
        <f t="shared" si="34"/>
        <v/>
      </c>
      <c r="V67" s="97" t="str">
        <f t="shared" si="35"/>
        <v/>
      </c>
      <c r="W67" s="97" t="e">
        <f t="shared" si="36"/>
        <v>#N/A</v>
      </c>
      <c r="X67" s="2" t="e">
        <f t="shared" si="1"/>
        <v>#N/A</v>
      </c>
      <c r="Y67" s="95" t="str">
        <f t="shared" si="37"/>
        <v/>
      </c>
      <c r="Z67" s="261" t="str">
        <f t="shared" si="38"/>
        <v/>
      </c>
      <c r="AA67" s="95" t="str">
        <f>IF(ISNUMBER(Y67),INDEX(Y67:Y166,MATCH(TRUE,INDEX(Y67:Y166&lt;&gt;Y67,),0)),"")</f>
        <v/>
      </c>
      <c r="AB67" s="95" t="str">
        <f t="shared" si="40"/>
        <v/>
      </c>
      <c r="AC67" s="95" t="str">
        <f t="shared" si="41"/>
        <v/>
      </c>
      <c r="AD67" s="95" t="e">
        <f>IF(ISTEXT(AB67),INDEX(AB67:AB166,MATCH(TRUE,INDEX(AB67:AB166&lt;&gt;AB67,),0)),"")</f>
        <v>#N/A</v>
      </c>
      <c r="AE67" s="18" t="str">
        <f t="shared" si="43"/>
        <v/>
      </c>
      <c r="AF67" s="18" t="str">
        <f t="shared" si="2"/>
        <v/>
      </c>
      <c r="AG67" s="18" t="str">
        <f t="shared" si="3"/>
        <v/>
      </c>
      <c r="AH67" s="18" t="str">
        <f t="shared" si="4"/>
        <v/>
      </c>
      <c r="AI67" s="18" t="e">
        <f>IF(AND(ISNUMBER(AI66),ISNUMBER(S67)),(VLOOKUP(AD67,AB67:AC166,2,FALSE)),IF(ISNUMBER(S67),R67,NA()))</f>
        <v>#N/A</v>
      </c>
      <c r="AJ67" s="18" t="e">
        <f t="shared" si="5"/>
        <v>#N/A</v>
      </c>
      <c r="AK67" s="18" t="str">
        <f t="shared" si="6"/>
        <v/>
      </c>
      <c r="AL67" s="18" t="str">
        <f t="shared" si="7"/>
        <v/>
      </c>
      <c r="AS67" s="166">
        <f t="shared" si="8"/>
        <v>27.201250000000002</v>
      </c>
      <c r="AT67" s="40">
        <f t="shared" si="45"/>
        <v>5</v>
      </c>
      <c r="AU67" s="166">
        <f t="shared" si="9"/>
        <v>27.201250000000002</v>
      </c>
      <c r="AV67" s="40">
        <f t="shared" si="0"/>
        <v>5</v>
      </c>
      <c r="AW67" s="152"/>
      <c r="AY67" s="166">
        <f t="shared" si="10"/>
        <v>27.201250000000002</v>
      </c>
      <c r="AZ67">
        <f t="shared" si="11"/>
        <v>3.5010000000000003</v>
      </c>
      <c r="BA67" s="341">
        <f t="shared" si="12"/>
        <v>27.201250000000002</v>
      </c>
      <c r="BB67">
        <f t="shared" si="13"/>
        <v>3.5010000000000003</v>
      </c>
      <c r="BD67">
        <f t="shared" si="14"/>
        <v>1.4989999999999997</v>
      </c>
      <c r="BE67" s="2">
        <f t="shared" si="15"/>
        <v>0</v>
      </c>
      <c r="BF67" s="122">
        <f t="shared" si="16"/>
        <v>0</v>
      </c>
      <c r="BG67" t="str">
        <f t="shared" si="17"/>
        <v>MAX WSE</v>
      </c>
      <c r="BH67" s="122">
        <f t="shared" si="18"/>
        <v>5</v>
      </c>
      <c r="BJ67" s="122">
        <f t="shared" si="19"/>
        <v>1.4989999999999997</v>
      </c>
      <c r="BL67" s="2">
        <f t="shared" si="47"/>
        <v>0</v>
      </c>
      <c r="BM67" s="2"/>
      <c r="BN67" s="2">
        <f t="shared" si="21"/>
        <v>27.201250000000002</v>
      </c>
      <c r="BO67" s="2" t="str">
        <f>IF(BP67="Left",IF(ISERROR(VLOOKUP(BN67,XS_Designer_Summary!$A$21:$B$25,2,TRUE)),"",VLOOKUP(BN67,XS_Designer_Summary!$A$21:$B$25,2,TRUE)),IF(ISERROR(VLOOKUP(-BN67,XS_Designer_Summary!$A$28:$B$32,2,TRUE)),"",VLOOKUP(-BN67,XS_Designer_Summary!$A$28:$B$32,2,TRUE)))</f>
        <v>Right 3rd Stage</v>
      </c>
      <c r="BP67" s="2" t="str">
        <f>IF(AU67&lt;XS_Designer_Summary!$B$7,"Left",IF(AU67&gt;XS_Designer_Summary!$B$7,"Right","Thalweg"))</f>
        <v>Right</v>
      </c>
      <c r="BQ67" s="2">
        <f t="shared" si="22"/>
        <v>0</v>
      </c>
      <c r="BR67" s="2">
        <f t="shared" si="23"/>
        <v>0</v>
      </c>
      <c r="BS67" s="2">
        <f t="shared" si="24"/>
        <v>0</v>
      </c>
      <c r="BT67" s="2">
        <f t="shared" si="25"/>
        <v>0</v>
      </c>
      <c r="BU67" s="2">
        <f t="shared" si="26"/>
        <v>1.4989999999999997</v>
      </c>
      <c r="BV67" s="2">
        <f t="shared" si="27"/>
        <v>0</v>
      </c>
      <c r="BX67" s="2">
        <f>IF(AND(ISNUMBER($BN67),$BO67="Left 2nd Stage",SUM($BX$5:BX66)=0),$BN67,0)</f>
        <v>0</v>
      </c>
      <c r="BY67" s="2">
        <f>IF(AND(ISNUMBER($BN67),$BO67="Left Bankfull",SUM($BY$5:$BY66)=0),$BN67,0)</f>
        <v>0</v>
      </c>
      <c r="BZ67" s="2">
        <f>IF(AND(ISNUMBER($BN67),$BO67="Right 2nd Stage",SUM($BZ$5:$BZ66)=0),$BN66,0)</f>
        <v>0</v>
      </c>
      <c r="CA67" s="2">
        <f t="shared" si="46"/>
        <v>0</v>
      </c>
    </row>
    <row r="68" spans="1:79">
      <c r="A68" s="2">
        <v>64</v>
      </c>
      <c r="B68" s="111" t="e">
        <f>IF(ISNUMBER(XS_Designer!F68),XS_Designer!F68,NA())</f>
        <v>#N/A</v>
      </c>
      <c r="C68" s="111" t="e">
        <f>IF(ISNUMBER(XS_Designer!G68),XS_Designer!G68,NA())</f>
        <v>#N/A</v>
      </c>
      <c r="D68" s="111" t="str">
        <f>IF(ISNUMBER(XS_Designer!I68),XS_Designer!I68,"")</f>
        <v/>
      </c>
      <c r="E68" s="2" t="str">
        <f t="shared" si="28"/>
        <v/>
      </c>
      <c r="F68" s="111" t="str">
        <f>IF(ISTEXT(XS_Designer!H68),VLOOKUP(XS_Designer!H68,$K$12:$L$20,2,FALSE),"")</f>
        <v/>
      </c>
      <c r="G68" s="54" t="str">
        <f t="shared" si="29"/>
        <v/>
      </c>
      <c r="Q68" s="2" t="str">
        <f t="shared" si="30"/>
        <v>N</v>
      </c>
      <c r="R68" s="2" t="str">
        <f t="shared" si="31"/>
        <v/>
      </c>
      <c r="S68" s="2" t="str">
        <f t="shared" si="32"/>
        <v/>
      </c>
      <c r="T68" s="2" t="str">
        <f t="shared" si="33"/>
        <v/>
      </c>
      <c r="U68" s="2" t="str">
        <f t="shared" si="34"/>
        <v/>
      </c>
      <c r="V68" s="97" t="str">
        <f t="shared" si="35"/>
        <v/>
      </c>
      <c r="W68" s="97" t="e">
        <f t="shared" si="36"/>
        <v>#N/A</v>
      </c>
      <c r="X68" s="2" t="e">
        <f t="shared" si="1"/>
        <v>#N/A</v>
      </c>
      <c r="Y68" s="95" t="str">
        <f t="shared" si="37"/>
        <v/>
      </c>
      <c r="Z68" s="261" t="str">
        <f t="shared" si="38"/>
        <v/>
      </c>
      <c r="AA68" s="95" t="str">
        <f>IF(ISNUMBER(Y68),INDEX(Y68:Y166,MATCH(TRUE,INDEX(Y68:Y166&lt;&gt;Y68,),0)),"")</f>
        <v/>
      </c>
      <c r="AB68" s="95" t="str">
        <f t="shared" si="40"/>
        <v/>
      </c>
      <c r="AC68" s="95" t="str">
        <f t="shared" si="41"/>
        <v/>
      </c>
      <c r="AD68" s="95" t="e">
        <f>IF(ISTEXT(AB68),INDEX(AB68:AB166,MATCH(TRUE,INDEX(AB68:AB166&lt;&gt;AB68,),0)),"")</f>
        <v>#N/A</v>
      </c>
      <c r="AE68" s="18" t="str">
        <f t="shared" si="43"/>
        <v/>
      </c>
      <c r="AF68" s="18" t="str">
        <f t="shared" si="2"/>
        <v/>
      </c>
      <c r="AG68" s="18" t="str">
        <f t="shared" si="3"/>
        <v/>
      </c>
      <c r="AH68" s="18" t="str">
        <f t="shared" si="4"/>
        <v/>
      </c>
      <c r="AI68" s="18" t="e">
        <f>IF(AND(ISNUMBER(AI67),ISNUMBER(S68)),(VLOOKUP(AD68,AB68:AC166,2,FALSE)),IF(ISNUMBER(S68),R68,NA()))</f>
        <v>#N/A</v>
      </c>
      <c r="AJ68" s="18" t="e">
        <f t="shared" si="5"/>
        <v>#N/A</v>
      </c>
      <c r="AK68" s="18" t="str">
        <f t="shared" si="6"/>
        <v/>
      </c>
      <c r="AL68" s="18" t="str">
        <f t="shared" si="7"/>
        <v/>
      </c>
      <c r="AS68" s="166">
        <f t="shared" si="8"/>
        <v>27.201250000000002</v>
      </c>
      <c r="AT68" s="40">
        <f t="shared" si="45"/>
        <v>5</v>
      </c>
      <c r="AU68" s="166">
        <f t="shared" si="9"/>
        <v>27.201250000000002</v>
      </c>
      <c r="AV68" s="40">
        <f t="shared" si="0"/>
        <v>5</v>
      </c>
      <c r="AW68" s="152"/>
      <c r="AY68" s="166">
        <f t="shared" si="10"/>
        <v>27.201250000000002</v>
      </c>
      <c r="AZ68">
        <f t="shared" si="11"/>
        <v>3.5010000000000003</v>
      </c>
      <c r="BA68" s="341">
        <f t="shared" si="12"/>
        <v>27.201250000000002</v>
      </c>
      <c r="BB68">
        <f t="shared" si="13"/>
        <v>3.5010000000000003</v>
      </c>
      <c r="BD68">
        <f t="shared" si="14"/>
        <v>1.4989999999999997</v>
      </c>
      <c r="BE68" s="2">
        <f t="shared" si="15"/>
        <v>0</v>
      </c>
      <c r="BF68" s="122">
        <f t="shared" si="16"/>
        <v>0</v>
      </c>
      <c r="BG68" t="str">
        <f t="shared" si="17"/>
        <v>MAX WSE</v>
      </c>
      <c r="BH68" s="122">
        <f t="shared" ref="BH68:BH104" si="85">AV68</f>
        <v>5</v>
      </c>
      <c r="BJ68" s="122">
        <f t="shared" si="19"/>
        <v>1.4989999999999997</v>
      </c>
      <c r="BL68" s="2">
        <f t="shared" si="47"/>
        <v>0</v>
      </c>
      <c r="BM68" s="2"/>
      <c r="BN68" s="2">
        <f t="shared" si="21"/>
        <v>27.201250000000002</v>
      </c>
      <c r="BO68" s="2" t="str">
        <f>IF(BP68="Left",IF(ISERROR(VLOOKUP(BN68,XS_Designer_Summary!$A$21:$B$25,2,TRUE)),"",VLOOKUP(BN68,XS_Designer_Summary!$A$21:$B$25,2,TRUE)),IF(ISERROR(VLOOKUP(-BN68,XS_Designer_Summary!$A$28:$B$32,2,TRUE)),"",VLOOKUP(-BN68,XS_Designer_Summary!$A$28:$B$32,2,TRUE)))</f>
        <v>Right 3rd Stage</v>
      </c>
      <c r="BP68" s="2" t="str">
        <f>IF(AU68&lt;XS_Designer_Summary!$B$7,"Left",IF(AU68&gt;XS_Designer_Summary!$B$7,"Right","Thalweg"))</f>
        <v>Right</v>
      </c>
      <c r="BQ68" s="2">
        <f t="shared" si="22"/>
        <v>0</v>
      </c>
      <c r="BR68" s="2">
        <f t="shared" si="23"/>
        <v>0</v>
      </c>
      <c r="BS68" s="2">
        <f t="shared" si="24"/>
        <v>0</v>
      </c>
      <c r="BT68" s="2">
        <f t="shared" si="25"/>
        <v>0</v>
      </c>
      <c r="BU68" s="2">
        <f t="shared" si="26"/>
        <v>1.4989999999999997</v>
      </c>
      <c r="BV68" s="2">
        <f t="shared" si="27"/>
        <v>0</v>
      </c>
      <c r="BX68" s="2">
        <f>IF(AND(ISNUMBER($BN68),$BO68="Left 2nd Stage",SUM($BX$5:BX67)=0),$BN68,0)</f>
        <v>0</v>
      </c>
      <c r="BY68" s="2">
        <f>IF(AND(ISNUMBER($BN68),$BO68="Left Bankfull",SUM($BY$5:$BY67)=0),$BN68,0)</f>
        <v>0</v>
      </c>
      <c r="BZ68" s="2">
        <f>IF(AND(ISNUMBER($BN68),$BO68="Right 2nd Stage",SUM($BZ$5:$BZ67)=0),$BN67,0)</f>
        <v>0</v>
      </c>
      <c r="CA68" s="2">
        <f t="shared" si="46"/>
        <v>0</v>
      </c>
    </row>
    <row r="69" spans="1:79">
      <c r="A69" s="2">
        <v>65</v>
      </c>
      <c r="B69" s="111" t="e">
        <f>IF(ISNUMBER(XS_Designer!F69),XS_Designer!F69,NA())</f>
        <v>#N/A</v>
      </c>
      <c r="C69" s="111" t="e">
        <f>IF(ISNUMBER(XS_Designer!G69),XS_Designer!G69,NA())</f>
        <v>#N/A</v>
      </c>
      <c r="D69" s="111" t="str">
        <f>IF(ISNUMBER(XS_Designer!I69),XS_Designer!I69,"")</f>
        <v/>
      </c>
      <c r="E69" s="2" t="str">
        <f t="shared" si="28"/>
        <v/>
      </c>
      <c r="F69" s="111" t="str">
        <f>IF(ISTEXT(XS_Designer!H69),VLOOKUP(XS_Designer!H69,$K$12:$L$20,2,FALSE),"")</f>
        <v/>
      </c>
      <c r="G69" s="54" t="str">
        <f t="shared" si="29"/>
        <v/>
      </c>
      <c r="Q69" s="2" t="str">
        <f t="shared" si="30"/>
        <v>N</v>
      </c>
      <c r="R69" s="2" t="str">
        <f t="shared" si="31"/>
        <v/>
      </c>
      <c r="S69" s="2" t="str">
        <f t="shared" si="32"/>
        <v/>
      </c>
      <c r="T69" s="2" t="str">
        <f t="shared" si="33"/>
        <v/>
      </c>
      <c r="U69" s="2" t="str">
        <f t="shared" si="34"/>
        <v/>
      </c>
      <c r="V69" s="97" t="str">
        <f t="shared" si="35"/>
        <v/>
      </c>
      <c r="W69" s="97" t="e">
        <f t="shared" si="36"/>
        <v>#N/A</v>
      </c>
      <c r="X69" s="2" t="e">
        <f t="shared" si="1"/>
        <v>#N/A</v>
      </c>
      <c r="Y69" s="95" t="str">
        <f t="shared" si="37"/>
        <v/>
      </c>
      <c r="Z69" s="261" t="str">
        <f t="shared" si="38"/>
        <v/>
      </c>
      <c r="AA69" s="95" t="str">
        <f>IF(ISNUMBER(Y69),INDEX(Y69:Y166,MATCH(TRUE,INDEX(Y69:Y166&lt;&gt;Y69,),0)),"")</f>
        <v/>
      </c>
      <c r="AB69" s="95" t="str">
        <f t="shared" si="40"/>
        <v/>
      </c>
      <c r="AC69" s="95" t="str">
        <f t="shared" si="41"/>
        <v/>
      </c>
      <c r="AD69" s="95" t="e">
        <f>IF(ISTEXT(AB69),INDEX(AB69:AB166,MATCH(TRUE,INDEX(AB69:AB166&lt;&gt;AB69,),0)),"")</f>
        <v>#N/A</v>
      </c>
      <c r="AE69" s="18" t="str">
        <f t="shared" si="43"/>
        <v/>
      </c>
      <c r="AF69" s="18" t="str">
        <f t="shared" si="2"/>
        <v/>
      </c>
      <c r="AG69" s="18" t="str">
        <f t="shared" si="3"/>
        <v/>
      </c>
      <c r="AH69" s="18" t="str">
        <f t="shared" si="4"/>
        <v/>
      </c>
      <c r="AI69" s="18" t="e">
        <f>IF(AND(ISNUMBER(AI68),ISNUMBER(S69)),(VLOOKUP(AD69,AB69:AC166,2,FALSE)),IF(ISNUMBER(S69),R69,NA()))</f>
        <v>#N/A</v>
      </c>
      <c r="AJ69" s="18" t="e">
        <f t="shared" si="5"/>
        <v>#N/A</v>
      </c>
      <c r="AK69" s="18" t="str">
        <f t="shared" si="6"/>
        <v/>
      </c>
      <c r="AL69" s="18" t="str">
        <f t="shared" si="7"/>
        <v/>
      </c>
      <c r="AS69" s="166">
        <f t="shared" si="8"/>
        <v>27.201250000000002</v>
      </c>
      <c r="AT69" s="40">
        <f t="shared" si="45"/>
        <v>5</v>
      </c>
      <c r="AU69" s="166">
        <f t="shared" si="9"/>
        <v>27.201250000000002</v>
      </c>
      <c r="AV69" s="40">
        <f t="shared" si="0"/>
        <v>5</v>
      </c>
      <c r="AW69" s="152"/>
      <c r="AY69" s="166">
        <f t="shared" si="10"/>
        <v>27.201250000000002</v>
      </c>
      <c r="AZ69">
        <f t="shared" si="11"/>
        <v>3.5010000000000003</v>
      </c>
      <c r="BA69" s="341">
        <f t="shared" si="12"/>
        <v>27.201250000000002</v>
      </c>
      <c r="BB69">
        <f t="shared" si="13"/>
        <v>3.5010000000000003</v>
      </c>
      <c r="BD69">
        <f t="shared" si="14"/>
        <v>1.4989999999999997</v>
      </c>
      <c r="BE69" s="2">
        <f t="shared" si="15"/>
        <v>0</v>
      </c>
      <c r="BF69" s="122">
        <f t="shared" si="16"/>
        <v>0</v>
      </c>
      <c r="BG69" t="str">
        <f t="shared" si="17"/>
        <v>MAX WSE</v>
      </c>
      <c r="BH69" s="122">
        <f t="shared" si="85"/>
        <v>5</v>
      </c>
      <c r="BJ69" s="122">
        <f t="shared" si="19"/>
        <v>1.4989999999999997</v>
      </c>
      <c r="BL69" s="2">
        <f t="shared" si="47"/>
        <v>0</v>
      </c>
      <c r="BM69" s="2"/>
      <c r="BN69" s="2">
        <f t="shared" si="21"/>
        <v>27.201250000000002</v>
      </c>
      <c r="BO69" s="2" t="str">
        <f>IF(BP69="Left",IF(ISERROR(VLOOKUP(BN69,XS_Designer_Summary!$A$21:$B$25,2,TRUE)),"",VLOOKUP(BN69,XS_Designer_Summary!$A$21:$B$25,2,TRUE)),IF(ISERROR(VLOOKUP(-BN69,XS_Designer_Summary!$A$28:$B$32,2,TRUE)),"",VLOOKUP(-BN69,XS_Designer_Summary!$A$28:$B$32,2,TRUE)))</f>
        <v>Right 3rd Stage</v>
      </c>
      <c r="BP69" s="2" t="str">
        <f>IF(AU69&lt;XS_Designer_Summary!$B$7,"Left",IF(AU69&gt;XS_Designer_Summary!$B$7,"Right","Thalweg"))</f>
        <v>Right</v>
      </c>
      <c r="BQ69" s="2">
        <f t="shared" si="22"/>
        <v>0</v>
      </c>
      <c r="BR69" s="2">
        <f t="shared" si="23"/>
        <v>0</v>
      </c>
      <c r="BS69" s="2">
        <f t="shared" si="24"/>
        <v>0</v>
      </c>
      <c r="BT69" s="2">
        <f t="shared" si="25"/>
        <v>0</v>
      </c>
      <c r="BU69" s="2">
        <f t="shared" si="26"/>
        <v>1.4989999999999997</v>
      </c>
      <c r="BV69" s="2">
        <f t="shared" si="27"/>
        <v>0</v>
      </c>
      <c r="BX69" s="2">
        <f>IF(AND(ISNUMBER($BN69),$BO69="Left 2nd Stage",SUM($BX$5:BX68)=0),$BN69,0)</f>
        <v>0</v>
      </c>
      <c r="BY69" s="2">
        <f>IF(AND(ISNUMBER($BN69),$BO69="Left Bankfull",SUM($BY$5:$BY68)=0),$BN69,0)</f>
        <v>0</v>
      </c>
      <c r="BZ69" s="2">
        <f>IF(AND(ISNUMBER($BN69),$BO69="Right 2nd Stage",SUM($BZ$5:$BZ68)=0),$BN68,0)</f>
        <v>0</v>
      </c>
      <c r="CA69" s="2">
        <f t="shared" si="46"/>
        <v>0</v>
      </c>
    </row>
    <row r="70" spans="1:79">
      <c r="A70" s="2">
        <v>66</v>
      </c>
      <c r="B70" s="111" t="e">
        <f>IF(ISNUMBER(XS_Designer!F70),XS_Designer!F70,NA())</f>
        <v>#N/A</v>
      </c>
      <c r="C70" s="111" t="e">
        <f>IF(ISNUMBER(XS_Designer!G70),XS_Designer!G70,NA())</f>
        <v>#N/A</v>
      </c>
      <c r="D70" s="111" t="str">
        <f>IF(ISNUMBER(XS_Designer!I70),XS_Designer!I70,"")</f>
        <v/>
      </c>
      <c r="E70" s="2" t="str">
        <f t="shared" si="28"/>
        <v/>
      </c>
      <c r="F70" s="111" t="str">
        <f>IF(ISTEXT(XS_Designer!H70),VLOOKUP(XS_Designer!H70,$K$12:$L$20,2,FALSE),"")</f>
        <v/>
      </c>
      <c r="G70" s="54" t="str">
        <f t="shared" si="29"/>
        <v/>
      </c>
      <c r="Q70" s="2" t="str">
        <f t="shared" si="30"/>
        <v>N</v>
      </c>
      <c r="R70" s="2" t="str">
        <f t="shared" si="31"/>
        <v/>
      </c>
      <c r="S70" s="2" t="str">
        <f t="shared" si="32"/>
        <v/>
      </c>
      <c r="T70" s="2" t="str">
        <f t="shared" si="33"/>
        <v/>
      </c>
      <c r="U70" s="2" t="str">
        <f t="shared" si="34"/>
        <v/>
      </c>
      <c r="V70" s="97" t="str">
        <f t="shared" si="35"/>
        <v/>
      </c>
      <c r="W70" s="97" t="e">
        <f t="shared" si="36"/>
        <v>#N/A</v>
      </c>
      <c r="X70" s="2" t="e">
        <f t="shared" si="1"/>
        <v>#N/A</v>
      </c>
      <c r="Y70" s="95" t="str">
        <f t="shared" si="37"/>
        <v/>
      </c>
      <c r="Z70" s="261" t="str">
        <f t="shared" si="38"/>
        <v/>
      </c>
      <c r="AA70" s="95" t="str">
        <f t="shared" ref="AA70:AA71" si="86">IF(ISNUMBER(Y70),INDEX(Y70:Y170,MATCH(TRUE,INDEX(Y70:Y170&lt;&gt;Y70,),0)),"")</f>
        <v/>
      </c>
      <c r="AB70" s="95" t="str">
        <f t="shared" si="40"/>
        <v/>
      </c>
      <c r="AC70" s="95" t="str">
        <f t="shared" si="41"/>
        <v/>
      </c>
      <c r="AD70" s="95" t="e">
        <f t="shared" ref="AD70:AD71" si="87">IF(ISTEXT(AB70),INDEX(AB70:AB170,MATCH(TRUE,INDEX(AB70:AB170&lt;&gt;AB70,),0)),"")</f>
        <v>#N/A</v>
      </c>
      <c r="AE70" s="18" t="str">
        <f t="shared" si="43"/>
        <v/>
      </c>
      <c r="AF70" s="18" t="str">
        <f t="shared" si="2"/>
        <v/>
      </c>
      <c r="AG70" s="18" t="str">
        <f t="shared" si="3"/>
        <v/>
      </c>
      <c r="AH70" s="18" t="str">
        <f t="shared" si="4"/>
        <v/>
      </c>
      <c r="AI70" s="18" t="e">
        <f t="shared" ref="AI70:AI71" si="88">IF(AND(ISNUMBER(AI69),ISNUMBER(S70)),(VLOOKUP(AD70,AB70:AC170,2,FALSE)),IF(ISNUMBER(S70),R70,NA()))</f>
        <v>#N/A</v>
      </c>
      <c r="AJ70" s="18" t="e">
        <f t="shared" si="5"/>
        <v>#N/A</v>
      </c>
      <c r="AK70" s="18" t="str">
        <f t="shared" si="6"/>
        <v/>
      </c>
      <c r="AL70" s="18" t="str">
        <f t="shared" si="7"/>
        <v/>
      </c>
      <c r="AS70" s="166">
        <f t="shared" si="8"/>
        <v>27.201250000000002</v>
      </c>
      <c r="AT70" s="40">
        <f t="shared" si="45"/>
        <v>5</v>
      </c>
      <c r="AU70" s="166">
        <f t="shared" si="9"/>
        <v>27.201250000000002</v>
      </c>
      <c r="AV70" s="40">
        <f t="shared" si="0"/>
        <v>5</v>
      </c>
      <c r="AW70" s="152"/>
      <c r="AY70" s="166">
        <f t="shared" si="10"/>
        <v>27.201250000000002</v>
      </c>
      <c r="AZ70">
        <f t="shared" si="11"/>
        <v>3.5010000000000003</v>
      </c>
      <c r="BA70" s="341">
        <f t="shared" si="12"/>
        <v>27.201250000000002</v>
      </c>
      <c r="BB70">
        <f t="shared" si="13"/>
        <v>3.5010000000000003</v>
      </c>
      <c r="BD70">
        <f t="shared" si="14"/>
        <v>1.4989999999999997</v>
      </c>
      <c r="BE70" s="2">
        <f t="shared" si="15"/>
        <v>0</v>
      </c>
      <c r="BF70" s="122">
        <f t="shared" si="16"/>
        <v>0</v>
      </c>
      <c r="BG70" t="str">
        <f t="shared" si="17"/>
        <v>MAX WSE</v>
      </c>
      <c r="BH70" s="122">
        <f t="shared" si="85"/>
        <v>5</v>
      </c>
      <c r="BJ70" s="122">
        <f t="shared" si="19"/>
        <v>1.4989999999999997</v>
      </c>
      <c r="BL70" s="2">
        <f t="shared" si="47"/>
        <v>0</v>
      </c>
      <c r="BM70" s="2"/>
      <c r="BN70" s="2">
        <f t="shared" si="21"/>
        <v>27.201250000000002</v>
      </c>
      <c r="BO70" s="2" t="str">
        <f>IF(BP70="Left",IF(ISERROR(VLOOKUP(BN70,XS_Designer_Summary!$A$21:$B$25,2,TRUE)),"",VLOOKUP(BN70,XS_Designer_Summary!$A$21:$B$25,2,TRUE)),IF(ISERROR(VLOOKUP(-BN70,XS_Designer_Summary!$A$28:$B$32,2,TRUE)),"",VLOOKUP(-BN70,XS_Designer_Summary!$A$28:$B$32,2,TRUE)))</f>
        <v>Right 3rd Stage</v>
      </c>
      <c r="BP70" s="2" t="str">
        <f>IF(AU70&lt;XS_Designer_Summary!$B$7,"Left",IF(AU70&gt;XS_Designer_Summary!$B$7,"Right","Thalweg"))</f>
        <v>Right</v>
      </c>
      <c r="BQ70" s="2">
        <f t="shared" si="22"/>
        <v>0</v>
      </c>
      <c r="BR70" s="2">
        <f t="shared" si="23"/>
        <v>0</v>
      </c>
      <c r="BS70" s="2">
        <f t="shared" si="24"/>
        <v>0</v>
      </c>
      <c r="BT70" s="2">
        <f t="shared" si="25"/>
        <v>0</v>
      </c>
      <c r="BU70" s="2">
        <f t="shared" si="26"/>
        <v>1.4989999999999997</v>
      </c>
      <c r="BV70" s="2">
        <f t="shared" si="27"/>
        <v>0</v>
      </c>
      <c r="BX70" s="2">
        <f>IF(AND(ISNUMBER($BN70),$BO70="Left 2nd Stage",SUM($BX$5:BX69)=0),$BN70,0)</f>
        <v>0</v>
      </c>
      <c r="BY70" s="2">
        <f>IF(AND(ISNUMBER($BN70),$BO70="Left Bankfull",SUM($BY$5:$BY69)=0),$BN70,0)</f>
        <v>0</v>
      </c>
      <c r="BZ70" s="2">
        <f>IF(AND(ISNUMBER($BN70),$BO70="Right 2nd Stage",SUM($BZ$5:$BZ69)=0),$BN69,0)</f>
        <v>0</v>
      </c>
      <c r="CA70" s="2">
        <f t="shared" si="46"/>
        <v>0</v>
      </c>
    </row>
    <row r="71" spans="1:79">
      <c r="A71" s="2">
        <v>67</v>
      </c>
      <c r="B71" s="111" t="e">
        <f>IF(ISNUMBER(XS_Designer!F71),XS_Designer!F71,NA())</f>
        <v>#N/A</v>
      </c>
      <c r="C71" s="111" t="e">
        <f>IF(ISNUMBER(XS_Designer!G71),XS_Designer!G71,NA())</f>
        <v>#N/A</v>
      </c>
      <c r="D71" s="111" t="str">
        <f>IF(ISNUMBER(XS_Designer!I71),XS_Designer!I71,"")</f>
        <v/>
      </c>
      <c r="E71" s="2" t="str">
        <f t="shared" si="28"/>
        <v/>
      </c>
      <c r="F71" s="111" t="str">
        <f>IF(ISTEXT(XS_Designer!H71),VLOOKUP(XS_Designer!H71,$K$12:$L$20,2,FALSE),"")</f>
        <v/>
      </c>
      <c r="G71" s="54" t="str">
        <f t="shared" si="29"/>
        <v/>
      </c>
      <c r="Q71" s="2" t="str">
        <f t="shared" si="30"/>
        <v>N</v>
      </c>
      <c r="R71" s="2" t="str">
        <f t="shared" si="31"/>
        <v/>
      </c>
      <c r="S71" s="2" t="str">
        <f t="shared" si="32"/>
        <v/>
      </c>
      <c r="T71" s="2" t="str">
        <f t="shared" si="33"/>
        <v/>
      </c>
      <c r="U71" s="2" t="str">
        <f t="shared" si="34"/>
        <v/>
      </c>
      <c r="V71" s="97" t="str">
        <f t="shared" si="35"/>
        <v/>
      </c>
      <c r="W71" s="97" t="e">
        <f t="shared" si="36"/>
        <v>#N/A</v>
      </c>
      <c r="X71" s="2" t="e">
        <f t="shared" si="1"/>
        <v>#N/A</v>
      </c>
      <c r="Y71" s="95" t="str">
        <f t="shared" si="37"/>
        <v/>
      </c>
      <c r="Z71" s="261" t="str">
        <f t="shared" si="38"/>
        <v/>
      </c>
      <c r="AA71" s="95" t="str">
        <f t="shared" si="86"/>
        <v/>
      </c>
      <c r="AB71" s="95" t="str">
        <f t="shared" si="40"/>
        <v/>
      </c>
      <c r="AC71" s="95" t="str">
        <f t="shared" si="41"/>
        <v/>
      </c>
      <c r="AD71" s="95" t="e">
        <f t="shared" si="87"/>
        <v>#N/A</v>
      </c>
      <c r="AE71" s="18" t="str">
        <f t="shared" si="43"/>
        <v/>
      </c>
      <c r="AF71" s="18" t="str">
        <f t="shared" si="2"/>
        <v/>
      </c>
      <c r="AG71" s="18" t="str">
        <f t="shared" si="3"/>
        <v/>
      </c>
      <c r="AH71" s="18" t="str">
        <f t="shared" si="4"/>
        <v/>
      </c>
      <c r="AI71" s="18" t="e">
        <f t="shared" si="88"/>
        <v>#N/A</v>
      </c>
      <c r="AJ71" s="18" t="e">
        <f t="shared" si="5"/>
        <v>#N/A</v>
      </c>
      <c r="AK71" s="18" t="str">
        <f t="shared" si="6"/>
        <v/>
      </c>
      <c r="AL71" s="18" t="str">
        <f t="shared" si="7"/>
        <v/>
      </c>
      <c r="AS71" s="166">
        <f t="shared" si="8"/>
        <v>27.201250000000002</v>
      </c>
      <c r="AT71" s="40">
        <f t="shared" si="45"/>
        <v>5</v>
      </c>
      <c r="AU71" s="166">
        <f t="shared" si="9"/>
        <v>27.201250000000002</v>
      </c>
      <c r="AV71" s="40">
        <f t="shared" si="0"/>
        <v>5</v>
      </c>
      <c r="AW71" s="152"/>
      <c r="AY71" s="166">
        <f t="shared" si="10"/>
        <v>27.201250000000002</v>
      </c>
      <c r="AZ71">
        <f t="shared" si="11"/>
        <v>3.5010000000000003</v>
      </c>
      <c r="BA71" s="341">
        <f t="shared" si="12"/>
        <v>27.201250000000002</v>
      </c>
      <c r="BB71">
        <f t="shared" si="13"/>
        <v>3.5010000000000003</v>
      </c>
      <c r="BD71">
        <f t="shared" si="14"/>
        <v>1.4989999999999997</v>
      </c>
      <c r="BE71" s="2">
        <f t="shared" si="15"/>
        <v>0</v>
      </c>
      <c r="BF71" s="122">
        <f t="shared" si="16"/>
        <v>0</v>
      </c>
      <c r="BG71" t="str">
        <f t="shared" si="17"/>
        <v>MAX WSE</v>
      </c>
      <c r="BH71" s="122">
        <f t="shared" si="85"/>
        <v>5</v>
      </c>
      <c r="BJ71" s="122">
        <f t="shared" si="19"/>
        <v>1.4989999999999997</v>
      </c>
      <c r="BL71" s="2">
        <f t="shared" si="47"/>
        <v>0</v>
      </c>
      <c r="BM71" s="2"/>
      <c r="BN71" s="2">
        <f t="shared" si="21"/>
        <v>27.201250000000002</v>
      </c>
      <c r="BO71" s="2" t="str">
        <f>IF(BP71="Left",IF(ISERROR(VLOOKUP(BN71,XS_Designer_Summary!$A$21:$B$25,2,TRUE)),"",VLOOKUP(BN71,XS_Designer_Summary!$A$21:$B$25,2,TRUE)),IF(ISERROR(VLOOKUP(-BN71,XS_Designer_Summary!$A$28:$B$32,2,TRUE)),"",VLOOKUP(-BN71,XS_Designer_Summary!$A$28:$B$32,2,TRUE)))</f>
        <v>Right 3rd Stage</v>
      </c>
      <c r="BP71" s="2" t="str">
        <f>IF(AU71&lt;XS_Designer_Summary!$B$7,"Left",IF(AU71&gt;XS_Designer_Summary!$B$7,"Right","Thalweg"))</f>
        <v>Right</v>
      </c>
      <c r="BQ71" s="2">
        <f t="shared" si="22"/>
        <v>0</v>
      </c>
      <c r="BR71" s="2">
        <f t="shared" si="23"/>
        <v>0</v>
      </c>
      <c r="BS71" s="2">
        <f t="shared" si="24"/>
        <v>0</v>
      </c>
      <c r="BT71" s="2">
        <f t="shared" si="25"/>
        <v>0</v>
      </c>
      <c r="BU71" s="2">
        <f t="shared" si="26"/>
        <v>1.4989999999999997</v>
      </c>
      <c r="BV71" s="2">
        <f t="shared" si="27"/>
        <v>0</v>
      </c>
      <c r="BX71" s="2">
        <f>IF(AND(ISNUMBER($BN71),$BO71="Left 2nd Stage",SUM($BX$5:BX70)=0),$BN71,0)</f>
        <v>0</v>
      </c>
      <c r="BY71" s="2">
        <f>IF(AND(ISNUMBER($BN71),$BO71="Left Bankfull",SUM($BY$5:$BY70)=0),$BN71,0)</f>
        <v>0</v>
      </c>
      <c r="BZ71" s="2">
        <f>IF(AND(ISNUMBER($BN71),$BO71="Right 2nd Stage",SUM($BZ$5:$BZ70)=0),$BN70,0)</f>
        <v>0</v>
      </c>
      <c r="CA71" s="2">
        <f t="shared" si="46"/>
        <v>0</v>
      </c>
    </row>
    <row r="72" spans="1:79">
      <c r="A72" s="2">
        <v>68</v>
      </c>
      <c r="B72" s="111" t="e">
        <f>IF(ISNUMBER(XS_Designer!F72),XS_Designer!F72,NA())</f>
        <v>#N/A</v>
      </c>
      <c r="C72" s="111" t="e">
        <f>IF(ISNUMBER(XS_Designer!G72),XS_Designer!G72,NA())</f>
        <v>#N/A</v>
      </c>
      <c r="D72" s="111" t="str">
        <f>IF(ISNUMBER(XS_Designer!I72),XS_Designer!I72,"")</f>
        <v/>
      </c>
      <c r="E72" s="2" t="str">
        <f t="shared" si="28"/>
        <v/>
      </c>
      <c r="F72" s="111" t="str">
        <f>IF(ISTEXT(XS_Designer!H72),VLOOKUP(XS_Designer!H72,$K$12:$L$20,2,FALSE),"")</f>
        <v/>
      </c>
      <c r="G72" s="54" t="str">
        <f t="shared" si="29"/>
        <v/>
      </c>
      <c r="Q72" s="2" t="str">
        <f t="shared" si="30"/>
        <v>N</v>
      </c>
      <c r="R72" s="2" t="str">
        <f t="shared" si="31"/>
        <v/>
      </c>
      <c r="S72" s="2" t="str">
        <f t="shared" si="32"/>
        <v/>
      </c>
      <c r="T72" s="2" t="str">
        <f t="shared" si="33"/>
        <v/>
      </c>
      <c r="U72" s="2" t="str">
        <f t="shared" si="34"/>
        <v/>
      </c>
      <c r="V72" s="97" t="str">
        <f t="shared" si="35"/>
        <v/>
      </c>
      <c r="W72" s="97" t="e">
        <f t="shared" si="36"/>
        <v>#N/A</v>
      </c>
      <c r="X72" s="2" t="e">
        <f t="shared" si="1"/>
        <v>#N/A</v>
      </c>
      <c r="Y72" s="95" t="str">
        <f t="shared" si="37"/>
        <v/>
      </c>
      <c r="Z72" s="261" t="str">
        <f t="shared" si="38"/>
        <v/>
      </c>
      <c r="AA72" s="95" t="str">
        <f>IF(ISNUMBER(Y72),INDEX(Y72:Y171,MATCH(TRUE,INDEX(Y72:Y171&lt;&gt;Y72,),0)),"")</f>
        <v/>
      </c>
      <c r="AB72" s="95" t="str">
        <f t="shared" si="40"/>
        <v/>
      </c>
      <c r="AC72" s="95" t="str">
        <f t="shared" si="41"/>
        <v/>
      </c>
      <c r="AD72" s="95" t="e">
        <f>IF(ISTEXT(AB72),INDEX(AB72:AB171,MATCH(TRUE,INDEX(AB72:AB171&lt;&gt;AB72,),0)),"")</f>
        <v>#N/A</v>
      </c>
      <c r="AE72" s="18" t="str">
        <f t="shared" si="43"/>
        <v/>
      </c>
      <c r="AF72" s="18" t="str">
        <f t="shared" si="2"/>
        <v/>
      </c>
      <c r="AG72" s="18" t="str">
        <f t="shared" si="3"/>
        <v/>
      </c>
      <c r="AH72" s="18" t="str">
        <f t="shared" si="4"/>
        <v/>
      </c>
      <c r="AI72" s="18" t="e">
        <f>IF(AND(ISNUMBER(AI71),ISNUMBER(S72)),(VLOOKUP(AD72,AB72:AC171,2,FALSE)),IF(ISNUMBER(S72),R72,NA()))</f>
        <v>#N/A</v>
      </c>
      <c r="AJ72" s="18" t="e">
        <f t="shared" si="5"/>
        <v>#N/A</v>
      </c>
      <c r="AK72" s="18" t="str">
        <f t="shared" si="6"/>
        <v/>
      </c>
      <c r="AL72" s="18" t="str">
        <f t="shared" si="7"/>
        <v/>
      </c>
      <c r="AS72" s="166">
        <f t="shared" si="8"/>
        <v>27.201250000000002</v>
      </c>
      <c r="AT72" s="40">
        <f t="shared" si="45"/>
        <v>5</v>
      </c>
      <c r="AU72" s="166">
        <f t="shared" si="9"/>
        <v>27.201250000000002</v>
      </c>
      <c r="AV72" s="40">
        <f t="shared" si="0"/>
        <v>5</v>
      </c>
      <c r="AW72" s="152"/>
      <c r="AY72" s="166">
        <f t="shared" si="10"/>
        <v>27.201250000000002</v>
      </c>
      <c r="AZ72">
        <f t="shared" si="11"/>
        <v>3.5010000000000003</v>
      </c>
      <c r="BA72" s="341">
        <f t="shared" si="12"/>
        <v>27.201250000000002</v>
      </c>
      <c r="BB72">
        <f t="shared" si="13"/>
        <v>3.5010000000000003</v>
      </c>
      <c r="BD72">
        <f t="shared" si="14"/>
        <v>1.4989999999999997</v>
      </c>
      <c r="BE72" s="2">
        <f t="shared" si="15"/>
        <v>0</v>
      </c>
      <c r="BF72" s="122">
        <f t="shared" si="16"/>
        <v>0</v>
      </c>
      <c r="BG72" t="str">
        <f t="shared" si="17"/>
        <v>MAX WSE</v>
      </c>
      <c r="BH72" s="122">
        <f t="shared" si="85"/>
        <v>5</v>
      </c>
      <c r="BJ72" s="122">
        <f t="shared" si="19"/>
        <v>1.4989999999999997</v>
      </c>
      <c r="BL72" s="2">
        <f t="shared" si="47"/>
        <v>0</v>
      </c>
      <c r="BM72" s="2"/>
      <c r="BN72" s="2">
        <f t="shared" si="21"/>
        <v>27.201250000000002</v>
      </c>
      <c r="BO72" s="2" t="str">
        <f>IF(BP72="Left",IF(ISERROR(VLOOKUP(BN72,XS_Designer_Summary!$A$21:$B$25,2,TRUE)),"",VLOOKUP(BN72,XS_Designer_Summary!$A$21:$B$25,2,TRUE)),IF(ISERROR(VLOOKUP(-BN72,XS_Designer_Summary!$A$28:$B$32,2,TRUE)),"",VLOOKUP(-BN72,XS_Designer_Summary!$A$28:$B$32,2,TRUE)))</f>
        <v>Right 3rd Stage</v>
      </c>
      <c r="BP72" s="2" t="str">
        <f>IF(AU72&lt;XS_Designer_Summary!$B$7,"Left",IF(AU72&gt;XS_Designer_Summary!$B$7,"Right","Thalweg"))</f>
        <v>Right</v>
      </c>
      <c r="BQ72" s="2">
        <f t="shared" si="22"/>
        <v>0</v>
      </c>
      <c r="BR72" s="2">
        <f t="shared" si="23"/>
        <v>0</v>
      </c>
      <c r="BS72" s="2">
        <f t="shared" si="24"/>
        <v>0</v>
      </c>
      <c r="BT72" s="2">
        <f t="shared" si="25"/>
        <v>0</v>
      </c>
      <c r="BU72" s="2">
        <f t="shared" si="26"/>
        <v>1.4989999999999997</v>
      </c>
      <c r="BV72" s="2">
        <f t="shared" si="27"/>
        <v>0</v>
      </c>
      <c r="BX72" s="2">
        <f>IF(AND(ISNUMBER($BN72),$BO72="Left 2nd Stage",SUM($BX$5:BX71)=0),$BN72,0)</f>
        <v>0</v>
      </c>
      <c r="BY72" s="2">
        <f>IF(AND(ISNUMBER($BN72),$BO72="Left Bankfull",SUM($BY$5:$BY71)=0),$BN72,0)</f>
        <v>0</v>
      </c>
      <c r="BZ72" s="2">
        <f>IF(AND(ISNUMBER($BN72),$BO72="Right 2nd Stage",SUM($BZ$5:$BZ71)=0),$BN71,0)</f>
        <v>0</v>
      </c>
      <c r="CA72" s="2">
        <f t="shared" si="46"/>
        <v>0</v>
      </c>
    </row>
    <row r="73" spans="1:79">
      <c r="A73" s="2">
        <v>69</v>
      </c>
      <c r="B73" s="111" t="e">
        <f>IF(ISNUMBER(XS_Designer!F73),XS_Designer!F73,NA())</f>
        <v>#N/A</v>
      </c>
      <c r="C73" s="111" t="e">
        <f>IF(ISNUMBER(XS_Designer!G73),XS_Designer!G73,NA())</f>
        <v>#N/A</v>
      </c>
      <c r="D73" s="111" t="str">
        <f>IF(ISNUMBER(XS_Designer!I73),XS_Designer!I73,"")</f>
        <v/>
      </c>
      <c r="E73" s="2" t="str">
        <f t="shared" si="28"/>
        <v/>
      </c>
      <c r="F73" s="111" t="str">
        <f>IF(ISTEXT(XS_Designer!H73),VLOOKUP(XS_Designer!H73,$K$12:$L$20,2,FALSE),"")</f>
        <v/>
      </c>
      <c r="G73" s="54" t="str">
        <f t="shared" si="29"/>
        <v/>
      </c>
      <c r="Q73" s="2" t="str">
        <f t="shared" si="30"/>
        <v>N</v>
      </c>
      <c r="R73" s="2" t="str">
        <f t="shared" si="31"/>
        <v/>
      </c>
      <c r="S73" s="2" t="str">
        <f t="shared" si="32"/>
        <v/>
      </c>
      <c r="T73" s="2" t="str">
        <f t="shared" si="33"/>
        <v/>
      </c>
      <c r="U73" s="2" t="str">
        <f t="shared" si="34"/>
        <v/>
      </c>
      <c r="V73" s="97" t="str">
        <f t="shared" si="35"/>
        <v/>
      </c>
      <c r="W73" s="97" t="e">
        <f t="shared" si="36"/>
        <v>#N/A</v>
      </c>
      <c r="X73" s="2" t="e">
        <f t="shared" si="1"/>
        <v>#N/A</v>
      </c>
      <c r="Y73" s="95" t="str">
        <f t="shared" si="37"/>
        <v/>
      </c>
      <c r="Z73" s="261" t="str">
        <f t="shared" si="38"/>
        <v/>
      </c>
      <c r="AA73" s="95" t="str">
        <f>IF(ISNUMBER(Y73),INDEX(Y73:Y171,MATCH(TRUE,INDEX(Y73:Y171&lt;&gt;Y73,),0)),"")</f>
        <v/>
      </c>
      <c r="AB73" s="95" t="str">
        <f t="shared" si="40"/>
        <v/>
      </c>
      <c r="AC73" s="95" t="str">
        <f t="shared" si="41"/>
        <v/>
      </c>
      <c r="AD73" s="95" t="e">
        <f>IF(ISTEXT(AB73),INDEX(AB73:AB171,MATCH(TRUE,INDEX(AB73:AB171&lt;&gt;AB73,),0)),"")</f>
        <v>#N/A</v>
      </c>
      <c r="AE73" s="18" t="str">
        <f t="shared" si="43"/>
        <v/>
      </c>
      <c r="AF73" s="18" t="str">
        <f t="shared" si="2"/>
        <v/>
      </c>
      <c r="AG73" s="18" t="str">
        <f t="shared" si="3"/>
        <v/>
      </c>
      <c r="AH73" s="18" t="str">
        <f t="shared" si="4"/>
        <v/>
      </c>
      <c r="AI73" s="18" t="e">
        <f>IF(AND(ISNUMBER(AI72),ISNUMBER(S73)),(VLOOKUP(AD73,AB73:AC171,2,FALSE)),IF(ISNUMBER(S73),R73,NA()))</f>
        <v>#N/A</v>
      </c>
      <c r="AJ73" s="18" t="e">
        <f t="shared" si="5"/>
        <v>#N/A</v>
      </c>
      <c r="AK73" s="18" t="str">
        <f t="shared" si="6"/>
        <v/>
      </c>
      <c r="AL73" s="18" t="str">
        <f t="shared" si="7"/>
        <v/>
      </c>
      <c r="AS73" s="166">
        <f t="shared" si="8"/>
        <v>27.201250000000002</v>
      </c>
      <c r="AT73" s="40">
        <f t="shared" si="45"/>
        <v>5</v>
      </c>
      <c r="AU73" s="166">
        <f t="shared" si="9"/>
        <v>27.201250000000002</v>
      </c>
      <c r="AV73" s="40">
        <f t="shared" si="0"/>
        <v>5</v>
      </c>
      <c r="AW73" s="152"/>
      <c r="AY73" s="166">
        <f t="shared" si="10"/>
        <v>27.201250000000002</v>
      </c>
      <c r="AZ73">
        <f t="shared" si="11"/>
        <v>3.5010000000000003</v>
      </c>
      <c r="BA73" s="341">
        <f t="shared" si="12"/>
        <v>27.201250000000002</v>
      </c>
      <c r="BB73">
        <f t="shared" si="13"/>
        <v>3.5010000000000003</v>
      </c>
      <c r="BD73">
        <f t="shared" si="14"/>
        <v>1.4989999999999997</v>
      </c>
      <c r="BE73" s="2">
        <f t="shared" si="15"/>
        <v>0</v>
      </c>
      <c r="BF73" s="122">
        <f t="shared" si="16"/>
        <v>0</v>
      </c>
      <c r="BG73" t="str">
        <f t="shared" si="17"/>
        <v>MAX WSE</v>
      </c>
      <c r="BH73" s="122">
        <f t="shared" si="85"/>
        <v>5</v>
      </c>
      <c r="BJ73" s="122">
        <f t="shared" si="19"/>
        <v>1.4989999999999997</v>
      </c>
      <c r="BL73" s="2">
        <f t="shared" si="47"/>
        <v>0</v>
      </c>
      <c r="BM73" s="2"/>
      <c r="BN73" s="2">
        <f t="shared" si="21"/>
        <v>27.201250000000002</v>
      </c>
      <c r="BO73" s="2" t="str">
        <f>IF(BP73="Left",IF(ISERROR(VLOOKUP(BN73,XS_Designer_Summary!$A$21:$B$25,2,TRUE)),"",VLOOKUP(BN73,XS_Designer_Summary!$A$21:$B$25,2,TRUE)),IF(ISERROR(VLOOKUP(-BN73,XS_Designer_Summary!$A$28:$B$32,2,TRUE)),"",VLOOKUP(-BN73,XS_Designer_Summary!$A$28:$B$32,2,TRUE)))</f>
        <v>Right 3rd Stage</v>
      </c>
      <c r="BP73" s="2" t="str">
        <f>IF(AU73&lt;XS_Designer_Summary!$B$7,"Left",IF(AU73&gt;XS_Designer_Summary!$B$7,"Right","Thalweg"))</f>
        <v>Right</v>
      </c>
      <c r="BQ73" s="2">
        <f t="shared" si="22"/>
        <v>0</v>
      </c>
      <c r="BR73" s="2">
        <f t="shared" si="23"/>
        <v>0</v>
      </c>
      <c r="BS73" s="2">
        <f t="shared" si="24"/>
        <v>0</v>
      </c>
      <c r="BT73" s="2">
        <f t="shared" si="25"/>
        <v>0</v>
      </c>
      <c r="BU73" s="2">
        <f t="shared" si="26"/>
        <v>1.4989999999999997</v>
      </c>
      <c r="BV73" s="2">
        <f t="shared" si="27"/>
        <v>0</v>
      </c>
      <c r="BX73" s="2">
        <f>IF(AND(ISNUMBER($BN73),$BO73="Left 2nd Stage",SUM($BX$5:BX72)=0),$BN73,0)</f>
        <v>0</v>
      </c>
      <c r="BY73" s="2">
        <f>IF(AND(ISNUMBER($BN73),$BO73="Left Bankfull",SUM($BY$5:$BY72)=0),$BN73,0)</f>
        <v>0</v>
      </c>
      <c r="BZ73" s="2">
        <f>IF(AND(ISNUMBER($BN73),$BO73="Right 2nd Stage",SUM($BZ$5:$BZ72)=0),$BN72,0)</f>
        <v>0</v>
      </c>
      <c r="CA73" s="2">
        <f t="shared" si="46"/>
        <v>0</v>
      </c>
    </row>
    <row r="74" spans="1:79">
      <c r="A74" s="2">
        <v>70</v>
      </c>
      <c r="B74" s="111" t="e">
        <f>IF(ISNUMBER(XS_Designer!F74),XS_Designer!F74,NA())</f>
        <v>#N/A</v>
      </c>
      <c r="C74" s="111" t="e">
        <f>IF(ISNUMBER(XS_Designer!G74),XS_Designer!G74,NA())</f>
        <v>#N/A</v>
      </c>
      <c r="D74" s="111" t="str">
        <f>IF(ISNUMBER(XS_Designer!I74),XS_Designer!I74,"")</f>
        <v/>
      </c>
      <c r="E74" s="2" t="str">
        <f t="shared" si="28"/>
        <v/>
      </c>
      <c r="F74" s="111" t="str">
        <f>IF(ISTEXT(XS_Designer!H74),VLOOKUP(XS_Designer!H74,$K$12:$L$20,2,FALSE),"")</f>
        <v/>
      </c>
      <c r="G74" s="54" t="str">
        <f t="shared" si="29"/>
        <v/>
      </c>
      <c r="Q74" s="2" t="str">
        <f t="shared" si="30"/>
        <v>N</v>
      </c>
      <c r="R74" s="2" t="str">
        <f t="shared" si="31"/>
        <v/>
      </c>
      <c r="S74" s="2" t="str">
        <f t="shared" si="32"/>
        <v/>
      </c>
      <c r="T74" s="2" t="str">
        <f t="shared" si="33"/>
        <v/>
      </c>
      <c r="U74" s="2" t="str">
        <f t="shared" si="34"/>
        <v/>
      </c>
      <c r="V74" s="97" t="str">
        <f t="shared" si="35"/>
        <v/>
      </c>
      <c r="W74" s="97" t="e">
        <f t="shared" si="36"/>
        <v>#N/A</v>
      </c>
      <c r="X74" s="2" t="e">
        <f t="shared" si="1"/>
        <v>#N/A</v>
      </c>
      <c r="Y74" s="95" t="str">
        <f t="shared" si="37"/>
        <v/>
      </c>
      <c r="Z74" s="261" t="str">
        <f t="shared" si="38"/>
        <v/>
      </c>
      <c r="AA74" s="95" t="str">
        <f>IF(ISNUMBER(Y74),INDEX(Y74:Y171,MATCH(TRUE,INDEX(Y74:Y171&lt;&gt;Y74,),0)),"")</f>
        <v/>
      </c>
      <c r="AB74" s="95" t="str">
        <f t="shared" si="40"/>
        <v/>
      </c>
      <c r="AC74" s="95" t="str">
        <f t="shared" si="41"/>
        <v/>
      </c>
      <c r="AD74" s="95" t="e">
        <f>IF(ISTEXT(AB74),INDEX(AB74:AB171,MATCH(TRUE,INDEX(AB74:AB171&lt;&gt;AB74,),0)),"")</f>
        <v>#N/A</v>
      </c>
      <c r="AE74" s="18" t="str">
        <f t="shared" si="43"/>
        <v/>
      </c>
      <c r="AF74" s="18" t="str">
        <f t="shared" si="2"/>
        <v/>
      </c>
      <c r="AG74" s="18" t="str">
        <f t="shared" si="3"/>
        <v/>
      </c>
      <c r="AH74" s="18" t="str">
        <f t="shared" si="4"/>
        <v/>
      </c>
      <c r="AI74" s="18" t="e">
        <f>IF(AND(ISNUMBER(AI73),ISNUMBER(S74)),(VLOOKUP(AD74,AB74:AC171,2,FALSE)),IF(ISNUMBER(S74),R74,NA()))</f>
        <v>#N/A</v>
      </c>
      <c r="AJ74" s="18" t="e">
        <f t="shared" si="5"/>
        <v>#N/A</v>
      </c>
      <c r="AK74" s="18" t="str">
        <f t="shared" si="6"/>
        <v/>
      </c>
      <c r="AL74" s="18" t="str">
        <f t="shared" si="7"/>
        <v/>
      </c>
      <c r="AS74" s="166">
        <f t="shared" si="8"/>
        <v>27.201250000000002</v>
      </c>
      <c r="AT74" s="40">
        <f t="shared" si="45"/>
        <v>5</v>
      </c>
      <c r="AU74" s="166">
        <f t="shared" si="9"/>
        <v>27.201250000000002</v>
      </c>
      <c r="AV74" s="40">
        <f t="shared" si="0"/>
        <v>5</v>
      </c>
      <c r="AW74" s="152"/>
      <c r="AY74" s="166">
        <f t="shared" si="10"/>
        <v>27.201250000000002</v>
      </c>
      <c r="AZ74">
        <f t="shared" si="11"/>
        <v>3.5010000000000003</v>
      </c>
      <c r="BA74" s="341">
        <f t="shared" si="12"/>
        <v>27.201250000000002</v>
      </c>
      <c r="BB74">
        <f t="shared" si="13"/>
        <v>3.5010000000000003</v>
      </c>
      <c r="BD74">
        <f t="shared" si="14"/>
        <v>1.4989999999999997</v>
      </c>
      <c r="BE74" s="2">
        <f t="shared" si="15"/>
        <v>0</v>
      </c>
      <c r="BF74" s="122">
        <f t="shared" si="16"/>
        <v>0</v>
      </c>
      <c r="BG74" t="str">
        <f t="shared" si="17"/>
        <v>MAX WSE</v>
      </c>
      <c r="BH74" s="122">
        <f t="shared" si="85"/>
        <v>5</v>
      </c>
      <c r="BJ74" s="122">
        <f t="shared" si="19"/>
        <v>1.4989999999999997</v>
      </c>
      <c r="BL74" s="2">
        <f t="shared" si="47"/>
        <v>0</v>
      </c>
      <c r="BM74" s="2"/>
      <c r="BN74" s="2">
        <f t="shared" si="21"/>
        <v>27.201250000000002</v>
      </c>
      <c r="BO74" s="2" t="str">
        <f>IF(BP74="Left",IF(ISERROR(VLOOKUP(BN74,XS_Designer_Summary!$A$21:$B$25,2,TRUE)),"",VLOOKUP(BN74,XS_Designer_Summary!$A$21:$B$25,2,TRUE)),IF(ISERROR(VLOOKUP(-BN74,XS_Designer_Summary!$A$28:$B$32,2,TRUE)),"",VLOOKUP(-BN74,XS_Designer_Summary!$A$28:$B$32,2,TRUE)))</f>
        <v>Right 3rd Stage</v>
      </c>
      <c r="BP74" s="2" t="str">
        <f>IF(AU74&lt;XS_Designer_Summary!$B$7,"Left",IF(AU74&gt;XS_Designer_Summary!$B$7,"Right","Thalweg"))</f>
        <v>Right</v>
      </c>
      <c r="BQ74" s="2">
        <f t="shared" si="22"/>
        <v>0</v>
      </c>
      <c r="BR74" s="2">
        <f t="shared" si="23"/>
        <v>0</v>
      </c>
      <c r="BS74" s="2">
        <f t="shared" si="24"/>
        <v>0</v>
      </c>
      <c r="BT74" s="2">
        <f t="shared" si="25"/>
        <v>0</v>
      </c>
      <c r="BU74" s="2">
        <f t="shared" si="26"/>
        <v>1.4989999999999997</v>
      </c>
      <c r="BV74" s="2">
        <f t="shared" si="27"/>
        <v>0</v>
      </c>
      <c r="BX74" s="2">
        <f>IF(AND(ISNUMBER($BN74),$BO74="Left 2nd Stage",SUM($BX$5:BX73)=0),$BN74,0)</f>
        <v>0</v>
      </c>
      <c r="BY74" s="2">
        <f>IF(AND(ISNUMBER($BN74),$BO74="Left Bankfull",SUM($BY$5:$BY73)=0),$BN74,0)</f>
        <v>0</v>
      </c>
      <c r="BZ74" s="2">
        <f>IF(AND(ISNUMBER($BN74),$BO74="Right 2nd Stage",SUM($BZ$5:$BZ73)=0),$BN73,0)</f>
        <v>0</v>
      </c>
      <c r="CA74" s="2">
        <f t="shared" si="46"/>
        <v>0</v>
      </c>
    </row>
    <row r="75" spans="1:79">
      <c r="A75" s="2">
        <v>71</v>
      </c>
      <c r="B75" s="111" t="e">
        <f>IF(ISNUMBER(XS_Designer!F75),XS_Designer!F75,NA())</f>
        <v>#N/A</v>
      </c>
      <c r="C75" s="111" t="e">
        <f>IF(ISNUMBER(XS_Designer!G75),XS_Designer!G75,NA())</f>
        <v>#N/A</v>
      </c>
      <c r="D75" s="111" t="str">
        <f>IF(ISNUMBER(XS_Designer!I75),XS_Designer!I75,"")</f>
        <v/>
      </c>
      <c r="E75" s="2" t="str">
        <f t="shared" si="28"/>
        <v/>
      </c>
      <c r="F75" s="111" t="str">
        <f>IF(ISTEXT(XS_Designer!H75),VLOOKUP(XS_Designer!H75,$K$12:$L$20,2,FALSE),"")</f>
        <v/>
      </c>
      <c r="G75" s="54" t="str">
        <f t="shared" si="29"/>
        <v/>
      </c>
      <c r="Q75" s="2" t="str">
        <f t="shared" si="30"/>
        <v>N</v>
      </c>
      <c r="R75" s="2" t="str">
        <f t="shared" si="31"/>
        <v/>
      </c>
      <c r="S75" s="2" t="str">
        <f t="shared" si="32"/>
        <v/>
      </c>
      <c r="T75" s="2" t="str">
        <f t="shared" si="33"/>
        <v/>
      </c>
      <c r="U75" s="2" t="str">
        <f t="shared" si="34"/>
        <v/>
      </c>
      <c r="V75" s="97" t="str">
        <f t="shared" si="35"/>
        <v/>
      </c>
      <c r="W75" s="97" t="e">
        <f t="shared" si="36"/>
        <v>#N/A</v>
      </c>
      <c r="X75" s="2" t="e">
        <f t="shared" si="1"/>
        <v>#N/A</v>
      </c>
      <c r="Y75" s="95" t="str">
        <f t="shared" si="37"/>
        <v/>
      </c>
      <c r="Z75" s="261" t="str">
        <f t="shared" si="38"/>
        <v/>
      </c>
      <c r="AA75" s="95" t="str">
        <f t="shared" ref="AA75:AA76" si="89">IF(ISNUMBER(Y75),INDEX(Y75:Y175,MATCH(TRUE,INDEX(Y75:Y175&lt;&gt;Y75,),0)),"")</f>
        <v/>
      </c>
      <c r="AB75" s="95" t="str">
        <f t="shared" si="40"/>
        <v/>
      </c>
      <c r="AC75" s="95" t="str">
        <f t="shared" si="41"/>
        <v/>
      </c>
      <c r="AD75" s="95" t="e">
        <f t="shared" ref="AD75:AD76" si="90">IF(ISTEXT(AB75),INDEX(AB75:AB175,MATCH(TRUE,INDEX(AB75:AB175&lt;&gt;AB75,),0)),"")</f>
        <v>#N/A</v>
      </c>
      <c r="AE75" s="18" t="str">
        <f t="shared" si="43"/>
        <v/>
      </c>
      <c r="AF75" s="18" t="str">
        <f t="shared" si="2"/>
        <v/>
      </c>
      <c r="AG75" s="18" t="str">
        <f t="shared" si="3"/>
        <v/>
      </c>
      <c r="AH75" s="18" t="str">
        <f t="shared" si="4"/>
        <v/>
      </c>
      <c r="AI75" s="18" t="e">
        <f t="shared" ref="AI75:AI76" si="91">IF(AND(ISNUMBER(AI74),ISNUMBER(S75)),(VLOOKUP(AD75,AB75:AC175,2,FALSE)),IF(ISNUMBER(S75),R75,NA()))</f>
        <v>#N/A</v>
      </c>
      <c r="AJ75" s="18" t="e">
        <f t="shared" si="5"/>
        <v>#N/A</v>
      </c>
      <c r="AK75" s="18" t="str">
        <f t="shared" si="6"/>
        <v/>
      </c>
      <c r="AL75" s="18" t="str">
        <f t="shared" si="7"/>
        <v/>
      </c>
      <c r="AS75" s="166">
        <f t="shared" si="8"/>
        <v>27.201250000000002</v>
      </c>
      <c r="AT75" s="40">
        <f t="shared" si="45"/>
        <v>5</v>
      </c>
      <c r="AU75" s="166">
        <f t="shared" si="9"/>
        <v>27.201250000000002</v>
      </c>
      <c r="AV75" s="40">
        <f t="shared" si="0"/>
        <v>5</v>
      </c>
      <c r="AW75" s="152"/>
      <c r="AY75" s="166">
        <f t="shared" si="10"/>
        <v>27.201250000000002</v>
      </c>
      <c r="AZ75">
        <f t="shared" si="11"/>
        <v>3.5010000000000003</v>
      </c>
      <c r="BA75" s="341">
        <f t="shared" si="12"/>
        <v>27.201250000000002</v>
      </c>
      <c r="BB75">
        <f t="shared" si="13"/>
        <v>3.5010000000000003</v>
      </c>
      <c r="BD75">
        <f t="shared" si="14"/>
        <v>1.4989999999999997</v>
      </c>
      <c r="BE75" s="2">
        <f t="shared" si="15"/>
        <v>0</v>
      </c>
      <c r="BF75" s="122">
        <f t="shared" si="16"/>
        <v>0</v>
      </c>
      <c r="BG75" t="str">
        <f t="shared" si="17"/>
        <v>MAX WSE</v>
      </c>
      <c r="BH75" s="122">
        <f t="shared" si="85"/>
        <v>5</v>
      </c>
      <c r="BJ75" s="122">
        <f t="shared" si="19"/>
        <v>1.4989999999999997</v>
      </c>
      <c r="BL75" s="2">
        <f t="shared" si="47"/>
        <v>0</v>
      </c>
      <c r="BM75" s="2"/>
      <c r="BN75" s="2">
        <f t="shared" si="21"/>
        <v>27.201250000000002</v>
      </c>
      <c r="BO75" s="2" t="str">
        <f>IF(BP75="Left",IF(ISERROR(VLOOKUP(BN75,XS_Designer_Summary!$A$21:$B$25,2,TRUE)),"",VLOOKUP(BN75,XS_Designer_Summary!$A$21:$B$25,2,TRUE)),IF(ISERROR(VLOOKUP(-BN75,XS_Designer_Summary!$A$28:$B$32,2,TRUE)),"",VLOOKUP(-BN75,XS_Designer_Summary!$A$28:$B$32,2,TRUE)))</f>
        <v>Right 3rd Stage</v>
      </c>
      <c r="BP75" s="2" t="str">
        <f>IF(AU75&lt;XS_Designer_Summary!$B$7,"Left",IF(AU75&gt;XS_Designer_Summary!$B$7,"Right","Thalweg"))</f>
        <v>Right</v>
      </c>
      <c r="BQ75" s="2">
        <f t="shared" si="22"/>
        <v>0</v>
      </c>
      <c r="BR75" s="2">
        <f t="shared" si="23"/>
        <v>0</v>
      </c>
      <c r="BS75" s="2">
        <f t="shared" si="24"/>
        <v>0</v>
      </c>
      <c r="BT75" s="2">
        <f t="shared" si="25"/>
        <v>0</v>
      </c>
      <c r="BU75" s="2">
        <f t="shared" si="26"/>
        <v>1.4989999999999997</v>
      </c>
      <c r="BV75" s="2">
        <f t="shared" si="27"/>
        <v>0</v>
      </c>
      <c r="BX75" s="2">
        <f>IF(AND(ISNUMBER($BN75),$BO75="Left 2nd Stage",SUM($BX$5:BX74)=0),$BN75,0)</f>
        <v>0</v>
      </c>
      <c r="BY75" s="2">
        <f>IF(AND(ISNUMBER($BN75),$BO75="Left Bankfull",SUM($BY$5:$BY74)=0),$BN75,0)</f>
        <v>0</v>
      </c>
      <c r="BZ75" s="2">
        <f>IF(AND(ISNUMBER($BN75),$BO75="Right 2nd Stage",SUM($BZ$5:$BZ74)=0),$BN74,0)</f>
        <v>0</v>
      </c>
      <c r="CA75" s="2">
        <f t="shared" si="46"/>
        <v>0</v>
      </c>
    </row>
    <row r="76" spans="1:79">
      <c r="A76" s="2">
        <v>72</v>
      </c>
      <c r="B76" s="111" t="e">
        <f>IF(ISNUMBER(XS_Designer!F76),XS_Designer!F76,NA())</f>
        <v>#N/A</v>
      </c>
      <c r="C76" s="111" t="e">
        <f>IF(ISNUMBER(XS_Designer!G76),XS_Designer!G76,NA())</f>
        <v>#N/A</v>
      </c>
      <c r="D76" s="111" t="str">
        <f>IF(ISNUMBER(XS_Designer!I76),XS_Designer!I76,"")</f>
        <v/>
      </c>
      <c r="E76" s="2" t="str">
        <f t="shared" si="28"/>
        <v/>
      </c>
      <c r="F76" s="111" t="str">
        <f>IF(ISTEXT(XS_Designer!H76),VLOOKUP(XS_Designer!H76,$K$12:$L$20,2,FALSE),"")</f>
        <v/>
      </c>
      <c r="G76" s="54" t="str">
        <f t="shared" si="29"/>
        <v/>
      </c>
      <c r="Q76" s="2" t="str">
        <f t="shared" si="30"/>
        <v>N</v>
      </c>
      <c r="R76" s="2" t="str">
        <f t="shared" si="31"/>
        <v/>
      </c>
      <c r="S76" s="2" t="str">
        <f t="shared" si="32"/>
        <v/>
      </c>
      <c r="T76" s="2" t="str">
        <f t="shared" si="33"/>
        <v/>
      </c>
      <c r="U76" s="2" t="str">
        <f t="shared" si="34"/>
        <v/>
      </c>
      <c r="V76" s="97" t="str">
        <f t="shared" si="35"/>
        <v/>
      </c>
      <c r="W76" s="97" t="e">
        <f t="shared" si="36"/>
        <v>#N/A</v>
      </c>
      <c r="X76" s="2" t="e">
        <f t="shared" si="1"/>
        <v>#N/A</v>
      </c>
      <c r="Y76" s="95" t="str">
        <f t="shared" si="37"/>
        <v/>
      </c>
      <c r="Z76" s="261" t="str">
        <f t="shared" si="38"/>
        <v/>
      </c>
      <c r="AA76" s="95" t="str">
        <f t="shared" si="89"/>
        <v/>
      </c>
      <c r="AB76" s="95" t="str">
        <f t="shared" si="40"/>
        <v/>
      </c>
      <c r="AC76" s="95" t="str">
        <f t="shared" si="41"/>
        <v/>
      </c>
      <c r="AD76" s="95" t="e">
        <f t="shared" si="90"/>
        <v>#N/A</v>
      </c>
      <c r="AE76" s="18" t="str">
        <f t="shared" si="43"/>
        <v/>
      </c>
      <c r="AF76" s="18" t="str">
        <f t="shared" si="2"/>
        <v/>
      </c>
      <c r="AG76" s="18" t="str">
        <f t="shared" si="3"/>
        <v/>
      </c>
      <c r="AH76" s="18" t="str">
        <f t="shared" si="4"/>
        <v/>
      </c>
      <c r="AI76" s="18" t="e">
        <f t="shared" si="91"/>
        <v>#N/A</v>
      </c>
      <c r="AJ76" s="18" t="e">
        <f t="shared" si="5"/>
        <v>#N/A</v>
      </c>
      <c r="AK76" s="18" t="str">
        <f t="shared" si="6"/>
        <v/>
      </c>
      <c r="AL76" s="18" t="str">
        <f t="shared" si="7"/>
        <v/>
      </c>
      <c r="AS76" s="166">
        <f t="shared" si="8"/>
        <v>27.201250000000002</v>
      </c>
      <c r="AT76" s="40">
        <f t="shared" si="45"/>
        <v>5</v>
      </c>
      <c r="AU76" s="166">
        <f t="shared" si="9"/>
        <v>27.201250000000002</v>
      </c>
      <c r="AV76" s="40">
        <f t="shared" si="0"/>
        <v>5</v>
      </c>
      <c r="AW76" s="152"/>
      <c r="AY76" s="166">
        <f t="shared" si="10"/>
        <v>27.201250000000002</v>
      </c>
      <c r="AZ76">
        <f t="shared" si="11"/>
        <v>3.5010000000000003</v>
      </c>
      <c r="BA76" s="341">
        <f t="shared" si="12"/>
        <v>27.201250000000002</v>
      </c>
      <c r="BB76">
        <f t="shared" si="13"/>
        <v>3.5010000000000003</v>
      </c>
      <c r="BD76">
        <f t="shared" si="14"/>
        <v>1.4989999999999997</v>
      </c>
      <c r="BE76" s="2">
        <f t="shared" si="15"/>
        <v>0</v>
      </c>
      <c r="BF76" s="122">
        <f t="shared" si="16"/>
        <v>0</v>
      </c>
      <c r="BG76" t="str">
        <f t="shared" si="17"/>
        <v>MAX WSE</v>
      </c>
      <c r="BH76" s="122">
        <f t="shared" si="85"/>
        <v>5</v>
      </c>
      <c r="BJ76" s="122">
        <f t="shared" si="19"/>
        <v>1.4989999999999997</v>
      </c>
      <c r="BL76" s="2">
        <f t="shared" si="47"/>
        <v>0</v>
      </c>
      <c r="BM76" s="2"/>
      <c r="BN76" s="2">
        <f t="shared" si="21"/>
        <v>27.201250000000002</v>
      </c>
      <c r="BO76" s="2" t="str">
        <f>IF(BP76="Left",IF(ISERROR(VLOOKUP(BN76,XS_Designer_Summary!$A$21:$B$25,2,TRUE)),"",VLOOKUP(BN76,XS_Designer_Summary!$A$21:$B$25,2,TRUE)),IF(ISERROR(VLOOKUP(-BN76,XS_Designer_Summary!$A$28:$B$32,2,TRUE)),"",VLOOKUP(-BN76,XS_Designer_Summary!$A$28:$B$32,2,TRUE)))</f>
        <v>Right 3rd Stage</v>
      </c>
      <c r="BP76" s="2" t="str">
        <f>IF(AU76&lt;XS_Designer_Summary!$B$7,"Left",IF(AU76&gt;XS_Designer_Summary!$B$7,"Right","Thalweg"))</f>
        <v>Right</v>
      </c>
      <c r="BQ76" s="2">
        <f t="shared" si="22"/>
        <v>0</v>
      </c>
      <c r="BR76" s="2">
        <f t="shared" si="23"/>
        <v>0</v>
      </c>
      <c r="BS76" s="2">
        <f t="shared" si="24"/>
        <v>0</v>
      </c>
      <c r="BT76" s="2">
        <f t="shared" si="25"/>
        <v>0</v>
      </c>
      <c r="BU76" s="2">
        <f t="shared" si="26"/>
        <v>1.4989999999999997</v>
      </c>
      <c r="BV76" s="2">
        <f t="shared" si="27"/>
        <v>0</v>
      </c>
      <c r="BX76" s="2">
        <f>IF(AND(ISNUMBER($BN76),$BO76="Left 2nd Stage",SUM($BX$5:BX75)=0),$BN76,0)</f>
        <v>0</v>
      </c>
      <c r="BY76" s="2">
        <f>IF(AND(ISNUMBER($BN76),$BO76="Left Bankfull",SUM($BY$5:$BY75)=0),$BN76,0)</f>
        <v>0</v>
      </c>
      <c r="BZ76" s="2">
        <f>IF(AND(ISNUMBER($BN76),$BO76="Right 2nd Stage",SUM($BZ$5:$BZ75)=0),$BN75,0)</f>
        <v>0</v>
      </c>
      <c r="CA76" s="2">
        <f t="shared" si="46"/>
        <v>0</v>
      </c>
    </row>
    <row r="77" spans="1:79">
      <c r="A77" s="2">
        <v>73</v>
      </c>
      <c r="B77" s="111" t="e">
        <f>IF(ISNUMBER(XS_Designer!F77),XS_Designer!F77,NA())</f>
        <v>#N/A</v>
      </c>
      <c r="C77" s="111" t="e">
        <f>IF(ISNUMBER(XS_Designer!G77),XS_Designer!G77,NA())</f>
        <v>#N/A</v>
      </c>
      <c r="D77" s="111" t="str">
        <f>IF(ISNUMBER(XS_Designer!I77),XS_Designer!I77,"")</f>
        <v/>
      </c>
      <c r="E77" s="2" t="str">
        <f t="shared" si="28"/>
        <v/>
      </c>
      <c r="F77" s="111" t="str">
        <f>IF(ISTEXT(XS_Designer!H77),VLOOKUP(XS_Designer!H77,$K$12:$L$20,2,FALSE),"")</f>
        <v/>
      </c>
      <c r="G77" s="54" t="str">
        <f t="shared" si="29"/>
        <v/>
      </c>
      <c r="Q77" s="2" t="str">
        <f t="shared" si="30"/>
        <v>N</v>
      </c>
      <c r="R77" s="2" t="str">
        <f t="shared" si="31"/>
        <v/>
      </c>
      <c r="S77" s="2" t="str">
        <f t="shared" si="32"/>
        <v/>
      </c>
      <c r="T77" s="2" t="str">
        <f t="shared" si="33"/>
        <v/>
      </c>
      <c r="U77" s="2" t="str">
        <f t="shared" si="34"/>
        <v/>
      </c>
      <c r="V77" s="97" t="str">
        <f t="shared" si="35"/>
        <v/>
      </c>
      <c r="W77" s="97" t="e">
        <f t="shared" si="36"/>
        <v>#N/A</v>
      </c>
      <c r="X77" s="2" t="e">
        <f t="shared" si="1"/>
        <v>#N/A</v>
      </c>
      <c r="Y77" s="95" t="str">
        <f t="shared" si="37"/>
        <v/>
      </c>
      <c r="Z77" s="261" t="str">
        <f t="shared" si="38"/>
        <v/>
      </c>
      <c r="AA77" s="95" t="str">
        <f>IF(ISNUMBER(Y77),INDEX(Y77:Y176,MATCH(TRUE,INDEX(Y77:Y176&lt;&gt;Y77,),0)),"")</f>
        <v/>
      </c>
      <c r="AB77" s="95" t="str">
        <f t="shared" si="40"/>
        <v/>
      </c>
      <c r="AC77" s="95" t="str">
        <f t="shared" si="41"/>
        <v/>
      </c>
      <c r="AD77" s="95" t="e">
        <f>IF(ISTEXT(AB77),INDEX(AB77:AB176,MATCH(TRUE,INDEX(AB77:AB176&lt;&gt;AB77,),0)),"")</f>
        <v>#N/A</v>
      </c>
      <c r="AE77" s="18" t="str">
        <f t="shared" si="43"/>
        <v/>
      </c>
      <c r="AF77" s="18" t="str">
        <f t="shared" si="2"/>
        <v/>
      </c>
      <c r="AG77" s="18" t="str">
        <f t="shared" si="3"/>
        <v/>
      </c>
      <c r="AH77" s="18" t="str">
        <f t="shared" si="4"/>
        <v/>
      </c>
      <c r="AI77" s="18" t="e">
        <f>IF(AND(ISNUMBER(AI76),ISNUMBER(S77)),(VLOOKUP(AD77,AB77:AC176,2,FALSE)),IF(ISNUMBER(S77),R77,NA()))</f>
        <v>#N/A</v>
      </c>
      <c r="AJ77" s="18" t="e">
        <f t="shared" si="5"/>
        <v>#N/A</v>
      </c>
      <c r="AK77" s="18" t="str">
        <f t="shared" si="6"/>
        <v/>
      </c>
      <c r="AL77" s="18" t="str">
        <f t="shared" si="7"/>
        <v/>
      </c>
      <c r="AS77" s="166">
        <f t="shared" si="8"/>
        <v>27.201250000000002</v>
      </c>
      <c r="AT77" s="40">
        <f t="shared" si="45"/>
        <v>5</v>
      </c>
      <c r="AU77" s="166">
        <f t="shared" si="9"/>
        <v>27.201250000000002</v>
      </c>
      <c r="AV77" s="40">
        <f t="shared" si="0"/>
        <v>5</v>
      </c>
      <c r="AW77" s="152"/>
      <c r="AY77" s="166">
        <f t="shared" si="10"/>
        <v>27.201250000000002</v>
      </c>
      <c r="AZ77">
        <f t="shared" si="11"/>
        <v>3.5010000000000003</v>
      </c>
      <c r="BA77" s="341">
        <f t="shared" si="12"/>
        <v>27.201250000000002</v>
      </c>
      <c r="BB77">
        <f t="shared" si="13"/>
        <v>3.5010000000000003</v>
      </c>
      <c r="BD77">
        <f t="shared" si="14"/>
        <v>1.4989999999999997</v>
      </c>
      <c r="BE77" s="2">
        <f t="shared" si="15"/>
        <v>0</v>
      </c>
      <c r="BF77" s="122">
        <f t="shared" si="16"/>
        <v>0</v>
      </c>
      <c r="BG77" t="str">
        <f t="shared" si="17"/>
        <v>MAX WSE</v>
      </c>
      <c r="BH77" s="122">
        <f t="shared" si="85"/>
        <v>5</v>
      </c>
      <c r="BJ77" s="122">
        <f t="shared" si="19"/>
        <v>1.4989999999999997</v>
      </c>
      <c r="BL77" s="2">
        <f t="shared" si="47"/>
        <v>0</v>
      </c>
      <c r="BM77" s="2"/>
      <c r="BN77" s="2">
        <f t="shared" si="21"/>
        <v>27.201250000000002</v>
      </c>
      <c r="BO77" s="2" t="str">
        <f>IF(BP77="Left",IF(ISERROR(VLOOKUP(BN77,XS_Designer_Summary!$A$21:$B$25,2,TRUE)),"",VLOOKUP(BN77,XS_Designer_Summary!$A$21:$B$25,2,TRUE)),IF(ISERROR(VLOOKUP(-BN77,XS_Designer_Summary!$A$28:$B$32,2,TRUE)),"",VLOOKUP(-BN77,XS_Designer_Summary!$A$28:$B$32,2,TRUE)))</f>
        <v>Right 3rd Stage</v>
      </c>
      <c r="BP77" s="2" t="str">
        <f>IF(AU77&lt;XS_Designer_Summary!$B$7,"Left",IF(AU77&gt;XS_Designer_Summary!$B$7,"Right","Thalweg"))</f>
        <v>Right</v>
      </c>
      <c r="BQ77" s="2">
        <f t="shared" si="22"/>
        <v>0</v>
      </c>
      <c r="BR77" s="2">
        <f t="shared" si="23"/>
        <v>0</v>
      </c>
      <c r="BS77" s="2">
        <f t="shared" si="24"/>
        <v>0</v>
      </c>
      <c r="BT77" s="2">
        <f t="shared" si="25"/>
        <v>0</v>
      </c>
      <c r="BU77" s="2">
        <f t="shared" si="26"/>
        <v>1.4989999999999997</v>
      </c>
      <c r="BV77" s="2">
        <f t="shared" si="27"/>
        <v>0</v>
      </c>
      <c r="BX77" s="2">
        <f>IF(AND(ISNUMBER($BN77),$BO77="Left 2nd Stage",SUM($BX$5:BX76)=0),$BN77,0)</f>
        <v>0</v>
      </c>
      <c r="BY77" s="2">
        <f>IF(AND(ISNUMBER($BN77),$BO77="Left Bankfull",SUM($BY$5:$BY76)=0),$BN77,0)</f>
        <v>0</v>
      </c>
      <c r="BZ77" s="2">
        <f>IF(AND(ISNUMBER($BN77),$BO77="Right 2nd Stage",SUM($BZ$5:$BZ76)=0),$BN76,0)</f>
        <v>0</v>
      </c>
      <c r="CA77" s="2">
        <f t="shared" si="46"/>
        <v>0</v>
      </c>
    </row>
    <row r="78" spans="1:79">
      <c r="A78" s="2">
        <v>74</v>
      </c>
      <c r="B78" s="111" t="e">
        <f>IF(ISNUMBER(XS_Designer!F78),XS_Designer!F78,NA())</f>
        <v>#N/A</v>
      </c>
      <c r="C78" s="111" t="e">
        <f>IF(ISNUMBER(XS_Designer!G78),XS_Designer!G78,NA())</f>
        <v>#N/A</v>
      </c>
      <c r="D78" s="111" t="str">
        <f>IF(ISNUMBER(XS_Designer!I78),XS_Designer!I78,"")</f>
        <v/>
      </c>
      <c r="E78" s="2" t="str">
        <f t="shared" si="28"/>
        <v/>
      </c>
      <c r="F78" s="111" t="str">
        <f>IF(ISTEXT(XS_Designer!H78),VLOOKUP(XS_Designer!H78,$K$12:$L$20,2,FALSE),"")</f>
        <v/>
      </c>
      <c r="G78" s="54" t="str">
        <f t="shared" si="29"/>
        <v/>
      </c>
      <c r="Q78" s="2" t="str">
        <f t="shared" si="30"/>
        <v>N</v>
      </c>
      <c r="R78" s="2" t="str">
        <f t="shared" si="31"/>
        <v/>
      </c>
      <c r="S78" s="2" t="str">
        <f t="shared" si="32"/>
        <v/>
      </c>
      <c r="T78" s="2" t="str">
        <f t="shared" si="33"/>
        <v/>
      </c>
      <c r="U78" s="2" t="str">
        <f t="shared" si="34"/>
        <v/>
      </c>
      <c r="V78" s="97" t="str">
        <f t="shared" si="35"/>
        <v/>
      </c>
      <c r="W78" s="97" t="e">
        <f t="shared" si="36"/>
        <v>#N/A</v>
      </c>
      <c r="X78" s="2" t="e">
        <f t="shared" si="1"/>
        <v>#N/A</v>
      </c>
      <c r="Y78" s="95" t="str">
        <f t="shared" si="37"/>
        <v/>
      </c>
      <c r="Z78" s="261" t="str">
        <f t="shared" si="38"/>
        <v/>
      </c>
      <c r="AA78" s="95" t="str">
        <f>IF(ISNUMBER(Y78),INDEX(Y78:Y176,MATCH(TRUE,INDEX(Y78:Y176&lt;&gt;Y78,),0)),"")</f>
        <v/>
      </c>
      <c r="AB78" s="95" t="str">
        <f t="shared" si="40"/>
        <v/>
      </c>
      <c r="AC78" s="95" t="str">
        <f t="shared" si="41"/>
        <v/>
      </c>
      <c r="AD78" s="95" t="e">
        <f>IF(ISTEXT(AB78),INDEX(AB78:AB176,MATCH(TRUE,INDEX(AB78:AB176&lt;&gt;AB78,),0)),"")</f>
        <v>#N/A</v>
      </c>
      <c r="AE78" s="18" t="str">
        <f t="shared" si="43"/>
        <v/>
      </c>
      <c r="AF78" s="18" t="str">
        <f t="shared" si="2"/>
        <v/>
      </c>
      <c r="AG78" s="18" t="str">
        <f t="shared" si="3"/>
        <v/>
      </c>
      <c r="AH78" s="18" t="str">
        <f t="shared" si="4"/>
        <v/>
      </c>
      <c r="AI78" s="18" t="e">
        <f>IF(AND(ISNUMBER(AI77),ISNUMBER(S78)),(VLOOKUP(AD78,AB78:AC176,2,FALSE)),IF(ISNUMBER(S78),R78,NA()))</f>
        <v>#N/A</v>
      </c>
      <c r="AJ78" s="18" t="e">
        <f t="shared" si="5"/>
        <v>#N/A</v>
      </c>
      <c r="AK78" s="18" t="str">
        <f t="shared" si="6"/>
        <v/>
      </c>
      <c r="AL78" s="18" t="str">
        <f t="shared" si="7"/>
        <v/>
      </c>
      <c r="AS78" s="166">
        <f t="shared" si="8"/>
        <v>27.201250000000002</v>
      </c>
      <c r="AT78" s="40">
        <f t="shared" si="45"/>
        <v>5</v>
      </c>
      <c r="AU78" s="166">
        <f t="shared" si="9"/>
        <v>27.201250000000002</v>
      </c>
      <c r="AV78" s="40">
        <f t="shared" si="0"/>
        <v>5</v>
      </c>
      <c r="AW78" s="152"/>
      <c r="AY78" s="166">
        <f t="shared" si="10"/>
        <v>27.201250000000002</v>
      </c>
      <c r="AZ78">
        <f t="shared" si="11"/>
        <v>3.5010000000000003</v>
      </c>
      <c r="BA78" s="341">
        <f t="shared" si="12"/>
        <v>27.201250000000002</v>
      </c>
      <c r="BB78">
        <f t="shared" si="13"/>
        <v>3.5010000000000003</v>
      </c>
      <c r="BD78">
        <f t="shared" si="14"/>
        <v>1.4989999999999997</v>
      </c>
      <c r="BE78" s="2">
        <f t="shared" si="15"/>
        <v>0</v>
      </c>
      <c r="BF78" s="122">
        <f t="shared" si="16"/>
        <v>0</v>
      </c>
      <c r="BG78" t="str">
        <f t="shared" si="17"/>
        <v>MAX WSE</v>
      </c>
      <c r="BH78" s="122">
        <f t="shared" si="85"/>
        <v>5</v>
      </c>
      <c r="BJ78" s="122">
        <f t="shared" si="19"/>
        <v>1.4989999999999997</v>
      </c>
      <c r="BL78" s="2">
        <f t="shared" si="47"/>
        <v>0</v>
      </c>
      <c r="BM78" s="2"/>
      <c r="BN78" s="2">
        <f t="shared" si="21"/>
        <v>27.201250000000002</v>
      </c>
      <c r="BO78" s="2" t="str">
        <f>IF(BP78="Left",IF(ISERROR(VLOOKUP(BN78,XS_Designer_Summary!$A$21:$B$25,2,TRUE)),"",VLOOKUP(BN78,XS_Designer_Summary!$A$21:$B$25,2,TRUE)),IF(ISERROR(VLOOKUP(-BN78,XS_Designer_Summary!$A$28:$B$32,2,TRUE)),"",VLOOKUP(-BN78,XS_Designer_Summary!$A$28:$B$32,2,TRUE)))</f>
        <v>Right 3rd Stage</v>
      </c>
      <c r="BP78" s="2" t="str">
        <f>IF(AU78&lt;XS_Designer_Summary!$B$7,"Left",IF(AU78&gt;XS_Designer_Summary!$B$7,"Right","Thalweg"))</f>
        <v>Right</v>
      </c>
      <c r="BQ78" s="2">
        <f t="shared" si="22"/>
        <v>0</v>
      </c>
      <c r="BR78" s="2">
        <f t="shared" si="23"/>
        <v>0</v>
      </c>
      <c r="BS78" s="2">
        <f t="shared" si="24"/>
        <v>0</v>
      </c>
      <c r="BT78" s="2">
        <f t="shared" si="25"/>
        <v>0</v>
      </c>
      <c r="BU78" s="2">
        <f t="shared" si="26"/>
        <v>1.4989999999999997</v>
      </c>
      <c r="BV78" s="2">
        <f t="shared" si="27"/>
        <v>0</v>
      </c>
      <c r="BX78" s="2">
        <f>IF(AND(ISNUMBER($BN78),$BO78="Left 2nd Stage",SUM($BX$5:BX77)=0),$BN78,0)</f>
        <v>0</v>
      </c>
      <c r="BY78" s="2">
        <f>IF(AND(ISNUMBER($BN78),$BO78="Left Bankfull",SUM($BY$5:$BY77)=0),$BN78,0)</f>
        <v>0</v>
      </c>
      <c r="BZ78" s="2">
        <f>IF(AND(ISNUMBER($BN78),$BO78="Right 2nd Stage",SUM($BZ$5:$BZ77)=0),$BN77,0)</f>
        <v>0</v>
      </c>
      <c r="CA78" s="2">
        <f t="shared" si="46"/>
        <v>0</v>
      </c>
    </row>
    <row r="79" spans="1:79">
      <c r="A79" s="2">
        <v>75</v>
      </c>
      <c r="B79" s="111" t="e">
        <f>IF(ISNUMBER(XS_Designer!F79),XS_Designer!F79,NA())</f>
        <v>#N/A</v>
      </c>
      <c r="C79" s="111" t="e">
        <f>IF(ISNUMBER(XS_Designer!G79),XS_Designer!G79,NA())</f>
        <v>#N/A</v>
      </c>
      <c r="D79" s="111" t="str">
        <f>IF(ISNUMBER(XS_Designer!I79),XS_Designer!I79,"")</f>
        <v/>
      </c>
      <c r="E79" s="2" t="str">
        <f t="shared" si="28"/>
        <v/>
      </c>
      <c r="F79" s="111" t="str">
        <f>IF(ISTEXT(XS_Designer!H79),VLOOKUP(XS_Designer!H79,$K$12:$L$20,2,FALSE),"")</f>
        <v/>
      </c>
      <c r="G79" s="54" t="str">
        <f t="shared" si="29"/>
        <v/>
      </c>
      <c r="Q79" s="2" t="str">
        <f t="shared" si="30"/>
        <v>N</v>
      </c>
      <c r="R79" s="2" t="str">
        <f t="shared" si="31"/>
        <v/>
      </c>
      <c r="S79" s="2" t="str">
        <f t="shared" si="32"/>
        <v/>
      </c>
      <c r="T79" s="2" t="str">
        <f t="shared" si="33"/>
        <v/>
      </c>
      <c r="U79" s="2" t="str">
        <f t="shared" si="34"/>
        <v/>
      </c>
      <c r="V79" s="97" t="str">
        <f t="shared" si="35"/>
        <v/>
      </c>
      <c r="W79" s="97" t="e">
        <f t="shared" si="36"/>
        <v>#N/A</v>
      </c>
      <c r="X79" s="2" t="e">
        <f t="shared" si="1"/>
        <v>#N/A</v>
      </c>
      <c r="Y79" s="95" t="str">
        <f t="shared" si="37"/>
        <v/>
      </c>
      <c r="Z79" s="261" t="str">
        <f t="shared" si="38"/>
        <v/>
      </c>
      <c r="AA79" s="95" t="str">
        <f>IF(ISNUMBER(Y79),INDEX(Y79:Y176,MATCH(TRUE,INDEX(Y79:Y176&lt;&gt;Y79,),0)),"")</f>
        <v/>
      </c>
      <c r="AB79" s="95" t="str">
        <f t="shared" si="40"/>
        <v/>
      </c>
      <c r="AC79" s="95" t="str">
        <f t="shared" si="41"/>
        <v/>
      </c>
      <c r="AD79" s="95" t="e">
        <f>IF(ISTEXT(AB79),INDEX(AB79:AB176,MATCH(TRUE,INDEX(AB79:AB176&lt;&gt;AB79,),0)),"")</f>
        <v>#N/A</v>
      </c>
      <c r="AE79" s="18" t="str">
        <f t="shared" si="43"/>
        <v/>
      </c>
      <c r="AF79" s="18" t="str">
        <f t="shared" si="2"/>
        <v/>
      </c>
      <c r="AG79" s="18" t="str">
        <f t="shared" si="3"/>
        <v/>
      </c>
      <c r="AH79" s="18" t="str">
        <f t="shared" si="4"/>
        <v/>
      </c>
      <c r="AI79" s="18" t="e">
        <f>IF(AND(ISNUMBER(AI78),ISNUMBER(S79)),(VLOOKUP(AD79,AB79:AC176,2,FALSE)),IF(ISNUMBER(S79),R79,NA()))</f>
        <v>#N/A</v>
      </c>
      <c r="AJ79" s="18" t="e">
        <f t="shared" si="5"/>
        <v>#N/A</v>
      </c>
      <c r="AK79" s="18" t="str">
        <f t="shared" si="6"/>
        <v/>
      </c>
      <c r="AL79" s="18" t="str">
        <f t="shared" si="7"/>
        <v/>
      </c>
      <c r="AS79" s="166">
        <f t="shared" si="8"/>
        <v>27.201250000000002</v>
      </c>
      <c r="AT79" s="40">
        <f t="shared" si="45"/>
        <v>5</v>
      </c>
      <c r="AU79" s="166">
        <f t="shared" si="9"/>
        <v>27.201250000000002</v>
      </c>
      <c r="AV79" s="40">
        <f t="shared" si="0"/>
        <v>5</v>
      </c>
      <c r="AW79" s="152"/>
      <c r="AY79" s="166">
        <f t="shared" si="10"/>
        <v>27.201250000000002</v>
      </c>
      <c r="AZ79">
        <f t="shared" si="11"/>
        <v>3.5010000000000003</v>
      </c>
      <c r="BA79" s="341">
        <f t="shared" si="12"/>
        <v>27.201250000000002</v>
      </c>
      <c r="BB79">
        <f t="shared" si="13"/>
        <v>3.5010000000000003</v>
      </c>
      <c r="BD79">
        <f t="shared" si="14"/>
        <v>1.4989999999999997</v>
      </c>
      <c r="BE79" s="2">
        <f t="shared" si="15"/>
        <v>0</v>
      </c>
      <c r="BF79" s="122">
        <f t="shared" si="16"/>
        <v>0</v>
      </c>
      <c r="BG79" t="str">
        <f t="shared" si="17"/>
        <v>MAX WSE</v>
      </c>
      <c r="BH79" s="122">
        <f t="shared" si="85"/>
        <v>5</v>
      </c>
      <c r="BJ79" s="122">
        <f t="shared" si="19"/>
        <v>1.4989999999999997</v>
      </c>
      <c r="BL79" s="2">
        <f t="shared" si="47"/>
        <v>0</v>
      </c>
      <c r="BM79" s="2"/>
      <c r="BN79" s="2">
        <f t="shared" si="21"/>
        <v>27.201250000000002</v>
      </c>
      <c r="BO79" s="2" t="str">
        <f>IF(BP79="Left",IF(ISERROR(VLOOKUP(BN79,XS_Designer_Summary!$A$21:$B$25,2,TRUE)),"",VLOOKUP(BN79,XS_Designer_Summary!$A$21:$B$25,2,TRUE)),IF(ISERROR(VLOOKUP(-BN79,XS_Designer_Summary!$A$28:$B$32,2,TRUE)),"",VLOOKUP(-BN79,XS_Designer_Summary!$A$28:$B$32,2,TRUE)))</f>
        <v>Right 3rd Stage</v>
      </c>
      <c r="BP79" s="2" t="str">
        <f>IF(AU79&lt;XS_Designer_Summary!$B$7,"Left",IF(AU79&gt;XS_Designer_Summary!$B$7,"Right","Thalweg"))</f>
        <v>Right</v>
      </c>
      <c r="BQ79" s="2">
        <f t="shared" si="22"/>
        <v>0</v>
      </c>
      <c r="BR79" s="2">
        <f t="shared" si="23"/>
        <v>0</v>
      </c>
      <c r="BS79" s="2">
        <f t="shared" si="24"/>
        <v>0</v>
      </c>
      <c r="BT79" s="2">
        <f t="shared" si="25"/>
        <v>0</v>
      </c>
      <c r="BU79" s="2">
        <f t="shared" si="26"/>
        <v>1.4989999999999997</v>
      </c>
      <c r="BV79" s="2">
        <f t="shared" si="27"/>
        <v>0</v>
      </c>
      <c r="BX79" s="2">
        <f>IF(AND(ISNUMBER($BN79),$BO79="Left 2nd Stage",SUM($BX$5:BX78)=0),$BN79,0)</f>
        <v>0</v>
      </c>
      <c r="BY79" s="2">
        <f>IF(AND(ISNUMBER($BN79),$BO79="Left Bankfull",SUM($BY$5:$BY78)=0),$BN79,0)</f>
        <v>0</v>
      </c>
      <c r="BZ79" s="2">
        <f>IF(AND(ISNUMBER($BN79),$BO79="Right 2nd Stage",SUM($BZ$5:$BZ78)=0),$BN78,0)</f>
        <v>0</v>
      </c>
      <c r="CA79" s="2">
        <f t="shared" si="46"/>
        <v>0</v>
      </c>
    </row>
    <row r="80" spans="1:79" ht="15">
      <c r="A80" s="2">
        <v>76</v>
      </c>
      <c r="B80" s="111" t="e">
        <f>IF(ISNUMBER(XS_Designer!F80),XS_Designer!F80,NA())</f>
        <v>#N/A</v>
      </c>
      <c r="C80" s="111" t="e">
        <f>IF(ISNUMBER(XS_Designer!G80),XS_Designer!G80,NA())</f>
        <v>#N/A</v>
      </c>
      <c r="D80" s="111" t="str">
        <f>IF(ISNUMBER(XS_Designer!I80),XS_Designer!I80,"")</f>
        <v/>
      </c>
      <c r="E80" s="2" t="str">
        <f t="shared" si="28"/>
        <v/>
      </c>
      <c r="F80" s="111" t="str">
        <f>IF(ISTEXT(XS_Designer!H80),VLOOKUP(XS_Designer!H80,$K$12:$L$20,2,FALSE),"")</f>
        <v/>
      </c>
      <c r="G80" s="54" t="str">
        <f t="shared" si="29"/>
        <v/>
      </c>
      <c r="O80" s="1"/>
      <c r="P80" s="1"/>
      <c r="Q80" s="2" t="str">
        <f t="shared" si="30"/>
        <v>N</v>
      </c>
      <c r="R80" s="2" t="str">
        <f t="shared" si="31"/>
        <v/>
      </c>
      <c r="S80" s="2" t="str">
        <f t="shared" si="32"/>
        <v/>
      </c>
      <c r="T80" s="2" t="str">
        <f t="shared" si="33"/>
        <v/>
      </c>
      <c r="U80" s="2" t="str">
        <f t="shared" si="34"/>
        <v/>
      </c>
      <c r="V80" s="97" t="str">
        <f t="shared" si="35"/>
        <v/>
      </c>
      <c r="W80" s="97" t="e">
        <f t="shared" si="36"/>
        <v>#N/A</v>
      </c>
      <c r="X80" s="2" t="e">
        <f t="shared" si="1"/>
        <v>#N/A</v>
      </c>
      <c r="Y80" s="95" t="str">
        <f t="shared" si="37"/>
        <v/>
      </c>
      <c r="Z80" s="261" t="str">
        <f t="shared" si="38"/>
        <v/>
      </c>
      <c r="AA80" s="95" t="str">
        <f t="shared" ref="AA80:AA81" si="92">IF(ISNUMBER(Y80),INDEX(Y80:Y180,MATCH(TRUE,INDEX(Y80:Y180&lt;&gt;Y80,),0)),"")</f>
        <v/>
      </c>
      <c r="AB80" s="95" t="str">
        <f t="shared" si="40"/>
        <v/>
      </c>
      <c r="AC80" s="95" t="str">
        <f t="shared" si="41"/>
        <v/>
      </c>
      <c r="AD80" s="95" t="e">
        <f t="shared" ref="AD80:AD81" si="93">IF(ISTEXT(AB80),INDEX(AB80:AB180,MATCH(TRUE,INDEX(AB80:AB180&lt;&gt;AB80,),0)),"")</f>
        <v>#N/A</v>
      </c>
      <c r="AE80" s="18" t="str">
        <f t="shared" si="43"/>
        <v/>
      </c>
      <c r="AF80" s="18" t="str">
        <f t="shared" si="2"/>
        <v/>
      </c>
      <c r="AG80" s="18" t="str">
        <f t="shared" si="3"/>
        <v/>
      </c>
      <c r="AH80" s="18" t="str">
        <f t="shared" si="4"/>
        <v/>
      </c>
      <c r="AI80" s="18" t="e">
        <f t="shared" ref="AI80:AI81" si="94">IF(AND(ISNUMBER(AI79),ISNUMBER(S80)),(VLOOKUP(AD80,AB80:AC180,2,FALSE)),IF(ISNUMBER(S80),R80,NA()))</f>
        <v>#N/A</v>
      </c>
      <c r="AJ80" s="18" t="e">
        <f t="shared" si="5"/>
        <v>#N/A</v>
      </c>
      <c r="AK80" s="18" t="str">
        <f t="shared" si="6"/>
        <v/>
      </c>
      <c r="AL80" s="18" t="str">
        <f t="shared" si="7"/>
        <v/>
      </c>
      <c r="AM80" s="1"/>
      <c r="AN80" s="1"/>
      <c r="AO80" s="1"/>
      <c r="AS80" s="166">
        <f t="shared" si="8"/>
        <v>27.201250000000002</v>
      </c>
      <c r="AT80" s="40">
        <f t="shared" si="45"/>
        <v>5</v>
      </c>
      <c r="AU80" s="166">
        <f t="shared" si="9"/>
        <v>27.201250000000002</v>
      </c>
      <c r="AV80" s="40">
        <f t="shared" si="0"/>
        <v>5</v>
      </c>
      <c r="AW80" s="152"/>
      <c r="AY80" s="166">
        <f t="shared" si="10"/>
        <v>27.201250000000002</v>
      </c>
      <c r="AZ80">
        <f t="shared" si="11"/>
        <v>3.5010000000000003</v>
      </c>
      <c r="BA80" s="341">
        <f t="shared" si="12"/>
        <v>27.201250000000002</v>
      </c>
      <c r="BB80">
        <f t="shared" si="13"/>
        <v>3.5010000000000003</v>
      </c>
      <c r="BD80">
        <f t="shared" si="14"/>
        <v>1.4989999999999997</v>
      </c>
      <c r="BE80" s="2">
        <f t="shared" si="15"/>
        <v>0</v>
      </c>
      <c r="BF80" s="122">
        <f t="shared" si="16"/>
        <v>0</v>
      </c>
      <c r="BG80" t="str">
        <f t="shared" si="17"/>
        <v>MAX WSE</v>
      </c>
      <c r="BH80" s="122">
        <f t="shared" si="85"/>
        <v>5</v>
      </c>
      <c r="BJ80" s="122">
        <f t="shared" si="19"/>
        <v>1.4989999999999997</v>
      </c>
      <c r="BL80" s="2">
        <f t="shared" si="47"/>
        <v>0</v>
      </c>
      <c r="BM80" s="2"/>
      <c r="BN80" s="2">
        <f t="shared" si="21"/>
        <v>27.201250000000002</v>
      </c>
      <c r="BO80" s="2" t="str">
        <f>IF(BP80="Left",IF(ISERROR(VLOOKUP(BN80,XS_Designer_Summary!$A$21:$B$25,2,TRUE)),"",VLOOKUP(BN80,XS_Designer_Summary!$A$21:$B$25,2,TRUE)),IF(ISERROR(VLOOKUP(-BN80,XS_Designer_Summary!$A$28:$B$32,2,TRUE)),"",VLOOKUP(-BN80,XS_Designer_Summary!$A$28:$B$32,2,TRUE)))</f>
        <v>Right 3rd Stage</v>
      </c>
      <c r="BP80" s="2" t="str">
        <f>IF(AU80&lt;XS_Designer_Summary!$B$7,"Left",IF(AU80&gt;XS_Designer_Summary!$B$7,"Right","Thalweg"))</f>
        <v>Right</v>
      </c>
      <c r="BQ80" s="2">
        <f t="shared" si="22"/>
        <v>0</v>
      </c>
      <c r="BR80" s="2">
        <f t="shared" si="23"/>
        <v>0</v>
      </c>
      <c r="BS80" s="2">
        <f t="shared" si="24"/>
        <v>0</v>
      </c>
      <c r="BT80" s="2">
        <f t="shared" si="25"/>
        <v>0</v>
      </c>
      <c r="BU80" s="2">
        <f t="shared" si="26"/>
        <v>1.4989999999999997</v>
      </c>
      <c r="BV80" s="2">
        <f t="shared" si="27"/>
        <v>0</v>
      </c>
      <c r="BX80" s="2">
        <f>IF(AND(ISNUMBER($BN80),$BO80="Left 2nd Stage",SUM($BX$5:BX79)=0),$BN80,0)</f>
        <v>0</v>
      </c>
      <c r="BY80" s="2">
        <f>IF(AND(ISNUMBER($BN80),$BO80="Left Bankfull",SUM($BY$5:$BY79)=0),$BN80,0)</f>
        <v>0</v>
      </c>
      <c r="BZ80" s="2">
        <f>IF(AND(ISNUMBER($BN80),$BO80="Right 2nd Stage",SUM($BZ$5:$BZ79)=0),$BN79,0)</f>
        <v>0</v>
      </c>
      <c r="CA80" s="2">
        <f t="shared" si="46"/>
        <v>0</v>
      </c>
    </row>
    <row r="81" spans="1:79" ht="15">
      <c r="A81" s="2">
        <v>77</v>
      </c>
      <c r="B81" s="111" t="e">
        <f>IF(ISNUMBER(XS_Designer!F81),XS_Designer!F81,NA())</f>
        <v>#N/A</v>
      </c>
      <c r="C81" s="111" t="e">
        <f>IF(ISNUMBER(XS_Designer!G81),XS_Designer!G81,NA())</f>
        <v>#N/A</v>
      </c>
      <c r="D81" s="111" t="str">
        <f>IF(ISNUMBER(XS_Designer!I81),XS_Designer!I81,"")</f>
        <v/>
      </c>
      <c r="E81" s="2" t="str">
        <f t="shared" si="28"/>
        <v/>
      </c>
      <c r="F81" s="111" t="str">
        <f>IF(ISTEXT(XS_Designer!H81),VLOOKUP(XS_Designer!H81,$K$12:$L$20,2,FALSE),"")</f>
        <v/>
      </c>
      <c r="G81" s="54" t="str">
        <f t="shared" si="29"/>
        <v/>
      </c>
      <c r="O81" s="1"/>
      <c r="P81" s="1"/>
      <c r="Q81" s="2" t="str">
        <f t="shared" si="30"/>
        <v>N</v>
      </c>
      <c r="R81" s="2" t="str">
        <f t="shared" si="31"/>
        <v/>
      </c>
      <c r="S81" s="2" t="str">
        <f t="shared" si="32"/>
        <v/>
      </c>
      <c r="T81" s="2" t="str">
        <f t="shared" si="33"/>
        <v/>
      </c>
      <c r="U81" s="2" t="str">
        <f t="shared" si="34"/>
        <v/>
      </c>
      <c r="V81" s="97" t="str">
        <f t="shared" si="35"/>
        <v/>
      </c>
      <c r="W81" s="97" t="e">
        <f t="shared" si="36"/>
        <v>#N/A</v>
      </c>
      <c r="X81" s="2" t="e">
        <f t="shared" si="1"/>
        <v>#N/A</v>
      </c>
      <c r="Y81" s="95" t="str">
        <f t="shared" si="37"/>
        <v/>
      </c>
      <c r="Z81" s="261" t="str">
        <f t="shared" si="38"/>
        <v/>
      </c>
      <c r="AA81" s="95" t="str">
        <f t="shared" si="92"/>
        <v/>
      </c>
      <c r="AB81" s="95" t="str">
        <f t="shared" si="40"/>
        <v/>
      </c>
      <c r="AC81" s="95" t="str">
        <f t="shared" si="41"/>
        <v/>
      </c>
      <c r="AD81" s="95" t="e">
        <f t="shared" si="93"/>
        <v>#N/A</v>
      </c>
      <c r="AE81" s="18" t="str">
        <f t="shared" si="43"/>
        <v/>
      </c>
      <c r="AF81" s="18" t="str">
        <f t="shared" si="2"/>
        <v/>
      </c>
      <c r="AG81" s="18" t="str">
        <f t="shared" si="3"/>
        <v/>
      </c>
      <c r="AH81" s="18" t="str">
        <f t="shared" si="4"/>
        <v/>
      </c>
      <c r="AI81" s="18" t="e">
        <f t="shared" si="94"/>
        <v>#N/A</v>
      </c>
      <c r="AJ81" s="18" t="e">
        <f t="shared" si="5"/>
        <v>#N/A</v>
      </c>
      <c r="AK81" s="18" t="str">
        <f t="shared" si="6"/>
        <v/>
      </c>
      <c r="AL81" s="18" t="str">
        <f t="shared" si="7"/>
        <v/>
      </c>
      <c r="AM81" s="1"/>
      <c r="AN81" s="1"/>
      <c r="AO81" s="1"/>
      <c r="AS81" s="166">
        <f t="shared" si="8"/>
        <v>27.201250000000002</v>
      </c>
      <c r="AT81" s="40">
        <f t="shared" si="45"/>
        <v>5</v>
      </c>
      <c r="AU81" s="166">
        <f t="shared" si="9"/>
        <v>27.201250000000002</v>
      </c>
      <c r="AV81" s="40">
        <f t="shared" si="0"/>
        <v>5</v>
      </c>
      <c r="AW81" s="152"/>
      <c r="AY81" s="166">
        <f t="shared" si="10"/>
        <v>27.201250000000002</v>
      </c>
      <c r="AZ81">
        <f t="shared" si="11"/>
        <v>3.5010000000000003</v>
      </c>
      <c r="BA81" s="341">
        <f t="shared" si="12"/>
        <v>27.201250000000002</v>
      </c>
      <c r="BB81">
        <f t="shared" si="13"/>
        <v>3.5010000000000003</v>
      </c>
      <c r="BD81">
        <f t="shared" si="14"/>
        <v>1.4989999999999997</v>
      </c>
      <c r="BE81" s="2">
        <f t="shared" si="15"/>
        <v>0</v>
      </c>
      <c r="BF81" s="122">
        <f t="shared" si="16"/>
        <v>0</v>
      </c>
      <c r="BG81" t="str">
        <f t="shared" si="17"/>
        <v>MAX WSE</v>
      </c>
      <c r="BH81" s="122">
        <f t="shared" si="85"/>
        <v>5</v>
      </c>
      <c r="BJ81" s="122">
        <f t="shared" si="19"/>
        <v>1.4989999999999997</v>
      </c>
      <c r="BL81" s="2">
        <f t="shared" si="47"/>
        <v>0</v>
      </c>
      <c r="BM81" s="2"/>
      <c r="BN81" s="2">
        <f t="shared" si="21"/>
        <v>27.201250000000002</v>
      </c>
      <c r="BO81" s="2" t="str">
        <f>IF(BP81="Left",IF(ISERROR(VLOOKUP(BN81,XS_Designer_Summary!$A$21:$B$25,2,TRUE)),"",VLOOKUP(BN81,XS_Designer_Summary!$A$21:$B$25,2,TRUE)),IF(ISERROR(VLOOKUP(-BN81,XS_Designer_Summary!$A$28:$B$32,2,TRUE)),"",VLOOKUP(-BN81,XS_Designer_Summary!$A$28:$B$32,2,TRUE)))</f>
        <v>Right 3rd Stage</v>
      </c>
      <c r="BP81" s="2" t="str">
        <f>IF(AU81&lt;XS_Designer_Summary!$B$7,"Left",IF(AU81&gt;XS_Designer_Summary!$B$7,"Right","Thalweg"))</f>
        <v>Right</v>
      </c>
      <c r="BQ81" s="2">
        <f t="shared" si="22"/>
        <v>0</v>
      </c>
      <c r="BR81" s="2">
        <f t="shared" si="23"/>
        <v>0</v>
      </c>
      <c r="BS81" s="2">
        <f t="shared" si="24"/>
        <v>0</v>
      </c>
      <c r="BT81" s="2">
        <f t="shared" si="25"/>
        <v>0</v>
      </c>
      <c r="BU81" s="2">
        <f t="shared" si="26"/>
        <v>1.4989999999999997</v>
      </c>
      <c r="BV81" s="2">
        <f t="shared" si="27"/>
        <v>0</v>
      </c>
      <c r="BX81" s="2">
        <f>IF(AND(ISNUMBER($BN81),$BO81="Left 2nd Stage",SUM($BX$5:BX80)=0),$BN81,0)</f>
        <v>0</v>
      </c>
      <c r="BY81" s="2">
        <f>IF(AND(ISNUMBER($BN81),$BO81="Left Bankfull",SUM($BY$5:$BY80)=0),$BN81,0)</f>
        <v>0</v>
      </c>
      <c r="BZ81" s="2">
        <f>IF(AND(ISNUMBER($BN81),$BO81="Right 2nd Stage",SUM($BZ$5:$BZ80)=0),$BN80,0)</f>
        <v>0</v>
      </c>
      <c r="CA81" s="2">
        <f t="shared" si="46"/>
        <v>0</v>
      </c>
    </row>
    <row r="82" spans="1:79" ht="15">
      <c r="A82" s="2">
        <v>78</v>
      </c>
      <c r="B82" s="111" t="e">
        <f>IF(ISNUMBER(XS_Designer!F82),XS_Designer!F82,NA())</f>
        <v>#N/A</v>
      </c>
      <c r="C82" s="111" t="e">
        <f>IF(ISNUMBER(XS_Designer!G82),XS_Designer!G82,NA())</f>
        <v>#N/A</v>
      </c>
      <c r="D82" s="111" t="str">
        <f>IF(ISNUMBER(XS_Designer!I82),XS_Designer!I82,"")</f>
        <v/>
      </c>
      <c r="E82" s="2" t="str">
        <f t="shared" si="28"/>
        <v/>
      </c>
      <c r="F82" s="111" t="str">
        <f>IF(ISTEXT(XS_Designer!H82),VLOOKUP(XS_Designer!H82,$K$12:$L$20,2,FALSE),"")</f>
        <v/>
      </c>
      <c r="G82" s="54" t="str">
        <f t="shared" si="29"/>
        <v/>
      </c>
      <c r="O82" s="1"/>
      <c r="P82" s="1"/>
      <c r="Q82" s="2" t="str">
        <f t="shared" si="30"/>
        <v>N</v>
      </c>
      <c r="R82" s="2" t="str">
        <f t="shared" si="31"/>
        <v/>
      </c>
      <c r="S82" s="2" t="str">
        <f t="shared" si="32"/>
        <v/>
      </c>
      <c r="T82" s="2" t="str">
        <f t="shared" si="33"/>
        <v/>
      </c>
      <c r="U82" s="2" t="str">
        <f t="shared" si="34"/>
        <v/>
      </c>
      <c r="V82" s="97" t="str">
        <f t="shared" si="35"/>
        <v/>
      </c>
      <c r="W82" s="97" t="e">
        <f t="shared" si="36"/>
        <v>#N/A</v>
      </c>
      <c r="X82" s="2" t="e">
        <f t="shared" si="1"/>
        <v>#N/A</v>
      </c>
      <c r="Y82" s="95" t="str">
        <f t="shared" si="37"/>
        <v/>
      </c>
      <c r="Z82" s="261" t="str">
        <f t="shared" si="38"/>
        <v/>
      </c>
      <c r="AA82" s="95" t="str">
        <f>IF(ISNUMBER(Y82),INDEX(Y82:Y181,MATCH(TRUE,INDEX(Y82:Y181&lt;&gt;Y82,),0)),"")</f>
        <v/>
      </c>
      <c r="AB82" s="95" t="str">
        <f t="shared" si="40"/>
        <v/>
      </c>
      <c r="AC82" s="95" t="str">
        <f t="shared" si="41"/>
        <v/>
      </c>
      <c r="AD82" s="95" t="e">
        <f>IF(ISTEXT(AB82),INDEX(AB82:AB181,MATCH(TRUE,INDEX(AB82:AB181&lt;&gt;AB82,),0)),"")</f>
        <v>#N/A</v>
      </c>
      <c r="AE82" s="18" t="str">
        <f t="shared" si="43"/>
        <v/>
      </c>
      <c r="AF82" s="18" t="str">
        <f t="shared" si="2"/>
        <v/>
      </c>
      <c r="AG82" s="18" t="str">
        <f t="shared" si="3"/>
        <v/>
      </c>
      <c r="AH82" s="18" t="str">
        <f t="shared" si="4"/>
        <v/>
      </c>
      <c r="AI82" s="18" t="e">
        <f>IF(AND(ISNUMBER(AI81),ISNUMBER(S82)),(VLOOKUP(AD82,AB82:AC181,2,FALSE)),IF(ISNUMBER(S82),R82,NA()))</f>
        <v>#N/A</v>
      </c>
      <c r="AJ82" s="18" t="e">
        <f t="shared" si="5"/>
        <v>#N/A</v>
      </c>
      <c r="AK82" s="18" t="str">
        <f t="shared" si="6"/>
        <v/>
      </c>
      <c r="AL82" s="18" t="str">
        <f t="shared" si="7"/>
        <v/>
      </c>
      <c r="AM82" s="1"/>
      <c r="AN82" s="1"/>
      <c r="AO82" s="1"/>
      <c r="AP82" s="1"/>
      <c r="AQ82" s="1"/>
      <c r="AS82" s="166">
        <f t="shared" si="8"/>
        <v>27.201250000000002</v>
      </c>
      <c r="AT82" s="40">
        <f t="shared" si="45"/>
        <v>5</v>
      </c>
      <c r="AU82" s="166">
        <f t="shared" si="9"/>
        <v>27.201250000000002</v>
      </c>
      <c r="AV82" s="40">
        <f t="shared" si="0"/>
        <v>5</v>
      </c>
      <c r="AW82" s="152"/>
      <c r="AY82" s="166">
        <f t="shared" si="10"/>
        <v>27.201250000000002</v>
      </c>
      <c r="AZ82">
        <f t="shared" si="11"/>
        <v>3.5010000000000003</v>
      </c>
      <c r="BA82" s="341">
        <f t="shared" si="12"/>
        <v>27.201250000000002</v>
      </c>
      <c r="BB82">
        <f t="shared" si="13"/>
        <v>3.5010000000000003</v>
      </c>
      <c r="BD82">
        <f t="shared" si="14"/>
        <v>1.4989999999999997</v>
      </c>
      <c r="BE82" s="2">
        <f t="shared" si="15"/>
        <v>0</v>
      </c>
      <c r="BF82" s="122">
        <f t="shared" si="16"/>
        <v>0</v>
      </c>
      <c r="BG82" t="str">
        <f t="shared" si="17"/>
        <v>MAX WSE</v>
      </c>
      <c r="BH82" s="122">
        <f t="shared" si="85"/>
        <v>5</v>
      </c>
      <c r="BJ82" s="122">
        <f t="shared" si="19"/>
        <v>1.4989999999999997</v>
      </c>
      <c r="BL82" s="2">
        <f t="shared" si="47"/>
        <v>0</v>
      </c>
      <c r="BM82" s="2"/>
      <c r="BN82" s="2">
        <f t="shared" si="21"/>
        <v>27.201250000000002</v>
      </c>
      <c r="BO82" s="2" t="str">
        <f>IF(BP82="Left",IF(ISERROR(VLOOKUP(BN82,XS_Designer_Summary!$A$21:$B$25,2,TRUE)),"",VLOOKUP(BN82,XS_Designer_Summary!$A$21:$B$25,2,TRUE)),IF(ISERROR(VLOOKUP(-BN82,XS_Designer_Summary!$A$28:$B$32,2,TRUE)),"",VLOOKUP(-BN82,XS_Designer_Summary!$A$28:$B$32,2,TRUE)))</f>
        <v>Right 3rd Stage</v>
      </c>
      <c r="BP82" s="2" t="str">
        <f>IF(AU82&lt;XS_Designer_Summary!$B$7,"Left",IF(AU82&gt;XS_Designer_Summary!$B$7,"Right","Thalweg"))</f>
        <v>Right</v>
      </c>
      <c r="BQ82" s="2">
        <f t="shared" si="22"/>
        <v>0</v>
      </c>
      <c r="BR82" s="2">
        <f t="shared" si="23"/>
        <v>0</v>
      </c>
      <c r="BS82" s="2">
        <f t="shared" si="24"/>
        <v>0</v>
      </c>
      <c r="BT82" s="2">
        <f t="shared" si="25"/>
        <v>0</v>
      </c>
      <c r="BU82" s="2">
        <f t="shared" si="26"/>
        <v>1.4989999999999997</v>
      </c>
      <c r="BV82" s="2">
        <f t="shared" si="27"/>
        <v>0</v>
      </c>
      <c r="BX82" s="2">
        <f>IF(AND(ISNUMBER($BN82),$BO82="Left 2nd Stage",SUM($BX$5:BX81)=0),$BN82,0)</f>
        <v>0</v>
      </c>
      <c r="BY82" s="2">
        <f>IF(AND(ISNUMBER($BN82),$BO82="Left Bankfull",SUM($BY$5:$BY81)=0),$BN82,0)</f>
        <v>0</v>
      </c>
      <c r="BZ82" s="2">
        <f>IF(AND(ISNUMBER($BN82),$BO82="Right 2nd Stage",SUM($BZ$5:$BZ81)=0),$BN81,0)</f>
        <v>0</v>
      </c>
      <c r="CA82" s="2">
        <f t="shared" si="46"/>
        <v>0</v>
      </c>
    </row>
    <row r="83" spans="1:79" ht="15">
      <c r="A83" s="2">
        <v>79</v>
      </c>
      <c r="B83" s="111" t="e">
        <f>IF(ISNUMBER(XS_Designer!F83),XS_Designer!F83,NA())</f>
        <v>#N/A</v>
      </c>
      <c r="C83" s="111" t="e">
        <f>IF(ISNUMBER(XS_Designer!G83),XS_Designer!G83,NA())</f>
        <v>#N/A</v>
      </c>
      <c r="D83" s="111" t="str">
        <f>IF(ISNUMBER(XS_Designer!I83),XS_Designer!I83,"")</f>
        <v/>
      </c>
      <c r="E83" s="2" t="str">
        <f t="shared" si="28"/>
        <v/>
      </c>
      <c r="F83" s="111" t="str">
        <f>IF(ISTEXT(XS_Designer!H83),VLOOKUP(XS_Designer!H83,$K$12:$L$20,2,FALSE),"")</f>
        <v/>
      </c>
      <c r="G83" s="54" t="str">
        <f t="shared" si="29"/>
        <v/>
      </c>
      <c r="O83" s="1"/>
      <c r="P83" s="1"/>
      <c r="Q83" s="2" t="str">
        <f t="shared" si="30"/>
        <v>N</v>
      </c>
      <c r="R83" s="2" t="str">
        <f t="shared" si="31"/>
        <v/>
      </c>
      <c r="S83" s="2" t="str">
        <f t="shared" si="32"/>
        <v/>
      </c>
      <c r="T83" s="2" t="str">
        <f t="shared" si="33"/>
        <v/>
      </c>
      <c r="U83" s="2" t="str">
        <f t="shared" si="34"/>
        <v/>
      </c>
      <c r="V83" s="97" t="str">
        <f t="shared" si="35"/>
        <v/>
      </c>
      <c r="W83" s="97" t="e">
        <f t="shared" si="36"/>
        <v>#N/A</v>
      </c>
      <c r="X83" s="2" t="e">
        <f t="shared" si="1"/>
        <v>#N/A</v>
      </c>
      <c r="Y83" s="95" t="str">
        <f t="shared" si="37"/>
        <v/>
      </c>
      <c r="Z83" s="261" t="str">
        <f t="shared" si="38"/>
        <v/>
      </c>
      <c r="AA83" s="95" t="str">
        <f>IF(ISNUMBER(Y83),INDEX(Y83:Y181,MATCH(TRUE,INDEX(Y83:Y181&lt;&gt;Y83,),0)),"")</f>
        <v/>
      </c>
      <c r="AB83" s="95" t="str">
        <f t="shared" si="40"/>
        <v/>
      </c>
      <c r="AC83" s="95" t="str">
        <f t="shared" si="41"/>
        <v/>
      </c>
      <c r="AD83" s="95" t="e">
        <f>IF(ISTEXT(AB83),INDEX(AB83:AB181,MATCH(TRUE,INDEX(AB83:AB181&lt;&gt;AB83,),0)),"")</f>
        <v>#N/A</v>
      </c>
      <c r="AE83" s="18" t="str">
        <f t="shared" si="43"/>
        <v/>
      </c>
      <c r="AF83" s="18" t="str">
        <f t="shared" si="2"/>
        <v/>
      </c>
      <c r="AG83" s="18" t="str">
        <f t="shared" si="3"/>
        <v/>
      </c>
      <c r="AH83" s="18" t="str">
        <f t="shared" si="4"/>
        <v/>
      </c>
      <c r="AI83" s="18" t="e">
        <f>IF(AND(ISNUMBER(AI82),ISNUMBER(S83)),(VLOOKUP(AD83,AB83:AC181,2,FALSE)),IF(ISNUMBER(S83),R83,NA()))</f>
        <v>#N/A</v>
      </c>
      <c r="AJ83" s="18" t="e">
        <f t="shared" si="5"/>
        <v>#N/A</v>
      </c>
      <c r="AK83" s="18" t="str">
        <f t="shared" si="6"/>
        <v/>
      </c>
      <c r="AL83" s="18" t="str">
        <f t="shared" si="7"/>
        <v/>
      </c>
      <c r="AM83" s="1"/>
      <c r="AN83" s="1"/>
      <c r="AO83" s="1"/>
      <c r="AP83" s="1"/>
      <c r="AQ83" s="1"/>
      <c r="AS83" s="166">
        <f t="shared" si="8"/>
        <v>27.201250000000002</v>
      </c>
      <c r="AT83" s="40">
        <f t="shared" si="45"/>
        <v>5</v>
      </c>
      <c r="AU83" s="166">
        <f t="shared" si="9"/>
        <v>27.201250000000002</v>
      </c>
      <c r="AV83" s="40">
        <f t="shared" si="0"/>
        <v>5</v>
      </c>
      <c r="AW83" s="152"/>
      <c r="AY83" s="166">
        <f t="shared" si="10"/>
        <v>27.201250000000002</v>
      </c>
      <c r="AZ83">
        <f t="shared" si="11"/>
        <v>3.5010000000000003</v>
      </c>
      <c r="BA83" s="341">
        <f t="shared" si="12"/>
        <v>27.201250000000002</v>
      </c>
      <c r="BB83">
        <f t="shared" si="13"/>
        <v>3.5010000000000003</v>
      </c>
      <c r="BD83">
        <f t="shared" si="14"/>
        <v>1.4989999999999997</v>
      </c>
      <c r="BE83" s="2">
        <f t="shared" si="15"/>
        <v>0</v>
      </c>
      <c r="BF83" s="122">
        <f t="shared" si="16"/>
        <v>0</v>
      </c>
      <c r="BG83" t="str">
        <f t="shared" si="17"/>
        <v>MAX WSE</v>
      </c>
      <c r="BH83" s="122">
        <f t="shared" si="85"/>
        <v>5</v>
      </c>
      <c r="BJ83" s="122">
        <f t="shared" si="19"/>
        <v>1.4989999999999997</v>
      </c>
      <c r="BL83" s="2">
        <f t="shared" si="47"/>
        <v>0</v>
      </c>
      <c r="BM83" s="2"/>
      <c r="BN83" s="2">
        <f t="shared" si="21"/>
        <v>27.201250000000002</v>
      </c>
      <c r="BO83" s="2" t="str">
        <f>IF(BP83="Left",IF(ISERROR(VLOOKUP(BN83,XS_Designer_Summary!$A$21:$B$25,2,TRUE)),"",VLOOKUP(BN83,XS_Designer_Summary!$A$21:$B$25,2,TRUE)),IF(ISERROR(VLOOKUP(-BN83,XS_Designer_Summary!$A$28:$B$32,2,TRUE)),"",VLOOKUP(-BN83,XS_Designer_Summary!$A$28:$B$32,2,TRUE)))</f>
        <v>Right 3rd Stage</v>
      </c>
      <c r="BP83" s="2" t="str">
        <f>IF(AU83&lt;XS_Designer_Summary!$B$7,"Left",IF(AU83&gt;XS_Designer_Summary!$B$7,"Right","Thalweg"))</f>
        <v>Right</v>
      </c>
      <c r="BQ83" s="2">
        <f t="shared" si="22"/>
        <v>0</v>
      </c>
      <c r="BR83" s="2">
        <f t="shared" si="23"/>
        <v>0</v>
      </c>
      <c r="BS83" s="2">
        <f t="shared" si="24"/>
        <v>0</v>
      </c>
      <c r="BT83" s="2">
        <f t="shared" si="25"/>
        <v>0</v>
      </c>
      <c r="BU83" s="2">
        <f t="shared" si="26"/>
        <v>1.4989999999999997</v>
      </c>
      <c r="BV83" s="2">
        <f t="shared" si="27"/>
        <v>0</v>
      </c>
      <c r="BX83" s="2">
        <f>IF(AND(ISNUMBER($BN83),$BO83="Left 2nd Stage",SUM($BX$5:BX82)=0),$BN83,0)</f>
        <v>0</v>
      </c>
      <c r="BY83" s="2">
        <f>IF(AND(ISNUMBER($BN83),$BO83="Left Bankfull",SUM($BY$5:$BY82)=0),$BN83,0)</f>
        <v>0</v>
      </c>
      <c r="BZ83" s="2">
        <f>IF(AND(ISNUMBER($BN83),$BO83="Right 2nd Stage",SUM($BZ$5:$BZ82)=0),$BN82,0)</f>
        <v>0</v>
      </c>
      <c r="CA83" s="2">
        <f t="shared" si="46"/>
        <v>0</v>
      </c>
    </row>
    <row r="84" spans="1:79" ht="15">
      <c r="A84" s="2">
        <v>80</v>
      </c>
      <c r="B84" s="111" t="e">
        <f>IF(ISNUMBER(XS_Designer!F84),XS_Designer!F84,NA())</f>
        <v>#N/A</v>
      </c>
      <c r="C84" s="111" t="e">
        <f>IF(ISNUMBER(XS_Designer!G84),XS_Designer!G84,NA())</f>
        <v>#N/A</v>
      </c>
      <c r="D84" s="111" t="str">
        <f>IF(ISNUMBER(XS_Designer!I84),XS_Designer!I84,"")</f>
        <v/>
      </c>
      <c r="E84" s="2" t="str">
        <f t="shared" si="28"/>
        <v/>
      </c>
      <c r="F84" s="111" t="str">
        <f>IF(ISTEXT(XS_Designer!H84),VLOOKUP(XS_Designer!H84,$K$12:$L$20,2,FALSE),"")</f>
        <v/>
      </c>
      <c r="G84" s="54" t="str">
        <f t="shared" si="29"/>
        <v/>
      </c>
      <c r="O84" s="1"/>
      <c r="P84" s="1"/>
      <c r="Q84" s="2" t="str">
        <f t="shared" si="30"/>
        <v>N</v>
      </c>
      <c r="R84" s="2" t="str">
        <f t="shared" si="31"/>
        <v/>
      </c>
      <c r="S84" s="2" t="str">
        <f t="shared" si="32"/>
        <v/>
      </c>
      <c r="T84" s="2" t="str">
        <f t="shared" si="33"/>
        <v/>
      </c>
      <c r="U84" s="2" t="str">
        <f t="shared" si="34"/>
        <v/>
      </c>
      <c r="V84" s="97" t="str">
        <f t="shared" si="35"/>
        <v/>
      </c>
      <c r="W84" s="97" t="e">
        <f t="shared" si="36"/>
        <v>#N/A</v>
      </c>
      <c r="X84" s="2" t="e">
        <f t="shared" si="1"/>
        <v>#N/A</v>
      </c>
      <c r="Y84" s="95" t="str">
        <f t="shared" si="37"/>
        <v/>
      </c>
      <c r="Z84" s="261" t="str">
        <f t="shared" si="38"/>
        <v/>
      </c>
      <c r="AA84" s="95" t="str">
        <f>IF(ISNUMBER(Y84),INDEX(Y84:Y181,MATCH(TRUE,INDEX(Y84:Y181&lt;&gt;Y84,),0)),"")</f>
        <v/>
      </c>
      <c r="AB84" s="95" t="str">
        <f t="shared" si="40"/>
        <v/>
      </c>
      <c r="AC84" s="95" t="str">
        <f t="shared" si="41"/>
        <v/>
      </c>
      <c r="AD84" s="95" t="e">
        <f>IF(ISTEXT(AB84),INDEX(AB84:AB181,MATCH(TRUE,INDEX(AB84:AB181&lt;&gt;AB84,),0)),"")</f>
        <v>#N/A</v>
      </c>
      <c r="AE84" s="18" t="str">
        <f t="shared" si="43"/>
        <v/>
      </c>
      <c r="AF84" s="18" t="str">
        <f t="shared" si="2"/>
        <v/>
      </c>
      <c r="AG84" s="18" t="str">
        <f t="shared" si="3"/>
        <v/>
      </c>
      <c r="AH84" s="18" t="str">
        <f t="shared" si="4"/>
        <v/>
      </c>
      <c r="AI84" s="18" t="e">
        <f>IF(AND(ISNUMBER(AI83),ISNUMBER(S84)),(VLOOKUP(AD84,AB84:AC181,2,FALSE)),IF(ISNUMBER(S84),R84,NA()))</f>
        <v>#N/A</v>
      </c>
      <c r="AJ84" s="18" t="e">
        <f t="shared" si="5"/>
        <v>#N/A</v>
      </c>
      <c r="AK84" s="18" t="str">
        <f t="shared" si="6"/>
        <v/>
      </c>
      <c r="AL84" s="18" t="str">
        <f t="shared" si="7"/>
        <v/>
      </c>
      <c r="AM84" s="1"/>
      <c r="AN84" s="1"/>
      <c r="AO84" s="1"/>
      <c r="AP84" s="1"/>
      <c r="AQ84" s="1"/>
      <c r="AS84" s="166">
        <f t="shared" si="8"/>
        <v>27.201250000000002</v>
      </c>
      <c r="AT84" s="40">
        <f t="shared" si="45"/>
        <v>5</v>
      </c>
      <c r="AU84" s="166">
        <f t="shared" si="9"/>
        <v>27.201250000000002</v>
      </c>
      <c r="AV84" s="40">
        <f t="shared" si="0"/>
        <v>5</v>
      </c>
      <c r="AW84" s="152"/>
      <c r="AY84" s="166">
        <f t="shared" si="10"/>
        <v>27.201250000000002</v>
      </c>
      <c r="AZ84">
        <f t="shared" si="11"/>
        <v>3.5010000000000003</v>
      </c>
      <c r="BA84" s="341">
        <f t="shared" si="12"/>
        <v>27.201250000000002</v>
      </c>
      <c r="BB84">
        <f t="shared" si="13"/>
        <v>3.5010000000000003</v>
      </c>
      <c r="BD84">
        <f t="shared" si="14"/>
        <v>1.4989999999999997</v>
      </c>
      <c r="BE84" s="2">
        <f t="shared" si="15"/>
        <v>0</v>
      </c>
      <c r="BF84" s="122">
        <f t="shared" si="16"/>
        <v>0</v>
      </c>
      <c r="BG84" t="str">
        <f t="shared" si="17"/>
        <v>MAX WSE</v>
      </c>
      <c r="BH84" s="122">
        <f t="shared" si="85"/>
        <v>5</v>
      </c>
      <c r="BJ84" s="122">
        <f t="shared" si="19"/>
        <v>1.4989999999999997</v>
      </c>
      <c r="BL84" s="2">
        <f t="shared" si="47"/>
        <v>0</v>
      </c>
      <c r="BM84" s="2"/>
      <c r="BN84" s="2">
        <f t="shared" si="21"/>
        <v>27.201250000000002</v>
      </c>
      <c r="BO84" s="2" t="str">
        <f>IF(BP84="Left",IF(ISERROR(VLOOKUP(BN84,XS_Designer_Summary!$A$21:$B$25,2,TRUE)),"",VLOOKUP(BN84,XS_Designer_Summary!$A$21:$B$25,2,TRUE)),IF(ISERROR(VLOOKUP(-BN84,XS_Designer_Summary!$A$28:$B$32,2,TRUE)),"",VLOOKUP(-BN84,XS_Designer_Summary!$A$28:$B$32,2,TRUE)))</f>
        <v>Right 3rd Stage</v>
      </c>
      <c r="BP84" s="2" t="str">
        <f>IF(AU84&lt;XS_Designer_Summary!$B$7,"Left",IF(AU84&gt;XS_Designer_Summary!$B$7,"Right","Thalweg"))</f>
        <v>Right</v>
      </c>
      <c r="BQ84" s="2">
        <f t="shared" si="22"/>
        <v>0</v>
      </c>
      <c r="BR84" s="2">
        <f t="shared" si="23"/>
        <v>0</v>
      </c>
      <c r="BS84" s="2">
        <f t="shared" si="24"/>
        <v>0</v>
      </c>
      <c r="BT84" s="2">
        <f t="shared" si="25"/>
        <v>0</v>
      </c>
      <c r="BU84" s="2">
        <f t="shared" si="26"/>
        <v>1.4989999999999997</v>
      </c>
      <c r="BV84" s="2">
        <f t="shared" si="27"/>
        <v>0</v>
      </c>
      <c r="BX84" s="2">
        <f>IF(AND(ISNUMBER($BN84),$BO84="Left 2nd Stage",SUM($BX$5:BX83)=0),$BN84,0)</f>
        <v>0</v>
      </c>
      <c r="BY84" s="2">
        <f>IF(AND(ISNUMBER($BN84),$BO84="Left Bankfull",SUM($BY$5:$BY83)=0),$BN84,0)</f>
        <v>0</v>
      </c>
      <c r="BZ84" s="2">
        <f>IF(AND(ISNUMBER($BN84),$BO84="Right 2nd Stage",SUM($BZ$5:$BZ83)=0),$BN83,0)</f>
        <v>0</v>
      </c>
      <c r="CA84" s="2">
        <f t="shared" si="46"/>
        <v>0</v>
      </c>
    </row>
    <row r="85" spans="1:79" ht="15">
      <c r="A85" s="2">
        <v>81</v>
      </c>
      <c r="B85" s="111" t="e">
        <f>IF(ISNUMBER(XS_Designer!F85),XS_Designer!F85,NA())</f>
        <v>#N/A</v>
      </c>
      <c r="C85" s="111" t="e">
        <f>IF(ISNUMBER(XS_Designer!G85),XS_Designer!G85,NA())</f>
        <v>#N/A</v>
      </c>
      <c r="D85" s="111" t="str">
        <f>IF(ISNUMBER(XS_Designer!I85),XS_Designer!I85,"")</f>
        <v/>
      </c>
      <c r="E85" s="2" t="str">
        <f t="shared" si="28"/>
        <v/>
      </c>
      <c r="F85" s="111" t="str">
        <f>IF(ISTEXT(XS_Designer!H85),VLOOKUP(XS_Designer!H85,$K$12:$L$20,2,FALSE),"")</f>
        <v/>
      </c>
      <c r="G85" s="54" t="str">
        <f t="shared" si="29"/>
        <v/>
      </c>
      <c r="O85" s="1"/>
      <c r="P85" s="1"/>
      <c r="Q85" s="2" t="str">
        <f t="shared" si="30"/>
        <v>N</v>
      </c>
      <c r="R85" s="2" t="str">
        <f t="shared" si="31"/>
        <v/>
      </c>
      <c r="S85" s="2" t="str">
        <f t="shared" si="32"/>
        <v/>
      </c>
      <c r="T85" s="2" t="str">
        <f t="shared" si="33"/>
        <v/>
      </c>
      <c r="U85" s="2" t="str">
        <f t="shared" si="34"/>
        <v/>
      </c>
      <c r="V85" s="97" t="str">
        <f t="shared" si="35"/>
        <v/>
      </c>
      <c r="W85" s="97" t="e">
        <f t="shared" si="36"/>
        <v>#N/A</v>
      </c>
      <c r="X85" s="2" t="e">
        <f t="shared" si="1"/>
        <v>#N/A</v>
      </c>
      <c r="Y85" s="95" t="str">
        <f t="shared" si="37"/>
        <v/>
      </c>
      <c r="Z85" s="261" t="str">
        <f t="shared" si="38"/>
        <v/>
      </c>
      <c r="AA85" s="95" t="str">
        <f t="shared" ref="AA85:AA86" si="95">IF(ISNUMBER(Y85),INDEX(Y85:Y185,MATCH(TRUE,INDEX(Y85:Y185&lt;&gt;Y85,),0)),"")</f>
        <v/>
      </c>
      <c r="AB85" s="95" t="str">
        <f t="shared" si="40"/>
        <v/>
      </c>
      <c r="AC85" s="95" t="str">
        <f t="shared" si="41"/>
        <v/>
      </c>
      <c r="AD85" s="95" t="e">
        <f t="shared" ref="AD85:AD86" si="96">IF(ISTEXT(AB85),INDEX(AB85:AB185,MATCH(TRUE,INDEX(AB85:AB185&lt;&gt;AB85,),0)),"")</f>
        <v>#N/A</v>
      </c>
      <c r="AE85" s="18" t="str">
        <f t="shared" si="43"/>
        <v/>
      </c>
      <c r="AF85" s="18" t="str">
        <f t="shared" si="2"/>
        <v/>
      </c>
      <c r="AG85" s="18" t="str">
        <f t="shared" si="3"/>
        <v/>
      </c>
      <c r="AH85" s="18" t="str">
        <f t="shared" si="4"/>
        <v/>
      </c>
      <c r="AI85" s="18" t="e">
        <f t="shared" ref="AI85:AI86" si="97">IF(AND(ISNUMBER(AI84),ISNUMBER(S85)),(VLOOKUP(AD85,AB85:AC185,2,FALSE)),IF(ISNUMBER(S85),R85,NA()))</f>
        <v>#N/A</v>
      </c>
      <c r="AJ85" s="18" t="e">
        <f t="shared" si="5"/>
        <v>#N/A</v>
      </c>
      <c r="AK85" s="18" t="str">
        <f t="shared" si="6"/>
        <v/>
      </c>
      <c r="AL85" s="18" t="str">
        <f t="shared" si="7"/>
        <v/>
      </c>
      <c r="AM85" s="1"/>
      <c r="AN85" s="1"/>
      <c r="AO85" s="1"/>
      <c r="AP85" s="1"/>
      <c r="AQ85" s="1"/>
      <c r="AS85" s="166">
        <f t="shared" si="8"/>
        <v>27.201250000000002</v>
      </c>
      <c r="AT85" s="40">
        <f t="shared" si="45"/>
        <v>5</v>
      </c>
      <c r="AU85" s="166">
        <f t="shared" si="9"/>
        <v>27.201250000000002</v>
      </c>
      <c r="AV85" s="40">
        <f t="shared" si="0"/>
        <v>5</v>
      </c>
      <c r="AW85" s="152"/>
      <c r="AY85" s="166">
        <f t="shared" si="10"/>
        <v>27.201250000000002</v>
      </c>
      <c r="AZ85">
        <f t="shared" si="11"/>
        <v>3.5010000000000003</v>
      </c>
      <c r="BA85" s="341">
        <f t="shared" si="12"/>
        <v>27.201250000000002</v>
      </c>
      <c r="BB85">
        <f t="shared" si="13"/>
        <v>3.5010000000000003</v>
      </c>
      <c r="BD85">
        <f t="shared" si="14"/>
        <v>1.4989999999999997</v>
      </c>
      <c r="BE85" s="2">
        <f t="shared" si="15"/>
        <v>0</v>
      </c>
      <c r="BF85" s="122">
        <f t="shared" si="16"/>
        <v>0</v>
      </c>
      <c r="BG85" t="str">
        <f t="shared" si="17"/>
        <v>MAX WSE</v>
      </c>
      <c r="BH85" s="122">
        <f t="shared" si="85"/>
        <v>5</v>
      </c>
      <c r="BJ85" s="122">
        <f t="shared" si="19"/>
        <v>1.4989999999999997</v>
      </c>
      <c r="BL85" s="2">
        <f t="shared" si="47"/>
        <v>0</v>
      </c>
      <c r="BM85" s="2"/>
      <c r="BN85" s="2">
        <f t="shared" si="21"/>
        <v>27.201250000000002</v>
      </c>
      <c r="BO85" s="2" t="str">
        <f>IF(BP85="Left",IF(ISERROR(VLOOKUP(BN85,XS_Designer_Summary!$A$21:$B$25,2,TRUE)),"",VLOOKUP(BN85,XS_Designer_Summary!$A$21:$B$25,2,TRUE)),IF(ISERROR(VLOOKUP(-BN85,XS_Designer_Summary!$A$28:$B$32,2,TRUE)),"",VLOOKUP(-BN85,XS_Designer_Summary!$A$28:$B$32,2,TRUE)))</f>
        <v>Right 3rd Stage</v>
      </c>
      <c r="BP85" s="2" t="str">
        <f>IF(AU85&lt;XS_Designer_Summary!$B$7,"Left",IF(AU85&gt;XS_Designer_Summary!$B$7,"Right","Thalweg"))</f>
        <v>Right</v>
      </c>
      <c r="BQ85" s="2">
        <f t="shared" si="22"/>
        <v>0</v>
      </c>
      <c r="BR85" s="2">
        <f t="shared" si="23"/>
        <v>0</v>
      </c>
      <c r="BS85" s="2">
        <f t="shared" si="24"/>
        <v>0</v>
      </c>
      <c r="BT85" s="2">
        <f t="shared" si="25"/>
        <v>0</v>
      </c>
      <c r="BU85" s="2">
        <f t="shared" si="26"/>
        <v>1.4989999999999997</v>
      </c>
      <c r="BV85" s="2">
        <f t="shared" si="27"/>
        <v>0</v>
      </c>
      <c r="BX85" s="2">
        <f>IF(AND(ISNUMBER($BN85),$BO85="Left 2nd Stage",SUM($BX$5:BX84)=0),$BN85,0)</f>
        <v>0</v>
      </c>
      <c r="BY85" s="2">
        <f>IF(AND(ISNUMBER($BN85),$BO85="Left Bankfull",SUM($BY$5:$BY84)=0),$BN85,0)</f>
        <v>0</v>
      </c>
      <c r="BZ85" s="2">
        <f>IF(AND(ISNUMBER($BN85),$BO85="Right 2nd Stage",SUM($BZ$5:$BZ84)=0),$BN84,0)</f>
        <v>0</v>
      </c>
      <c r="CA85" s="2">
        <f t="shared" si="46"/>
        <v>0</v>
      </c>
    </row>
    <row r="86" spans="1:79" ht="15">
      <c r="A86" s="2">
        <v>82</v>
      </c>
      <c r="B86" s="111" t="e">
        <f>IF(ISNUMBER(XS_Designer!F86),XS_Designer!F86,NA())</f>
        <v>#N/A</v>
      </c>
      <c r="C86" s="111" t="e">
        <f>IF(ISNUMBER(XS_Designer!G86),XS_Designer!G86,NA())</f>
        <v>#N/A</v>
      </c>
      <c r="D86" s="111" t="str">
        <f>IF(ISNUMBER(XS_Designer!I86),XS_Designer!I86,"")</f>
        <v/>
      </c>
      <c r="E86" s="2" t="str">
        <f t="shared" si="28"/>
        <v/>
      </c>
      <c r="F86" s="111" t="str">
        <f>IF(ISTEXT(XS_Designer!H86),VLOOKUP(XS_Designer!H86,$K$12:$L$20,2,FALSE),"")</f>
        <v/>
      </c>
      <c r="G86" s="54" t="str">
        <f t="shared" si="29"/>
        <v/>
      </c>
      <c r="O86" s="1"/>
      <c r="P86" s="1"/>
      <c r="Q86" s="2" t="str">
        <f t="shared" si="30"/>
        <v>N</v>
      </c>
      <c r="R86" s="2" t="str">
        <f t="shared" si="31"/>
        <v/>
      </c>
      <c r="S86" s="2" t="str">
        <f t="shared" si="32"/>
        <v/>
      </c>
      <c r="T86" s="2" t="str">
        <f t="shared" si="33"/>
        <v/>
      </c>
      <c r="U86" s="2" t="str">
        <f t="shared" si="34"/>
        <v/>
      </c>
      <c r="V86" s="97" t="str">
        <f t="shared" si="35"/>
        <v/>
      </c>
      <c r="W86" s="97" t="e">
        <f t="shared" si="36"/>
        <v>#N/A</v>
      </c>
      <c r="X86" s="2" t="e">
        <f t="shared" si="1"/>
        <v>#N/A</v>
      </c>
      <c r="Y86" s="95" t="str">
        <f t="shared" si="37"/>
        <v/>
      </c>
      <c r="Z86" s="261" t="str">
        <f t="shared" si="38"/>
        <v/>
      </c>
      <c r="AA86" s="95" t="str">
        <f t="shared" si="95"/>
        <v/>
      </c>
      <c r="AB86" s="95" t="str">
        <f t="shared" si="40"/>
        <v/>
      </c>
      <c r="AC86" s="95" t="str">
        <f t="shared" si="41"/>
        <v/>
      </c>
      <c r="AD86" s="95" t="e">
        <f t="shared" si="96"/>
        <v>#N/A</v>
      </c>
      <c r="AE86" s="18" t="str">
        <f t="shared" si="43"/>
        <v/>
      </c>
      <c r="AF86" s="18" t="str">
        <f t="shared" si="2"/>
        <v/>
      </c>
      <c r="AG86" s="18" t="str">
        <f t="shared" si="3"/>
        <v/>
      </c>
      <c r="AH86" s="18" t="str">
        <f t="shared" si="4"/>
        <v/>
      </c>
      <c r="AI86" s="18" t="e">
        <f t="shared" si="97"/>
        <v>#N/A</v>
      </c>
      <c r="AJ86" s="18" t="e">
        <f t="shared" si="5"/>
        <v>#N/A</v>
      </c>
      <c r="AK86" s="18" t="str">
        <f t="shared" si="6"/>
        <v/>
      </c>
      <c r="AL86" s="18" t="str">
        <f t="shared" si="7"/>
        <v/>
      </c>
      <c r="AM86" s="1"/>
      <c r="AN86" s="1"/>
      <c r="AO86" s="1"/>
      <c r="AP86" s="1"/>
      <c r="AQ86" s="1"/>
      <c r="AS86" s="166">
        <f t="shared" si="8"/>
        <v>27.201250000000002</v>
      </c>
      <c r="AT86" s="40">
        <f t="shared" si="45"/>
        <v>5</v>
      </c>
      <c r="AU86" s="166">
        <f t="shared" si="9"/>
        <v>27.201250000000002</v>
      </c>
      <c r="AV86" s="40">
        <f t="shared" si="0"/>
        <v>5</v>
      </c>
      <c r="AW86" s="152"/>
      <c r="AY86" s="166">
        <f t="shared" si="10"/>
        <v>27.201250000000002</v>
      </c>
      <c r="AZ86">
        <f t="shared" si="11"/>
        <v>3.5010000000000003</v>
      </c>
      <c r="BA86" s="341">
        <f t="shared" si="12"/>
        <v>27.201250000000002</v>
      </c>
      <c r="BB86">
        <f t="shared" si="13"/>
        <v>3.5010000000000003</v>
      </c>
      <c r="BD86">
        <f t="shared" si="14"/>
        <v>1.4989999999999997</v>
      </c>
      <c r="BE86" s="2">
        <f t="shared" si="15"/>
        <v>0</v>
      </c>
      <c r="BF86" s="122">
        <f t="shared" si="16"/>
        <v>0</v>
      </c>
      <c r="BG86" t="str">
        <f t="shared" si="17"/>
        <v>MAX WSE</v>
      </c>
      <c r="BH86" s="122">
        <f t="shared" si="85"/>
        <v>5</v>
      </c>
      <c r="BJ86" s="122">
        <f t="shared" si="19"/>
        <v>1.4989999999999997</v>
      </c>
      <c r="BL86" s="2">
        <f t="shared" si="47"/>
        <v>0</v>
      </c>
      <c r="BM86" s="2"/>
      <c r="BN86" s="2">
        <f t="shared" si="21"/>
        <v>27.201250000000002</v>
      </c>
      <c r="BO86" s="2" t="str">
        <f>IF(BP86="Left",IF(ISERROR(VLOOKUP(BN86,XS_Designer_Summary!$A$21:$B$25,2,TRUE)),"",VLOOKUP(BN86,XS_Designer_Summary!$A$21:$B$25,2,TRUE)),IF(ISERROR(VLOOKUP(-BN86,XS_Designer_Summary!$A$28:$B$32,2,TRUE)),"",VLOOKUP(-BN86,XS_Designer_Summary!$A$28:$B$32,2,TRUE)))</f>
        <v>Right 3rd Stage</v>
      </c>
      <c r="BP86" s="2" t="str">
        <f>IF(AU86&lt;XS_Designer_Summary!$B$7,"Left",IF(AU86&gt;XS_Designer_Summary!$B$7,"Right","Thalweg"))</f>
        <v>Right</v>
      </c>
      <c r="BQ86" s="2">
        <f t="shared" si="22"/>
        <v>0</v>
      </c>
      <c r="BR86" s="2">
        <f t="shared" si="23"/>
        <v>0</v>
      </c>
      <c r="BS86" s="2">
        <f t="shared" si="24"/>
        <v>0</v>
      </c>
      <c r="BT86" s="2">
        <f t="shared" si="25"/>
        <v>0</v>
      </c>
      <c r="BU86" s="2">
        <f t="shared" si="26"/>
        <v>1.4989999999999997</v>
      </c>
      <c r="BV86" s="2">
        <f t="shared" si="27"/>
        <v>0</v>
      </c>
      <c r="BX86" s="2">
        <f>IF(AND(ISNUMBER($BN86),$BO86="Left 2nd Stage",SUM($BX$5:BX85)=0),$BN86,0)</f>
        <v>0</v>
      </c>
      <c r="BY86" s="2">
        <f>IF(AND(ISNUMBER($BN86),$BO86="Left Bankfull",SUM($BY$5:$BY85)=0),$BN86,0)</f>
        <v>0</v>
      </c>
      <c r="BZ86" s="2">
        <f>IF(AND(ISNUMBER($BN86),$BO86="Right 2nd Stage",SUM($BZ$5:$BZ85)=0),$BN85,0)</f>
        <v>0</v>
      </c>
      <c r="CA86" s="2">
        <f t="shared" si="46"/>
        <v>0</v>
      </c>
    </row>
    <row r="87" spans="1:79" ht="15">
      <c r="A87" s="2">
        <v>83</v>
      </c>
      <c r="B87" s="111" t="e">
        <f>IF(ISNUMBER(XS_Designer!F87),XS_Designer!F87,NA())</f>
        <v>#N/A</v>
      </c>
      <c r="C87" s="111" t="e">
        <f>IF(ISNUMBER(XS_Designer!G87),XS_Designer!G87,NA())</f>
        <v>#N/A</v>
      </c>
      <c r="D87" s="111" t="str">
        <f>IF(ISNUMBER(XS_Designer!I87),XS_Designer!I87,"")</f>
        <v/>
      </c>
      <c r="E87" s="2" t="str">
        <f t="shared" si="28"/>
        <v/>
      </c>
      <c r="F87" s="111" t="str">
        <f>IF(ISTEXT(XS_Designer!H87),VLOOKUP(XS_Designer!H87,$K$12:$L$20,2,FALSE),"")</f>
        <v/>
      </c>
      <c r="G87" s="54" t="str">
        <f t="shared" si="29"/>
        <v/>
      </c>
      <c r="O87" s="1"/>
      <c r="P87" s="1"/>
      <c r="Q87" s="2" t="str">
        <f t="shared" si="30"/>
        <v>N</v>
      </c>
      <c r="R87" s="2" t="str">
        <f t="shared" si="31"/>
        <v/>
      </c>
      <c r="S87" s="2" t="str">
        <f t="shared" si="32"/>
        <v/>
      </c>
      <c r="T87" s="2" t="str">
        <f t="shared" si="33"/>
        <v/>
      </c>
      <c r="U87" s="2" t="str">
        <f t="shared" si="34"/>
        <v/>
      </c>
      <c r="V87" s="97" t="str">
        <f t="shared" si="35"/>
        <v/>
      </c>
      <c r="W87" s="97" t="e">
        <f t="shared" si="36"/>
        <v>#N/A</v>
      </c>
      <c r="X87" s="2" t="e">
        <f t="shared" si="1"/>
        <v>#N/A</v>
      </c>
      <c r="Y87" s="95" t="str">
        <f t="shared" si="37"/>
        <v/>
      </c>
      <c r="Z87" s="261" t="str">
        <f t="shared" si="38"/>
        <v/>
      </c>
      <c r="AA87" s="95" t="str">
        <f>IF(ISNUMBER(Y87),INDEX(Y87:Y186,MATCH(TRUE,INDEX(Y87:Y186&lt;&gt;Y87,),0)),"")</f>
        <v/>
      </c>
      <c r="AB87" s="95" t="str">
        <f t="shared" si="40"/>
        <v/>
      </c>
      <c r="AC87" s="95" t="str">
        <f t="shared" si="41"/>
        <v/>
      </c>
      <c r="AD87" s="95" t="e">
        <f>IF(ISTEXT(AB87),INDEX(AB87:AB186,MATCH(TRUE,INDEX(AB87:AB186&lt;&gt;AB87,),0)),"")</f>
        <v>#N/A</v>
      </c>
      <c r="AE87" s="18" t="str">
        <f t="shared" si="43"/>
        <v/>
      </c>
      <c r="AF87" s="18" t="str">
        <f t="shared" si="2"/>
        <v/>
      </c>
      <c r="AG87" s="18" t="str">
        <f t="shared" si="3"/>
        <v/>
      </c>
      <c r="AH87" s="18" t="str">
        <f t="shared" si="4"/>
        <v/>
      </c>
      <c r="AI87" s="18" t="e">
        <f>IF(AND(ISNUMBER(AI86),ISNUMBER(S87)),(VLOOKUP(AD87,AB87:AC186,2,FALSE)),IF(ISNUMBER(S87),R87,NA()))</f>
        <v>#N/A</v>
      </c>
      <c r="AJ87" s="18" t="e">
        <f t="shared" si="5"/>
        <v>#N/A</v>
      </c>
      <c r="AK87" s="18" t="str">
        <f t="shared" si="6"/>
        <v/>
      </c>
      <c r="AL87" s="18" t="str">
        <f t="shared" si="7"/>
        <v/>
      </c>
      <c r="AM87" s="1"/>
      <c r="AN87" s="1"/>
      <c r="AO87" s="1"/>
      <c r="AP87" s="1"/>
      <c r="AQ87" s="1"/>
      <c r="AS87" s="166">
        <f t="shared" si="8"/>
        <v>27.201250000000002</v>
      </c>
      <c r="AT87" s="40">
        <f t="shared" si="45"/>
        <v>5</v>
      </c>
      <c r="AU87" s="166">
        <f t="shared" si="9"/>
        <v>27.201250000000002</v>
      </c>
      <c r="AV87" s="40">
        <f t="shared" si="0"/>
        <v>5</v>
      </c>
      <c r="AW87" s="152"/>
      <c r="AY87" s="166">
        <f t="shared" si="10"/>
        <v>27.201250000000002</v>
      </c>
      <c r="AZ87">
        <f t="shared" si="11"/>
        <v>3.5010000000000003</v>
      </c>
      <c r="BA87" s="341">
        <f t="shared" si="12"/>
        <v>27.201250000000002</v>
      </c>
      <c r="BB87">
        <f t="shared" si="13"/>
        <v>3.5010000000000003</v>
      </c>
      <c r="BD87">
        <f t="shared" si="14"/>
        <v>1.4989999999999997</v>
      </c>
      <c r="BE87" s="2">
        <f t="shared" si="15"/>
        <v>0</v>
      </c>
      <c r="BF87" s="122">
        <f t="shared" si="16"/>
        <v>0</v>
      </c>
      <c r="BG87" t="str">
        <f t="shared" si="17"/>
        <v>MAX WSE</v>
      </c>
      <c r="BH87" s="122">
        <f t="shared" si="85"/>
        <v>5</v>
      </c>
      <c r="BJ87" s="122">
        <f t="shared" si="19"/>
        <v>1.4989999999999997</v>
      </c>
      <c r="BL87" s="2">
        <f t="shared" si="47"/>
        <v>0</v>
      </c>
      <c r="BM87" s="2"/>
      <c r="BN87" s="2">
        <f t="shared" si="21"/>
        <v>27.201250000000002</v>
      </c>
      <c r="BO87" s="2" t="str">
        <f>IF(BP87="Left",IF(ISERROR(VLOOKUP(BN87,XS_Designer_Summary!$A$21:$B$25,2,TRUE)),"",VLOOKUP(BN87,XS_Designer_Summary!$A$21:$B$25,2,TRUE)),IF(ISERROR(VLOOKUP(-BN87,XS_Designer_Summary!$A$28:$B$32,2,TRUE)),"",VLOOKUP(-BN87,XS_Designer_Summary!$A$28:$B$32,2,TRUE)))</f>
        <v>Right 3rd Stage</v>
      </c>
      <c r="BP87" s="2" t="str">
        <f>IF(AU87&lt;XS_Designer_Summary!$B$7,"Left",IF(AU87&gt;XS_Designer_Summary!$B$7,"Right","Thalweg"))</f>
        <v>Right</v>
      </c>
      <c r="BQ87" s="2">
        <f t="shared" si="22"/>
        <v>0</v>
      </c>
      <c r="BR87" s="2">
        <f t="shared" si="23"/>
        <v>0</v>
      </c>
      <c r="BS87" s="2">
        <f t="shared" si="24"/>
        <v>0</v>
      </c>
      <c r="BT87" s="2">
        <f t="shared" si="25"/>
        <v>0</v>
      </c>
      <c r="BU87" s="2">
        <f t="shared" si="26"/>
        <v>1.4989999999999997</v>
      </c>
      <c r="BV87" s="2">
        <f t="shared" si="27"/>
        <v>0</v>
      </c>
      <c r="BX87" s="2">
        <f>IF(AND(ISNUMBER($BN87),$BO87="Left 2nd Stage",SUM($BX$5:BX86)=0),$BN87,0)</f>
        <v>0</v>
      </c>
      <c r="BY87" s="2">
        <f>IF(AND(ISNUMBER($BN87),$BO87="Left Bankfull",SUM($BY$5:$BY86)=0),$BN87,0)</f>
        <v>0</v>
      </c>
      <c r="BZ87" s="2">
        <f>IF(AND(ISNUMBER($BN87),$BO87="Right 2nd Stage",SUM($BZ$5:$BZ86)=0),$BN86,0)</f>
        <v>0</v>
      </c>
      <c r="CA87" s="2">
        <f t="shared" si="46"/>
        <v>0</v>
      </c>
    </row>
    <row r="88" spans="1:79" ht="15">
      <c r="A88" s="2">
        <v>84</v>
      </c>
      <c r="B88" s="111" t="e">
        <f>IF(ISNUMBER(XS_Designer!F88),XS_Designer!F88,NA())</f>
        <v>#N/A</v>
      </c>
      <c r="C88" s="111" t="e">
        <f>IF(ISNUMBER(XS_Designer!G88),XS_Designer!G88,NA())</f>
        <v>#N/A</v>
      </c>
      <c r="D88" s="111" t="str">
        <f>IF(ISNUMBER(XS_Designer!I88),XS_Designer!I88,"")</f>
        <v/>
      </c>
      <c r="E88" s="2" t="str">
        <f t="shared" si="28"/>
        <v/>
      </c>
      <c r="F88" s="111" t="str">
        <f>IF(ISTEXT(XS_Designer!H88),VLOOKUP(XS_Designer!H88,$K$12:$L$20,2,FALSE),"")</f>
        <v/>
      </c>
      <c r="G88" s="54" t="str">
        <f t="shared" si="29"/>
        <v/>
      </c>
      <c r="O88" s="1"/>
      <c r="P88" s="1"/>
      <c r="Q88" s="2" t="str">
        <f t="shared" si="30"/>
        <v>N</v>
      </c>
      <c r="R88" s="2" t="str">
        <f t="shared" si="31"/>
        <v/>
      </c>
      <c r="S88" s="2" t="str">
        <f t="shared" si="32"/>
        <v/>
      </c>
      <c r="T88" s="2" t="str">
        <f t="shared" si="33"/>
        <v/>
      </c>
      <c r="U88" s="2" t="str">
        <f t="shared" si="34"/>
        <v/>
      </c>
      <c r="V88" s="97" t="str">
        <f t="shared" si="35"/>
        <v/>
      </c>
      <c r="W88" s="97" t="e">
        <f t="shared" si="36"/>
        <v>#N/A</v>
      </c>
      <c r="X88" s="2" t="e">
        <f t="shared" si="1"/>
        <v>#N/A</v>
      </c>
      <c r="Y88" s="95" t="str">
        <f t="shared" si="37"/>
        <v/>
      </c>
      <c r="Z88" s="261" t="str">
        <f t="shared" si="38"/>
        <v/>
      </c>
      <c r="AA88" s="95" t="str">
        <f>IF(ISNUMBER(Y88),INDEX(Y88:Y186,MATCH(TRUE,INDEX(Y88:Y186&lt;&gt;Y88,),0)),"")</f>
        <v/>
      </c>
      <c r="AB88" s="95" t="str">
        <f t="shared" si="40"/>
        <v/>
      </c>
      <c r="AC88" s="95" t="str">
        <f t="shared" si="41"/>
        <v/>
      </c>
      <c r="AD88" s="95" t="e">
        <f>IF(ISTEXT(AB88),INDEX(AB88:AB186,MATCH(TRUE,INDEX(AB88:AB186&lt;&gt;AB88,),0)),"")</f>
        <v>#N/A</v>
      </c>
      <c r="AE88" s="18" t="str">
        <f t="shared" si="43"/>
        <v/>
      </c>
      <c r="AF88" s="18" t="str">
        <f t="shared" si="2"/>
        <v/>
      </c>
      <c r="AG88" s="18" t="str">
        <f t="shared" si="3"/>
        <v/>
      </c>
      <c r="AH88" s="18" t="str">
        <f t="shared" si="4"/>
        <v/>
      </c>
      <c r="AI88" s="18" t="e">
        <f>IF(AND(ISNUMBER(AI87),ISNUMBER(S88)),(VLOOKUP(AD88,AB88:AC186,2,FALSE)),IF(ISNUMBER(S88),R88,NA()))</f>
        <v>#N/A</v>
      </c>
      <c r="AJ88" s="18" t="e">
        <f t="shared" si="5"/>
        <v>#N/A</v>
      </c>
      <c r="AK88" s="18" t="str">
        <f t="shared" si="6"/>
        <v/>
      </c>
      <c r="AL88" s="18" t="str">
        <f t="shared" si="7"/>
        <v/>
      </c>
      <c r="AM88" s="1"/>
      <c r="AN88" s="1"/>
      <c r="AO88" s="1"/>
      <c r="AP88" s="1"/>
      <c r="AQ88" s="1"/>
      <c r="AS88" s="166">
        <f t="shared" si="8"/>
        <v>27.201250000000002</v>
      </c>
      <c r="AT88" s="40">
        <f t="shared" si="45"/>
        <v>5</v>
      </c>
      <c r="AU88" s="166">
        <f t="shared" si="9"/>
        <v>27.201250000000002</v>
      </c>
      <c r="AV88" s="40">
        <f t="shared" si="0"/>
        <v>5</v>
      </c>
      <c r="AW88" s="152"/>
      <c r="AY88" s="166">
        <f t="shared" si="10"/>
        <v>27.201250000000002</v>
      </c>
      <c r="AZ88">
        <f t="shared" si="11"/>
        <v>3.5010000000000003</v>
      </c>
      <c r="BA88" s="341">
        <f t="shared" si="12"/>
        <v>27.201250000000002</v>
      </c>
      <c r="BB88">
        <f t="shared" si="13"/>
        <v>3.5010000000000003</v>
      </c>
      <c r="BD88">
        <f t="shared" si="14"/>
        <v>1.4989999999999997</v>
      </c>
      <c r="BE88" s="2">
        <f t="shared" si="15"/>
        <v>0</v>
      </c>
      <c r="BF88" s="122">
        <f t="shared" si="16"/>
        <v>0</v>
      </c>
      <c r="BG88" t="str">
        <f t="shared" si="17"/>
        <v>MAX WSE</v>
      </c>
      <c r="BH88" s="122">
        <f t="shared" si="85"/>
        <v>5</v>
      </c>
      <c r="BJ88" s="122">
        <f t="shared" si="19"/>
        <v>1.4989999999999997</v>
      </c>
      <c r="BL88" s="2">
        <f t="shared" si="47"/>
        <v>0</v>
      </c>
      <c r="BM88" s="2"/>
      <c r="BN88" s="2">
        <f t="shared" si="21"/>
        <v>27.201250000000002</v>
      </c>
      <c r="BO88" s="2" t="str">
        <f>IF(BP88="Left",IF(ISERROR(VLOOKUP(BN88,XS_Designer_Summary!$A$21:$B$25,2,TRUE)),"",VLOOKUP(BN88,XS_Designer_Summary!$A$21:$B$25,2,TRUE)),IF(ISERROR(VLOOKUP(-BN88,XS_Designer_Summary!$A$28:$B$32,2,TRUE)),"",VLOOKUP(-BN88,XS_Designer_Summary!$A$28:$B$32,2,TRUE)))</f>
        <v>Right 3rd Stage</v>
      </c>
      <c r="BP88" s="2" t="str">
        <f>IF(AU88&lt;XS_Designer_Summary!$B$7,"Left",IF(AU88&gt;XS_Designer_Summary!$B$7,"Right","Thalweg"))</f>
        <v>Right</v>
      </c>
      <c r="BQ88" s="2">
        <f t="shared" si="22"/>
        <v>0</v>
      </c>
      <c r="BR88" s="2">
        <f t="shared" si="23"/>
        <v>0</v>
      </c>
      <c r="BS88" s="2">
        <f t="shared" si="24"/>
        <v>0</v>
      </c>
      <c r="BT88" s="2">
        <f t="shared" si="25"/>
        <v>0</v>
      </c>
      <c r="BU88" s="2">
        <f t="shared" si="26"/>
        <v>1.4989999999999997</v>
      </c>
      <c r="BV88" s="2">
        <f t="shared" si="27"/>
        <v>0</v>
      </c>
      <c r="BX88" s="2">
        <f>IF(AND(ISNUMBER($BN88),$BO88="Left 2nd Stage",SUM($BX$5:BX87)=0),$BN88,0)</f>
        <v>0</v>
      </c>
      <c r="BY88" s="2">
        <f>IF(AND(ISNUMBER($BN88),$BO88="Left Bankfull",SUM($BY$5:$BY87)=0),$BN88,0)</f>
        <v>0</v>
      </c>
      <c r="BZ88" s="2">
        <f>IF(AND(ISNUMBER($BN88),$BO88="Right 2nd Stage",SUM($BZ$5:$BZ87)=0),$BN87,0)</f>
        <v>0</v>
      </c>
      <c r="CA88" s="2">
        <f t="shared" si="46"/>
        <v>0</v>
      </c>
    </row>
    <row r="89" spans="1:79" ht="15">
      <c r="A89" s="2">
        <v>85</v>
      </c>
      <c r="B89" s="111" t="e">
        <f>IF(ISNUMBER(XS_Designer!F89),XS_Designer!F89,NA())</f>
        <v>#N/A</v>
      </c>
      <c r="C89" s="111" t="e">
        <f>IF(ISNUMBER(XS_Designer!G89),XS_Designer!G89,NA())</f>
        <v>#N/A</v>
      </c>
      <c r="D89" s="111" t="str">
        <f>IF(ISNUMBER(XS_Designer!I89),XS_Designer!I89,"")</f>
        <v/>
      </c>
      <c r="E89" s="2" t="str">
        <f t="shared" si="28"/>
        <v/>
      </c>
      <c r="F89" s="111" t="str">
        <f>IF(ISTEXT(XS_Designer!H89),VLOOKUP(XS_Designer!H89,$K$12:$L$20,2,FALSE),"")</f>
        <v/>
      </c>
      <c r="G89" s="54" t="str">
        <f t="shared" si="29"/>
        <v/>
      </c>
      <c r="O89" s="1"/>
      <c r="P89" s="1"/>
      <c r="Q89" s="2" t="str">
        <f t="shared" si="30"/>
        <v>N</v>
      </c>
      <c r="R89" s="2" t="str">
        <f t="shared" si="31"/>
        <v/>
      </c>
      <c r="S89" s="2" t="str">
        <f t="shared" si="32"/>
        <v/>
      </c>
      <c r="T89" s="2" t="str">
        <f t="shared" si="33"/>
        <v/>
      </c>
      <c r="U89" s="2" t="str">
        <f t="shared" si="34"/>
        <v/>
      </c>
      <c r="V89" s="97" t="str">
        <f t="shared" si="35"/>
        <v/>
      </c>
      <c r="W89" s="97" t="e">
        <f t="shared" si="36"/>
        <v>#N/A</v>
      </c>
      <c r="X89" s="2" t="e">
        <f t="shared" si="1"/>
        <v>#N/A</v>
      </c>
      <c r="Y89" s="95" t="str">
        <f t="shared" si="37"/>
        <v/>
      </c>
      <c r="Z89" s="261" t="str">
        <f t="shared" si="38"/>
        <v/>
      </c>
      <c r="AA89" s="95" t="str">
        <f>IF(ISNUMBER(Y89),INDEX(Y89:Y186,MATCH(TRUE,INDEX(Y89:Y186&lt;&gt;Y89,),0)),"")</f>
        <v/>
      </c>
      <c r="AB89" s="95" t="str">
        <f t="shared" si="40"/>
        <v/>
      </c>
      <c r="AC89" s="95" t="str">
        <f t="shared" si="41"/>
        <v/>
      </c>
      <c r="AD89" s="95" t="e">
        <f>IF(ISTEXT(AB89),INDEX(AB89:AB186,MATCH(TRUE,INDEX(AB89:AB186&lt;&gt;AB89,),0)),"")</f>
        <v>#N/A</v>
      </c>
      <c r="AE89" s="18" t="str">
        <f t="shared" si="43"/>
        <v/>
      </c>
      <c r="AF89" s="18" t="str">
        <f t="shared" si="2"/>
        <v/>
      </c>
      <c r="AG89" s="18" t="str">
        <f t="shared" si="3"/>
        <v/>
      </c>
      <c r="AH89" s="18" t="str">
        <f t="shared" si="4"/>
        <v/>
      </c>
      <c r="AI89" s="18" t="e">
        <f>IF(AND(ISNUMBER(AI88),ISNUMBER(S89)),(VLOOKUP(AD89,AB89:AC186,2,FALSE)),IF(ISNUMBER(S89),R89,NA()))</f>
        <v>#N/A</v>
      </c>
      <c r="AJ89" s="18" t="e">
        <f t="shared" si="5"/>
        <v>#N/A</v>
      </c>
      <c r="AK89" s="18" t="str">
        <f t="shared" si="6"/>
        <v/>
      </c>
      <c r="AL89" s="18" t="str">
        <f t="shared" si="7"/>
        <v/>
      </c>
      <c r="AM89" s="1"/>
      <c r="AN89" s="1"/>
      <c r="AO89" s="1"/>
      <c r="AP89" s="1"/>
      <c r="AQ89" s="1"/>
      <c r="AS89" s="166">
        <f t="shared" si="8"/>
        <v>27.201250000000002</v>
      </c>
      <c r="AT89" s="40">
        <f t="shared" si="45"/>
        <v>5</v>
      </c>
      <c r="AU89" s="166">
        <f t="shared" si="9"/>
        <v>27.201250000000002</v>
      </c>
      <c r="AV89" s="40">
        <f t="shared" si="0"/>
        <v>5</v>
      </c>
      <c r="AW89" s="152"/>
      <c r="AY89" s="166">
        <f t="shared" si="10"/>
        <v>27.201250000000002</v>
      </c>
      <c r="AZ89">
        <f t="shared" si="11"/>
        <v>3.5010000000000003</v>
      </c>
      <c r="BA89" s="341">
        <f t="shared" si="12"/>
        <v>27.201250000000002</v>
      </c>
      <c r="BB89">
        <f t="shared" si="13"/>
        <v>3.5010000000000003</v>
      </c>
      <c r="BD89">
        <f t="shared" si="14"/>
        <v>1.4989999999999997</v>
      </c>
      <c r="BE89" s="2">
        <f t="shared" si="15"/>
        <v>0</v>
      </c>
      <c r="BF89" s="122">
        <f t="shared" si="16"/>
        <v>0</v>
      </c>
      <c r="BG89" t="str">
        <f t="shared" si="17"/>
        <v>MAX WSE</v>
      </c>
      <c r="BH89" s="122">
        <f t="shared" si="85"/>
        <v>5</v>
      </c>
      <c r="BJ89" s="122">
        <f t="shared" si="19"/>
        <v>1.4989999999999997</v>
      </c>
      <c r="BL89" s="2">
        <f t="shared" si="47"/>
        <v>0</v>
      </c>
      <c r="BM89" s="2"/>
      <c r="BN89" s="2">
        <f t="shared" si="21"/>
        <v>27.201250000000002</v>
      </c>
      <c r="BO89" s="2" t="str">
        <f>IF(BP89="Left",IF(ISERROR(VLOOKUP(BN89,XS_Designer_Summary!$A$21:$B$25,2,TRUE)),"",VLOOKUP(BN89,XS_Designer_Summary!$A$21:$B$25,2,TRUE)),IF(ISERROR(VLOOKUP(-BN89,XS_Designer_Summary!$A$28:$B$32,2,TRUE)),"",VLOOKUP(-BN89,XS_Designer_Summary!$A$28:$B$32,2,TRUE)))</f>
        <v>Right 3rd Stage</v>
      </c>
      <c r="BP89" s="2" t="str">
        <f>IF(AU89&lt;XS_Designer_Summary!$B$7,"Left",IF(AU89&gt;XS_Designer_Summary!$B$7,"Right","Thalweg"))</f>
        <v>Right</v>
      </c>
      <c r="BQ89" s="2">
        <f t="shared" si="22"/>
        <v>0</v>
      </c>
      <c r="BR89" s="2">
        <f t="shared" si="23"/>
        <v>0</v>
      </c>
      <c r="BS89" s="2">
        <f t="shared" si="24"/>
        <v>0</v>
      </c>
      <c r="BT89" s="2">
        <f t="shared" si="25"/>
        <v>0</v>
      </c>
      <c r="BU89" s="2">
        <f t="shared" si="26"/>
        <v>1.4989999999999997</v>
      </c>
      <c r="BV89" s="2">
        <f t="shared" si="27"/>
        <v>0</v>
      </c>
      <c r="BX89" s="2">
        <f>IF(AND(ISNUMBER($BN89),$BO89="Left 2nd Stage",SUM($BX$5:BX88)=0),$BN89,0)</f>
        <v>0</v>
      </c>
      <c r="BY89" s="2">
        <f>IF(AND(ISNUMBER($BN89),$BO89="Left Bankfull",SUM($BY$5:$BY88)=0),$BN89,0)</f>
        <v>0</v>
      </c>
      <c r="BZ89" s="2">
        <f>IF(AND(ISNUMBER($BN89),$BO89="Right 2nd Stage",SUM($BZ$5:$BZ88)=0),$BN88,0)</f>
        <v>0</v>
      </c>
      <c r="CA89" s="2">
        <f t="shared" si="46"/>
        <v>0</v>
      </c>
    </row>
    <row r="90" spans="1:79" ht="15">
      <c r="A90" s="2">
        <v>86</v>
      </c>
      <c r="B90" s="111" t="e">
        <f>IF(ISNUMBER(XS_Designer!F90),XS_Designer!F90,NA())</f>
        <v>#N/A</v>
      </c>
      <c r="C90" s="111" t="e">
        <f>IF(ISNUMBER(XS_Designer!G90),XS_Designer!G90,NA())</f>
        <v>#N/A</v>
      </c>
      <c r="D90" s="111" t="str">
        <f>IF(ISNUMBER(XS_Designer!I90),XS_Designer!I90,"")</f>
        <v/>
      </c>
      <c r="E90" s="2" t="str">
        <f t="shared" si="28"/>
        <v/>
      </c>
      <c r="F90" s="111" t="str">
        <f>IF(ISTEXT(XS_Designer!H90),VLOOKUP(XS_Designer!H90,$K$12:$L$20,2,FALSE),"")</f>
        <v/>
      </c>
      <c r="G90" s="54" t="str">
        <f t="shared" si="29"/>
        <v/>
      </c>
      <c r="O90" s="1"/>
      <c r="P90" s="1"/>
      <c r="Q90" s="2" t="str">
        <f t="shared" si="30"/>
        <v>N</v>
      </c>
      <c r="R90" s="2" t="str">
        <f t="shared" si="31"/>
        <v/>
      </c>
      <c r="S90" s="2" t="str">
        <f t="shared" si="32"/>
        <v/>
      </c>
      <c r="T90" s="2" t="str">
        <f t="shared" si="33"/>
        <v/>
      </c>
      <c r="U90" s="2" t="str">
        <f t="shared" si="34"/>
        <v/>
      </c>
      <c r="V90" s="97" t="str">
        <f t="shared" si="35"/>
        <v/>
      </c>
      <c r="W90" s="97" t="e">
        <f t="shared" si="36"/>
        <v>#N/A</v>
      </c>
      <c r="X90" s="2" t="e">
        <f t="shared" si="1"/>
        <v>#N/A</v>
      </c>
      <c r="Y90" s="95" t="str">
        <f t="shared" si="37"/>
        <v/>
      </c>
      <c r="Z90" s="261" t="str">
        <f t="shared" si="38"/>
        <v/>
      </c>
      <c r="AA90" s="95" t="str">
        <f t="shared" ref="AA90:AA91" si="98">IF(ISNUMBER(Y90),INDEX(Y90:Y190,MATCH(TRUE,INDEX(Y90:Y190&lt;&gt;Y90,),0)),"")</f>
        <v/>
      </c>
      <c r="AB90" s="95" t="str">
        <f t="shared" si="40"/>
        <v/>
      </c>
      <c r="AC90" s="95" t="str">
        <f t="shared" si="41"/>
        <v/>
      </c>
      <c r="AD90" s="95" t="e">
        <f t="shared" ref="AD90:AD91" si="99">IF(ISTEXT(AB90),INDEX(AB90:AB190,MATCH(TRUE,INDEX(AB90:AB190&lt;&gt;AB90,),0)),"")</f>
        <v>#N/A</v>
      </c>
      <c r="AE90" s="18" t="str">
        <f t="shared" si="43"/>
        <v/>
      </c>
      <c r="AF90" s="18" t="str">
        <f t="shared" si="2"/>
        <v/>
      </c>
      <c r="AG90" s="18" t="str">
        <f t="shared" si="3"/>
        <v/>
      </c>
      <c r="AH90" s="18" t="str">
        <f t="shared" si="4"/>
        <v/>
      </c>
      <c r="AI90" s="18" t="e">
        <f t="shared" ref="AI90:AI91" si="100">IF(AND(ISNUMBER(AI89),ISNUMBER(S90)),(VLOOKUP(AD90,AB90:AC190,2,FALSE)),IF(ISNUMBER(S90),R90,NA()))</f>
        <v>#N/A</v>
      </c>
      <c r="AJ90" s="18" t="e">
        <f t="shared" si="5"/>
        <v>#N/A</v>
      </c>
      <c r="AK90" s="18" t="str">
        <f t="shared" si="6"/>
        <v/>
      </c>
      <c r="AL90" s="18" t="str">
        <f t="shared" si="7"/>
        <v/>
      </c>
      <c r="AM90" s="1"/>
      <c r="AN90" s="1"/>
      <c r="AO90" s="1"/>
      <c r="AP90" s="1"/>
      <c r="AQ90" s="1"/>
      <c r="AS90" s="166">
        <f t="shared" si="8"/>
        <v>27.201250000000002</v>
      </c>
      <c r="AT90" s="40">
        <f t="shared" si="45"/>
        <v>5</v>
      </c>
      <c r="AU90" s="166">
        <f t="shared" si="9"/>
        <v>27.201250000000002</v>
      </c>
      <c r="AV90" s="40">
        <f t="shared" si="0"/>
        <v>5</v>
      </c>
      <c r="AW90" s="152"/>
      <c r="AY90" s="166">
        <f t="shared" si="10"/>
        <v>27.201250000000002</v>
      </c>
      <c r="AZ90">
        <f t="shared" si="11"/>
        <v>3.5010000000000003</v>
      </c>
      <c r="BA90" s="341">
        <f t="shared" si="12"/>
        <v>27.201250000000002</v>
      </c>
      <c r="BB90">
        <f t="shared" si="13"/>
        <v>3.5010000000000003</v>
      </c>
      <c r="BD90">
        <f t="shared" si="14"/>
        <v>1.4989999999999997</v>
      </c>
      <c r="BE90" s="2">
        <f t="shared" si="15"/>
        <v>0</v>
      </c>
      <c r="BF90" s="122">
        <f t="shared" si="16"/>
        <v>0</v>
      </c>
      <c r="BG90" t="str">
        <f t="shared" si="17"/>
        <v>MAX WSE</v>
      </c>
      <c r="BH90" s="122">
        <f t="shared" si="85"/>
        <v>5</v>
      </c>
      <c r="BJ90" s="122">
        <f t="shared" si="19"/>
        <v>1.4989999999999997</v>
      </c>
      <c r="BL90" s="2">
        <f t="shared" si="47"/>
        <v>0</v>
      </c>
      <c r="BM90" s="2"/>
      <c r="BN90" s="2">
        <f t="shared" si="21"/>
        <v>27.201250000000002</v>
      </c>
      <c r="BO90" s="2" t="str">
        <f>IF(BP90="Left",IF(ISERROR(VLOOKUP(BN90,XS_Designer_Summary!$A$21:$B$25,2,TRUE)),"",VLOOKUP(BN90,XS_Designer_Summary!$A$21:$B$25,2,TRUE)),IF(ISERROR(VLOOKUP(-BN90,XS_Designer_Summary!$A$28:$B$32,2,TRUE)),"",VLOOKUP(-BN90,XS_Designer_Summary!$A$28:$B$32,2,TRUE)))</f>
        <v>Right 3rd Stage</v>
      </c>
      <c r="BP90" s="2" t="str">
        <f>IF(AU90&lt;XS_Designer_Summary!$B$7,"Left",IF(AU90&gt;XS_Designer_Summary!$B$7,"Right","Thalweg"))</f>
        <v>Right</v>
      </c>
      <c r="BQ90" s="2">
        <f t="shared" si="22"/>
        <v>0</v>
      </c>
      <c r="BR90" s="2">
        <f t="shared" si="23"/>
        <v>0</v>
      </c>
      <c r="BS90" s="2">
        <f t="shared" si="24"/>
        <v>0</v>
      </c>
      <c r="BT90" s="2">
        <f t="shared" si="25"/>
        <v>0</v>
      </c>
      <c r="BU90" s="2">
        <f t="shared" si="26"/>
        <v>1.4989999999999997</v>
      </c>
      <c r="BV90" s="2">
        <f t="shared" si="27"/>
        <v>0</v>
      </c>
      <c r="BX90" s="2">
        <f>IF(AND(ISNUMBER($BN90),$BO90="Left 2nd Stage",SUM($BX$5:BX89)=0),$BN90,0)</f>
        <v>0</v>
      </c>
      <c r="BY90" s="2">
        <f>IF(AND(ISNUMBER($BN90),$BO90="Left Bankfull",SUM($BY$5:$BY89)=0),$BN90,0)</f>
        <v>0</v>
      </c>
      <c r="BZ90" s="2">
        <f>IF(AND(ISNUMBER($BN90),$BO90="Right 2nd Stage",SUM($BZ$5:$BZ89)=0),$BN89,0)</f>
        <v>0</v>
      </c>
      <c r="CA90" s="2">
        <f t="shared" si="46"/>
        <v>0</v>
      </c>
    </row>
    <row r="91" spans="1:79" ht="15">
      <c r="A91" s="2">
        <v>87</v>
      </c>
      <c r="B91" s="111" t="e">
        <f>IF(ISNUMBER(XS_Designer!F91),XS_Designer!F91,NA())</f>
        <v>#N/A</v>
      </c>
      <c r="C91" s="111" t="e">
        <f>IF(ISNUMBER(XS_Designer!G91),XS_Designer!G91,NA())</f>
        <v>#N/A</v>
      </c>
      <c r="D91" s="111" t="str">
        <f>IF(ISNUMBER(XS_Designer!I91),XS_Designer!I91,"")</f>
        <v/>
      </c>
      <c r="E91" s="2" t="str">
        <f t="shared" si="28"/>
        <v/>
      </c>
      <c r="F91" s="111" t="str">
        <f>IF(ISTEXT(XS_Designer!H91),VLOOKUP(XS_Designer!H91,$K$12:$L$20,2,FALSE),"")</f>
        <v/>
      </c>
      <c r="G91" s="54" t="str">
        <f t="shared" si="29"/>
        <v/>
      </c>
      <c r="O91" s="1"/>
      <c r="P91" s="1"/>
      <c r="Q91" s="2" t="str">
        <f t="shared" si="30"/>
        <v>N</v>
      </c>
      <c r="R91" s="2" t="str">
        <f t="shared" si="31"/>
        <v/>
      </c>
      <c r="S91" s="2" t="str">
        <f t="shared" si="32"/>
        <v/>
      </c>
      <c r="T91" s="2" t="str">
        <f t="shared" si="33"/>
        <v/>
      </c>
      <c r="U91" s="2" t="str">
        <f t="shared" si="34"/>
        <v/>
      </c>
      <c r="V91" s="97" t="str">
        <f t="shared" si="35"/>
        <v/>
      </c>
      <c r="W91" s="97" t="e">
        <f t="shared" si="36"/>
        <v>#N/A</v>
      </c>
      <c r="X91" s="2" t="e">
        <f t="shared" si="1"/>
        <v>#N/A</v>
      </c>
      <c r="Y91" s="95" t="str">
        <f t="shared" si="37"/>
        <v/>
      </c>
      <c r="Z91" s="261" t="str">
        <f t="shared" si="38"/>
        <v/>
      </c>
      <c r="AA91" s="95" t="str">
        <f t="shared" si="98"/>
        <v/>
      </c>
      <c r="AB91" s="95" t="str">
        <f t="shared" si="40"/>
        <v/>
      </c>
      <c r="AC91" s="95" t="str">
        <f t="shared" si="41"/>
        <v/>
      </c>
      <c r="AD91" s="95" t="e">
        <f t="shared" si="99"/>
        <v>#N/A</v>
      </c>
      <c r="AE91" s="18" t="str">
        <f t="shared" si="43"/>
        <v/>
      </c>
      <c r="AF91" s="18" t="str">
        <f t="shared" si="2"/>
        <v/>
      </c>
      <c r="AG91" s="18" t="str">
        <f t="shared" si="3"/>
        <v/>
      </c>
      <c r="AH91" s="18" t="str">
        <f t="shared" si="4"/>
        <v/>
      </c>
      <c r="AI91" s="18" t="e">
        <f t="shared" si="100"/>
        <v>#N/A</v>
      </c>
      <c r="AJ91" s="18" t="e">
        <f t="shared" si="5"/>
        <v>#N/A</v>
      </c>
      <c r="AK91" s="18" t="str">
        <f t="shared" si="6"/>
        <v/>
      </c>
      <c r="AL91" s="18" t="str">
        <f t="shared" si="7"/>
        <v/>
      </c>
      <c r="AM91" s="1"/>
      <c r="AN91" s="1"/>
      <c r="AO91" s="1"/>
      <c r="AP91" s="1"/>
      <c r="AQ91" s="1"/>
      <c r="AS91" s="166">
        <f t="shared" si="8"/>
        <v>27.201250000000002</v>
      </c>
      <c r="AT91" s="40">
        <f t="shared" si="45"/>
        <v>5</v>
      </c>
      <c r="AU91" s="166">
        <f t="shared" si="9"/>
        <v>27.201250000000002</v>
      </c>
      <c r="AV91" s="40">
        <f t="shared" si="0"/>
        <v>5</v>
      </c>
      <c r="AW91" s="152"/>
      <c r="AY91" s="166">
        <f t="shared" si="10"/>
        <v>27.201250000000002</v>
      </c>
      <c r="AZ91">
        <f t="shared" si="11"/>
        <v>3.5010000000000003</v>
      </c>
      <c r="BA91" s="341">
        <f t="shared" si="12"/>
        <v>27.201250000000002</v>
      </c>
      <c r="BB91">
        <f t="shared" si="13"/>
        <v>3.5010000000000003</v>
      </c>
      <c r="BD91">
        <f t="shared" si="14"/>
        <v>1.4989999999999997</v>
      </c>
      <c r="BE91" s="2">
        <f t="shared" si="15"/>
        <v>0</v>
      </c>
      <c r="BF91" s="122">
        <f t="shared" si="16"/>
        <v>0</v>
      </c>
      <c r="BG91" t="str">
        <f t="shared" si="17"/>
        <v>MAX WSE</v>
      </c>
      <c r="BH91" s="122">
        <f t="shared" si="85"/>
        <v>5</v>
      </c>
      <c r="BJ91" s="122">
        <f t="shared" si="19"/>
        <v>1.4989999999999997</v>
      </c>
      <c r="BL91" s="2">
        <f t="shared" si="47"/>
        <v>0</v>
      </c>
      <c r="BM91" s="2"/>
      <c r="BN91" s="2">
        <f t="shared" si="21"/>
        <v>27.201250000000002</v>
      </c>
      <c r="BO91" s="2" t="str">
        <f>IF(BP91="Left",IF(ISERROR(VLOOKUP(BN91,XS_Designer_Summary!$A$21:$B$25,2,TRUE)),"",VLOOKUP(BN91,XS_Designer_Summary!$A$21:$B$25,2,TRUE)),IF(ISERROR(VLOOKUP(-BN91,XS_Designer_Summary!$A$28:$B$32,2,TRUE)),"",VLOOKUP(-BN91,XS_Designer_Summary!$A$28:$B$32,2,TRUE)))</f>
        <v>Right 3rd Stage</v>
      </c>
      <c r="BP91" s="2" t="str">
        <f>IF(AU91&lt;XS_Designer_Summary!$B$7,"Left",IF(AU91&gt;XS_Designer_Summary!$B$7,"Right","Thalweg"))</f>
        <v>Right</v>
      </c>
      <c r="BQ91" s="2">
        <f t="shared" si="22"/>
        <v>0</v>
      </c>
      <c r="BR91" s="2">
        <f t="shared" si="23"/>
        <v>0</v>
      </c>
      <c r="BS91" s="2">
        <f t="shared" si="24"/>
        <v>0</v>
      </c>
      <c r="BT91" s="2">
        <f t="shared" si="25"/>
        <v>0</v>
      </c>
      <c r="BU91" s="2">
        <f t="shared" si="26"/>
        <v>1.4989999999999997</v>
      </c>
      <c r="BV91" s="2">
        <f t="shared" si="27"/>
        <v>0</v>
      </c>
      <c r="BX91" s="2">
        <f>IF(AND(ISNUMBER($BN91),$BO91="Left 2nd Stage",SUM($BX$5:BX90)=0),$BN91,0)</f>
        <v>0</v>
      </c>
      <c r="BY91" s="2">
        <f>IF(AND(ISNUMBER($BN91),$BO91="Left Bankfull",SUM($BY$5:$BY90)=0),$BN91,0)</f>
        <v>0</v>
      </c>
      <c r="BZ91" s="2">
        <f>IF(AND(ISNUMBER($BN91),$BO91="Right 2nd Stage",SUM($BZ$5:$BZ90)=0),$BN90,0)</f>
        <v>0</v>
      </c>
      <c r="CA91" s="2">
        <f t="shared" si="46"/>
        <v>0</v>
      </c>
    </row>
    <row r="92" spans="1:79" ht="15">
      <c r="A92" s="2">
        <v>88</v>
      </c>
      <c r="B92" s="111" t="e">
        <f>IF(ISNUMBER(XS_Designer!F92),XS_Designer!F92,NA())</f>
        <v>#N/A</v>
      </c>
      <c r="C92" s="111" t="e">
        <f>IF(ISNUMBER(XS_Designer!G92),XS_Designer!G92,NA())</f>
        <v>#N/A</v>
      </c>
      <c r="D92" s="111" t="str">
        <f>IF(ISNUMBER(XS_Designer!I92),XS_Designer!I92,"")</f>
        <v/>
      </c>
      <c r="E92" s="2" t="str">
        <f t="shared" si="28"/>
        <v/>
      </c>
      <c r="F92" s="111" t="str">
        <f>IF(ISTEXT(XS_Designer!H92),VLOOKUP(XS_Designer!H92,$K$12:$L$20,2,FALSE),"")</f>
        <v/>
      </c>
      <c r="G92" s="54" t="str">
        <f t="shared" si="29"/>
        <v/>
      </c>
      <c r="O92" s="1"/>
      <c r="P92" s="1"/>
      <c r="Q92" s="2" t="str">
        <f t="shared" si="30"/>
        <v>N</v>
      </c>
      <c r="R92" s="2" t="str">
        <f t="shared" si="31"/>
        <v/>
      </c>
      <c r="S92" s="2" t="str">
        <f t="shared" si="32"/>
        <v/>
      </c>
      <c r="T92" s="2" t="str">
        <f t="shared" si="33"/>
        <v/>
      </c>
      <c r="U92" s="2" t="str">
        <f t="shared" si="34"/>
        <v/>
      </c>
      <c r="V92" s="97" t="str">
        <f t="shared" si="35"/>
        <v/>
      </c>
      <c r="W92" s="97" t="e">
        <f t="shared" si="36"/>
        <v>#N/A</v>
      </c>
      <c r="X92" s="2" t="e">
        <f t="shared" si="1"/>
        <v>#N/A</v>
      </c>
      <c r="Y92" s="95" t="str">
        <f t="shared" si="37"/>
        <v/>
      </c>
      <c r="Z92" s="261" t="str">
        <f t="shared" si="38"/>
        <v/>
      </c>
      <c r="AA92" s="95" t="str">
        <f>IF(ISNUMBER(Y92),INDEX(Y92:Y191,MATCH(TRUE,INDEX(Y92:Y191&lt;&gt;Y92,),0)),"")</f>
        <v/>
      </c>
      <c r="AB92" s="95" t="str">
        <f t="shared" si="40"/>
        <v/>
      </c>
      <c r="AC92" s="95" t="str">
        <f t="shared" si="41"/>
        <v/>
      </c>
      <c r="AD92" s="95" t="e">
        <f>IF(ISTEXT(AB92),INDEX(AB92:AB191,MATCH(TRUE,INDEX(AB92:AB191&lt;&gt;AB92,),0)),"")</f>
        <v>#N/A</v>
      </c>
      <c r="AE92" s="18" t="str">
        <f t="shared" si="43"/>
        <v/>
      </c>
      <c r="AF92" s="18" t="str">
        <f t="shared" si="2"/>
        <v/>
      </c>
      <c r="AG92" s="18" t="str">
        <f t="shared" si="3"/>
        <v/>
      </c>
      <c r="AH92" s="18" t="str">
        <f t="shared" si="4"/>
        <v/>
      </c>
      <c r="AI92" s="18" t="e">
        <f>IF(AND(ISNUMBER(AI91),ISNUMBER(S92)),(VLOOKUP(AD92,AB92:AC191,2,FALSE)),IF(ISNUMBER(S92),R92,NA()))</f>
        <v>#N/A</v>
      </c>
      <c r="AJ92" s="18" t="e">
        <f t="shared" si="5"/>
        <v>#N/A</v>
      </c>
      <c r="AK92" s="18" t="str">
        <f t="shared" si="6"/>
        <v/>
      </c>
      <c r="AL92" s="18" t="str">
        <f t="shared" si="7"/>
        <v/>
      </c>
      <c r="AM92" s="1"/>
      <c r="AN92" s="1"/>
      <c r="AO92" s="1"/>
      <c r="AP92" s="1"/>
      <c r="AQ92" s="1"/>
      <c r="AS92" s="166">
        <f t="shared" si="8"/>
        <v>27.201250000000002</v>
      </c>
      <c r="AT92" s="40">
        <f t="shared" si="45"/>
        <v>5</v>
      </c>
      <c r="AU92" s="166">
        <f t="shared" si="9"/>
        <v>27.201250000000002</v>
      </c>
      <c r="AV92" s="40">
        <f t="shared" si="0"/>
        <v>5</v>
      </c>
      <c r="AW92" s="152"/>
      <c r="AY92" s="166">
        <f t="shared" si="10"/>
        <v>27.201250000000002</v>
      </c>
      <c r="AZ92">
        <f t="shared" si="11"/>
        <v>3.5010000000000003</v>
      </c>
      <c r="BA92" s="341">
        <f t="shared" si="12"/>
        <v>27.201250000000002</v>
      </c>
      <c r="BB92">
        <f t="shared" si="13"/>
        <v>3.5010000000000003</v>
      </c>
      <c r="BD92">
        <f t="shared" si="14"/>
        <v>1.4989999999999997</v>
      </c>
      <c r="BE92" s="2">
        <f t="shared" si="15"/>
        <v>0</v>
      </c>
      <c r="BF92" s="122">
        <f t="shared" si="16"/>
        <v>0</v>
      </c>
      <c r="BG92" t="str">
        <f t="shared" si="17"/>
        <v>MAX WSE</v>
      </c>
      <c r="BH92" s="122">
        <f t="shared" si="85"/>
        <v>5</v>
      </c>
      <c r="BJ92" s="122">
        <f t="shared" si="19"/>
        <v>1.4989999999999997</v>
      </c>
      <c r="BL92" s="2">
        <f t="shared" si="47"/>
        <v>0</v>
      </c>
      <c r="BM92" s="2"/>
      <c r="BN92" s="2">
        <f t="shared" si="21"/>
        <v>27.201250000000002</v>
      </c>
      <c r="BO92" s="2" t="str">
        <f>IF(BP92="Left",IF(ISERROR(VLOOKUP(BN92,XS_Designer_Summary!$A$21:$B$25,2,TRUE)),"",VLOOKUP(BN92,XS_Designer_Summary!$A$21:$B$25,2,TRUE)),IF(ISERROR(VLOOKUP(-BN92,XS_Designer_Summary!$A$28:$B$32,2,TRUE)),"",VLOOKUP(-BN92,XS_Designer_Summary!$A$28:$B$32,2,TRUE)))</f>
        <v>Right 3rd Stage</v>
      </c>
      <c r="BP92" s="2" t="str">
        <f>IF(AU92&lt;XS_Designer_Summary!$B$7,"Left",IF(AU92&gt;XS_Designer_Summary!$B$7,"Right","Thalweg"))</f>
        <v>Right</v>
      </c>
      <c r="BQ92" s="2">
        <f t="shared" si="22"/>
        <v>0</v>
      </c>
      <c r="BR92" s="2">
        <f t="shared" si="23"/>
        <v>0</v>
      </c>
      <c r="BS92" s="2">
        <f t="shared" si="24"/>
        <v>0</v>
      </c>
      <c r="BT92" s="2">
        <f t="shared" si="25"/>
        <v>0</v>
      </c>
      <c r="BU92" s="2">
        <f t="shared" si="26"/>
        <v>1.4989999999999997</v>
      </c>
      <c r="BV92" s="2">
        <f t="shared" si="27"/>
        <v>0</v>
      </c>
      <c r="BX92" s="2">
        <f>IF(AND(ISNUMBER($BN92),$BO92="Left 2nd Stage",SUM($BX$5:BX91)=0),$BN92,0)</f>
        <v>0</v>
      </c>
      <c r="BY92" s="2">
        <f>IF(AND(ISNUMBER($BN92),$BO92="Left Bankfull",SUM($BY$5:$BY91)=0),$BN92,0)</f>
        <v>0</v>
      </c>
      <c r="BZ92" s="2">
        <f>IF(AND(ISNUMBER($BN92),$BO92="Right 2nd Stage",SUM($BZ$5:$BZ91)=0),$BN91,0)</f>
        <v>0</v>
      </c>
      <c r="CA92" s="2">
        <f t="shared" si="46"/>
        <v>0</v>
      </c>
    </row>
    <row r="93" spans="1:79" ht="15">
      <c r="A93" s="2">
        <v>89</v>
      </c>
      <c r="B93" s="111" t="e">
        <f>IF(ISNUMBER(XS_Designer!F93),XS_Designer!F93,NA())</f>
        <v>#N/A</v>
      </c>
      <c r="C93" s="111" t="e">
        <f>IF(ISNUMBER(XS_Designer!G93),XS_Designer!G93,NA())</f>
        <v>#N/A</v>
      </c>
      <c r="D93" s="111" t="str">
        <f>IF(ISNUMBER(XS_Designer!I93),XS_Designer!I93,"")</f>
        <v/>
      </c>
      <c r="E93" s="2" t="str">
        <f t="shared" si="28"/>
        <v/>
      </c>
      <c r="F93" s="111" t="str">
        <f>IF(ISTEXT(XS_Designer!H93),VLOOKUP(XS_Designer!H93,$K$12:$L$20,2,FALSE),"")</f>
        <v/>
      </c>
      <c r="G93" s="54" t="str">
        <f t="shared" si="29"/>
        <v/>
      </c>
      <c r="O93" s="1"/>
      <c r="P93" s="1"/>
      <c r="Q93" s="2" t="str">
        <f t="shared" si="30"/>
        <v>N</v>
      </c>
      <c r="R93" s="2" t="str">
        <f t="shared" si="31"/>
        <v/>
      </c>
      <c r="S93" s="2" t="str">
        <f t="shared" si="32"/>
        <v/>
      </c>
      <c r="T93" s="2" t="str">
        <f t="shared" si="33"/>
        <v/>
      </c>
      <c r="U93" s="2" t="str">
        <f t="shared" si="34"/>
        <v/>
      </c>
      <c r="V93" s="97" t="str">
        <f t="shared" si="35"/>
        <v/>
      </c>
      <c r="W93" s="97" t="e">
        <f t="shared" si="36"/>
        <v>#N/A</v>
      </c>
      <c r="X93" s="2" t="e">
        <f t="shared" si="1"/>
        <v>#N/A</v>
      </c>
      <c r="Y93" s="95" t="str">
        <f t="shared" si="37"/>
        <v/>
      </c>
      <c r="Z93" s="261" t="str">
        <f t="shared" si="38"/>
        <v/>
      </c>
      <c r="AA93" s="95" t="str">
        <f>IF(ISNUMBER(Y93),INDEX(Y93:Y191,MATCH(TRUE,INDEX(Y93:Y191&lt;&gt;Y93,),0)),"")</f>
        <v/>
      </c>
      <c r="AB93" s="95" t="str">
        <f t="shared" si="40"/>
        <v/>
      </c>
      <c r="AC93" s="95" t="str">
        <f t="shared" si="41"/>
        <v/>
      </c>
      <c r="AD93" s="95" t="e">
        <f>IF(ISTEXT(AB93),INDEX(AB93:AB191,MATCH(TRUE,INDEX(AB93:AB191&lt;&gt;AB93,),0)),"")</f>
        <v>#N/A</v>
      </c>
      <c r="AE93" s="18" t="str">
        <f t="shared" si="43"/>
        <v/>
      </c>
      <c r="AF93" s="18" t="str">
        <f t="shared" si="2"/>
        <v/>
      </c>
      <c r="AG93" s="18" t="str">
        <f t="shared" si="3"/>
        <v/>
      </c>
      <c r="AH93" s="18" t="str">
        <f t="shared" si="4"/>
        <v/>
      </c>
      <c r="AI93" s="18" t="e">
        <f>IF(AND(ISNUMBER(AI92),ISNUMBER(S93)),(VLOOKUP(AD93,AB93:AC191,2,FALSE)),IF(ISNUMBER(S93),R93,NA()))</f>
        <v>#N/A</v>
      </c>
      <c r="AJ93" s="18" t="e">
        <f t="shared" si="5"/>
        <v>#N/A</v>
      </c>
      <c r="AK93" s="18" t="str">
        <f t="shared" si="6"/>
        <v/>
      </c>
      <c r="AL93" s="18" t="str">
        <f t="shared" si="7"/>
        <v/>
      </c>
      <c r="AM93" s="1"/>
      <c r="AN93" s="1"/>
      <c r="AO93" s="1"/>
      <c r="AP93" s="1"/>
      <c r="AQ93" s="1"/>
      <c r="AS93" s="166">
        <f t="shared" si="8"/>
        <v>27.201250000000002</v>
      </c>
      <c r="AT93" s="40">
        <f t="shared" si="45"/>
        <v>5</v>
      </c>
      <c r="AU93" s="166">
        <f t="shared" si="9"/>
        <v>27.201250000000002</v>
      </c>
      <c r="AV93" s="40">
        <f t="shared" si="0"/>
        <v>5</v>
      </c>
      <c r="AW93" s="152"/>
      <c r="AY93" s="166">
        <f t="shared" si="10"/>
        <v>27.201250000000002</v>
      </c>
      <c r="AZ93">
        <f t="shared" si="11"/>
        <v>3.5010000000000003</v>
      </c>
      <c r="BA93" s="341">
        <f t="shared" si="12"/>
        <v>27.201250000000002</v>
      </c>
      <c r="BB93">
        <f t="shared" si="13"/>
        <v>3.5010000000000003</v>
      </c>
      <c r="BD93">
        <f t="shared" si="14"/>
        <v>1.4989999999999997</v>
      </c>
      <c r="BE93" s="2">
        <f t="shared" si="15"/>
        <v>0</v>
      </c>
      <c r="BF93" s="122">
        <f t="shared" si="16"/>
        <v>0</v>
      </c>
      <c r="BG93" t="str">
        <f t="shared" si="17"/>
        <v>MAX WSE</v>
      </c>
      <c r="BH93" s="122">
        <f t="shared" si="85"/>
        <v>5</v>
      </c>
      <c r="BJ93" s="122">
        <f t="shared" si="19"/>
        <v>1.4989999999999997</v>
      </c>
      <c r="BL93" s="2">
        <f t="shared" si="47"/>
        <v>0</v>
      </c>
      <c r="BM93" s="2"/>
      <c r="BN93" s="2">
        <f t="shared" si="21"/>
        <v>27.201250000000002</v>
      </c>
      <c r="BO93" s="2" t="str">
        <f>IF(BP93="Left",IF(ISERROR(VLOOKUP(BN93,XS_Designer_Summary!$A$21:$B$25,2,TRUE)),"",VLOOKUP(BN93,XS_Designer_Summary!$A$21:$B$25,2,TRUE)),IF(ISERROR(VLOOKUP(-BN93,XS_Designer_Summary!$A$28:$B$32,2,TRUE)),"",VLOOKUP(-BN93,XS_Designer_Summary!$A$28:$B$32,2,TRUE)))</f>
        <v>Right 3rd Stage</v>
      </c>
      <c r="BP93" s="2" t="str">
        <f>IF(AU93&lt;XS_Designer_Summary!$B$7,"Left",IF(AU93&gt;XS_Designer_Summary!$B$7,"Right","Thalweg"))</f>
        <v>Right</v>
      </c>
      <c r="BQ93" s="2">
        <f t="shared" si="22"/>
        <v>0</v>
      </c>
      <c r="BR93" s="2">
        <f t="shared" si="23"/>
        <v>0</v>
      </c>
      <c r="BS93" s="2">
        <f t="shared" si="24"/>
        <v>0</v>
      </c>
      <c r="BT93" s="2">
        <f t="shared" si="25"/>
        <v>0</v>
      </c>
      <c r="BU93" s="2">
        <f t="shared" si="26"/>
        <v>1.4989999999999997</v>
      </c>
      <c r="BV93" s="2">
        <f t="shared" si="27"/>
        <v>0</v>
      </c>
      <c r="BX93" s="2">
        <f>IF(AND(ISNUMBER($BN93),$BO93="Left 2nd Stage",SUM($BX$5:BX92)=0),$BN93,0)</f>
        <v>0</v>
      </c>
      <c r="BY93" s="2">
        <f>IF(AND(ISNUMBER($BN93),$BO93="Left Bankfull",SUM($BY$5:$BY92)=0),$BN93,0)</f>
        <v>0</v>
      </c>
      <c r="BZ93" s="2">
        <f>IF(AND(ISNUMBER($BN93),$BO93="Right 2nd Stage",SUM($BZ$5:$BZ92)=0),$BN92,0)</f>
        <v>0</v>
      </c>
      <c r="CA93" s="2">
        <f t="shared" si="46"/>
        <v>0</v>
      </c>
    </row>
    <row r="94" spans="1:79" ht="15">
      <c r="A94" s="2">
        <v>90</v>
      </c>
      <c r="B94" s="111" t="e">
        <f>IF(ISNUMBER(XS_Designer!F94),XS_Designer!F94,NA())</f>
        <v>#N/A</v>
      </c>
      <c r="C94" s="111" t="e">
        <f>IF(ISNUMBER(XS_Designer!G94),XS_Designer!G94,NA())</f>
        <v>#N/A</v>
      </c>
      <c r="D94" s="111" t="str">
        <f>IF(ISNUMBER(XS_Designer!I94),XS_Designer!I94,"")</f>
        <v/>
      </c>
      <c r="E94" s="2" t="str">
        <f t="shared" si="28"/>
        <v/>
      </c>
      <c r="F94" s="111" t="str">
        <f>IF(ISTEXT(XS_Designer!H94),VLOOKUP(XS_Designer!H94,$K$12:$L$20,2,FALSE),"")</f>
        <v/>
      </c>
      <c r="G94" s="54" t="str">
        <f t="shared" si="29"/>
        <v/>
      </c>
      <c r="O94" s="1"/>
      <c r="P94" s="1"/>
      <c r="Q94" s="2" t="str">
        <f t="shared" si="30"/>
        <v>N</v>
      </c>
      <c r="R94" s="2" t="str">
        <f t="shared" si="31"/>
        <v/>
      </c>
      <c r="S94" s="2" t="str">
        <f t="shared" si="32"/>
        <v/>
      </c>
      <c r="T94" s="2" t="str">
        <f t="shared" si="33"/>
        <v/>
      </c>
      <c r="U94" s="2" t="str">
        <f t="shared" si="34"/>
        <v/>
      </c>
      <c r="V94" s="97" t="str">
        <f t="shared" si="35"/>
        <v/>
      </c>
      <c r="W94" s="97" t="e">
        <f t="shared" si="36"/>
        <v>#N/A</v>
      </c>
      <c r="X94" s="2" t="e">
        <f t="shared" si="1"/>
        <v>#N/A</v>
      </c>
      <c r="Y94" s="95" t="str">
        <f t="shared" si="37"/>
        <v/>
      </c>
      <c r="Z94" s="261" t="str">
        <f t="shared" si="38"/>
        <v/>
      </c>
      <c r="AA94" s="95" t="str">
        <f>IF(ISNUMBER(Y94),INDEX(Y94:Y191,MATCH(TRUE,INDEX(Y94:Y191&lt;&gt;Y94,),0)),"")</f>
        <v/>
      </c>
      <c r="AB94" s="95" t="str">
        <f t="shared" si="40"/>
        <v/>
      </c>
      <c r="AC94" s="95" t="str">
        <f t="shared" si="41"/>
        <v/>
      </c>
      <c r="AD94" s="95" t="e">
        <f>IF(ISTEXT(AB94),INDEX(AB94:AB191,MATCH(TRUE,INDEX(AB94:AB191&lt;&gt;AB94,),0)),"")</f>
        <v>#N/A</v>
      </c>
      <c r="AE94" s="18" t="str">
        <f t="shared" si="43"/>
        <v/>
      </c>
      <c r="AF94" s="18" t="str">
        <f t="shared" si="2"/>
        <v/>
      </c>
      <c r="AG94" s="18" t="str">
        <f t="shared" si="3"/>
        <v/>
      </c>
      <c r="AH94" s="18" t="str">
        <f t="shared" si="4"/>
        <v/>
      </c>
      <c r="AI94" s="18" t="e">
        <f>IF(AND(ISNUMBER(AI93),ISNUMBER(S94)),(VLOOKUP(AD94,AB94:AC191,2,FALSE)),IF(ISNUMBER(S94),R94,NA()))</f>
        <v>#N/A</v>
      </c>
      <c r="AJ94" s="18" t="e">
        <f t="shared" si="5"/>
        <v>#N/A</v>
      </c>
      <c r="AK94" s="18" t="str">
        <f t="shared" si="6"/>
        <v/>
      </c>
      <c r="AL94" s="18" t="str">
        <f t="shared" si="7"/>
        <v/>
      </c>
      <c r="AM94" s="1"/>
      <c r="AN94" s="1"/>
      <c r="AO94" s="1"/>
      <c r="AP94" s="1"/>
      <c r="AQ94" s="1"/>
      <c r="AS94" s="166">
        <f t="shared" si="8"/>
        <v>27.201250000000002</v>
      </c>
      <c r="AT94" s="40">
        <f t="shared" si="45"/>
        <v>5</v>
      </c>
      <c r="AU94" s="166">
        <f t="shared" si="9"/>
        <v>27.201250000000002</v>
      </c>
      <c r="AV94" s="40">
        <f t="shared" si="0"/>
        <v>5</v>
      </c>
      <c r="AW94" s="152"/>
      <c r="AY94" s="166">
        <f t="shared" si="10"/>
        <v>27.201250000000002</v>
      </c>
      <c r="AZ94">
        <f t="shared" si="11"/>
        <v>3.5010000000000003</v>
      </c>
      <c r="BA94" s="341">
        <f t="shared" si="12"/>
        <v>27.201250000000002</v>
      </c>
      <c r="BB94">
        <f t="shared" si="13"/>
        <v>3.5010000000000003</v>
      </c>
      <c r="BD94">
        <f t="shared" si="14"/>
        <v>1.4989999999999997</v>
      </c>
      <c r="BE94" s="2">
        <f t="shared" si="15"/>
        <v>0</v>
      </c>
      <c r="BF94" s="122">
        <f t="shared" si="16"/>
        <v>0</v>
      </c>
      <c r="BG94" t="str">
        <f t="shared" si="17"/>
        <v>MAX WSE</v>
      </c>
      <c r="BH94" s="122">
        <f t="shared" si="85"/>
        <v>5</v>
      </c>
      <c r="BJ94" s="122">
        <f t="shared" si="19"/>
        <v>1.4989999999999997</v>
      </c>
      <c r="BL94" s="2">
        <f t="shared" si="47"/>
        <v>0</v>
      </c>
      <c r="BM94" s="2"/>
      <c r="BN94" s="2">
        <f t="shared" si="21"/>
        <v>27.201250000000002</v>
      </c>
      <c r="BO94" s="2" t="str">
        <f>IF(BP94="Left",IF(ISERROR(VLOOKUP(BN94,XS_Designer_Summary!$A$21:$B$25,2,TRUE)),"",VLOOKUP(BN94,XS_Designer_Summary!$A$21:$B$25,2,TRUE)),IF(ISERROR(VLOOKUP(-BN94,XS_Designer_Summary!$A$28:$B$32,2,TRUE)),"",VLOOKUP(-BN94,XS_Designer_Summary!$A$28:$B$32,2,TRUE)))</f>
        <v>Right 3rd Stage</v>
      </c>
      <c r="BP94" s="2" t="str">
        <f>IF(AU94&lt;XS_Designer_Summary!$B$7,"Left",IF(AU94&gt;XS_Designer_Summary!$B$7,"Right","Thalweg"))</f>
        <v>Right</v>
      </c>
      <c r="BQ94" s="2">
        <f t="shared" si="22"/>
        <v>0</v>
      </c>
      <c r="BR94" s="2">
        <f t="shared" si="23"/>
        <v>0</v>
      </c>
      <c r="BS94" s="2">
        <f t="shared" si="24"/>
        <v>0</v>
      </c>
      <c r="BT94" s="2">
        <f t="shared" si="25"/>
        <v>0</v>
      </c>
      <c r="BU94" s="2">
        <f t="shared" si="26"/>
        <v>1.4989999999999997</v>
      </c>
      <c r="BV94" s="2">
        <f t="shared" si="27"/>
        <v>0</v>
      </c>
      <c r="BX94" s="2">
        <f>IF(AND(ISNUMBER($BN94),$BO94="Left 2nd Stage",SUM($BX$5:BX93)=0),$BN94,0)</f>
        <v>0</v>
      </c>
      <c r="BY94" s="2">
        <f>IF(AND(ISNUMBER($BN94),$BO94="Left Bankfull",SUM($BY$5:$BY93)=0),$BN94,0)</f>
        <v>0</v>
      </c>
      <c r="BZ94" s="2">
        <f>IF(AND(ISNUMBER($BN94),$BO94="Right 2nd Stage",SUM($BZ$5:$BZ93)=0),$BN93,0)</f>
        <v>0</v>
      </c>
      <c r="CA94" s="2">
        <f t="shared" si="46"/>
        <v>0</v>
      </c>
    </row>
    <row r="95" spans="1:79" ht="15">
      <c r="A95" s="2">
        <v>91</v>
      </c>
      <c r="B95" s="111" t="e">
        <f>IF(ISNUMBER(XS_Designer!F95),XS_Designer!F95,NA())</f>
        <v>#N/A</v>
      </c>
      <c r="C95" s="111" t="e">
        <f>IF(ISNUMBER(XS_Designer!G95),XS_Designer!G95,NA())</f>
        <v>#N/A</v>
      </c>
      <c r="D95" s="111" t="str">
        <f>IF(ISNUMBER(XS_Designer!I95),XS_Designer!I95,"")</f>
        <v/>
      </c>
      <c r="E95" s="2" t="str">
        <f t="shared" si="28"/>
        <v/>
      </c>
      <c r="F95" s="111" t="str">
        <f>IF(ISTEXT(XS_Designer!H95),VLOOKUP(XS_Designer!H95,$K$12:$L$20,2,FALSE),"")</f>
        <v/>
      </c>
      <c r="G95" s="54" t="str">
        <f t="shared" si="29"/>
        <v/>
      </c>
      <c r="O95" s="1"/>
      <c r="P95" s="1"/>
      <c r="Q95" s="2" t="str">
        <f t="shared" si="30"/>
        <v>N</v>
      </c>
      <c r="R95" s="2" t="str">
        <f t="shared" si="31"/>
        <v/>
      </c>
      <c r="S95" s="2" t="str">
        <f t="shared" si="32"/>
        <v/>
      </c>
      <c r="T95" s="2" t="str">
        <f t="shared" si="33"/>
        <v/>
      </c>
      <c r="U95" s="2" t="str">
        <f t="shared" si="34"/>
        <v/>
      </c>
      <c r="V95" s="97" t="str">
        <f t="shared" si="35"/>
        <v/>
      </c>
      <c r="W95" s="97" t="e">
        <f t="shared" si="36"/>
        <v>#N/A</v>
      </c>
      <c r="X95" s="2" t="e">
        <f t="shared" si="1"/>
        <v>#N/A</v>
      </c>
      <c r="Y95" s="95" t="str">
        <f t="shared" si="37"/>
        <v/>
      </c>
      <c r="Z95" s="261" t="str">
        <f t="shared" si="38"/>
        <v/>
      </c>
      <c r="AA95" s="95" t="str">
        <f t="shared" ref="AA95:AA96" si="101">IF(ISNUMBER(Y95),INDEX(Y95:Y195,MATCH(TRUE,INDEX(Y95:Y195&lt;&gt;Y95,),0)),"")</f>
        <v/>
      </c>
      <c r="AB95" s="95" t="str">
        <f t="shared" si="40"/>
        <v/>
      </c>
      <c r="AC95" s="95" t="str">
        <f t="shared" si="41"/>
        <v/>
      </c>
      <c r="AD95" s="95" t="e">
        <f t="shared" ref="AD95:AD96" si="102">IF(ISTEXT(AB95),INDEX(AB95:AB195,MATCH(TRUE,INDEX(AB95:AB195&lt;&gt;AB95,),0)),"")</f>
        <v>#N/A</v>
      </c>
      <c r="AE95" s="18" t="str">
        <f t="shared" si="43"/>
        <v/>
      </c>
      <c r="AF95" s="18" t="str">
        <f t="shared" si="2"/>
        <v/>
      </c>
      <c r="AG95" s="18" t="str">
        <f t="shared" si="3"/>
        <v/>
      </c>
      <c r="AH95" s="18" t="str">
        <f t="shared" si="4"/>
        <v/>
      </c>
      <c r="AI95" s="18" t="e">
        <f t="shared" ref="AI95:AI96" si="103">IF(AND(ISNUMBER(AI94),ISNUMBER(S95)),(VLOOKUP(AD95,AB95:AC195,2,FALSE)),IF(ISNUMBER(S95),R95,NA()))</f>
        <v>#N/A</v>
      </c>
      <c r="AJ95" s="18" t="e">
        <f t="shared" si="5"/>
        <v>#N/A</v>
      </c>
      <c r="AK95" s="18" t="str">
        <f t="shared" si="6"/>
        <v/>
      </c>
      <c r="AL95" s="18" t="str">
        <f t="shared" si="7"/>
        <v/>
      </c>
      <c r="AM95" s="1"/>
      <c r="AN95" s="1"/>
      <c r="AO95" s="1"/>
      <c r="AP95" s="1"/>
      <c r="AQ95" s="1"/>
      <c r="AS95" s="166">
        <f t="shared" si="8"/>
        <v>27.201250000000002</v>
      </c>
      <c r="AT95" s="40">
        <f t="shared" si="45"/>
        <v>5</v>
      </c>
      <c r="AU95" s="166">
        <f t="shared" si="9"/>
        <v>27.201250000000002</v>
      </c>
      <c r="AV95" s="40">
        <f t="shared" si="0"/>
        <v>5</v>
      </c>
      <c r="AW95" s="152"/>
      <c r="AY95" s="166">
        <f t="shared" si="10"/>
        <v>27.201250000000002</v>
      </c>
      <c r="AZ95">
        <f t="shared" si="11"/>
        <v>3.5010000000000003</v>
      </c>
      <c r="BA95" s="341">
        <f t="shared" si="12"/>
        <v>27.201250000000002</v>
      </c>
      <c r="BB95">
        <f t="shared" si="13"/>
        <v>3.5010000000000003</v>
      </c>
      <c r="BD95">
        <f t="shared" si="14"/>
        <v>1.4989999999999997</v>
      </c>
      <c r="BE95" s="2">
        <f t="shared" si="15"/>
        <v>0</v>
      </c>
      <c r="BF95" s="122">
        <f t="shared" si="16"/>
        <v>0</v>
      </c>
      <c r="BG95" t="str">
        <f t="shared" si="17"/>
        <v>MAX WSE</v>
      </c>
      <c r="BH95" s="122">
        <f t="shared" si="85"/>
        <v>5</v>
      </c>
      <c r="BJ95" s="122">
        <f t="shared" si="19"/>
        <v>1.4989999999999997</v>
      </c>
      <c r="BL95" s="2">
        <f>IF(AND(ISNUMBER(B24),ISNUMBER(D24)),D24,IF(ISNUMBER(B24),BL23,0))</f>
        <v>0</v>
      </c>
      <c r="BM95" s="2"/>
      <c r="BN95" s="2">
        <f t="shared" si="21"/>
        <v>27.201250000000002</v>
      </c>
      <c r="BO95" s="2" t="str">
        <f>IF(BP95="Left",IF(ISERROR(VLOOKUP(BN95,XS_Designer_Summary!$A$21:$B$25,2,TRUE)),"",VLOOKUP(BN95,XS_Designer_Summary!$A$21:$B$25,2,TRUE)),IF(ISERROR(VLOOKUP(-BN95,XS_Designer_Summary!$A$28:$B$32,2,TRUE)),"",VLOOKUP(-BN95,XS_Designer_Summary!$A$28:$B$32,2,TRUE)))</f>
        <v>Right 3rd Stage</v>
      </c>
      <c r="BP95" s="2" t="str">
        <f>IF(AU95&lt;XS_Designer_Summary!$B$7,"Left",IF(AU95&gt;XS_Designer_Summary!$B$7,"Right","Thalweg"))</f>
        <v>Right</v>
      </c>
      <c r="BQ95" s="2">
        <f t="shared" si="22"/>
        <v>0</v>
      </c>
      <c r="BR95" s="2">
        <f t="shared" si="23"/>
        <v>0</v>
      </c>
      <c r="BS95" s="2">
        <f t="shared" si="24"/>
        <v>0</v>
      </c>
      <c r="BT95" s="2">
        <f t="shared" si="25"/>
        <v>0</v>
      </c>
      <c r="BU95" s="2">
        <f t="shared" si="26"/>
        <v>1.4989999999999997</v>
      </c>
      <c r="BV95" s="2">
        <f t="shared" si="27"/>
        <v>0</v>
      </c>
      <c r="BX95" s="2">
        <f>IF(AND(ISNUMBER($BN95),$BO95="Left 2nd Stage",SUM($BX$5:BX94)=0),$BN95,0)</f>
        <v>0</v>
      </c>
      <c r="BY95" s="2">
        <f>IF(AND(ISNUMBER($BN95),$BO95="Left Bankfull",SUM($BY$5:$BY94)=0),$BN95,0)</f>
        <v>0</v>
      </c>
      <c r="BZ95" s="2">
        <f>IF(AND(ISNUMBER($BN95),$BO95="Right 2nd Stage",SUM($BZ$5:$BZ94)=0),$BN94,0)</f>
        <v>0</v>
      </c>
      <c r="CA95" s="2">
        <f t="shared" si="46"/>
        <v>0</v>
      </c>
    </row>
    <row r="96" spans="1:79" ht="15">
      <c r="A96" s="2">
        <v>92</v>
      </c>
      <c r="B96" s="111" t="e">
        <f>IF(ISNUMBER(XS_Designer!F96),XS_Designer!F96,NA())</f>
        <v>#N/A</v>
      </c>
      <c r="C96" s="111" t="e">
        <f>IF(ISNUMBER(XS_Designer!G96),XS_Designer!G96,NA())</f>
        <v>#N/A</v>
      </c>
      <c r="D96" s="111" t="str">
        <f>IF(ISNUMBER(XS_Designer!I96),XS_Designer!I96,"")</f>
        <v/>
      </c>
      <c r="E96" s="2" t="str">
        <f t="shared" si="28"/>
        <v/>
      </c>
      <c r="F96" s="111" t="str">
        <f>IF(ISTEXT(XS_Designer!H96),VLOOKUP(XS_Designer!H96,$K$12:$L$20,2,FALSE),"")</f>
        <v/>
      </c>
      <c r="G96" s="54" t="str">
        <f t="shared" si="29"/>
        <v/>
      </c>
      <c r="O96" s="1"/>
      <c r="P96" s="1"/>
      <c r="Q96" s="2" t="str">
        <f t="shared" si="30"/>
        <v>N</v>
      </c>
      <c r="R96" s="2" t="str">
        <f t="shared" si="31"/>
        <v/>
      </c>
      <c r="S96" s="2" t="str">
        <f t="shared" si="32"/>
        <v/>
      </c>
      <c r="T96" s="2" t="str">
        <f t="shared" si="33"/>
        <v/>
      </c>
      <c r="U96" s="2" t="str">
        <f t="shared" si="34"/>
        <v/>
      </c>
      <c r="V96" s="97" t="str">
        <f t="shared" si="35"/>
        <v/>
      </c>
      <c r="W96" s="97" t="e">
        <f t="shared" si="36"/>
        <v>#N/A</v>
      </c>
      <c r="X96" s="2" t="e">
        <f t="shared" si="1"/>
        <v>#N/A</v>
      </c>
      <c r="Y96" s="95" t="str">
        <f t="shared" si="37"/>
        <v/>
      </c>
      <c r="Z96" s="261" t="str">
        <f t="shared" si="38"/>
        <v/>
      </c>
      <c r="AA96" s="95" t="str">
        <f t="shared" si="101"/>
        <v/>
      </c>
      <c r="AB96" s="95" t="str">
        <f t="shared" si="40"/>
        <v/>
      </c>
      <c r="AC96" s="95" t="str">
        <f t="shared" si="41"/>
        <v/>
      </c>
      <c r="AD96" s="95" t="e">
        <f t="shared" si="102"/>
        <v>#N/A</v>
      </c>
      <c r="AE96" s="18" t="str">
        <f t="shared" si="43"/>
        <v/>
      </c>
      <c r="AF96" s="18" t="str">
        <f t="shared" si="2"/>
        <v/>
      </c>
      <c r="AG96" s="18" t="str">
        <f t="shared" si="3"/>
        <v/>
      </c>
      <c r="AH96" s="18" t="str">
        <f t="shared" si="4"/>
        <v/>
      </c>
      <c r="AI96" s="18" t="e">
        <f t="shared" si="103"/>
        <v>#N/A</v>
      </c>
      <c r="AJ96" s="18" t="e">
        <f t="shared" si="5"/>
        <v>#N/A</v>
      </c>
      <c r="AK96" s="18" t="str">
        <f t="shared" si="6"/>
        <v/>
      </c>
      <c r="AL96" s="18" t="str">
        <f t="shared" si="7"/>
        <v/>
      </c>
      <c r="AM96" s="1"/>
      <c r="AN96" s="1"/>
      <c r="AO96" s="1"/>
      <c r="AP96" s="1"/>
      <c r="AQ96" s="1"/>
      <c r="AS96" s="166">
        <f t="shared" si="8"/>
        <v>27.201250000000002</v>
      </c>
      <c r="AT96" s="40">
        <f t="shared" si="45"/>
        <v>5</v>
      </c>
      <c r="AU96" s="166">
        <f t="shared" si="9"/>
        <v>27.201250000000002</v>
      </c>
      <c r="AV96" s="40">
        <f t="shared" si="0"/>
        <v>5</v>
      </c>
      <c r="AW96" s="152"/>
      <c r="AY96" s="166">
        <f t="shared" si="10"/>
        <v>27.201250000000002</v>
      </c>
      <c r="AZ96">
        <f t="shared" si="11"/>
        <v>3.5010000000000003</v>
      </c>
      <c r="BA96" s="341">
        <f t="shared" si="12"/>
        <v>27.201250000000002</v>
      </c>
      <c r="BB96">
        <f t="shared" si="13"/>
        <v>3.5010000000000003</v>
      </c>
      <c r="BD96">
        <f t="shared" si="14"/>
        <v>1.4989999999999997</v>
      </c>
      <c r="BE96" s="2">
        <f t="shared" si="15"/>
        <v>0</v>
      </c>
      <c r="BF96" s="122">
        <f t="shared" si="16"/>
        <v>0</v>
      </c>
      <c r="BG96" t="str">
        <f t="shared" si="17"/>
        <v>MAX WSE</v>
      </c>
      <c r="BH96" s="122">
        <f t="shared" si="85"/>
        <v>5</v>
      </c>
      <c r="BJ96" s="122">
        <f t="shared" si="19"/>
        <v>1.4989999999999997</v>
      </c>
      <c r="BL96" s="2">
        <f t="shared" ref="BL96:BL104" si="104">IF(AND(ISNUMBER(B25),ISNUMBER(D25)),D25,IF(ISNUMBER(B25),BL95,0))</f>
        <v>0</v>
      </c>
      <c r="BM96" s="2"/>
      <c r="BN96" s="2">
        <f t="shared" si="21"/>
        <v>27.201250000000002</v>
      </c>
      <c r="BO96" s="2" t="str">
        <f>IF(BP96="Left",IF(ISERROR(VLOOKUP(BN96,XS_Designer_Summary!$A$21:$B$25,2,TRUE)),"",VLOOKUP(BN96,XS_Designer_Summary!$A$21:$B$25,2,TRUE)),IF(ISERROR(VLOOKUP(-BN96,XS_Designer_Summary!$A$28:$B$32,2,TRUE)),"",VLOOKUP(-BN96,XS_Designer_Summary!$A$28:$B$32,2,TRUE)))</f>
        <v>Right 3rd Stage</v>
      </c>
      <c r="BP96" s="2" t="str">
        <f>IF(AU96&lt;XS_Designer_Summary!$B$7,"Left",IF(AU96&gt;XS_Designer_Summary!$B$7,"Right","Thalweg"))</f>
        <v>Right</v>
      </c>
      <c r="BQ96" s="2">
        <f t="shared" si="22"/>
        <v>0</v>
      </c>
      <c r="BR96" s="2">
        <f t="shared" si="23"/>
        <v>0</v>
      </c>
      <c r="BS96" s="2">
        <f t="shared" si="24"/>
        <v>0</v>
      </c>
      <c r="BT96" s="2">
        <f t="shared" si="25"/>
        <v>0</v>
      </c>
      <c r="BU96" s="2">
        <f t="shared" si="26"/>
        <v>1.4989999999999997</v>
      </c>
      <c r="BV96" s="2">
        <f t="shared" si="27"/>
        <v>0</v>
      </c>
      <c r="BX96" s="2">
        <f>IF(AND(ISNUMBER($BN96),$BO96="Left 2nd Stage",SUM($BX$5:BX95)=0),$BN96,0)</f>
        <v>0</v>
      </c>
      <c r="BY96" s="2">
        <f>IF(AND(ISNUMBER($BN96),$BO96="Left Bankfull",SUM($BY$5:$BY95)=0),$BN96,0)</f>
        <v>0</v>
      </c>
      <c r="BZ96" s="2">
        <f>IF(AND(ISNUMBER($BN96),$BO96="Right 2nd Stage",SUM($BZ$5:$BZ95)=0),$BN95,0)</f>
        <v>0</v>
      </c>
      <c r="CA96" s="2">
        <f t="shared" si="46"/>
        <v>0</v>
      </c>
    </row>
    <row r="97" spans="1:79" ht="15">
      <c r="A97" s="2">
        <v>93</v>
      </c>
      <c r="B97" s="111" t="e">
        <f>IF(ISNUMBER(XS_Designer!F97),XS_Designer!F97,NA())</f>
        <v>#N/A</v>
      </c>
      <c r="C97" s="111" t="e">
        <f>IF(ISNUMBER(XS_Designer!G97),XS_Designer!G97,NA())</f>
        <v>#N/A</v>
      </c>
      <c r="D97" s="111" t="str">
        <f>IF(ISNUMBER(XS_Designer!I97),XS_Designer!I97,"")</f>
        <v/>
      </c>
      <c r="E97" s="2" t="str">
        <f t="shared" si="28"/>
        <v/>
      </c>
      <c r="F97" s="111" t="str">
        <f>IF(ISTEXT(XS_Designer!H97),VLOOKUP(XS_Designer!H97,$K$12:$L$20,2,FALSE),"")</f>
        <v/>
      </c>
      <c r="G97" s="54" t="str">
        <f t="shared" si="29"/>
        <v/>
      </c>
      <c r="O97" s="1"/>
      <c r="P97" s="1"/>
      <c r="Q97" s="2" t="str">
        <f t="shared" si="30"/>
        <v>N</v>
      </c>
      <c r="R97" s="2" t="str">
        <f t="shared" si="31"/>
        <v/>
      </c>
      <c r="S97" s="2" t="str">
        <f t="shared" si="32"/>
        <v/>
      </c>
      <c r="T97" s="2" t="str">
        <f t="shared" si="33"/>
        <v/>
      </c>
      <c r="U97" s="2" t="str">
        <f t="shared" si="34"/>
        <v/>
      </c>
      <c r="V97" s="97" t="str">
        <f t="shared" si="35"/>
        <v/>
      </c>
      <c r="W97" s="97" t="e">
        <f t="shared" si="36"/>
        <v>#N/A</v>
      </c>
      <c r="X97" s="2" t="e">
        <f t="shared" si="1"/>
        <v>#N/A</v>
      </c>
      <c r="Y97" s="95" t="str">
        <f t="shared" si="37"/>
        <v/>
      </c>
      <c r="Z97" s="261" t="str">
        <f t="shared" si="38"/>
        <v/>
      </c>
      <c r="AA97" s="95" t="str">
        <f>IF(ISNUMBER(Y97),INDEX(Y97:Y196,MATCH(TRUE,INDEX(Y97:Y196&lt;&gt;Y97,),0)),"")</f>
        <v/>
      </c>
      <c r="AB97" s="95" t="str">
        <f t="shared" si="40"/>
        <v/>
      </c>
      <c r="AC97" s="95" t="str">
        <f t="shared" si="41"/>
        <v/>
      </c>
      <c r="AD97" s="95" t="e">
        <f>IF(ISTEXT(AB97),INDEX(AB97:AB196,MATCH(TRUE,INDEX(AB97:AB196&lt;&gt;AB97,),0)),"")</f>
        <v>#N/A</v>
      </c>
      <c r="AE97" s="18" t="str">
        <f t="shared" si="43"/>
        <v/>
      </c>
      <c r="AF97" s="18" t="str">
        <f t="shared" si="2"/>
        <v/>
      </c>
      <c r="AG97" s="18" t="str">
        <f t="shared" si="3"/>
        <v/>
      </c>
      <c r="AH97" s="18" t="str">
        <f t="shared" si="4"/>
        <v/>
      </c>
      <c r="AI97" s="18" t="e">
        <f>IF(AND(ISNUMBER(AI96),ISNUMBER(S97)),(VLOOKUP(AD97,AB97:AC196,2,FALSE)),IF(ISNUMBER(S97),R97,NA()))</f>
        <v>#N/A</v>
      </c>
      <c r="AJ97" s="18" t="e">
        <f t="shared" si="5"/>
        <v>#N/A</v>
      </c>
      <c r="AK97" s="18" t="str">
        <f t="shared" si="6"/>
        <v/>
      </c>
      <c r="AL97" s="18" t="str">
        <f t="shared" si="7"/>
        <v/>
      </c>
      <c r="AM97" s="1"/>
      <c r="AN97" s="1"/>
      <c r="AO97" s="1"/>
      <c r="AP97" s="1"/>
      <c r="AQ97" s="1"/>
      <c r="AS97" s="166">
        <f t="shared" si="8"/>
        <v>27.201250000000002</v>
      </c>
      <c r="AT97" s="40">
        <f t="shared" si="45"/>
        <v>5</v>
      </c>
      <c r="AU97" s="166">
        <f t="shared" si="9"/>
        <v>27.201250000000002</v>
      </c>
      <c r="AV97" s="40">
        <f t="shared" si="0"/>
        <v>5</v>
      </c>
      <c r="AW97" s="152"/>
      <c r="AY97" s="166">
        <f t="shared" si="10"/>
        <v>27.201250000000002</v>
      </c>
      <c r="AZ97">
        <f t="shared" si="11"/>
        <v>3.5010000000000003</v>
      </c>
      <c r="BA97" s="341">
        <f t="shared" si="12"/>
        <v>27.201250000000002</v>
      </c>
      <c r="BB97">
        <f t="shared" si="13"/>
        <v>3.5010000000000003</v>
      </c>
      <c r="BD97">
        <f t="shared" si="14"/>
        <v>1.4989999999999997</v>
      </c>
      <c r="BE97" s="2">
        <f t="shared" si="15"/>
        <v>0</v>
      </c>
      <c r="BF97" s="122">
        <f t="shared" si="16"/>
        <v>0</v>
      </c>
      <c r="BG97" t="str">
        <f t="shared" si="17"/>
        <v>MAX WSE</v>
      </c>
      <c r="BH97" s="122">
        <f t="shared" si="85"/>
        <v>5</v>
      </c>
      <c r="BJ97" s="122">
        <f t="shared" si="19"/>
        <v>1.4989999999999997</v>
      </c>
      <c r="BL97" s="2">
        <f t="shared" si="104"/>
        <v>0</v>
      </c>
      <c r="BM97" s="2"/>
      <c r="BN97" s="2">
        <f t="shared" si="21"/>
        <v>27.201250000000002</v>
      </c>
      <c r="BO97" s="2" t="str">
        <f>IF(BP97="Left",IF(ISERROR(VLOOKUP(BN97,XS_Designer_Summary!$A$21:$B$25,2,TRUE)),"",VLOOKUP(BN97,XS_Designer_Summary!$A$21:$B$25,2,TRUE)),IF(ISERROR(VLOOKUP(-BN97,XS_Designer_Summary!$A$28:$B$32,2,TRUE)),"",VLOOKUP(-BN97,XS_Designer_Summary!$A$28:$B$32,2,TRUE)))</f>
        <v>Right 3rd Stage</v>
      </c>
      <c r="BP97" s="2" t="str">
        <f>IF(AU97&lt;XS_Designer_Summary!$B$7,"Left",IF(AU97&gt;XS_Designer_Summary!$B$7,"Right","Thalweg"))</f>
        <v>Right</v>
      </c>
      <c r="BQ97" s="2">
        <f t="shared" si="22"/>
        <v>0</v>
      </c>
      <c r="BR97" s="2">
        <f t="shared" si="23"/>
        <v>0</v>
      </c>
      <c r="BS97" s="2">
        <f t="shared" si="24"/>
        <v>0</v>
      </c>
      <c r="BT97" s="2">
        <f t="shared" si="25"/>
        <v>0</v>
      </c>
      <c r="BU97" s="2">
        <f t="shared" si="26"/>
        <v>1.4989999999999997</v>
      </c>
      <c r="BV97" s="2">
        <f t="shared" si="27"/>
        <v>0</v>
      </c>
      <c r="BX97" s="2">
        <f>IF(AND(ISNUMBER($BN97),$BO97="Left 2nd Stage",SUM($BX$5:BX96)=0),$BN97,0)</f>
        <v>0</v>
      </c>
      <c r="BY97" s="2">
        <f>IF(AND(ISNUMBER($BN97),$BO97="Left Bankfull",SUM($BY$5:$BY96)=0),$BN97,0)</f>
        <v>0</v>
      </c>
      <c r="BZ97" s="2">
        <f>IF(AND(ISNUMBER($BN97),$BO97="Right 2nd Stage",SUM($BZ$5:$BZ96)=0),$BN96,0)</f>
        <v>0</v>
      </c>
      <c r="CA97" s="2">
        <f t="shared" si="46"/>
        <v>0</v>
      </c>
    </row>
    <row r="98" spans="1:79" ht="15">
      <c r="A98" s="2">
        <v>94</v>
      </c>
      <c r="B98" s="111" t="e">
        <f>IF(ISNUMBER(XS_Designer!F98),XS_Designer!F98,NA())</f>
        <v>#N/A</v>
      </c>
      <c r="C98" s="111" t="e">
        <f>IF(ISNUMBER(XS_Designer!G98),XS_Designer!G98,NA())</f>
        <v>#N/A</v>
      </c>
      <c r="D98" s="111" t="str">
        <f>IF(ISNUMBER(XS_Designer!I98),XS_Designer!I98,"")</f>
        <v/>
      </c>
      <c r="E98" s="2" t="str">
        <f t="shared" si="28"/>
        <v/>
      </c>
      <c r="F98" s="111" t="str">
        <f>IF(ISTEXT(XS_Designer!H98),VLOOKUP(XS_Designer!H98,$K$12:$L$20,2,FALSE),"")</f>
        <v/>
      </c>
      <c r="G98" s="54" t="str">
        <f t="shared" si="29"/>
        <v/>
      </c>
      <c r="O98" s="1"/>
      <c r="P98" s="1"/>
      <c r="Q98" s="2" t="str">
        <f t="shared" si="30"/>
        <v>N</v>
      </c>
      <c r="R98" s="2" t="str">
        <f t="shared" si="31"/>
        <v/>
      </c>
      <c r="S98" s="2" t="str">
        <f t="shared" si="32"/>
        <v/>
      </c>
      <c r="T98" s="2" t="str">
        <f t="shared" si="33"/>
        <v/>
      </c>
      <c r="U98" s="2" t="str">
        <f t="shared" si="34"/>
        <v/>
      </c>
      <c r="V98" s="97" t="str">
        <f t="shared" si="35"/>
        <v/>
      </c>
      <c r="W98" s="97" t="e">
        <f t="shared" si="36"/>
        <v>#N/A</v>
      </c>
      <c r="X98" s="2" t="e">
        <f t="shared" si="1"/>
        <v>#N/A</v>
      </c>
      <c r="Y98" s="95" t="str">
        <f t="shared" si="37"/>
        <v/>
      </c>
      <c r="Z98" s="261" t="str">
        <f t="shared" si="38"/>
        <v/>
      </c>
      <c r="AA98" s="95" t="str">
        <f>IF(ISNUMBER(Y98),INDEX(Y98:Y196,MATCH(TRUE,INDEX(Y98:Y196&lt;&gt;Y98,),0)),"")</f>
        <v/>
      </c>
      <c r="AB98" s="95" t="str">
        <f t="shared" si="40"/>
        <v/>
      </c>
      <c r="AC98" s="95" t="str">
        <f t="shared" si="41"/>
        <v/>
      </c>
      <c r="AD98" s="95" t="e">
        <f>IF(ISTEXT(AB98),INDEX(AB98:AB196,MATCH(TRUE,INDEX(AB98:AB196&lt;&gt;AB98,),0)),"")</f>
        <v>#N/A</v>
      </c>
      <c r="AE98" s="18" t="str">
        <f t="shared" si="43"/>
        <v/>
      </c>
      <c r="AF98" s="18" t="str">
        <f t="shared" si="2"/>
        <v/>
      </c>
      <c r="AG98" s="18" t="str">
        <f t="shared" si="3"/>
        <v/>
      </c>
      <c r="AH98" s="18" t="str">
        <f t="shared" si="4"/>
        <v/>
      </c>
      <c r="AI98" s="18" t="e">
        <f>IF(AND(ISNUMBER(AI97),ISNUMBER(S98)),(VLOOKUP(AD98,AB98:AC196,2,FALSE)),IF(ISNUMBER(S98),R98,NA()))</f>
        <v>#N/A</v>
      </c>
      <c r="AJ98" s="18" t="e">
        <f t="shared" si="5"/>
        <v>#N/A</v>
      </c>
      <c r="AK98" s="18" t="str">
        <f t="shared" si="6"/>
        <v/>
      </c>
      <c r="AL98" s="18" t="str">
        <f t="shared" si="7"/>
        <v/>
      </c>
      <c r="AM98" s="1"/>
      <c r="AN98" s="1"/>
      <c r="AO98" s="1"/>
      <c r="AP98" s="1"/>
      <c r="AQ98" s="1"/>
      <c r="AS98" s="166">
        <f t="shared" si="8"/>
        <v>27.201250000000002</v>
      </c>
      <c r="AT98" s="40">
        <f t="shared" si="45"/>
        <v>5</v>
      </c>
      <c r="AU98" s="166">
        <f t="shared" si="9"/>
        <v>27.201250000000002</v>
      </c>
      <c r="AV98" s="40">
        <f t="shared" si="0"/>
        <v>5</v>
      </c>
      <c r="AW98" s="152"/>
      <c r="AY98" s="166">
        <f t="shared" si="10"/>
        <v>27.201250000000002</v>
      </c>
      <c r="AZ98">
        <f t="shared" si="11"/>
        <v>3.5010000000000003</v>
      </c>
      <c r="BA98" s="341">
        <f t="shared" si="12"/>
        <v>27.201250000000002</v>
      </c>
      <c r="BB98">
        <f t="shared" si="13"/>
        <v>3.5010000000000003</v>
      </c>
      <c r="BD98">
        <f t="shared" si="14"/>
        <v>1.4989999999999997</v>
      </c>
      <c r="BE98" s="2">
        <f t="shared" si="15"/>
        <v>0</v>
      </c>
      <c r="BF98" s="122">
        <f t="shared" si="16"/>
        <v>0</v>
      </c>
      <c r="BG98" t="str">
        <f t="shared" si="17"/>
        <v>MAX WSE</v>
      </c>
      <c r="BH98" s="122">
        <f t="shared" si="85"/>
        <v>5</v>
      </c>
      <c r="BJ98" s="122">
        <f t="shared" si="19"/>
        <v>1.4989999999999997</v>
      </c>
      <c r="BL98" s="2">
        <f t="shared" si="104"/>
        <v>0</v>
      </c>
      <c r="BM98" s="2"/>
      <c r="BN98" s="2">
        <f t="shared" si="21"/>
        <v>27.201250000000002</v>
      </c>
      <c r="BO98" s="2" t="str">
        <f>IF(BP98="Left",IF(ISERROR(VLOOKUP(BN98,XS_Designer_Summary!$A$21:$B$25,2,TRUE)),"",VLOOKUP(BN98,XS_Designer_Summary!$A$21:$B$25,2,TRUE)),IF(ISERROR(VLOOKUP(-BN98,XS_Designer_Summary!$A$28:$B$32,2,TRUE)),"",VLOOKUP(-BN98,XS_Designer_Summary!$A$28:$B$32,2,TRUE)))</f>
        <v>Right 3rd Stage</v>
      </c>
      <c r="BP98" s="2" t="str">
        <f>IF(AU98&lt;XS_Designer_Summary!$B$7,"Left",IF(AU98&gt;XS_Designer_Summary!$B$7,"Right","Thalweg"))</f>
        <v>Right</v>
      </c>
      <c r="BQ98" s="2">
        <f t="shared" si="22"/>
        <v>0</v>
      </c>
      <c r="BR98" s="2">
        <f t="shared" si="23"/>
        <v>0</v>
      </c>
      <c r="BS98" s="2">
        <f t="shared" si="24"/>
        <v>0</v>
      </c>
      <c r="BT98" s="2">
        <f t="shared" si="25"/>
        <v>0</v>
      </c>
      <c r="BU98" s="2">
        <f t="shared" si="26"/>
        <v>1.4989999999999997</v>
      </c>
      <c r="BV98" s="2">
        <f t="shared" si="27"/>
        <v>0</v>
      </c>
      <c r="BX98" s="2">
        <f>IF(AND(ISNUMBER($BN98),$BO98="Left 2nd Stage",SUM($BX$5:BX97)=0),$BN98,0)</f>
        <v>0</v>
      </c>
      <c r="BY98" s="2">
        <f>IF(AND(ISNUMBER($BN98),$BO98="Left Bankfull",SUM($BY$5:$BY97)=0),$BN98,0)</f>
        <v>0</v>
      </c>
      <c r="BZ98" s="2">
        <f>IF(AND(ISNUMBER($BN98),$BO98="Right 2nd Stage",SUM($BZ$5:$BZ97)=0),$BN97,0)</f>
        <v>0</v>
      </c>
      <c r="CA98" s="2">
        <f t="shared" si="46"/>
        <v>0</v>
      </c>
    </row>
    <row r="99" spans="1:79" ht="15">
      <c r="A99" s="2">
        <v>95</v>
      </c>
      <c r="B99" s="111" t="e">
        <f>IF(ISNUMBER(XS_Designer!F99),XS_Designer!F99,NA())</f>
        <v>#N/A</v>
      </c>
      <c r="C99" s="111" t="e">
        <f>IF(ISNUMBER(XS_Designer!G99),XS_Designer!G99,NA())</f>
        <v>#N/A</v>
      </c>
      <c r="D99" s="111" t="str">
        <f>IF(ISNUMBER(XS_Designer!I99),XS_Designer!I99,"")</f>
        <v/>
      </c>
      <c r="E99" s="2" t="str">
        <f t="shared" si="28"/>
        <v/>
      </c>
      <c r="F99" s="111" t="str">
        <f>IF(ISTEXT(XS_Designer!H99),VLOOKUP(XS_Designer!H99,$K$12:$L$20,2,FALSE),"")</f>
        <v/>
      </c>
      <c r="G99" s="54" t="str">
        <f t="shared" si="29"/>
        <v/>
      </c>
      <c r="O99" s="1"/>
      <c r="P99" s="1"/>
      <c r="Q99" s="2" t="str">
        <f t="shared" si="30"/>
        <v>N</v>
      </c>
      <c r="R99" s="2" t="str">
        <f t="shared" si="31"/>
        <v/>
      </c>
      <c r="S99" s="2" t="str">
        <f t="shared" si="32"/>
        <v/>
      </c>
      <c r="T99" s="2" t="str">
        <f t="shared" si="33"/>
        <v/>
      </c>
      <c r="U99" s="2" t="str">
        <f t="shared" si="34"/>
        <v/>
      </c>
      <c r="V99" s="97" t="str">
        <f t="shared" si="35"/>
        <v/>
      </c>
      <c r="W99" s="97" t="e">
        <f t="shared" si="36"/>
        <v>#N/A</v>
      </c>
      <c r="X99" s="2" t="e">
        <f t="shared" si="1"/>
        <v>#N/A</v>
      </c>
      <c r="Y99" s="95" t="str">
        <f t="shared" si="37"/>
        <v/>
      </c>
      <c r="Z99" s="261" t="str">
        <f t="shared" si="38"/>
        <v/>
      </c>
      <c r="AA99" s="95" t="str">
        <f>IF(ISNUMBER(Y99),INDEX(Y99:Y196,MATCH(TRUE,INDEX(Y99:Y196&lt;&gt;Y99,),0)),"")</f>
        <v/>
      </c>
      <c r="AB99" s="95" t="str">
        <f t="shared" si="40"/>
        <v/>
      </c>
      <c r="AC99" s="95" t="str">
        <f t="shared" si="41"/>
        <v/>
      </c>
      <c r="AD99" s="95" t="e">
        <f>IF(ISTEXT(AB99),INDEX(AB99:AB196,MATCH(TRUE,INDEX(AB99:AB196&lt;&gt;AB99,),0)),"")</f>
        <v>#N/A</v>
      </c>
      <c r="AE99" s="18" t="str">
        <f t="shared" si="43"/>
        <v/>
      </c>
      <c r="AF99" s="18" t="str">
        <f t="shared" si="2"/>
        <v/>
      </c>
      <c r="AG99" s="18" t="str">
        <f t="shared" si="3"/>
        <v/>
      </c>
      <c r="AH99" s="18" t="str">
        <f t="shared" si="4"/>
        <v/>
      </c>
      <c r="AI99" s="18" t="e">
        <f>IF(AND(ISNUMBER(AI98),ISNUMBER(S99)),(VLOOKUP(AD99,AB99:AC196,2,FALSE)),IF(ISNUMBER(S99),R99,NA()))</f>
        <v>#N/A</v>
      </c>
      <c r="AJ99" s="18" t="e">
        <f t="shared" si="5"/>
        <v>#N/A</v>
      </c>
      <c r="AK99" s="18" t="str">
        <f t="shared" si="6"/>
        <v/>
      </c>
      <c r="AL99" s="18" t="str">
        <f t="shared" si="7"/>
        <v/>
      </c>
      <c r="AM99" s="1"/>
      <c r="AN99" s="1"/>
      <c r="AO99" s="1"/>
      <c r="AP99" s="1"/>
      <c r="AQ99" s="1"/>
      <c r="AS99" s="166">
        <f t="shared" si="8"/>
        <v>27.201250000000002</v>
      </c>
      <c r="AT99" s="40">
        <f t="shared" si="45"/>
        <v>5</v>
      </c>
      <c r="AU99" s="166">
        <f t="shared" si="9"/>
        <v>27.201250000000002</v>
      </c>
      <c r="AV99" s="40">
        <f t="shared" si="0"/>
        <v>5</v>
      </c>
      <c r="AW99" s="152"/>
      <c r="AY99" s="166">
        <f t="shared" si="10"/>
        <v>27.201250000000002</v>
      </c>
      <c r="AZ99">
        <f t="shared" si="11"/>
        <v>3.5010000000000003</v>
      </c>
      <c r="BA99" s="341">
        <f t="shared" si="12"/>
        <v>27.201250000000002</v>
      </c>
      <c r="BB99">
        <f t="shared" si="13"/>
        <v>3.5010000000000003</v>
      </c>
      <c r="BD99">
        <f t="shared" si="14"/>
        <v>1.4989999999999997</v>
      </c>
      <c r="BE99" s="2">
        <f t="shared" si="15"/>
        <v>0</v>
      </c>
      <c r="BF99" s="122">
        <f t="shared" si="16"/>
        <v>0</v>
      </c>
      <c r="BG99" t="str">
        <f t="shared" si="17"/>
        <v>MAX WSE</v>
      </c>
      <c r="BH99" s="122">
        <f t="shared" si="85"/>
        <v>5</v>
      </c>
      <c r="BJ99" s="122">
        <f t="shared" si="19"/>
        <v>1.4989999999999997</v>
      </c>
      <c r="BL99" s="2">
        <f t="shared" si="104"/>
        <v>0</v>
      </c>
      <c r="BM99" s="2"/>
      <c r="BN99" s="2">
        <f t="shared" si="21"/>
        <v>27.201250000000002</v>
      </c>
      <c r="BO99" s="2" t="str">
        <f>IF(BP99="Left",IF(ISERROR(VLOOKUP(BN99,XS_Designer_Summary!$A$21:$B$25,2,TRUE)),"",VLOOKUP(BN99,XS_Designer_Summary!$A$21:$B$25,2,TRUE)),IF(ISERROR(VLOOKUP(-BN99,XS_Designer_Summary!$A$28:$B$32,2,TRUE)),"",VLOOKUP(-BN99,XS_Designer_Summary!$A$28:$B$32,2,TRUE)))</f>
        <v>Right 3rd Stage</v>
      </c>
      <c r="BP99" s="2" t="str">
        <f>IF(AU99&lt;XS_Designer_Summary!$B$7,"Left",IF(AU99&gt;XS_Designer_Summary!$B$7,"Right","Thalweg"))</f>
        <v>Right</v>
      </c>
      <c r="BQ99" s="2">
        <f t="shared" si="22"/>
        <v>0</v>
      </c>
      <c r="BR99" s="2">
        <f t="shared" si="23"/>
        <v>0</v>
      </c>
      <c r="BS99" s="2">
        <f t="shared" si="24"/>
        <v>0</v>
      </c>
      <c r="BT99" s="2">
        <f t="shared" si="25"/>
        <v>0</v>
      </c>
      <c r="BU99" s="2">
        <f t="shared" si="26"/>
        <v>1.4989999999999997</v>
      </c>
      <c r="BV99" s="2">
        <f t="shared" si="27"/>
        <v>0</v>
      </c>
      <c r="BX99" s="2">
        <f>IF(AND(ISNUMBER($BN99),$BO99="Left 2nd Stage",SUM($BX$5:BX98)=0),$BN99,0)</f>
        <v>0</v>
      </c>
      <c r="BY99" s="2">
        <f>IF(AND(ISNUMBER($BN99),$BO99="Left Bankfull",SUM($BY$5:$BY98)=0),$BN99,0)</f>
        <v>0</v>
      </c>
      <c r="BZ99" s="2">
        <f>IF(AND(ISNUMBER($BN99),$BO99="Right 2nd Stage",SUM($BZ$5:$BZ98)=0),$BN98,0)</f>
        <v>0</v>
      </c>
      <c r="CA99" s="2">
        <f t="shared" si="46"/>
        <v>0</v>
      </c>
    </row>
    <row r="100" spans="1:79" ht="15">
      <c r="A100" s="2">
        <v>96</v>
      </c>
      <c r="B100" s="111" t="e">
        <f>IF(ISNUMBER(XS_Designer!F100),XS_Designer!F100,NA())</f>
        <v>#N/A</v>
      </c>
      <c r="C100" s="111" t="e">
        <f>IF(ISNUMBER(XS_Designer!G100),XS_Designer!G100,NA())</f>
        <v>#N/A</v>
      </c>
      <c r="D100" s="111" t="str">
        <f>IF(ISNUMBER(XS_Designer!I100),XS_Designer!I100,"")</f>
        <v/>
      </c>
      <c r="E100" s="2" t="str">
        <f t="shared" si="28"/>
        <v/>
      </c>
      <c r="F100" s="111" t="str">
        <f>IF(ISTEXT(XS_Designer!H100),VLOOKUP(XS_Designer!H100,$K$12:$L$20,2,FALSE),"")</f>
        <v/>
      </c>
      <c r="G100" s="54" t="str">
        <f t="shared" si="29"/>
        <v/>
      </c>
      <c r="Q100" s="2" t="str">
        <f t="shared" si="30"/>
        <v>N</v>
      </c>
      <c r="R100" s="2" t="str">
        <f t="shared" si="31"/>
        <v/>
      </c>
      <c r="S100" s="2" t="str">
        <f t="shared" si="32"/>
        <v/>
      </c>
      <c r="T100" s="2" t="str">
        <f t="shared" si="33"/>
        <v/>
      </c>
      <c r="U100" s="2" t="str">
        <f t="shared" si="34"/>
        <v/>
      </c>
      <c r="V100" s="97" t="str">
        <f t="shared" si="35"/>
        <v/>
      </c>
      <c r="W100" s="97" t="e">
        <f t="shared" si="36"/>
        <v>#N/A</v>
      </c>
      <c r="X100" s="2" t="e">
        <f t="shared" si="1"/>
        <v>#N/A</v>
      </c>
      <c r="Y100" s="95" t="str">
        <f t="shared" si="37"/>
        <v/>
      </c>
      <c r="Z100" s="261" t="str">
        <f t="shared" si="38"/>
        <v/>
      </c>
      <c r="AA100" s="95" t="str">
        <f t="shared" ref="AA100:AA101" si="105">IF(ISNUMBER(Y100),INDEX(Y100:Y200,MATCH(TRUE,INDEX(Y100:Y200&lt;&gt;Y100,),0)),"")</f>
        <v/>
      </c>
      <c r="AB100" s="95" t="str">
        <f t="shared" si="40"/>
        <v/>
      </c>
      <c r="AC100" s="95" t="str">
        <f t="shared" si="41"/>
        <v/>
      </c>
      <c r="AD100" s="95" t="e">
        <f t="shared" ref="AD100:AD101" si="106">IF(ISTEXT(AB100),INDEX(AB100:AB200,MATCH(TRUE,INDEX(AB100:AB200&lt;&gt;AB100,),0)),"")</f>
        <v>#N/A</v>
      </c>
      <c r="AE100" s="18" t="str">
        <f t="shared" si="43"/>
        <v/>
      </c>
      <c r="AF100" s="18" t="str">
        <f t="shared" si="2"/>
        <v/>
      </c>
      <c r="AG100" s="18" t="str">
        <f t="shared" si="3"/>
        <v/>
      </c>
      <c r="AH100" s="18" t="str">
        <f t="shared" si="4"/>
        <v/>
      </c>
      <c r="AI100" s="18" t="e">
        <f t="shared" ref="AI100:AI101" si="107">IF(AND(ISNUMBER(AI99),ISNUMBER(S100)),(VLOOKUP(AD100,AB100:AC200,2,FALSE)),IF(ISNUMBER(S100),R100,NA()))</f>
        <v>#N/A</v>
      </c>
      <c r="AJ100" s="18" t="e">
        <f t="shared" si="5"/>
        <v>#N/A</v>
      </c>
      <c r="AK100" s="18" t="str">
        <f t="shared" si="6"/>
        <v/>
      </c>
      <c r="AL100" s="18" t="str">
        <f t="shared" si="7"/>
        <v/>
      </c>
      <c r="AP100" s="1"/>
      <c r="AQ100" s="1"/>
      <c r="AS100" s="166">
        <f t="shared" si="8"/>
        <v>27.201250000000002</v>
      </c>
      <c r="AT100" s="40">
        <f t="shared" si="45"/>
        <v>5</v>
      </c>
      <c r="AU100" s="166">
        <f t="shared" si="9"/>
        <v>27.201250000000002</v>
      </c>
      <c r="AV100" s="40">
        <f t="shared" si="0"/>
        <v>5</v>
      </c>
      <c r="AW100" s="152"/>
      <c r="AY100" s="166">
        <f t="shared" si="10"/>
        <v>27.201250000000002</v>
      </c>
      <c r="AZ100">
        <f t="shared" si="11"/>
        <v>3.5010000000000003</v>
      </c>
      <c r="BA100" s="341">
        <f t="shared" si="12"/>
        <v>27.201250000000002</v>
      </c>
      <c r="BB100">
        <f t="shared" si="13"/>
        <v>3.5010000000000003</v>
      </c>
      <c r="BD100">
        <f t="shared" si="14"/>
        <v>1.4989999999999997</v>
      </c>
      <c r="BE100" s="2">
        <f t="shared" si="15"/>
        <v>0</v>
      </c>
      <c r="BF100" s="122">
        <f t="shared" si="16"/>
        <v>0</v>
      </c>
      <c r="BG100" t="str">
        <f t="shared" si="17"/>
        <v>MAX WSE</v>
      </c>
      <c r="BH100" s="122">
        <f t="shared" si="85"/>
        <v>5</v>
      </c>
      <c r="BJ100" s="122">
        <f t="shared" si="19"/>
        <v>1.4989999999999997</v>
      </c>
      <c r="BL100" s="2">
        <f t="shared" si="104"/>
        <v>0</v>
      </c>
      <c r="BM100" s="2"/>
      <c r="BN100" s="2">
        <f t="shared" si="21"/>
        <v>27.201250000000002</v>
      </c>
      <c r="BO100" s="2" t="str">
        <f>IF(BP100="Left",IF(ISERROR(VLOOKUP(BN100,XS_Designer_Summary!$A$21:$B$25,2,TRUE)),"",VLOOKUP(BN100,XS_Designer_Summary!$A$21:$B$25,2,TRUE)),IF(ISERROR(VLOOKUP(-BN100,XS_Designer_Summary!$A$28:$B$32,2,TRUE)),"",VLOOKUP(-BN100,XS_Designer_Summary!$A$28:$B$32,2,TRUE)))</f>
        <v>Right 3rd Stage</v>
      </c>
      <c r="BP100" s="2" t="str">
        <f>IF(AU100&lt;XS_Designer_Summary!$B$7,"Left",IF(AU100&gt;XS_Designer_Summary!$B$7,"Right","Thalweg"))</f>
        <v>Right</v>
      </c>
      <c r="BQ100" s="2">
        <f t="shared" si="22"/>
        <v>0</v>
      </c>
      <c r="BR100" s="2">
        <f t="shared" si="23"/>
        <v>0</v>
      </c>
      <c r="BS100" s="2">
        <f t="shared" si="24"/>
        <v>0</v>
      </c>
      <c r="BT100" s="2">
        <f t="shared" si="25"/>
        <v>0</v>
      </c>
      <c r="BU100" s="2">
        <f t="shared" si="26"/>
        <v>1.4989999999999997</v>
      </c>
      <c r="BV100" s="2">
        <f t="shared" si="27"/>
        <v>0</v>
      </c>
      <c r="BX100" s="2">
        <f>IF(AND(ISNUMBER($BN100),$BO100="Left 2nd Stage",SUM($BX$5:BX99)=0),$BN100,0)</f>
        <v>0</v>
      </c>
      <c r="BY100" s="2">
        <f>IF(AND(ISNUMBER($BN100),$BO100="Left Bankfull",SUM($BY$5:$BY99)=0),$BN100,0)</f>
        <v>0</v>
      </c>
      <c r="BZ100" s="2">
        <f>IF(AND(ISNUMBER($BN100),$BO100="Right 2nd Stage",SUM($BZ$5:$BZ99)=0),$BN99,0)</f>
        <v>0</v>
      </c>
      <c r="CA100" s="2">
        <f t="shared" si="46"/>
        <v>0</v>
      </c>
    </row>
    <row r="101" spans="1:79" ht="15">
      <c r="A101" s="2">
        <v>97</v>
      </c>
      <c r="B101" s="111" t="e">
        <f>IF(ISNUMBER(XS_Designer!F101),XS_Designer!F101,NA())</f>
        <v>#N/A</v>
      </c>
      <c r="C101" s="111" t="e">
        <f>IF(ISNUMBER(XS_Designer!G101),XS_Designer!G101,NA())</f>
        <v>#N/A</v>
      </c>
      <c r="D101" s="111" t="str">
        <f>IF(ISNUMBER(XS_Designer!I101),XS_Designer!I101,"")</f>
        <v/>
      </c>
      <c r="E101" s="2" t="str">
        <f t="shared" si="28"/>
        <v/>
      </c>
      <c r="F101" s="111" t="str">
        <f>IF(ISTEXT(XS_Designer!H101),VLOOKUP(XS_Designer!H101,$K$12:$L$20,2,FALSE),"")</f>
        <v/>
      </c>
      <c r="G101" s="54" t="str">
        <f t="shared" si="29"/>
        <v/>
      </c>
      <c r="Q101" s="2" t="str">
        <f t="shared" si="30"/>
        <v>N</v>
      </c>
      <c r="R101" s="2" t="str">
        <f t="shared" si="31"/>
        <v/>
      </c>
      <c r="S101" s="2" t="str">
        <f t="shared" si="32"/>
        <v/>
      </c>
      <c r="T101" s="2" t="str">
        <f t="shared" si="33"/>
        <v/>
      </c>
      <c r="U101" s="2" t="str">
        <f t="shared" si="34"/>
        <v/>
      </c>
      <c r="V101" s="97" t="str">
        <f t="shared" si="35"/>
        <v/>
      </c>
      <c r="W101" s="97" t="e">
        <f t="shared" si="36"/>
        <v>#N/A</v>
      </c>
      <c r="X101" s="2" t="e">
        <f t="shared" si="1"/>
        <v>#N/A</v>
      </c>
      <c r="Y101" s="95" t="str">
        <f t="shared" si="37"/>
        <v/>
      </c>
      <c r="Z101" s="261" t="str">
        <f t="shared" si="38"/>
        <v/>
      </c>
      <c r="AA101" s="95" t="str">
        <f t="shared" si="105"/>
        <v/>
      </c>
      <c r="AB101" s="95" t="str">
        <f t="shared" si="40"/>
        <v/>
      </c>
      <c r="AC101" s="95" t="str">
        <f t="shared" si="41"/>
        <v/>
      </c>
      <c r="AD101" s="95" t="e">
        <f t="shared" si="106"/>
        <v>#N/A</v>
      </c>
      <c r="AE101" s="18" t="str">
        <f t="shared" si="43"/>
        <v/>
      </c>
      <c r="AF101" s="18" t="str">
        <f t="shared" si="2"/>
        <v/>
      </c>
      <c r="AG101" s="18" t="str">
        <f t="shared" si="3"/>
        <v/>
      </c>
      <c r="AH101" s="18" t="str">
        <f t="shared" si="4"/>
        <v/>
      </c>
      <c r="AI101" s="18" t="e">
        <f t="shared" si="107"/>
        <v>#N/A</v>
      </c>
      <c r="AJ101" s="18" t="e">
        <f t="shared" si="5"/>
        <v>#N/A</v>
      </c>
      <c r="AK101" s="18" t="str">
        <f t="shared" si="6"/>
        <v/>
      </c>
      <c r="AL101" s="18" t="str">
        <f t="shared" si="7"/>
        <v/>
      </c>
      <c r="AP101" s="1"/>
      <c r="AQ101" s="1"/>
      <c r="AS101" s="166">
        <f t="shared" si="8"/>
        <v>27.201250000000002</v>
      </c>
      <c r="AT101" s="40">
        <f t="shared" si="45"/>
        <v>5</v>
      </c>
      <c r="AU101" s="166">
        <f t="shared" si="9"/>
        <v>27.201250000000002</v>
      </c>
      <c r="AV101" s="40">
        <f t="shared" si="0"/>
        <v>5</v>
      </c>
      <c r="AW101" s="152"/>
      <c r="AY101" s="166">
        <f t="shared" si="10"/>
        <v>27.201250000000002</v>
      </c>
      <c r="AZ101">
        <f t="shared" si="11"/>
        <v>3.5010000000000003</v>
      </c>
      <c r="BA101" s="341">
        <f t="shared" si="12"/>
        <v>27.201250000000002</v>
      </c>
      <c r="BB101">
        <f t="shared" si="13"/>
        <v>3.5010000000000003</v>
      </c>
      <c r="BD101">
        <f t="shared" si="14"/>
        <v>1.4989999999999997</v>
      </c>
      <c r="BE101" s="2">
        <f t="shared" si="15"/>
        <v>0</v>
      </c>
      <c r="BF101" s="122">
        <f t="shared" si="16"/>
        <v>0</v>
      </c>
      <c r="BG101" t="str">
        <f t="shared" si="17"/>
        <v>MAX WSE</v>
      </c>
      <c r="BH101" s="122">
        <f t="shared" si="85"/>
        <v>5</v>
      </c>
      <c r="BJ101" s="122">
        <f t="shared" si="19"/>
        <v>1.4989999999999997</v>
      </c>
      <c r="BL101" s="2">
        <f t="shared" si="104"/>
        <v>0</v>
      </c>
      <c r="BM101" s="2"/>
      <c r="BN101" s="2">
        <f t="shared" si="21"/>
        <v>27.201250000000002</v>
      </c>
      <c r="BO101" s="2" t="str">
        <f>IF(BP101="Left",IF(ISERROR(VLOOKUP(BN101,XS_Designer_Summary!$A$21:$B$25,2,TRUE)),"",VLOOKUP(BN101,XS_Designer_Summary!$A$21:$B$25,2,TRUE)),IF(ISERROR(VLOOKUP(-BN101,XS_Designer_Summary!$A$28:$B$32,2,TRUE)),"",VLOOKUP(-BN101,XS_Designer_Summary!$A$28:$B$32,2,TRUE)))</f>
        <v>Right 3rd Stage</v>
      </c>
      <c r="BP101" s="2" t="str">
        <f>IF(AU101&lt;XS_Designer_Summary!$B$7,"Left",IF(AU101&gt;XS_Designer_Summary!$B$7,"Right","Thalweg"))</f>
        <v>Right</v>
      </c>
      <c r="BQ101" s="2">
        <f t="shared" si="22"/>
        <v>0</v>
      </c>
      <c r="BR101" s="2">
        <f t="shared" si="23"/>
        <v>0</v>
      </c>
      <c r="BS101" s="2">
        <f t="shared" si="24"/>
        <v>0</v>
      </c>
      <c r="BT101" s="2">
        <f t="shared" si="25"/>
        <v>0</v>
      </c>
      <c r="BU101" s="2">
        <f t="shared" si="26"/>
        <v>1.4989999999999997</v>
      </c>
      <c r="BV101" s="2">
        <f t="shared" si="27"/>
        <v>0</v>
      </c>
      <c r="BX101" s="2">
        <f>IF(AND(ISNUMBER($BN101),$BO101="Left 2nd Stage",SUM($BX$5:BX100)=0),$BN101,0)</f>
        <v>0</v>
      </c>
      <c r="BY101" s="2">
        <f>IF(AND(ISNUMBER($BN101),$BO101="Left Bankfull",SUM($BY$5:$BY100)=0),$BN101,0)</f>
        <v>0</v>
      </c>
      <c r="BZ101" s="2">
        <f>IF(AND(ISNUMBER($BN101),$BO101="Right 2nd Stage",SUM($BZ$5:$BZ100)=0),$BN100,0)</f>
        <v>0</v>
      </c>
      <c r="CA101" s="2">
        <f t="shared" si="46"/>
        <v>0</v>
      </c>
    </row>
    <row r="102" spans="1:79">
      <c r="A102" s="2">
        <v>98</v>
      </c>
      <c r="B102" s="111" t="e">
        <f>IF(ISNUMBER(XS_Designer!F102),XS_Designer!F102,NA())</f>
        <v>#N/A</v>
      </c>
      <c r="C102" s="111" t="e">
        <f>IF(ISNUMBER(XS_Designer!G102),XS_Designer!G102,NA())</f>
        <v>#N/A</v>
      </c>
      <c r="D102" s="111" t="str">
        <f>IF(ISNUMBER(XS_Designer!I102),XS_Designer!I102,"")</f>
        <v/>
      </c>
      <c r="E102" s="2" t="str">
        <f t="shared" si="28"/>
        <v/>
      </c>
      <c r="F102" s="111" t="str">
        <f>IF(ISTEXT(XS_Designer!H102),VLOOKUP(XS_Designer!H102,$K$12:$L$20,2,FALSE),"")</f>
        <v/>
      </c>
      <c r="G102" s="54" t="str">
        <f t="shared" si="29"/>
        <v/>
      </c>
      <c r="Q102" s="2" t="str">
        <f t="shared" si="30"/>
        <v>N</v>
      </c>
      <c r="R102" s="2" t="str">
        <f t="shared" si="31"/>
        <v/>
      </c>
      <c r="S102" s="2" t="str">
        <f t="shared" si="32"/>
        <v/>
      </c>
      <c r="T102" s="2" t="str">
        <f t="shared" si="33"/>
        <v/>
      </c>
      <c r="U102" s="2" t="str">
        <f t="shared" si="34"/>
        <v/>
      </c>
      <c r="V102" s="97" t="str">
        <f t="shared" si="35"/>
        <v/>
      </c>
      <c r="W102" s="97" t="e">
        <f t="shared" si="36"/>
        <v>#N/A</v>
      </c>
      <c r="X102" s="2" t="e">
        <f t="shared" si="1"/>
        <v>#N/A</v>
      </c>
      <c r="Y102" s="95" t="str">
        <f t="shared" si="37"/>
        <v/>
      </c>
      <c r="Z102" s="261" t="str">
        <f t="shared" si="38"/>
        <v/>
      </c>
      <c r="AA102" s="95" t="str">
        <f>IF(ISNUMBER(Y102),INDEX(Y102:Y201,MATCH(TRUE,INDEX(Y102:Y201&lt;&gt;Y102,),0)),"")</f>
        <v/>
      </c>
      <c r="AB102" s="95" t="str">
        <f t="shared" si="40"/>
        <v/>
      </c>
      <c r="AC102" s="95" t="str">
        <f t="shared" si="41"/>
        <v/>
      </c>
      <c r="AD102" s="95" t="e">
        <f>IF(ISTEXT(AB102),INDEX(AB102:AB201,MATCH(TRUE,INDEX(AB102:AB201&lt;&gt;AB102,),0)),"")</f>
        <v>#N/A</v>
      </c>
      <c r="AE102" s="18" t="str">
        <f t="shared" si="43"/>
        <v/>
      </c>
      <c r="AF102" s="18" t="str">
        <f t="shared" si="2"/>
        <v/>
      </c>
      <c r="AG102" s="18" t="str">
        <f t="shared" si="3"/>
        <v/>
      </c>
      <c r="AH102" s="18" t="str">
        <f t="shared" si="4"/>
        <v/>
      </c>
      <c r="AI102" s="18" t="e">
        <f>IF(AND(ISNUMBER(AI101),ISNUMBER(S102)),(VLOOKUP(AD102,AB102:AC201,2,FALSE)),IF(ISNUMBER(S102),R102,NA()))</f>
        <v>#N/A</v>
      </c>
      <c r="AJ102" s="18" t="e">
        <f t="shared" si="5"/>
        <v>#N/A</v>
      </c>
      <c r="AK102" s="18" t="str">
        <f t="shared" si="6"/>
        <v/>
      </c>
      <c r="AL102" s="18" t="str">
        <f t="shared" si="7"/>
        <v/>
      </c>
      <c r="AS102" s="166">
        <f t="shared" si="8"/>
        <v>27.201250000000002</v>
      </c>
      <c r="AT102" s="40">
        <f t="shared" si="45"/>
        <v>5</v>
      </c>
      <c r="AU102" s="166">
        <f t="shared" si="9"/>
        <v>27.201250000000002</v>
      </c>
      <c r="AV102" s="40">
        <f t="shared" si="0"/>
        <v>5</v>
      </c>
      <c r="AW102" s="152"/>
      <c r="AY102" s="166">
        <f t="shared" si="10"/>
        <v>27.201250000000002</v>
      </c>
      <c r="AZ102">
        <f t="shared" si="11"/>
        <v>3.5010000000000003</v>
      </c>
      <c r="BA102" s="341">
        <f t="shared" si="12"/>
        <v>27.201250000000002</v>
      </c>
      <c r="BB102">
        <f t="shared" si="13"/>
        <v>3.5010000000000003</v>
      </c>
      <c r="BD102">
        <f t="shared" si="14"/>
        <v>1.4989999999999997</v>
      </c>
      <c r="BE102" s="2">
        <f t="shared" si="15"/>
        <v>0</v>
      </c>
      <c r="BF102" s="122">
        <f t="shared" si="16"/>
        <v>0</v>
      </c>
      <c r="BG102" t="str">
        <f t="shared" si="17"/>
        <v>MAX WSE</v>
      </c>
      <c r="BH102" s="122">
        <f t="shared" si="85"/>
        <v>5</v>
      </c>
      <c r="BJ102" s="122">
        <f t="shared" si="19"/>
        <v>1.4989999999999997</v>
      </c>
      <c r="BL102" s="2">
        <f t="shared" si="104"/>
        <v>0</v>
      </c>
      <c r="BM102" s="2"/>
      <c r="BN102" s="2">
        <f t="shared" si="21"/>
        <v>27.201250000000002</v>
      </c>
      <c r="BO102" s="2" t="str">
        <f>IF(BP102="Left",IF(ISERROR(VLOOKUP(BN102,XS_Designer_Summary!$A$21:$B$25,2,TRUE)),"",VLOOKUP(BN102,XS_Designer_Summary!$A$21:$B$25,2,TRUE)),IF(ISERROR(VLOOKUP(-BN102,XS_Designer_Summary!$A$28:$B$32,2,TRUE)),"",VLOOKUP(-BN102,XS_Designer_Summary!$A$28:$B$32,2,TRUE)))</f>
        <v>Right 3rd Stage</v>
      </c>
      <c r="BP102" s="2" t="str">
        <f>IF(AU102&lt;XS_Designer_Summary!$B$7,"Left",IF(AU102&gt;XS_Designer_Summary!$B$7,"Right","Thalweg"))</f>
        <v>Right</v>
      </c>
      <c r="BQ102" s="2">
        <f t="shared" si="22"/>
        <v>0</v>
      </c>
      <c r="BR102" s="2">
        <f t="shared" si="23"/>
        <v>0</v>
      </c>
      <c r="BS102" s="2">
        <f t="shared" si="24"/>
        <v>0</v>
      </c>
      <c r="BT102" s="2">
        <f t="shared" si="25"/>
        <v>0</v>
      </c>
      <c r="BU102" s="2">
        <f t="shared" si="26"/>
        <v>1.4989999999999997</v>
      </c>
      <c r="BV102" s="2">
        <f t="shared" si="27"/>
        <v>0</v>
      </c>
      <c r="BX102" s="2">
        <f>IF(AND(ISNUMBER($BN102),$BO102="Left 2nd Stage",SUM($BX$5:BX101)=0),$BN102,0)</f>
        <v>0</v>
      </c>
      <c r="BY102" s="2">
        <f>IF(AND(ISNUMBER($BN102),$BO102="Left Bankfull",SUM($BY$5:$BY101)=0),$BN102,0)</f>
        <v>0</v>
      </c>
      <c r="BZ102" s="2">
        <f>IF(AND(ISNUMBER($BN102),$BO102="Right 2nd Stage",SUM($BZ$5:$BZ101)=0),$BN101,0)</f>
        <v>0</v>
      </c>
      <c r="CA102" s="2">
        <f t="shared" si="46"/>
        <v>0</v>
      </c>
    </row>
    <row r="103" spans="1:79">
      <c r="A103" s="2">
        <v>99</v>
      </c>
      <c r="B103" s="111" t="e">
        <f>IF(ISNUMBER(XS_Designer!F103),XS_Designer!F103,NA())</f>
        <v>#N/A</v>
      </c>
      <c r="C103" s="111" t="e">
        <f>IF(ISNUMBER(XS_Designer!G103),XS_Designer!G103,NA())</f>
        <v>#N/A</v>
      </c>
      <c r="D103" s="111" t="str">
        <f>IF(ISNUMBER(XS_Designer!I103),XS_Designer!I103,"")</f>
        <v/>
      </c>
      <c r="E103" s="2" t="str">
        <f t="shared" si="28"/>
        <v/>
      </c>
      <c r="F103" s="111" t="str">
        <f>IF(ISTEXT(XS_Designer!H103),VLOOKUP(XS_Designer!H103,$K$12:$L$20,2,FALSE),"")</f>
        <v/>
      </c>
      <c r="G103" s="54" t="str">
        <f t="shared" si="29"/>
        <v/>
      </c>
      <c r="Q103" s="2" t="str">
        <f t="shared" si="30"/>
        <v>N</v>
      </c>
      <c r="R103" s="2" t="str">
        <f t="shared" si="31"/>
        <v/>
      </c>
      <c r="S103" s="2" t="str">
        <f t="shared" si="32"/>
        <v/>
      </c>
      <c r="T103" s="2" t="str">
        <f t="shared" si="33"/>
        <v/>
      </c>
      <c r="U103" s="2" t="str">
        <f t="shared" si="34"/>
        <v/>
      </c>
      <c r="V103" s="97" t="str">
        <f t="shared" si="35"/>
        <v/>
      </c>
      <c r="W103" s="97" t="e">
        <f t="shared" si="36"/>
        <v>#N/A</v>
      </c>
      <c r="X103" s="2" t="e">
        <f t="shared" si="1"/>
        <v>#N/A</v>
      </c>
      <c r="Y103" s="95" t="str">
        <f t="shared" si="37"/>
        <v/>
      </c>
      <c r="Z103" s="261" t="str">
        <f t="shared" si="38"/>
        <v/>
      </c>
      <c r="AA103" s="95" t="str">
        <f>IF(ISNUMBER(Y103),INDEX(Y103:Y201,MATCH(TRUE,INDEX(Y103:Y201&lt;&gt;Y103,),0)),"")</f>
        <v/>
      </c>
      <c r="AB103" s="95" t="str">
        <f t="shared" si="40"/>
        <v/>
      </c>
      <c r="AC103" s="95" t="str">
        <f t="shared" si="41"/>
        <v/>
      </c>
      <c r="AD103" s="95" t="e">
        <f>IF(ISTEXT(AB103),INDEX(AB103:AB201,MATCH(TRUE,INDEX(AB103:AB201&lt;&gt;AB103,),0)),"")</f>
        <v>#N/A</v>
      </c>
      <c r="AE103" s="18" t="str">
        <f t="shared" si="43"/>
        <v/>
      </c>
      <c r="AF103" s="18" t="str">
        <f t="shared" si="2"/>
        <v/>
      </c>
      <c r="AG103" s="18" t="str">
        <f t="shared" si="3"/>
        <v/>
      </c>
      <c r="AH103" s="18" t="str">
        <f t="shared" si="4"/>
        <v/>
      </c>
      <c r="AI103" s="18" t="e">
        <f>IF(AND(ISNUMBER(AI102),ISNUMBER(S103)),(VLOOKUP(AD103,AB103:AC201,2,FALSE)),IF(ISNUMBER(S103),R103,NA()))</f>
        <v>#N/A</v>
      </c>
      <c r="AJ103" s="18" t="e">
        <f t="shared" si="5"/>
        <v>#N/A</v>
      </c>
      <c r="AK103" s="18" t="str">
        <f t="shared" si="6"/>
        <v/>
      </c>
      <c r="AL103" s="18" t="str">
        <f t="shared" si="7"/>
        <v/>
      </c>
      <c r="AS103" s="166">
        <f t="shared" si="8"/>
        <v>27.201250000000002</v>
      </c>
      <c r="AT103" s="40">
        <f t="shared" si="45"/>
        <v>5</v>
      </c>
      <c r="AU103" s="166">
        <f t="shared" si="9"/>
        <v>27.201250000000002</v>
      </c>
      <c r="AV103" s="40">
        <f t="shared" si="0"/>
        <v>5</v>
      </c>
      <c r="AW103" s="152"/>
      <c r="AY103" s="166">
        <f t="shared" si="10"/>
        <v>27.201250000000002</v>
      </c>
      <c r="AZ103">
        <f t="shared" si="11"/>
        <v>3.5010000000000003</v>
      </c>
      <c r="BA103" s="341">
        <f t="shared" si="12"/>
        <v>27.201250000000002</v>
      </c>
      <c r="BB103">
        <f t="shared" si="13"/>
        <v>3.5010000000000003</v>
      </c>
      <c r="BD103">
        <f t="shared" si="14"/>
        <v>1.4989999999999997</v>
      </c>
      <c r="BE103" s="2">
        <f t="shared" si="15"/>
        <v>0</v>
      </c>
      <c r="BF103" s="122">
        <f t="shared" si="16"/>
        <v>0</v>
      </c>
      <c r="BG103" t="str">
        <f t="shared" si="17"/>
        <v>MAX WSE</v>
      </c>
      <c r="BH103" s="122">
        <f t="shared" si="85"/>
        <v>5</v>
      </c>
      <c r="BJ103" s="122">
        <f t="shared" si="19"/>
        <v>1.4989999999999997</v>
      </c>
      <c r="BL103" s="2">
        <f t="shared" si="104"/>
        <v>0</v>
      </c>
      <c r="BM103" s="2"/>
      <c r="BN103" s="2">
        <f t="shared" si="21"/>
        <v>27.201250000000002</v>
      </c>
      <c r="BO103" s="2" t="str">
        <f>IF(BP103="Left",IF(ISERROR(VLOOKUP(BN103,XS_Designer_Summary!$A$21:$B$25,2,TRUE)),"",VLOOKUP(BN103,XS_Designer_Summary!$A$21:$B$25,2,TRUE)),IF(ISERROR(VLOOKUP(-BN103,XS_Designer_Summary!$A$28:$B$32,2,TRUE)),"",VLOOKUP(-BN103,XS_Designer_Summary!$A$28:$B$32,2,TRUE)))</f>
        <v>Right 3rd Stage</v>
      </c>
      <c r="BP103" s="2" t="str">
        <f>IF(AU103&lt;XS_Designer_Summary!$B$7,"Left",IF(AU103&gt;XS_Designer_Summary!$B$7,"Right","Thalweg"))</f>
        <v>Right</v>
      </c>
      <c r="BQ103" s="2">
        <f t="shared" si="22"/>
        <v>0</v>
      </c>
      <c r="BR103" s="2">
        <f t="shared" si="23"/>
        <v>0</v>
      </c>
      <c r="BS103" s="2">
        <f t="shared" si="24"/>
        <v>0</v>
      </c>
      <c r="BT103" s="2">
        <f t="shared" si="25"/>
        <v>0</v>
      </c>
      <c r="BU103" s="2">
        <f t="shared" si="26"/>
        <v>1.4989999999999997</v>
      </c>
      <c r="BV103" s="2">
        <f t="shared" si="27"/>
        <v>0</v>
      </c>
      <c r="BX103" s="2">
        <f>IF(AND(ISNUMBER($BN103),$BO103="Left 2nd Stage",SUM($BX$5:BX102)=0),$BN103,0)</f>
        <v>0</v>
      </c>
      <c r="BY103" s="2">
        <f>IF(AND(ISNUMBER($BN103),$BO103="Left Bankfull",SUM($BY$5:$BY102)=0),$BN103,0)</f>
        <v>0</v>
      </c>
      <c r="BZ103" s="2">
        <f>IF(AND(ISNUMBER($BN103),$BO103="Right 2nd Stage",SUM($BZ$5:$BZ102)=0),$BN102,0)</f>
        <v>0</v>
      </c>
      <c r="CA103" s="2">
        <f t="shared" si="46"/>
        <v>0</v>
      </c>
    </row>
    <row r="104" spans="1:79" ht="15">
      <c r="A104" s="2">
        <v>100</v>
      </c>
      <c r="B104" s="111" t="e">
        <f>IF(ISNUMBER(XS_Designer!F104),XS_Designer!F104,NA())</f>
        <v>#N/A</v>
      </c>
      <c r="C104" s="111" t="e">
        <f>IF(ISNUMBER(XS_Designer!G104),XS_Designer!G104,NA())</f>
        <v>#N/A</v>
      </c>
      <c r="D104" s="111" t="str">
        <f>IF(ISNUMBER(XS_Designer!I104),XS_Designer!I104,"")</f>
        <v/>
      </c>
      <c r="E104" s="2" t="str">
        <f t="shared" si="28"/>
        <v/>
      </c>
      <c r="F104" s="111" t="str">
        <f>IF(ISTEXT(XS_Designer!H104),VLOOKUP(XS_Designer!H104,$K$12:$L$20,2,FALSE),"")</f>
        <v/>
      </c>
      <c r="G104" s="54" t="str">
        <f t="shared" si="29"/>
        <v/>
      </c>
      <c r="O104" s="1"/>
      <c r="P104" s="1"/>
      <c r="Q104" s="2" t="str">
        <f t="shared" si="30"/>
        <v>N</v>
      </c>
      <c r="R104" s="2" t="str">
        <f t="shared" si="31"/>
        <v/>
      </c>
      <c r="S104" s="2" t="str">
        <f t="shared" si="32"/>
        <v/>
      </c>
      <c r="T104" s="2" t="str">
        <f t="shared" si="33"/>
        <v/>
      </c>
      <c r="U104" s="2" t="str">
        <f t="shared" si="34"/>
        <v/>
      </c>
      <c r="V104" s="97" t="str">
        <f t="shared" si="35"/>
        <v/>
      </c>
      <c r="W104" s="97" t="e">
        <f t="shared" si="36"/>
        <v>#N/A</v>
      </c>
      <c r="X104" s="2" t="e">
        <f t="shared" si="1"/>
        <v>#N/A</v>
      </c>
      <c r="Y104" s="95" t="str">
        <f t="shared" si="37"/>
        <v/>
      </c>
      <c r="Z104" s="261" t="str">
        <f t="shared" si="38"/>
        <v/>
      </c>
      <c r="AA104" s="95" t="str">
        <f>IF(ISNUMBER(Y104),INDEX(Y104:Y201,MATCH(TRUE,INDEX(Y104:Y201&lt;&gt;Y104,),0)),"")</f>
        <v/>
      </c>
      <c r="AB104" s="95" t="str">
        <f t="shared" si="40"/>
        <v/>
      </c>
      <c r="AC104" s="95" t="str">
        <f t="shared" si="41"/>
        <v/>
      </c>
      <c r="AD104" s="95" t="e">
        <f>IF(ISTEXT(AB104),INDEX(AB104:AB201,MATCH(TRUE,INDEX(AB104:AB201&lt;&gt;AB104,),0)),"")</f>
        <v>#N/A</v>
      </c>
      <c r="AE104" s="18" t="str">
        <f t="shared" si="43"/>
        <v/>
      </c>
      <c r="AF104" s="18" t="str">
        <f t="shared" si="2"/>
        <v/>
      </c>
      <c r="AG104" s="18" t="str">
        <f t="shared" si="3"/>
        <v/>
      </c>
      <c r="AH104" s="18" t="str">
        <f t="shared" si="4"/>
        <v/>
      </c>
      <c r="AI104" s="18" t="e">
        <f>IF(AND(ISNUMBER(AI103),ISNUMBER(S104)),(VLOOKUP(AD104,AB104:AC201,2,FALSE)),IF(ISNUMBER(S104),R104,NA()))</f>
        <v>#N/A</v>
      </c>
      <c r="AJ104" s="18" t="e">
        <f t="shared" si="5"/>
        <v>#N/A</v>
      </c>
      <c r="AK104" s="18" t="str">
        <f t="shared" si="6"/>
        <v/>
      </c>
      <c r="AL104" s="18" t="str">
        <f t="shared" si="7"/>
        <v/>
      </c>
      <c r="AM104" s="1"/>
      <c r="AN104" s="1"/>
      <c r="AO104" s="1"/>
      <c r="AS104" s="166">
        <f t="shared" si="8"/>
        <v>27.201250000000002</v>
      </c>
      <c r="AT104" s="40">
        <f t="shared" si="45"/>
        <v>5</v>
      </c>
      <c r="AU104" s="166">
        <f t="shared" si="9"/>
        <v>27.201250000000002</v>
      </c>
      <c r="AV104" s="40">
        <f t="shared" si="0"/>
        <v>5</v>
      </c>
      <c r="AW104" s="152"/>
      <c r="AY104" s="166">
        <f>IF(ISERROR(B105),$O$11,AY103)</f>
        <v>27.201250000000002</v>
      </c>
      <c r="AZ104">
        <f t="shared" si="11"/>
        <v>3.5010000000000003</v>
      </c>
      <c r="BA104" s="341">
        <f t="shared" si="12"/>
        <v>27.201250000000002</v>
      </c>
      <c r="BB104">
        <f t="shared" si="13"/>
        <v>3.5010000000000003</v>
      </c>
      <c r="BD104">
        <f t="shared" si="14"/>
        <v>1.4989999999999997</v>
      </c>
      <c r="BE104" s="2">
        <f t="shared" si="15"/>
        <v>0</v>
      </c>
      <c r="BF104" s="122">
        <f t="shared" si="16"/>
        <v>0</v>
      </c>
      <c r="BG104" t="str">
        <f t="shared" si="17"/>
        <v>MAX WSE</v>
      </c>
      <c r="BH104" s="122">
        <f t="shared" si="85"/>
        <v>5</v>
      </c>
      <c r="BJ104" s="122">
        <f t="shared" si="19"/>
        <v>1.4989999999999997</v>
      </c>
      <c r="BL104" s="2">
        <f t="shared" si="104"/>
        <v>0</v>
      </c>
      <c r="BM104" s="2"/>
      <c r="BN104" s="2">
        <f t="shared" si="21"/>
        <v>27.201250000000002</v>
      </c>
      <c r="BO104" s="2" t="str">
        <f>IF(BP104="Left",IF(ISERROR(VLOOKUP(BN104,XS_Designer_Summary!$A$21:$B$25,2,TRUE)),"",VLOOKUP(BN104,XS_Designer_Summary!$A$21:$B$25,2,TRUE)),IF(ISERROR(VLOOKUP(-BN104,XS_Designer_Summary!$A$28:$B$32,2,TRUE)),"",VLOOKUP(-BN104,XS_Designer_Summary!$A$28:$B$32,2,TRUE)))</f>
        <v>Right 3rd Stage</v>
      </c>
      <c r="BP104" s="2" t="str">
        <f>IF(AU104&lt;XS_Designer_Summary!$B$7,"Left",IF(AU104&gt;XS_Designer_Summary!$B$7,"Right","Thalweg"))</f>
        <v>Right</v>
      </c>
      <c r="BQ104" s="2">
        <f t="shared" si="22"/>
        <v>0</v>
      </c>
      <c r="BR104" s="2">
        <f t="shared" si="23"/>
        <v>0</v>
      </c>
      <c r="BS104" s="2">
        <f t="shared" si="24"/>
        <v>0</v>
      </c>
      <c r="BT104" s="2">
        <f t="shared" si="25"/>
        <v>0</v>
      </c>
      <c r="BU104" s="2">
        <f t="shared" si="26"/>
        <v>1.4989999999999997</v>
      </c>
      <c r="BV104" s="2">
        <f t="shared" si="27"/>
        <v>0</v>
      </c>
      <c r="BY104" s="2">
        <f>IF(AND(ISNUMBER(BN104),BO104="Left Bankfull",SUM($BY$5:BY103)=0),BN104,0)</f>
        <v>0</v>
      </c>
      <c r="BZ104">
        <f>IF(F104="R-BKF",B104,0)</f>
        <v>0</v>
      </c>
    </row>
    <row r="105" spans="1:79" ht="15">
      <c r="A105" s="1"/>
      <c r="B105" s="1"/>
      <c r="C105" s="1"/>
      <c r="D105" s="1"/>
      <c r="E105" s="1"/>
      <c r="F105" s="1"/>
      <c r="G105" s="1"/>
      <c r="H105" s="54"/>
      <c r="O105" s="1"/>
      <c r="P105" s="1"/>
      <c r="R105" s="2" t="str">
        <f>IF(ISNUMBER(B35),B35,"")</f>
        <v/>
      </c>
      <c r="U105" s="2" t="str">
        <f t="shared" si="34"/>
        <v/>
      </c>
      <c r="W105" s="97"/>
      <c r="X105" s="2"/>
      <c r="Y105" s="2"/>
      <c r="Z105" s="258" t="str">
        <f t="shared" si="38"/>
        <v/>
      </c>
      <c r="AA105" s="148" t="str">
        <f>IF(ISNUMBER(Y105),INDEX(Y105:Y106,MATCH(TRUE,INDEX(Y105:Y106&lt;&gt;Y105,),0)),"")</f>
        <v/>
      </c>
      <c r="AB105" s="95" t="str">
        <f t="shared" si="40"/>
        <v/>
      </c>
      <c r="AC105" s="148" t="str">
        <f t="shared" si="41"/>
        <v/>
      </c>
      <c r="AD105" s="148"/>
      <c r="AF105" s="2"/>
      <c r="AG105" t="str">
        <f>IF(ISNUMBER(AF105),VLOOKUP(AE106,S105:T106,2,FALSE),"")</f>
        <v/>
      </c>
      <c r="AK105" t="str">
        <f t="shared" si="6"/>
        <v/>
      </c>
      <c r="AL105" t="str">
        <f t="shared" si="7"/>
        <v/>
      </c>
      <c r="AM105" s="1"/>
      <c r="AN105" s="1"/>
      <c r="AO105" s="1"/>
      <c r="AS105" s="316">
        <f>MAX(AS4:AS104)</f>
        <v>27.201250000000002</v>
      </c>
      <c r="AY105" s="2"/>
      <c r="AZ105" s="2"/>
      <c r="BA105" s="341"/>
      <c r="BD105" s="97"/>
      <c r="BE105" s="97"/>
      <c r="BF105" s="44"/>
      <c r="BG105" s="44"/>
      <c r="BH105" s="44"/>
      <c r="BI105" s="44"/>
      <c r="BJ105" s="44"/>
      <c r="BK105" s="44"/>
      <c r="BL105" s="97"/>
    </row>
    <row r="106" spans="1:79" ht="15">
      <c r="A106" s="1"/>
      <c r="B106" s="1"/>
      <c r="C106" s="1"/>
      <c r="D106" s="1"/>
      <c r="E106" s="1"/>
      <c r="F106" s="1"/>
      <c r="G106" s="1"/>
      <c r="H106" s="54"/>
      <c r="O106" s="52"/>
      <c r="P106" s="1"/>
      <c r="AM106" s="1"/>
      <c r="AN106" s="1"/>
      <c r="AO106" s="1"/>
      <c r="AP106" s="1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134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</row>
  </sheetData>
  <mergeCells count="10">
    <mergeCell ref="BD1:BJ1"/>
    <mergeCell ref="BL1:BV1"/>
    <mergeCell ref="N2:O2"/>
    <mergeCell ref="AG2:AH2"/>
    <mergeCell ref="AK2:AL2"/>
    <mergeCell ref="N8:O8"/>
    <mergeCell ref="N15:O15"/>
    <mergeCell ref="K25:L25"/>
    <mergeCell ref="A1:AL1"/>
    <mergeCell ref="AQ1:BB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/>
  <dimension ref="C2:O35"/>
  <sheetViews>
    <sheetView zoomScale="70" workbookViewId="0">
      <selection activeCell="K53" sqref="K53"/>
    </sheetView>
  </sheetViews>
  <sheetFormatPr defaultColWidth="8.85546875" defaultRowHeight="12.75"/>
  <cols>
    <col min="1" max="8" width="8.85546875" style="18"/>
    <col min="9" max="9" width="10.7109375" style="18" bestFit="1" customWidth="1"/>
    <col min="10" max="16384" width="8.85546875" style="18"/>
  </cols>
  <sheetData>
    <row r="2" spans="3:11" ht="15">
      <c r="C2" s="489" t="s">
        <v>261</v>
      </c>
      <c r="D2" s="489"/>
      <c r="E2" s="489"/>
      <c r="F2" s="39"/>
    </row>
    <row r="3" spans="3:11" ht="15">
      <c r="C3" s="490" t="s">
        <v>512</v>
      </c>
      <c r="D3" s="490"/>
      <c r="E3" s="490"/>
    </row>
    <row r="4" spans="3:11" ht="15">
      <c r="D4" s="47" t="s">
        <v>135</v>
      </c>
      <c r="F4" s="39"/>
      <c r="G4" s="47" t="s">
        <v>745</v>
      </c>
      <c r="I4" s="491" t="s">
        <v>996</v>
      </c>
      <c r="J4" s="491"/>
      <c r="K4" s="491"/>
    </row>
    <row r="5" spans="3:11" ht="15">
      <c r="C5" s="39"/>
      <c r="D5" s="39">
        <v>0</v>
      </c>
      <c r="E5" s="39">
        <v>1.75</v>
      </c>
      <c r="F5" s="39" t="s">
        <v>215</v>
      </c>
      <c r="G5" s="18">
        <v>5.0000000000000001E-3</v>
      </c>
      <c r="I5" s="18">
        <v>0</v>
      </c>
      <c r="J5" s="18">
        <v>1.75</v>
      </c>
      <c r="K5" s="18" t="s">
        <v>215</v>
      </c>
    </row>
    <row r="6" spans="3:11" ht="15">
      <c r="C6" s="39"/>
      <c r="D6" s="39">
        <v>1.75</v>
      </c>
      <c r="E6" s="39">
        <v>2</v>
      </c>
      <c r="F6" s="39" t="s">
        <v>280</v>
      </c>
      <c r="G6" s="18">
        <v>0.01</v>
      </c>
      <c r="I6" s="18">
        <v>1.75</v>
      </c>
      <c r="J6" s="18">
        <v>2</v>
      </c>
      <c r="K6" s="18" t="s">
        <v>280</v>
      </c>
    </row>
    <row r="7" spans="3:11" ht="15">
      <c r="C7" s="39"/>
      <c r="D7" s="39">
        <v>2.25</v>
      </c>
      <c r="E7" s="39">
        <v>2.5</v>
      </c>
      <c r="F7" s="39" t="s">
        <v>598</v>
      </c>
      <c r="G7" s="18">
        <v>0.02</v>
      </c>
      <c r="I7" s="18">
        <v>2.25</v>
      </c>
      <c r="J7" s="18">
        <v>2.5</v>
      </c>
      <c r="K7" s="18" t="s">
        <v>598</v>
      </c>
    </row>
    <row r="8" spans="3:11" ht="15">
      <c r="C8" s="39"/>
      <c r="D8" s="39">
        <v>2.5</v>
      </c>
      <c r="E8" s="39">
        <v>4</v>
      </c>
      <c r="F8" s="39" t="s">
        <v>405</v>
      </c>
      <c r="G8" s="18">
        <v>1</v>
      </c>
      <c r="I8" s="18">
        <v>2.5</v>
      </c>
      <c r="J8" s="18">
        <v>5</v>
      </c>
      <c r="K8" s="18" t="s">
        <v>405</v>
      </c>
    </row>
    <row r="9" spans="3:11" ht="15">
      <c r="C9" s="39"/>
      <c r="D9" s="39">
        <v>4</v>
      </c>
      <c r="E9" s="39">
        <v>6</v>
      </c>
      <c r="F9" s="39" t="s">
        <v>472</v>
      </c>
      <c r="G9" s="18">
        <v>2</v>
      </c>
      <c r="I9" s="18">
        <v>3</v>
      </c>
      <c r="J9" s="18">
        <v>6</v>
      </c>
      <c r="K9" s="18" t="s">
        <v>472</v>
      </c>
    </row>
    <row r="10" spans="3:11" ht="15">
      <c r="C10" s="39"/>
      <c r="D10" s="39">
        <v>6</v>
      </c>
      <c r="E10" s="39">
        <v>8</v>
      </c>
      <c r="F10" s="39" t="s">
        <v>717</v>
      </c>
      <c r="G10" s="18">
        <v>6</v>
      </c>
      <c r="I10" s="18">
        <v>4</v>
      </c>
      <c r="J10" s="18">
        <v>7.5</v>
      </c>
      <c r="K10" s="18" t="s">
        <v>717</v>
      </c>
    </row>
    <row r="11" spans="3:11" ht="15">
      <c r="C11" s="39"/>
      <c r="D11" s="39">
        <v>7.5</v>
      </c>
      <c r="E11" s="39">
        <v>12</v>
      </c>
      <c r="F11" s="39" t="s">
        <v>597</v>
      </c>
      <c r="G11" s="18">
        <v>12</v>
      </c>
      <c r="I11" s="18">
        <v>5.5</v>
      </c>
      <c r="J11" s="18">
        <v>12</v>
      </c>
      <c r="K11" s="18" t="s">
        <v>597</v>
      </c>
    </row>
    <row r="12" spans="3:11" ht="15">
      <c r="C12" s="39"/>
      <c r="D12" s="39">
        <v>12</v>
      </c>
      <c r="E12" s="39">
        <v>15</v>
      </c>
      <c r="F12" s="39" t="s">
        <v>656</v>
      </c>
      <c r="G12" s="18">
        <v>18</v>
      </c>
      <c r="I12" s="18">
        <v>12</v>
      </c>
      <c r="J12" s="18">
        <v>16</v>
      </c>
      <c r="K12" s="18" t="s">
        <v>656</v>
      </c>
    </row>
    <row r="13" spans="3:11" ht="15">
      <c r="C13" s="39"/>
      <c r="D13" s="39">
        <v>15</v>
      </c>
      <c r="E13" s="39">
        <v>18</v>
      </c>
      <c r="F13" s="39" t="s">
        <v>322</v>
      </c>
      <c r="G13" s="18">
        <v>24</v>
      </c>
      <c r="I13" s="18">
        <v>14</v>
      </c>
      <c r="J13" s="18">
        <v>18</v>
      </c>
      <c r="K13" s="18" t="s">
        <v>322</v>
      </c>
    </row>
    <row r="14" spans="3:11" ht="15">
      <c r="C14" s="39"/>
      <c r="D14" s="39"/>
      <c r="E14" s="39"/>
      <c r="F14" s="39"/>
    </row>
    <row r="15" spans="3:11" ht="15">
      <c r="C15" s="39"/>
      <c r="D15" s="39"/>
      <c r="E15" s="39"/>
      <c r="F15" s="39"/>
    </row>
    <row r="16" spans="3:11" ht="15">
      <c r="C16" s="490" t="s">
        <v>750</v>
      </c>
      <c r="D16" s="490"/>
      <c r="E16" s="490"/>
      <c r="F16" s="39"/>
    </row>
    <row r="17" spans="3:15" ht="15">
      <c r="C17" s="39"/>
      <c r="D17" s="39" t="s">
        <v>64</v>
      </c>
      <c r="E17" s="39"/>
      <c r="F17" s="39"/>
      <c r="J17" s="47" t="s">
        <v>995</v>
      </c>
      <c r="L17" s="47"/>
      <c r="M17" s="47" t="s">
        <v>137</v>
      </c>
      <c r="N17" s="47" t="s">
        <v>136</v>
      </c>
      <c r="O17" s="47" t="s">
        <v>380</v>
      </c>
    </row>
    <row r="18" spans="3:15" ht="15">
      <c r="C18" s="39"/>
      <c r="D18" s="39" t="s">
        <v>135</v>
      </c>
      <c r="E18" s="39"/>
      <c r="F18" s="39" t="s">
        <v>79</v>
      </c>
      <c r="I18" s="324" t="s">
        <v>872</v>
      </c>
      <c r="J18" s="7">
        <f t="shared" ref="J18:J35" si="0">AVERAGE(K18:L18)</f>
        <v>5.0000000000000001E-4</v>
      </c>
      <c r="K18" s="7">
        <v>0</v>
      </c>
      <c r="L18" s="7">
        <v>1E-3</v>
      </c>
      <c r="M18" s="7">
        <v>1E-3</v>
      </c>
      <c r="N18" s="124">
        <f t="shared" ref="N18:N35" si="1">O19^2</f>
        <v>8.9999999999999998E-4</v>
      </c>
      <c r="O18" s="259">
        <v>2.5000000000000001E-2</v>
      </c>
    </row>
    <row r="19" spans="3:15" ht="15">
      <c r="C19" s="39"/>
      <c r="D19" s="39">
        <v>0</v>
      </c>
      <c r="E19" s="39">
        <v>1.75</v>
      </c>
      <c r="F19" s="39" t="s">
        <v>215</v>
      </c>
      <c r="G19" s="18">
        <v>5.0000000000000001E-3</v>
      </c>
      <c r="I19" s="324" t="s">
        <v>994</v>
      </c>
      <c r="J19" s="7">
        <f t="shared" si="0"/>
        <v>1.5E-3</v>
      </c>
      <c r="K19" s="7">
        <f t="shared" ref="K19:K35" si="2">L18</f>
        <v>1E-3</v>
      </c>
      <c r="L19" s="7">
        <v>2E-3</v>
      </c>
      <c r="M19" s="7">
        <v>1E-3</v>
      </c>
      <c r="N19" s="124">
        <f t="shared" si="1"/>
        <v>1.2250000000000002E-3</v>
      </c>
      <c r="O19" s="18">
        <v>0.03</v>
      </c>
    </row>
    <row r="20" spans="3:15" ht="15">
      <c r="C20" s="39"/>
      <c r="D20" s="39">
        <v>1.75</v>
      </c>
      <c r="E20" s="39">
        <v>2</v>
      </c>
      <c r="F20" s="39" t="s">
        <v>280</v>
      </c>
      <c r="I20" s="324" t="s">
        <v>63</v>
      </c>
      <c r="J20" s="7">
        <f t="shared" si="0"/>
        <v>2.5000000000000001E-3</v>
      </c>
      <c r="K20" s="7">
        <f t="shared" si="2"/>
        <v>2E-3</v>
      </c>
      <c r="L20" s="7">
        <v>3.0000000000000001E-3</v>
      </c>
      <c r="M20" s="7">
        <v>2E-3</v>
      </c>
      <c r="N20" s="124">
        <f t="shared" si="1"/>
        <v>1.6000000000000001E-3</v>
      </c>
      <c r="O20" s="18">
        <v>3.5000000000000003E-2</v>
      </c>
    </row>
    <row r="21" spans="3:15" ht="15">
      <c r="C21" s="39"/>
      <c r="D21" s="39">
        <v>2</v>
      </c>
      <c r="E21" s="39">
        <v>2.5</v>
      </c>
      <c r="F21" s="39" t="s">
        <v>993</v>
      </c>
      <c r="I21" s="324" t="s">
        <v>749</v>
      </c>
      <c r="J21" s="7">
        <f t="shared" si="0"/>
        <v>4.0000000000000001E-3</v>
      </c>
      <c r="K21" s="7">
        <f t="shared" si="2"/>
        <v>3.0000000000000001E-3</v>
      </c>
      <c r="L21" s="7">
        <v>5.0000000000000001E-3</v>
      </c>
      <c r="M21" s="7">
        <v>3.0000000000000001E-3</v>
      </c>
      <c r="N21" s="124">
        <f t="shared" si="1"/>
        <v>2.0249999999999999E-3</v>
      </c>
      <c r="O21" s="18">
        <v>0.04</v>
      </c>
    </row>
    <row r="22" spans="3:15" ht="15">
      <c r="C22" s="39"/>
      <c r="D22" s="39">
        <v>2.5</v>
      </c>
      <c r="E22" s="39">
        <v>4</v>
      </c>
      <c r="F22" s="39" t="s">
        <v>197</v>
      </c>
      <c r="G22" s="18">
        <v>0.2</v>
      </c>
      <c r="I22" s="324" t="s">
        <v>62</v>
      </c>
      <c r="J22" s="7">
        <f t="shared" si="0"/>
        <v>7.4999999999999997E-3</v>
      </c>
      <c r="K22" s="7">
        <f t="shared" si="2"/>
        <v>5.0000000000000001E-3</v>
      </c>
      <c r="L22" s="7">
        <v>0.01</v>
      </c>
      <c r="M22" s="7">
        <v>4.0000000000000001E-3</v>
      </c>
      <c r="N22" s="124">
        <f t="shared" si="1"/>
        <v>3.0249999999999999E-3</v>
      </c>
      <c r="O22" s="18">
        <v>4.4999999999999998E-2</v>
      </c>
    </row>
    <row r="23" spans="3:15" ht="15">
      <c r="C23" s="39"/>
      <c r="D23" s="39">
        <v>4</v>
      </c>
      <c r="E23" s="39">
        <v>5</v>
      </c>
      <c r="F23" s="39" t="s">
        <v>281</v>
      </c>
      <c r="G23" s="39">
        <v>2</v>
      </c>
      <c r="I23" s="324" t="s">
        <v>511</v>
      </c>
      <c r="J23" s="7">
        <f t="shared" si="0"/>
        <v>1.4999999999999999E-2</v>
      </c>
      <c r="K23" s="7">
        <f t="shared" si="2"/>
        <v>0.01</v>
      </c>
      <c r="L23" s="7">
        <v>0.02</v>
      </c>
      <c r="M23" s="7">
        <v>6.0000000000000001E-3</v>
      </c>
      <c r="N23" s="124">
        <f t="shared" si="1"/>
        <v>4.9000000000000007E-3</v>
      </c>
      <c r="O23" s="18">
        <v>5.5E-2</v>
      </c>
    </row>
    <row r="24" spans="3:15" ht="15">
      <c r="C24" s="39"/>
      <c r="D24" s="39">
        <v>5</v>
      </c>
      <c r="E24" s="39"/>
      <c r="F24" s="39" t="s">
        <v>406</v>
      </c>
      <c r="G24" s="18">
        <v>5</v>
      </c>
      <c r="I24" s="324" t="s">
        <v>813</v>
      </c>
      <c r="J24" s="7">
        <f t="shared" si="0"/>
        <v>0.03</v>
      </c>
      <c r="K24" s="7">
        <f t="shared" si="2"/>
        <v>0.02</v>
      </c>
      <c r="L24" s="7">
        <v>0.04</v>
      </c>
      <c r="M24" s="7">
        <v>0.01</v>
      </c>
      <c r="N24" s="124">
        <f t="shared" si="1"/>
        <v>1.44E-2</v>
      </c>
      <c r="O24" s="18">
        <v>7.0000000000000007E-2</v>
      </c>
    </row>
    <row r="25" spans="3:15" ht="15">
      <c r="C25" s="39"/>
      <c r="D25" s="39"/>
      <c r="E25" s="39"/>
      <c r="F25" s="39"/>
      <c r="G25" s="39"/>
      <c r="I25" s="324" t="s">
        <v>954</v>
      </c>
      <c r="J25" s="7">
        <f t="shared" si="0"/>
        <v>0.06</v>
      </c>
      <c r="K25" s="7">
        <f t="shared" si="2"/>
        <v>0.04</v>
      </c>
      <c r="L25" s="7">
        <v>0.08</v>
      </c>
      <c r="M25" s="7">
        <v>0.03</v>
      </c>
      <c r="N25" s="124">
        <f t="shared" si="1"/>
        <v>2.8900000000000006E-2</v>
      </c>
      <c r="O25" s="18">
        <v>0.12</v>
      </c>
    </row>
    <row r="26" spans="3:15" ht="15">
      <c r="C26" s="39"/>
      <c r="D26" s="39"/>
      <c r="E26" s="39"/>
      <c r="F26" s="39"/>
      <c r="G26" s="39"/>
      <c r="I26" s="324" t="s">
        <v>649</v>
      </c>
      <c r="J26" s="7">
        <f t="shared" si="0"/>
        <v>0.12</v>
      </c>
      <c r="K26" s="7">
        <f t="shared" si="2"/>
        <v>0.08</v>
      </c>
      <c r="L26" s="7">
        <v>0.16</v>
      </c>
      <c r="M26" s="7">
        <v>0.06</v>
      </c>
      <c r="N26" s="124">
        <f t="shared" si="1"/>
        <v>5.7599999999999998E-2</v>
      </c>
      <c r="O26" s="18">
        <v>0.17</v>
      </c>
    </row>
    <row r="27" spans="3:15" ht="15">
      <c r="C27" s="490" t="s">
        <v>260</v>
      </c>
      <c r="D27" s="490"/>
      <c r="E27" s="490"/>
      <c r="F27" s="39"/>
      <c r="G27" s="39"/>
      <c r="I27" s="324" t="s">
        <v>955</v>
      </c>
      <c r="J27" s="7">
        <f t="shared" si="0"/>
        <v>0.22999999999999998</v>
      </c>
      <c r="K27" s="7">
        <f t="shared" si="2"/>
        <v>0.16</v>
      </c>
      <c r="L27" s="7">
        <v>0.3</v>
      </c>
      <c r="M27" s="7">
        <v>0.12</v>
      </c>
      <c r="N27" s="124">
        <f t="shared" si="1"/>
        <v>0.12959999999999999</v>
      </c>
      <c r="O27" s="18">
        <v>0.24</v>
      </c>
    </row>
    <row r="28" spans="3:15" ht="15">
      <c r="D28" s="47" t="s">
        <v>135</v>
      </c>
      <c r="F28" s="39"/>
      <c r="G28" s="39"/>
      <c r="I28" s="324" t="s">
        <v>319</v>
      </c>
      <c r="J28" s="7">
        <f t="shared" si="0"/>
        <v>0.44999999999999996</v>
      </c>
      <c r="K28" s="7">
        <f t="shared" si="2"/>
        <v>0.3</v>
      </c>
      <c r="L28" s="7">
        <v>0.6</v>
      </c>
      <c r="M28" s="7">
        <v>0.25</v>
      </c>
      <c r="N28" s="124">
        <f t="shared" si="1"/>
        <v>0.27040000000000003</v>
      </c>
      <c r="O28" s="18">
        <v>0.36</v>
      </c>
    </row>
    <row r="29" spans="3:15" ht="15">
      <c r="C29" s="39"/>
      <c r="D29" s="39">
        <v>0</v>
      </c>
      <c r="E29" s="39">
        <v>1.7</v>
      </c>
      <c r="F29" s="39" t="s">
        <v>215</v>
      </c>
      <c r="G29" s="39"/>
      <c r="I29" s="324" t="s">
        <v>713</v>
      </c>
      <c r="J29" s="7">
        <f t="shared" si="0"/>
        <v>0.95</v>
      </c>
      <c r="K29" s="7">
        <f t="shared" si="2"/>
        <v>0.6</v>
      </c>
      <c r="L29" s="7">
        <v>1.3</v>
      </c>
      <c r="M29" s="7">
        <v>0.54</v>
      </c>
      <c r="N29" s="124">
        <f t="shared" si="1"/>
        <v>0.5625</v>
      </c>
      <c r="O29" s="18">
        <v>0.52</v>
      </c>
    </row>
    <row r="30" spans="3:15" ht="15">
      <c r="C30" s="39"/>
      <c r="D30" s="39">
        <v>1.7</v>
      </c>
      <c r="E30" s="39">
        <v>2</v>
      </c>
      <c r="F30" s="39" t="s">
        <v>280</v>
      </c>
      <c r="G30" s="39"/>
      <c r="I30" s="324" t="s">
        <v>465</v>
      </c>
      <c r="J30" s="7">
        <f t="shared" si="0"/>
        <v>1.9</v>
      </c>
      <c r="K30" s="7">
        <f t="shared" si="2"/>
        <v>1.3</v>
      </c>
      <c r="L30" s="7">
        <v>2.5</v>
      </c>
      <c r="M30" s="7">
        <v>1.1000000000000001</v>
      </c>
      <c r="N30" s="124">
        <f t="shared" si="1"/>
        <v>1.1664000000000001</v>
      </c>
      <c r="O30" s="18">
        <v>0.75</v>
      </c>
    </row>
    <row r="31" spans="3:15" ht="15">
      <c r="C31" s="39"/>
      <c r="D31" s="39">
        <v>2</v>
      </c>
      <c r="E31" s="39">
        <v>2.5</v>
      </c>
      <c r="F31" s="39" t="s">
        <v>993</v>
      </c>
      <c r="G31" s="39"/>
      <c r="I31" s="324" t="s">
        <v>158</v>
      </c>
      <c r="J31" s="7">
        <f t="shared" si="0"/>
        <v>3.75</v>
      </c>
      <c r="K31" s="7">
        <f t="shared" si="2"/>
        <v>2.5</v>
      </c>
      <c r="L31" s="7">
        <v>5</v>
      </c>
      <c r="M31" s="7">
        <v>2.2999999999999998</v>
      </c>
      <c r="N31" s="124">
        <f t="shared" si="1"/>
        <v>2.3715999999999999</v>
      </c>
      <c r="O31" s="18">
        <v>1.08</v>
      </c>
    </row>
    <row r="32" spans="3:15" ht="15">
      <c r="C32" s="39"/>
      <c r="D32" s="39">
        <v>2.5</v>
      </c>
      <c r="E32" s="39">
        <v>4</v>
      </c>
      <c r="F32" s="39" t="s">
        <v>197</v>
      </c>
      <c r="G32" s="39"/>
      <c r="I32" s="324" t="s">
        <v>210</v>
      </c>
      <c r="J32" s="7">
        <f t="shared" si="0"/>
        <v>7.5</v>
      </c>
      <c r="K32" s="7">
        <f t="shared" si="2"/>
        <v>5</v>
      </c>
      <c r="L32" s="7">
        <v>10</v>
      </c>
      <c r="M32" s="7">
        <v>4.7</v>
      </c>
      <c r="N32" s="124">
        <f t="shared" si="1"/>
        <v>4.8400000000000007</v>
      </c>
      <c r="O32" s="18">
        <v>1.54</v>
      </c>
    </row>
    <row r="33" spans="3:15" ht="15">
      <c r="C33" s="39"/>
      <c r="D33" s="39">
        <v>4</v>
      </c>
      <c r="E33" s="39">
        <v>5</v>
      </c>
      <c r="F33" s="39" t="s">
        <v>281</v>
      </c>
      <c r="G33" s="39"/>
      <c r="I33" s="324" t="s">
        <v>650</v>
      </c>
      <c r="J33" s="7">
        <f t="shared" si="0"/>
        <v>15</v>
      </c>
      <c r="K33" s="7">
        <f t="shared" si="2"/>
        <v>10</v>
      </c>
      <c r="L33" s="7">
        <v>20</v>
      </c>
      <c r="M33" s="7">
        <v>9.3000000000000007</v>
      </c>
      <c r="N33" s="124">
        <f t="shared" si="1"/>
        <v>9.4863999999999997</v>
      </c>
      <c r="O33" s="18">
        <v>2.2000000000000002</v>
      </c>
    </row>
    <row r="34" spans="3:15" ht="15">
      <c r="C34" s="39"/>
      <c r="D34" s="39">
        <v>5</v>
      </c>
      <c r="E34" s="39"/>
      <c r="F34" s="39" t="s">
        <v>406</v>
      </c>
      <c r="G34" s="39"/>
      <c r="I34" s="324" t="s">
        <v>886</v>
      </c>
      <c r="J34" s="7">
        <f t="shared" si="0"/>
        <v>30</v>
      </c>
      <c r="K34" s="7">
        <f t="shared" si="2"/>
        <v>20</v>
      </c>
      <c r="L34" s="7">
        <v>40</v>
      </c>
      <c r="M34" s="7">
        <v>18.7</v>
      </c>
      <c r="N34" s="124">
        <f t="shared" si="1"/>
        <v>19.009600000000002</v>
      </c>
      <c r="O34" s="18">
        <v>3.08</v>
      </c>
    </row>
    <row r="35" spans="3:15">
      <c r="I35" s="324" t="s">
        <v>211</v>
      </c>
      <c r="J35" s="7">
        <f t="shared" si="0"/>
        <v>60</v>
      </c>
      <c r="K35" s="7">
        <f t="shared" si="2"/>
        <v>40</v>
      </c>
      <c r="L35" s="7">
        <v>80</v>
      </c>
      <c r="M35" s="7">
        <v>37.4</v>
      </c>
      <c r="N35" s="124">
        <f t="shared" si="1"/>
        <v>0</v>
      </c>
      <c r="O35" s="18">
        <v>4.3600000000000003</v>
      </c>
    </row>
  </sheetData>
  <mergeCells count="5">
    <mergeCell ref="C2:E2"/>
    <mergeCell ref="C3:E3"/>
    <mergeCell ref="I4:K4"/>
    <mergeCell ref="C16:E16"/>
    <mergeCell ref="C27:E2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AV103"/>
  <sheetViews>
    <sheetView zoomScale="70" workbookViewId="0">
      <selection activeCell="K7" sqref="K7"/>
    </sheetView>
  </sheetViews>
  <sheetFormatPr defaultRowHeight="12.75"/>
  <cols>
    <col min="2" max="2" width="10.28515625" bestFit="1" customWidth="1"/>
    <col min="3" max="3" width="12.140625" bestFit="1" customWidth="1"/>
    <col min="4" max="4" width="5" customWidth="1"/>
    <col min="9" max="9" width="15.28515625" style="2" bestFit="1" customWidth="1"/>
    <col min="10" max="10" width="16" style="2" bestFit="1" customWidth="1"/>
    <col min="14" max="14" width="14.85546875" customWidth="1"/>
    <col min="15" max="15" width="9.5703125" customWidth="1"/>
    <col min="16" max="16" width="9.140625" style="2"/>
    <col min="17" max="17" width="12.85546875" style="2" customWidth="1"/>
    <col min="18" max="18" width="12.140625" style="2" bestFit="1" customWidth="1"/>
    <col min="19" max="19" width="12.140625" style="2" customWidth="1"/>
    <col min="21" max="21" width="10" customWidth="1"/>
    <col min="22" max="22" width="12.140625" bestFit="1" customWidth="1"/>
    <col min="23" max="23" width="19.5703125" bestFit="1" customWidth="1"/>
    <col min="24" max="24" width="6.85546875" bestFit="1" customWidth="1"/>
    <col min="25" max="25" width="11.42578125" bestFit="1" customWidth="1"/>
    <col min="32" max="32" width="11.42578125" bestFit="1" customWidth="1"/>
    <col min="34" max="34" width="9.140625" style="2"/>
    <col min="35" max="35" width="10.28515625" style="2" bestFit="1" customWidth="1"/>
    <col min="36" max="36" width="12.140625" style="2" bestFit="1" customWidth="1"/>
  </cols>
  <sheetData>
    <row r="1" spans="1:48">
      <c r="AT1" s="460" t="s">
        <v>202</v>
      </c>
      <c r="AU1" s="460"/>
      <c r="AV1" s="460"/>
    </row>
    <row r="2" spans="1:48">
      <c r="A2" s="380" t="s">
        <v>752</v>
      </c>
      <c r="B2" s="381"/>
      <c r="C2" s="382"/>
      <c r="D2" s="2"/>
      <c r="E2" s="380" t="s">
        <v>932</v>
      </c>
      <c r="F2" s="381"/>
      <c r="G2" s="382"/>
      <c r="I2" s="3" t="s">
        <v>513</v>
      </c>
      <c r="J2" s="3" t="s">
        <v>66</v>
      </c>
      <c r="L2" s="375" t="s">
        <v>452</v>
      </c>
      <c r="M2" s="375"/>
      <c r="N2" s="375"/>
      <c r="O2" s="2"/>
      <c r="T2" s="375" t="s">
        <v>632</v>
      </c>
      <c r="U2" s="375"/>
      <c r="V2" s="2"/>
      <c r="W2" s="2"/>
      <c r="X2" s="2"/>
      <c r="Y2" s="2"/>
      <c r="AA2" s="375" t="s">
        <v>199</v>
      </c>
      <c r="AB2" s="375"/>
      <c r="AC2" s="2"/>
      <c r="AD2" s="2"/>
      <c r="AE2" s="2"/>
      <c r="AF2" s="2"/>
      <c r="AH2" s="460" t="s">
        <v>753</v>
      </c>
      <c r="AI2" s="460"/>
      <c r="AJ2" s="460"/>
      <c r="AP2" s="460" t="s">
        <v>753</v>
      </c>
      <c r="AQ2" s="460"/>
      <c r="AR2" s="460"/>
      <c r="AT2" s="460" t="s">
        <v>753</v>
      </c>
      <c r="AU2" s="460"/>
      <c r="AV2" s="460"/>
    </row>
    <row r="3" spans="1:48">
      <c r="A3" s="22"/>
      <c r="B3" s="22" t="e">
        <f>#REF!</f>
        <v>#REF!</v>
      </c>
      <c r="C3" s="210" t="e">
        <f>#REF!</f>
        <v>#REF!</v>
      </c>
      <c r="E3" s="325"/>
      <c r="F3" s="22" t="str">
        <f>XS_Designer!F4</f>
        <v>Station (ft)</v>
      </c>
      <c r="G3" s="22" t="str">
        <f>XS_Designer!G4</f>
        <v>Elevation (ft)</v>
      </c>
      <c r="I3" s="14">
        <f>XS_Designer!F9</f>
        <v>-5.0012499999999998</v>
      </c>
      <c r="J3" s="14">
        <f>XS_Designer!F19</f>
        <v>5.0012499999999998</v>
      </c>
      <c r="L3" s="22"/>
      <c r="M3" s="22" t="s">
        <v>1</v>
      </c>
      <c r="N3" s="210" t="s">
        <v>207</v>
      </c>
      <c r="P3" s="3"/>
      <c r="Q3" s="3" t="s">
        <v>1</v>
      </c>
      <c r="R3" s="38" t="s">
        <v>207</v>
      </c>
      <c r="T3" s="3"/>
      <c r="U3" s="38" t="s">
        <v>1</v>
      </c>
      <c r="V3" s="38" t="s">
        <v>207</v>
      </c>
      <c r="W3" s="2" t="s">
        <v>384</v>
      </c>
      <c r="X3" s="2" t="s">
        <v>201</v>
      </c>
      <c r="Y3" s="2" t="s">
        <v>386</v>
      </c>
      <c r="Z3" s="2"/>
      <c r="AA3" s="3"/>
      <c r="AB3" s="38" t="s">
        <v>1</v>
      </c>
      <c r="AC3" s="38" t="s">
        <v>207</v>
      </c>
      <c r="AD3" s="2" t="s">
        <v>384</v>
      </c>
      <c r="AE3" s="2" t="s">
        <v>201</v>
      </c>
      <c r="AF3" s="2" t="s">
        <v>386</v>
      </c>
      <c r="AG3" s="2"/>
      <c r="AI3" s="3" t="s">
        <v>1</v>
      </c>
      <c r="AJ3" s="38" t="s">
        <v>207</v>
      </c>
      <c r="AM3" s="38" t="s">
        <v>1</v>
      </c>
      <c r="AN3" s="38" t="s">
        <v>207</v>
      </c>
      <c r="AP3" s="2"/>
      <c r="AQ3" s="3" t="s">
        <v>1</v>
      </c>
      <c r="AR3" s="38" t="s">
        <v>207</v>
      </c>
      <c r="AT3" s="2"/>
      <c r="AU3" s="3" t="s">
        <v>1</v>
      </c>
      <c r="AV3" s="38" t="s">
        <v>207</v>
      </c>
    </row>
    <row r="4" spans="1:48">
      <c r="A4" s="22" t="e">
        <f>#REF!</f>
        <v>#REF!</v>
      </c>
      <c r="B4" s="22" t="e">
        <f>IF(ISNUMBER(#REF!),#REF!,NA())</f>
        <v>#N/A</v>
      </c>
      <c r="C4" s="22" t="e">
        <f>IF(ISNUMBER(#REF!),#REF!,NA())</f>
        <v>#N/A</v>
      </c>
      <c r="E4" s="325">
        <f>XS_Designer!E5</f>
        <v>1</v>
      </c>
      <c r="F4" s="46">
        <f>IF(XS_Designer!F5&lt;&gt;"",XS_Designer!F5,NA())</f>
        <v>-27.201250000000002</v>
      </c>
      <c r="G4" s="46">
        <f>IF(XS_Designer!G5&lt;&gt;"",XS_Designer!G5,NA())</f>
        <v>3.5010000000000003</v>
      </c>
      <c r="L4">
        <f t="shared" ref="L4:L103" si="0">E4+$I$21</f>
        <v>1</v>
      </c>
      <c r="M4" s="54" t="e">
        <f t="shared" ref="M4:M103" si="1">F4+($I$12-$I$6)</f>
        <v>#REF!</v>
      </c>
      <c r="N4" s="54">
        <f t="shared" ref="N4:N103" si="2">G4</f>
        <v>3.5010000000000003</v>
      </c>
      <c r="O4" s="54"/>
      <c r="P4" s="2" t="e">
        <f>IF(P3&lt;$I$21,IF(ISNUMBER(Q4),P3+1,P3),IF(AND(Q4="INSERT",ISNUMBER(Q5)),$J$21-1,IF(ISNUMBER(Q4),$J$21+1,$I$21)))</f>
        <v>#N/A</v>
      </c>
      <c r="Q4" s="2" t="e">
        <f t="shared" ref="Q4:Q103" si="3">IF(AND(B4&gt;$I$15,B4&lt;$J$15),"INSERT",B4)</f>
        <v>#N/A</v>
      </c>
      <c r="R4" s="2" t="e">
        <f t="shared" ref="R4:R103" si="4">IF(AND(B4&gt;$I$15,B4&lt;$J$15),"INSERT",C4)</f>
        <v>#N/A</v>
      </c>
      <c r="S4" s="27"/>
      <c r="T4" s="2" t="e">
        <f t="shared" ref="T4:T103" si="5">P4</f>
        <v>#N/A</v>
      </c>
      <c r="U4" s="128" t="e">
        <f>IF((SUMPRODUCT(COUNTIF($Q$4:$Q4,"INSERT"))=0),Q4,NA())</f>
        <v>#N/A</v>
      </c>
      <c r="V4" s="128" t="e">
        <f>IF((SUMPRODUCT(COUNTIF($Q$4:$Q4,"INSERT"))=0),R4,NA())</f>
        <v>#N/A</v>
      </c>
      <c r="W4" s="27" t="e">
        <f t="shared" ref="W4:W103" si="6">1/((V4-$N$4)/($M$4-U4))</f>
        <v>#N/A</v>
      </c>
      <c r="X4" s="27" t="e">
        <f t="shared" ref="X4:X103" si="7">IF(AND(W4&gt;=$I$47),"Yes",NA())</f>
        <v>#N/A</v>
      </c>
      <c r="Y4" s="196">
        <f t="shared" ref="Y4:Y103" si="8">IF(ISNA(X4),0,IF(AND(ISNA(X5),X4="Yes"),T4,0))</f>
        <v>0</v>
      </c>
      <c r="AA4" s="2" t="e">
        <f t="shared" ref="AA4:AA103" si="9">P4</f>
        <v>#N/A</v>
      </c>
      <c r="AB4" s="128" t="e">
        <f t="shared" ref="AB4:AC103" si="10">IF(OR(ISNUMBER(U4),Q4="INSERT",Q4="#N/A"),NA(),Q4)</f>
        <v>#N/A</v>
      </c>
      <c r="AC4" s="128" t="e">
        <f t="shared" si="10"/>
        <v>#N/A</v>
      </c>
      <c r="AD4" s="27" t="e">
        <f t="shared" ref="AD4:AD103" si="11">1/((AC4-$J$56)/(AB4-$J$54))</f>
        <v>#N/A</v>
      </c>
      <c r="AE4" s="27" t="e">
        <f t="shared" ref="AE4:AE103" si="12">IF(AND(AD4&gt;$J$47),"Yes",NA())</f>
        <v>#N/A</v>
      </c>
      <c r="AF4" s="196">
        <f t="shared" ref="AF4:AF103" si="13">IF(ISNA(AE4),0,IF(AND(ISNA(AE3),AE4="Yes"),AA4,0))</f>
        <v>0</v>
      </c>
      <c r="AH4" s="2">
        <v>1</v>
      </c>
      <c r="AI4" s="2" t="e">
        <f t="shared" ref="AI4:AI103" si="14">IF(OR(AH4&lt;=$I$21,AH4&gt;=$I$24),VLOOKUP(AH4,P4:R103,2,FALSE),VLOOKUP(AH4,$L$4:$N$103,2,FALSE))</f>
        <v>#N/A</v>
      </c>
      <c r="AJ4" s="2" t="e">
        <f t="shared" ref="AJ4:AJ103" si="15">IF(OR(AH4&lt;=$I$21,AH4&gt;=$I$24),VLOOKUP(AH4,P4:R103,3,FALSE),VLOOKUP(AH4,$L$4:$N$103,3,FALSE))</f>
        <v>#N/A</v>
      </c>
      <c r="AL4" s="2" t="e">
        <f t="shared" ref="AL4:AL103" si="16">AA4</f>
        <v>#N/A</v>
      </c>
      <c r="AM4" s="2" t="e">
        <f t="shared" ref="AM4:AN103" si="17">IF($AL4&lt;=SUM($Y$4:$Y$103),U4,IF(AL4&gt;=SUM($AF$4:$AF$103),AB4,NA()))</f>
        <v>#N/A</v>
      </c>
      <c r="AN4" s="2" t="e">
        <f t="shared" si="17"/>
        <v>#N/A</v>
      </c>
      <c r="AP4" s="2">
        <v>1</v>
      </c>
      <c r="AQ4" t="e">
        <f t="shared" ref="AQ4:AQ103" si="18">IF(OR(AP4&lt;=SUM($Y$4:$Y$103),AP4&gt;=SUM(AF4:AF103)),VLOOKUP(AP4,AL4:AN103,2,FALSE),VLOOKUP(AP4,$L$4:$N$103,2,FALSE))</f>
        <v>#N/A</v>
      </c>
      <c r="AR4" t="e">
        <f t="shared" ref="AR4:AR103" si="19">IF(OR(AP4&lt;=SUM($Y$4:$Y$103),AP4&gt;=SUM(AF4:AF103)),VLOOKUP(AP4,AL4:AN103,3,FALSE),VLOOKUP(AP4,$L$4:$N$103,3,FALSE))</f>
        <v>#N/A</v>
      </c>
      <c r="AT4" s="2">
        <v>1</v>
      </c>
      <c r="AU4" t="str">
        <f t="shared" ref="AU4:AV103" si="20">IFERROR(AQ4,AU3)</f>
        <v>Station (ft)</v>
      </c>
      <c r="AV4" t="str">
        <f t="shared" si="20"/>
        <v>Elevation (ft)</v>
      </c>
    </row>
    <row r="5" spans="1:48">
      <c r="A5" s="22" t="e">
        <f>#REF!</f>
        <v>#REF!</v>
      </c>
      <c r="B5" s="22" t="e">
        <f>IF(ISNUMBER(#REF!),#REF!,NA())</f>
        <v>#N/A</v>
      </c>
      <c r="C5" s="22" t="e">
        <f>IF(ISNUMBER(#REF!),#REF!,NA())</f>
        <v>#N/A</v>
      </c>
      <c r="E5" s="325">
        <f>XS_Designer!E6</f>
        <v>2</v>
      </c>
      <c r="F5" s="46">
        <f>IF(XS_Designer!F6&lt;&gt;"",XS_Designer!F6,NA())</f>
        <v>-26.60125</v>
      </c>
      <c r="G5" s="46">
        <f>IF(XS_Designer!G6&lt;&gt;"",XS_Designer!G6,NA())</f>
        <v>3.2010000000000005</v>
      </c>
      <c r="I5" s="2" t="s">
        <v>138</v>
      </c>
      <c r="L5">
        <f t="shared" si="0"/>
        <v>2</v>
      </c>
      <c r="M5" s="54" t="e">
        <f t="shared" si="1"/>
        <v>#REF!</v>
      </c>
      <c r="N5" s="54">
        <f t="shared" si="2"/>
        <v>3.2010000000000005</v>
      </c>
      <c r="O5" s="54"/>
      <c r="P5" s="2" t="e">
        <f t="shared" ref="P5:P103" si="21">IF(P4&lt;$I$21,IF(ISNUMBER(Q5),P4+1,P4),IF(AND(Q4="INSERT",ISNUMBER(Q5)),$I$24,IF(ISNUMBER(Q5),P4+1,$I$21)))</f>
        <v>#N/A</v>
      </c>
      <c r="Q5" s="2" t="e">
        <f t="shared" si="3"/>
        <v>#N/A</v>
      </c>
      <c r="R5" s="2" t="e">
        <f t="shared" si="4"/>
        <v>#N/A</v>
      </c>
      <c r="S5" s="40"/>
      <c r="T5" s="2" t="e">
        <f t="shared" si="5"/>
        <v>#N/A</v>
      </c>
      <c r="U5" s="128" t="e">
        <f>IF((SUMPRODUCT(COUNTIF($Q$4:$Q5,"INSERT"))=0),Q5,NA())</f>
        <v>#N/A</v>
      </c>
      <c r="V5" s="128" t="e">
        <f>IF((SUMPRODUCT(COUNTIF($Q$4:$Q5,"INSERT"))=0),R5,NA())</f>
        <v>#N/A</v>
      </c>
      <c r="W5" s="27" t="e">
        <f t="shared" si="6"/>
        <v>#N/A</v>
      </c>
      <c r="X5" s="27" t="e">
        <f t="shared" si="7"/>
        <v>#N/A</v>
      </c>
      <c r="Y5" s="196">
        <f t="shared" si="8"/>
        <v>0</v>
      </c>
      <c r="AA5" s="2" t="e">
        <f t="shared" si="9"/>
        <v>#N/A</v>
      </c>
      <c r="AB5" s="128" t="e">
        <f t="shared" si="10"/>
        <v>#N/A</v>
      </c>
      <c r="AC5" s="128" t="e">
        <f t="shared" si="10"/>
        <v>#N/A</v>
      </c>
      <c r="AD5" s="27" t="e">
        <f t="shared" si="11"/>
        <v>#N/A</v>
      </c>
      <c r="AE5" s="27" t="e">
        <f t="shared" si="12"/>
        <v>#N/A</v>
      </c>
      <c r="AF5" s="196">
        <f t="shared" si="13"/>
        <v>0</v>
      </c>
      <c r="AH5" s="2">
        <v>2</v>
      </c>
      <c r="AI5" s="2" t="e">
        <f t="shared" si="14"/>
        <v>#N/A</v>
      </c>
      <c r="AJ5" s="2" t="e">
        <f t="shared" si="15"/>
        <v>#N/A</v>
      </c>
      <c r="AL5" s="2" t="e">
        <f t="shared" si="16"/>
        <v>#N/A</v>
      </c>
      <c r="AM5" s="2" t="e">
        <f t="shared" si="17"/>
        <v>#N/A</v>
      </c>
      <c r="AN5" s="2" t="e">
        <f t="shared" si="17"/>
        <v>#N/A</v>
      </c>
      <c r="AP5" s="2">
        <v>2</v>
      </c>
      <c r="AQ5" t="e">
        <f t="shared" si="18"/>
        <v>#N/A</v>
      </c>
      <c r="AR5" t="e">
        <f t="shared" si="19"/>
        <v>#N/A</v>
      </c>
      <c r="AT5" s="2">
        <v>2</v>
      </c>
      <c r="AU5" t="str">
        <f t="shared" si="20"/>
        <v>Station (ft)</v>
      </c>
      <c r="AV5" t="str">
        <f t="shared" si="20"/>
        <v>Elevation (ft)</v>
      </c>
    </row>
    <row r="6" spans="1:48">
      <c r="A6" s="22" t="e">
        <f>#REF!</f>
        <v>#REF!</v>
      </c>
      <c r="B6" s="22" t="e">
        <f>IF(ISNUMBER(#REF!),#REF!,NA())</f>
        <v>#N/A</v>
      </c>
      <c r="C6" s="22" t="e">
        <f>IF(ISNUMBER(#REF!),#REF!,NA())</f>
        <v>#N/A</v>
      </c>
      <c r="E6" s="325">
        <f>XS_Designer!E7</f>
        <v>3</v>
      </c>
      <c r="F6" s="46">
        <f>IF(XS_Designer!F7&lt;&gt;"",XS_Designer!F7,NA())</f>
        <v>-16.60125</v>
      </c>
      <c r="G6" s="46">
        <f>IF(XS_Designer!G7&lt;&gt;"",XS_Designer!G7,NA())</f>
        <v>3.0010000000000003</v>
      </c>
      <c r="I6" s="27">
        <f>AVERAGE(I3,J3)</f>
        <v>0</v>
      </c>
      <c r="L6">
        <f t="shared" si="0"/>
        <v>3</v>
      </c>
      <c r="M6" s="54" t="e">
        <f t="shared" si="1"/>
        <v>#REF!</v>
      </c>
      <c r="N6" s="54">
        <f t="shared" si="2"/>
        <v>3.0010000000000003</v>
      </c>
      <c r="O6" s="54"/>
      <c r="P6" s="2" t="e">
        <f t="shared" si="21"/>
        <v>#N/A</v>
      </c>
      <c r="Q6" s="2" t="e">
        <f t="shared" si="3"/>
        <v>#N/A</v>
      </c>
      <c r="R6" s="2" t="e">
        <f t="shared" si="4"/>
        <v>#N/A</v>
      </c>
      <c r="S6" s="40"/>
      <c r="T6" s="2" t="e">
        <f t="shared" si="5"/>
        <v>#N/A</v>
      </c>
      <c r="U6" s="128" t="e">
        <f>IF((SUMPRODUCT(COUNTIF($Q$4:$Q6,"INSERT"))=0),Q6,NA())</f>
        <v>#N/A</v>
      </c>
      <c r="V6" s="128" t="e">
        <f>IF((SUMPRODUCT(COUNTIF($Q$4:$Q6,"INSERT"))=0),R6,NA())</f>
        <v>#N/A</v>
      </c>
      <c r="W6" s="27" t="e">
        <f t="shared" si="6"/>
        <v>#N/A</v>
      </c>
      <c r="X6" s="27" t="e">
        <f t="shared" si="7"/>
        <v>#N/A</v>
      </c>
      <c r="Y6" s="196">
        <f t="shared" si="8"/>
        <v>0</v>
      </c>
      <c r="AA6" s="2" t="e">
        <f t="shared" si="9"/>
        <v>#N/A</v>
      </c>
      <c r="AB6" s="128" t="e">
        <f t="shared" si="10"/>
        <v>#N/A</v>
      </c>
      <c r="AC6" s="128" t="e">
        <f t="shared" si="10"/>
        <v>#N/A</v>
      </c>
      <c r="AD6" s="27" t="e">
        <f t="shared" si="11"/>
        <v>#N/A</v>
      </c>
      <c r="AE6" s="27" t="e">
        <f t="shared" si="12"/>
        <v>#N/A</v>
      </c>
      <c r="AF6" s="196">
        <f t="shared" si="13"/>
        <v>0</v>
      </c>
      <c r="AH6" s="2">
        <v>3</v>
      </c>
      <c r="AI6" s="2" t="e">
        <f t="shared" si="14"/>
        <v>#N/A</v>
      </c>
      <c r="AJ6" s="2" t="e">
        <f t="shared" si="15"/>
        <v>#N/A</v>
      </c>
      <c r="AL6" s="2" t="e">
        <f t="shared" si="16"/>
        <v>#N/A</v>
      </c>
      <c r="AM6" s="2" t="e">
        <f t="shared" si="17"/>
        <v>#N/A</v>
      </c>
      <c r="AN6" s="2" t="e">
        <f t="shared" si="17"/>
        <v>#N/A</v>
      </c>
      <c r="AP6" s="2">
        <v>3</v>
      </c>
      <c r="AQ6" t="e">
        <f t="shared" si="18"/>
        <v>#N/A</v>
      </c>
      <c r="AR6" t="e">
        <f t="shared" si="19"/>
        <v>#N/A</v>
      </c>
      <c r="AT6" s="2">
        <v>3</v>
      </c>
      <c r="AU6" t="str">
        <f t="shared" si="20"/>
        <v>Station (ft)</v>
      </c>
      <c r="AV6" t="str">
        <f t="shared" si="20"/>
        <v>Elevation (ft)</v>
      </c>
    </row>
    <row r="7" spans="1:48">
      <c r="A7" s="22" t="e">
        <f>#REF!</f>
        <v>#REF!</v>
      </c>
      <c r="B7" s="22" t="e">
        <f>IF(ISNUMBER(#REF!),#REF!,NA())</f>
        <v>#N/A</v>
      </c>
      <c r="C7" s="22" t="e">
        <f>IF(ISNUMBER(#REF!),#REF!,NA())</f>
        <v>#N/A</v>
      </c>
      <c r="E7" s="325">
        <f>XS_Designer!E8</f>
        <v>4</v>
      </c>
      <c r="F7" s="46">
        <f>IF(XS_Designer!F8&lt;&gt;"",XS_Designer!F8,NA())</f>
        <v>-15.001249999999999</v>
      </c>
      <c r="G7" s="46">
        <f>IF(XS_Designer!G8&lt;&gt;"",XS_Designer!G8,NA())</f>
        <v>2.2010000000000001</v>
      </c>
      <c r="L7">
        <f t="shared" si="0"/>
        <v>4</v>
      </c>
      <c r="M7" s="54" t="e">
        <f t="shared" si="1"/>
        <v>#REF!</v>
      </c>
      <c r="N7" s="54">
        <f t="shared" si="2"/>
        <v>2.2010000000000001</v>
      </c>
      <c r="O7" s="54"/>
      <c r="P7" s="2" t="e">
        <f t="shared" si="21"/>
        <v>#N/A</v>
      </c>
      <c r="Q7" s="2" t="e">
        <f t="shared" si="3"/>
        <v>#N/A</v>
      </c>
      <c r="R7" s="2" t="e">
        <f t="shared" si="4"/>
        <v>#N/A</v>
      </c>
      <c r="S7" s="40"/>
      <c r="T7" s="2" t="e">
        <f t="shared" si="5"/>
        <v>#N/A</v>
      </c>
      <c r="U7" s="128" t="e">
        <f>IF((SUMPRODUCT(COUNTIF($Q$4:$Q7,"INSERT"))=0),Q7,NA())</f>
        <v>#N/A</v>
      </c>
      <c r="V7" s="128" t="e">
        <f>IF((SUMPRODUCT(COUNTIF($Q$4:$Q7,"INSERT"))=0),R7,NA())</f>
        <v>#N/A</v>
      </c>
      <c r="W7" s="27" t="e">
        <f t="shared" si="6"/>
        <v>#N/A</v>
      </c>
      <c r="X7" s="27" t="e">
        <f t="shared" si="7"/>
        <v>#N/A</v>
      </c>
      <c r="Y7" s="196">
        <f t="shared" si="8"/>
        <v>0</v>
      </c>
      <c r="AA7" s="2" t="e">
        <f t="shared" si="9"/>
        <v>#N/A</v>
      </c>
      <c r="AB7" s="128" t="e">
        <f t="shared" si="10"/>
        <v>#N/A</v>
      </c>
      <c r="AC7" s="128" t="e">
        <f t="shared" si="10"/>
        <v>#N/A</v>
      </c>
      <c r="AD7" s="27" t="e">
        <f t="shared" si="11"/>
        <v>#N/A</v>
      </c>
      <c r="AE7" s="27" t="e">
        <f t="shared" si="12"/>
        <v>#N/A</v>
      </c>
      <c r="AF7" s="196">
        <f t="shared" si="13"/>
        <v>0</v>
      </c>
      <c r="AH7" s="2">
        <v>4</v>
      </c>
      <c r="AI7" s="2" t="e">
        <f t="shared" si="14"/>
        <v>#N/A</v>
      </c>
      <c r="AJ7" s="2" t="e">
        <f t="shared" si="15"/>
        <v>#N/A</v>
      </c>
      <c r="AL7" s="2" t="e">
        <f t="shared" si="16"/>
        <v>#N/A</v>
      </c>
      <c r="AM7" s="2" t="e">
        <f t="shared" si="17"/>
        <v>#N/A</v>
      </c>
      <c r="AN7" s="2" t="e">
        <f t="shared" si="17"/>
        <v>#N/A</v>
      </c>
      <c r="AP7" s="2">
        <v>4</v>
      </c>
      <c r="AQ7" t="e">
        <f t="shared" si="18"/>
        <v>#N/A</v>
      </c>
      <c r="AR7" t="e">
        <f t="shared" si="19"/>
        <v>#N/A</v>
      </c>
      <c r="AT7" s="2">
        <v>4</v>
      </c>
      <c r="AU7" t="str">
        <f t="shared" si="20"/>
        <v>Station (ft)</v>
      </c>
      <c r="AV7" t="str">
        <f t="shared" si="20"/>
        <v>Elevation (ft)</v>
      </c>
    </row>
    <row r="8" spans="1:48" ht="15" customHeight="1">
      <c r="A8" s="22" t="e">
        <f>#REF!</f>
        <v>#REF!</v>
      </c>
      <c r="B8" s="22" t="e">
        <f>IF(ISNUMBER(#REF!),#REF!,NA())</f>
        <v>#N/A</v>
      </c>
      <c r="C8" s="22" t="e">
        <f>IF(ISNUMBER(#REF!),#REF!,NA())</f>
        <v>#N/A</v>
      </c>
      <c r="E8" s="325">
        <f>XS_Designer!E9</f>
        <v>5</v>
      </c>
      <c r="F8" s="46">
        <f>IF(XS_Designer!F9&lt;&gt;"",XS_Designer!F9,NA())</f>
        <v>-5.0012499999999998</v>
      </c>
      <c r="G8" s="46">
        <f>IF(XS_Designer!G9&lt;&gt;"",XS_Designer!G9,NA())</f>
        <v>2.0009999999999999</v>
      </c>
      <c r="I8" s="3" t="s">
        <v>584</v>
      </c>
      <c r="J8" s="3" t="s">
        <v>67</v>
      </c>
      <c r="L8">
        <f t="shared" si="0"/>
        <v>5</v>
      </c>
      <c r="M8" s="54" t="e">
        <f t="shared" si="1"/>
        <v>#REF!</v>
      </c>
      <c r="N8" s="54">
        <f t="shared" si="2"/>
        <v>2.0009999999999999</v>
      </c>
      <c r="O8" s="54"/>
      <c r="P8" s="2" t="e">
        <f t="shared" si="21"/>
        <v>#N/A</v>
      </c>
      <c r="Q8" s="2" t="e">
        <f t="shared" si="3"/>
        <v>#N/A</v>
      </c>
      <c r="R8" s="2" t="e">
        <f t="shared" si="4"/>
        <v>#N/A</v>
      </c>
      <c r="S8" s="40"/>
      <c r="T8" s="2" t="e">
        <f t="shared" si="5"/>
        <v>#N/A</v>
      </c>
      <c r="U8" s="128" t="e">
        <f>IF((SUMPRODUCT(COUNTIF($Q$4:$Q8,"INSERT"))=0),Q8,NA())</f>
        <v>#N/A</v>
      </c>
      <c r="V8" s="128" t="e">
        <f>IF((SUMPRODUCT(COUNTIF($Q$4:$Q8,"INSERT"))=0),R8,NA())</f>
        <v>#N/A</v>
      </c>
      <c r="W8" s="27" t="e">
        <f t="shared" si="6"/>
        <v>#N/A</v>
      </c>
      <c r="X8" s="27" t="e">
        <f t="shared" si="7"/>
        <v>#N/A</v>
      </c>
      <c r="Y8" s="196">
        <f t="shared" si="8"/>
        <v>0</v>
      </c>
      <c r="AA8" s="2" t="e">
        <f t="shared" si="9"/>
        <v>#N/A</v>
      </c>
      <c r="AB8" s="128" t="e">
        <f t="shared" si="10"/>
        <v>#N/A</v>
      </c>
      <c r="AC8" s="128" t="e">
        <f t="shared" si="10"/>
        <v>#N/A</v>
      </c>
      <c r="AD8" s="27" t="e">
        <f t="shared" si="11"/>
        <v>#N/A</v>
      </c>
      <c r="AE8" s="27" t="e">
        <f t="shared" si="12"/>
        <v>#N/A</v>
      </c>
      <c r="AF8" s="196">
        <f t="shared" si="13"/>
        <v>0</v>
      </c>
      <c r="AH8" s="2">
        <v>5</v>
      </c>
      <c r="AI8" s="2" t="e">
        <f t="shared" si="14"/>
        <v>#N/A</v>
      </c>
      <c r="AJ8" s="2" t="e">
        <f t="shared" si="15"/>
        <v>#N/A</v>
      </c>
      <c r="AL8" s="2" t="e">
        <f t="shared" si="16"/>
        <v>#N/A</v>
      </c>
      <c r="AM8" s="2" t="e">
        <f t="shared" si="17"/>
        <v>#N/A</v>
      </c>
      <c r="AN8" s="2" t="e">
        <f t="shared" si="17"/>
        <v>#N/A</v>
      </c>
      <c r="AP8" s="2">
        <v>5</v>
      </c>
      <c r="AQ8" t="e">
        <f t="shared" si="18"/>
        <v>#N/A</v>
      </c>
      <c r="AR8" t="e">
        <f t="shared" si="19"/>
        <v>#N/A</v>
      </c>
      <c r="AT8" s="2">
        <v>5</v>
      </c>
      <c r="AU8" t="str">
        <f t="shared" si="20"/>
        <v>Station (ft)</v>
      </c>
      <c r="AV8" t="str">
        <f t="shared" si="20"/>
        <v>Elevation (ft)</v>
      </c>
    </row>
    <row r="9" spans="1:48" ht="15" customHeight="1">
      <c r="A9" s="22" t="e">
        <f>#REF!</f>
        <v>#REF!</v>
      </c>
      <c r="B9" s="22" t="e">
        <f>IF(ISNUMBER(#REF!),#REF!,NA())</f>
        <v>#N/A</v>
      </c>
      <c r="C9" s="22" t="e">
        <f>IF(ISNUMBER(#REF!),#REF!,NA())</f>
        <v>#N/A</v>
      </c>
      <c r="E9" s="325">
        <f>XS_Designer!E10</f>
        <v>6</v>
      </c>
      <c r="F9" s="46">
        <f>IF(XS_Designer!F10&lt;&gt;"",XS_Designer!F10,NA())</f>
        <v>-2.0012499999999998</v>
      </c>
      <c r="G9" s="46">
        <f>IF(XS_Designer!G10&lt;&gt;"",XS_Designer!G10,NA())</f>
        <v>0.501</v>
      </c>
      <c r="I9" s="3" t="e">
        <f>#REF!</f>
        <v>#REF!</v>
      </c>
      <c r="J9" s="3" t="e">
        <f>#REF!</f>
        <v>#REF!</v>
      </c>
      <c r="L9">
        <f t="shared" si="0"/>
        <v>6</v>
      </c>
      <c r="M9" s="54" t="e">
        <f t="shared" si="1"/>
        <v>#REF!</v>
      </c>
      <c r="N9" s="54">
        <f t="shared" si="2"/>
        <v>0.501</v>
      </c>
      <c r="O9" s="54"/>
      <c r="P9" s="2" t="e">
        <f t="shared" si="21"/>
        <v>#N/A</v>
      </c>
      <c r="Q9" s="2" t="e">
        <f t="shared" si="3"/>
        <v>#N/A</v>
      </c>
      <c r="R9" s="2" t="e">
        <f t="shared" si="4"/>
        <v>#N/A</v>
      </c>
      <c r="S9" s="40"/>
      <c r="T9" s="2" t="e">
        <f t="shared" si="5"/>
        <v>#N/A</v>
      </c>
      <c r="U9" s="128" t="e">
        <f>IF((SUMPRODUCT(COUNTIF($Q$4:$Q9,"INSERT"))=0),Q9,NA())</f>
        <v>#N/A</v>
      </c>
      <c r="V9" s="128" t="e">
        <f>IF((SUMPRODUCT(COUNTIF($Q$4:$Q9,"INSERT"))=0),R9,NA())</f>
        <v>#N/A</v>
      </c>
      <c r="W9" s="27" t="e">
        <f t="shared" si="6"/>
        <v>#N/A</v>
      </c>
      <c r="X9" s="27" t="e">
        <f t="shared" si="7"/>
        <v>#N/A</v>
      </c>
      <c r="Y9" s="196">
        <f t="shared" si="8"/>
        <v>0</v>
      </c>
      <c r="AA9" s="2" t="e">
        <f t="shared" si="9"/>
        <v>#N/A</v>
      </c>
      <c r="AB9" s="128" t="e">
        <f t="shared" si="10"/>
        <v>#N/A</v>
      </c>
      <c r="AC9" s="128" t="e">
        <f t="shared" si="10"/>
        <v>#N/A</v>
      </c>
      <c r="AD9" s="27" t="e">
        <f t="shared" si="11"/>
        <v>#N/A</v>
      </c>
      <c r="AE9" s="27" t="e">
        <f t="shared" si="12"/>
        <v>#N/A</v>
      </c>
      <c r="AF9" s="196">
        <f t="shared" si="13"/>
        <v>0</v>
      </c>
      <c r="AH9" s="2">
        <v>6</v>
      </c>
      <c r="AI9" s="2" t="e">
        <f t="shared" si="14"/>
        <v>#N/A</v>
      </c>
      <c r="AJ9" s="2" t="e">
        <f t="shared" si="15"/>
        <v>#N/A</v>
      </c>
      <c r="AL9" s="2" t="e">
        <f t="shared" si="16"/>
        <v>#N/A</v>
      </c>
      <c r="AM9" s="2" t="e">
        <f t="shared" si="17"/>
        <v>#N/A</v>
      </c>
      <c r="AN9" s="2" t="e">
        <f t="shared" si="17"/>
        <v>#N/A</v>
      </c>
      <c r="AP9" s="2">
        <v>6</v>
      </c>
      <c r="AQ9" t="e">
        <f t="shared" si="18"/>
        <v>#N/A</v>
      </c>
      <c r="AR9" t="e">
        <f t="shared" si="19"/>
        <v>#N/A</v>
      </c>
      <c r="AT9" s="2">
        <v>6</v>
      </c>
      <c r="AU9" t="str">
        <f t="shared" si="20"/>
        <v>Station (ft)</v>
      </c>
      <c r="AV9" t="str">
        <f t="shared" si="20"/>
        <v>Elevation (ft)</v>
      </c>
    </row>
    <row r="10" spans="1:48" ht="15" customHeight="1">
      <c r="A10" s="22" t="e">
        <f>#REF!</f>
        <v>#REF!</v>
      </c>
      <c r="B10" s="22" t="e">
        <f>IF(ISNUMBER(#REF!),#REF!,NA())</f>
        <v>#N/A</v>
      </c>
      <c r="C10" s="22" t="e">
        <f>IF(ISNUMBER(#REF!),#REF!,NA())</f>
        <v>#N/A</v>
      </c>
      <c r="E10" s="325">
        <f>XS_Designer!E11</f>
        <v>7</v>
      </c>
      <c r="F10" s="46">
        <f>IF(XS_Designer!F11&lt;&gt;"",XS_Designer!F11,NA())</f>
        <v>-1.00125</v>
      </c>
      <c r="G10" s="46">
        <f>IF(XS_Designer!G11&lt;&gt;"",XS_Designer!G11,NA())</f>
        <v>0.251</v>
      </c>
      <c r="L10">
        <f t="shared" si="0"/>
        <v>7</v>
      </c>
      <c r="M10" s="54" t="e">
        <f t="shared" si="1"/>
        <v>#REF!</v>
      </c>
      <c r="N10" s="54">
        <f t="shared" si="2"/>
        <v>0.251</v>
      </c>
      <c r="O10" s="54"/>
      <c r="P10" s="2" t="e">
        <f t="shared" si="21"/>
        <v>#N/A</v>
      </c>
      <c r="Q10" s="2" t="e">
        <f t="shared" si="3"/>
        <v>#N/A</v>
      </c>
      <c r="R10" s="2" t="e">
        <f t="shared" si="4"/>
        <v>#N/A</v>
      </c>
      <c r="S10" s="40"/>
      <c r="T10" s="2" t="e">
        <f t="shared" si="5"/>
        <v>#N/A</v>
      </c>
      <c r="U10" s="128" t="e">
        <f>IF((SUMPRODUCT(COUNTIF($Q$4:$Q10,"INSERT"))=0),Q10,NA())</f>
        <v>#N/A</v>
      </c>
      <c r="V10" s="128" t="e">
        <f>IF((SUMPRODUCT(COUNTIF($Q$4:$Q10,"INSERT"))=0),R10,NA())</f>
        <v>#N/A</v>
      </c>
      <c r="W10" s="27" t="e">
        <f t="shared" si="6"/>
        <v>#N/A</v>
      </c>
      <c r="X10" s="27" t="e">
        <f t="shared" si="7"/>
        <v>#N/A</v>
      </c>
      <c r="Y10" s="196">
        <f t="shared" si="8"/>
        <v>0</v>
      </c>
      <c r="AA10" s="2" t="e">
        <f t="shared" si="9"/>
        <v>#N/A</v>
      </c>
      <c r="AB10" s="128" t="e">
        <f t="shared" si="10"/>
        <v>#N/A</v>
      </c>
      <c r="AC10" s="128" t="e">
        <f t="shared" si="10"/>
        <v>#N/A</v>
      </c>
      <c r="AD10" s="27" t="e">
        <f t="shared" si="11"/>
        <v>#N/A</v>
      </c>
      <c r="AE10" s="27" t="e">
        <f t="shared" si="12"/>
        <v>#N/A</v>
      </c>
      <c r="AF10" s="196">
        <f t="shared" si="13"/>
        <v>0</v>
      </c>
      <c r="AH10" s="2">
        <v>7</v>
      </c>
      <c r="AI10" s="2" t="e">
        <f t="shared" si="14"/>
        <v>#N/A</v>
      </c>
      <c r="AJ10" s="2" t="e">
        <f t="shared" si="15"/>
        <v>#N/A</v>
      </c>
      <c r="AL10" s="2" t="e">
        <f t="shared" si="16"/>
        <v>#N/A</v>
      </c>
      <c r="AM10" s="2" t="e">
        <f t="shared" si="17"/>
        <v>#N/A</v>
      </c>
      <c r="AN10" s="2" t="e">
        <f t="shared" si="17"/>
        <v>#N/A</v>
      </c>
      <c r="AP10" s="2">
        <v>7</v>
      </c>
      <c r="AQ10" t="e">
        <f t="shared" si="18"/>
        <v>#N/A</v>
      </c>
      <c r="AR10" t="e">
        <f t="shared" si="19"/>
        <v>#N/A</v>
      </c>
      <c r="AT10" s="2">
        <v>7</v>
      </c>
      <c r="AU10" t="str">
        <f t="shared" si="20"/>
        <v>Station (ft)</v>
      </c>
      <c r="AV10" t="str">
        <f t="shared" si="20"/>
        <v>Elevation (ft)</v>
      </c>
    </row>
    <row r="11" spans="1:48" ht="15" customHeight="1">
      <c r="A11" s="22" t="e">
        <f>#REF!</f>
        <v>#REF!</v>
      </c>
      <c r="B11" s="22" t="e">
        <f>IF(ISNUMBER(#REF!),#REF!,NA())</f>
        <v>#N/A</v>
      </c>
      <c r="C11" s="22" t="e">
        <f>IF(ISNUMBER(#REF!),#REF!,NA())</f>
        <v>#N/A</v>
      </c>
      <c r="E11" s="325">
        <f>XS_Designer!E12</f>
        <v>8</v>
      </c>
      <c r="F11" s="46">
        <f>IF(XS_Designer!F12&lt;&gt;"",XS_Designer!F12,NA())</f>
        <v>-0.50124999999999997</v>
      </c>
      <c r="G11" s="46">
        <f>IF(XS_Designer!G12&lt;&gt;"",XS_Designer!G12,NA())</f>
        <v>0.126</v>
      </c>
      <c r="I11" s="2" t="s">
        <v>586</v>
      </c>
      <c r="L11">
        <f t="shared" si="0"/>
        <v>8</v>
      </c>
      <c r="M11" s="54" t="e">
        <f t="shared" si="1"/>
        <v>#REF!</v>
      </c>
      <c r="N11" s="54">
        <f t="shared" si="2"/>
        <v>0.126</v>
      </c>
      <c r="O11" s="54"/>
      <c r="P11" s="2" t="e">
        <f t="shared" si="21"/>
        <v>#N/A</v>
      </c>
      <c r="Q11" s="2" t="e">
        <f t="shared" si="3"/>
        <v>#N/A</v>
      </c>
      <c r="R11" s="2" t="e">
        <f t="shared" si="4"/>
        <v>#N/A</v>
      </c>
      <c r="S11" s="40"/>
      <c r="T11" s="2" t="e">
        <f t="shared" si="5"/>
        <v>#N/A</v>
      </c>
      <c r="U11" s="128" t="e">
        <f>IF((SUMPRODUCT(COUNTIF($Q$4:$Q11,"INSERT"))=0),Q11,NA())</f>
        <v>#N/A</v>
      </c>
      <c r="V11" s="128" t="e">
        <f>IF((SUMPRODUCT(COUNTIF($Q$4:$Q11,"INSERT"))=0),R11,NA())</f>
        <v>#N/A</v>
      </c>
      <c r="W11" s="27" t="e">
        <f t="shared" si="6"/>
        <v>#N/A</v>
      </c>
      <c r="X11" s="27" t="e">
        <f t="shared" si="7"/>
        <v>#N/A</v>
      </c>
      <c r="Y11" s="196">
        <f t="shared" si="8"/>
        <v>0</v>
      </c>
      <c r="Z11" s="345"/>
      <c r="AA11" s="2" t="e">
        <f t="shared" si="9"/>
        <v>#N/A</v>
      </c>
      <c r="AB11" s="128" t="e">
        <f t="shared" si="10"/>
        <v>#N/A</v>
      </c>
      <c r="AC11" s="128" t="e">
        <f t="shared" si="10"/>
        <v>#N/A</v>
      </c>
      <c r="AD11" s="27" t="e">
        <f t="shared" si="11"/>
        <v>#N/A</v>
      </c>
      <c r="AE11" s="27" t="e">
        <f t="shared" si="12"/>
        <v>#N/A</v>
      </c>
      <c r="AF11" s="196">
        <f t="shared" si="13"/>
        <v>0</v>
      </c>
      <c r="AH11" s="2">
        <v>8</v>
      </c>
      <c r="AI11" s="2" t="e">
        <f t="shared" si="14"/>
        <v>#N/A</v>
      </c>
      <c r="AJ11" s="2" t="e">
        <f t="shared" si="15"/>
        <v>#N/A</v>
      </c>
      <c r="AL11" s="2" t="e">
        <f t="shared" si="16"/>
        <v>#N/A</v>
      </c>
      <c r="AM11" s="2" t="e">
        <f t="shared" si="17"/>
        <v>#N/A</v>
      </c>
      <c r="AN11" s="2" t="e">
        <f t="shared" si="17"/>
        <v>#N/A</v>
      </c>
      <c r="AP11" s="2">
        <v>8</v>
      </c>
      <c r="AQ11" t="e">
        <f t="shared" si="18"/>
        <v>#N/A</v>
      </c>
      <c r="AR11" t="e">
        <f t="shared" si="19"/>
        <v>#N/A</v>
      </c>
      <c r="AT11" s="2">
        <v>8</v>
      </c>
      <c r="AU11" t="str">
        <f t="shared" si="20"/>
        <v>Station (ft)</v>
      </c>
      <c r="AV11" t="str">
        <f t="shared" si="20"/>
        <v>Elevation (ft)</v>
      </c>
    </row>
    <row r="12" spans="1:48" ht="15" customHeight="1">
      <c r="A12" s="22" t="e">
        <f>#REF!</f>
        <v>#REF!</v>
      </c>
      <c r="B12" s="22" t="e">
        <f>IF(ISNUMBER(#REF!),#REF!,NA())</f>
        <v>#N/A</v>
      </c>
      <c r="C12" s="22" t="e">
        <f>IF(ISNUMBER(#REF!),#REF!,NA())</f>
        <v>#N/A</v>
      </c>
      <c r="E12" s="325">
        <f>XS_Designer!E13</f>
        <v>9</v>
      </c>
      <c r="F12" s="46">
        <f>IF(XS_Designer!F13&lt;&gt;"",XS_Designer!F13,NA())</f>
        <v>-1E-3</v>
      </c>
      <c r="G12" s="46">
        <f>IF(XS_Designer!G13&lt;&gt;"",XS_Designer!G13,NA())</f>
        <v>1E-3</v>
      </c>
      <c r="I12" s="27" t="e">
        <f>AVERAGE(I9,J9)</f>
        <v>#REF!</v>
      </c>
      <c r="L12">
        <f t="shared" si="0"/>
        <v>9</v>
      </c>
      <c r="M12" s="54" t="e">
        <f t="shared" si="1"/>
        <v>#REF!</v>
      </c>
      <c r="N12" s="54">
        <f t="shared" si="2"/>
        <v>1E-3</v>
      </c>
      <c r="O12" s="54"/>
      <c r="P12" s="2" t="e">
        <f t="shared" si="21"/>
        <v>#N/A</v>
      </c>
      <c r="Q12" s="2" t="e">
        <f t="shared" si="3"/>
        <v>#N/A</v>
      </c>
      <c r="R12" s="2" t="e">
        <f t="shared" si="4"/>
        <v>#N/A</v>
      </c>
      <c r="S12" s="40"/>
      <c r="T12" s="2" t="e">
        <f t="shared" si="5"/>
        <v>#N/A</v>
      </c>
      <c r="U12" s="128" t="e">
        <f>IF((SUMPRODUCT(COUNTIF($Q$4:$Q12,"INSERT"))=0),Q12,NA())</f>
        <v>#N/A</v>
      </c>
      <c r="V12" s="128" t="e">
        <f>IF((SUMPRODUCT(COUNTIF($Q$4:$Q12,"INSERT"))=0),R12,NA())</f>
        <v>#N/A</v>
      </c>
      <c r="W12" s="27" t="e">
        <f t="shared" si="6"/>
        <v>#N/A</v>
      </c>
      <c r="X12" s="27" t="e">
        <f t="shared" si="7"/>
        <v>#N/A</v>
      </c>
      <c r="Y12" s="196">
        <f t="shared" si="8"/>
        <v>0</v>
      </c>
      <c r="AA12" s="2" t="e">
        <f t="shared" si="9"/>
        <v>#N/A</v>
      </c>
      <c r="AB12" s="128" t="e">
        <f t="shared" si="10"/>
        <v>#N/A</v>
      </c>
      <c r="AC12" s="128" t="e">
        <f t="shared" si="10"/>
        <v>#N/A</v>
      </c>
      <c r="AD12" s="27" t="e">
        <f t="shared" si="11"/>
        <v>#N/A</v>
      </c>
      <c r="AE12" s="27" t="e">
        <f t="shared" si="12"/>
        <v>#N/A</v>
      </c>
      <c r="AF12" s="196">
        <f t="shared" si="13"/>
        <v>0</v>
      </c>
      <c r="AH12" s="2">
        <v>9</v>
      </c>
      <c r="AI12" s="2" t="e">
        <f t="shared" si="14"/>
        <v>#N/A</v>
      </c>
      <c r="AJ12" s="2" t="e">
        <f t="shared" si="15"/>
        <v>#N/A</v>
      </c>
      <c r="AL12" s="2" t="e">
        <f t="shared" si="16"/>
        <v>#N/A</v>
      </c>
      <c r="AM12" s="2" t="e">
        <f t="shared" si="17"/>
        <v>#N/A</v>
      </c>
      <c r="AN12" s="2" t="e">
        <f t="shared" si="17"/>
        <v>#N/A</v>
      </c>
      <c r="AP12" s="2">
        <v>9</v>
      </c>
      <c r="AQ12" t="e">
        <f t="shared" si="18"/>
        <v>#N/A</v>
      </c>
      <c r="AR12" t="e">
        <f t="shared" si="19"/>
        <v>#N/A</v>
      </c>
      <c r="AT12" s="2">
        <v>9</v>
      </c>
      <c r="AU12" t="str">
        <f t="shared" si="20"/>
        <v>Station (ft)</v>
      </c>
      <c r="AV12" t="str">
        <f t="shared" si="20"/>
        <v>Elevation (ft)</v>
      </c>
    </row>
    <row r="13" spans="1:48" ht="15" customHeight="1">
      <c r="A13" s="22" t="e">
        <f>#REF!</f>
        <v>#REF!</v>
      </c>
      <c r="B13" s="22" t="e">
        <f>IF(ISNUMBER(#REF!),#REF!,NA())</f>
        <v>#N/A</v>
      </c>
      <c r="C13" s="22" t="e">
        <f>IF(ISNUMBER(#REF!),#REF!,NA())</f>
        <v>#N/A</v>
      </c>
      <c r="E13" s="325">
        <f>XS_Designer!E14</f>
        <v>10</v>
      </c>
      <c r="F13" s="46">
        <f>IF(XS_Designer!F14&lt;&gt;"",XS_Designer!F14,NA())</f>
        <v>0</v>
      </c>
      <c r="G13" s="46">
        <f>IF(XS_Designer!G14&lt;&gt;"",XS_Designer!G14,NA())</f>
        <v>0</v>
      </c>
      <c r="L13">
        <f t="shared" si="0"/>
        <v>10</v>
      </c>
      <c r="M13" s="54" t="e">
        <f t="shared" si="1"/>
        <v>#REF!</v>
      </c>
      <c r="N13" s="54">
        <f t="shared" si="2"/>
        <v>0</v>
      </c>
      <c r="O13" s="54"/>
      <c r="P13" s="2" t="e">
        <f t="shared" si="21"/>
        <v>#N/A</v>
      </c>
      <c r="Q13" s="2" t="e">
        <f t="shared" si="3"/>
        <v>#N/A</v>
      </c>
      <c r="R13" s="2" t="e">
        <f t="shared" si="4"/>
        <v>#N/A</v>
      </c>
      <c r="T13" s="2" t="e">
        <f t="shared" si="5"/>
        <v>#N/A</v>
      </c>
      <c r="U13" s="128" t="e">
        <f>IF((SUMPRODUCT(COUNTIF($Q$4:$Q13,"INSERT"))=0),Q13,NA())</f>
        <v>#N/A</v>
      </c>
      <c r="V13" s="128" t="e">
        <f>IF((SUMPRODUCT(COUNTIF($Q$4:$Q13,"INSERT"))=0),R13,NA())</f>
        <v>#N/A</v>
      </c>
      <c r="W13" s="27" t="e">
        <f t="shared" si="6"/>
        <v>#N/A</v>
      </c>
      <c r="X13" s="27" t="e">
        <f t="shared" si="7"/>
        <v>#N/A</v>
      </c>
      <c r="Y13" s="196">
        <f t="shared" si="8"/>
        <v>0</v>
      </c>
      <c r="AA13" s="2" t="e">
        <f t="shared" si="9"/>
        <v>#N/A</v>
      </c>
      <c r="AB13" s="128" t="e">
        <f t="shared" si="10"/>
        <v>#N/A</v>
      </c>
      <c r="AC13" s="128" t="e">
        <f t="shared" si="10"/>
        <v>#N/A</v>
      </c>
      <c r="AD13" s="27" t="e">
        <f t="shared" si="11"/>
        <v>#N/A</v>
      </c>
      <c r="AE13" s="27" t="e">
        <f t="shared" si="12"/>
        <v>#N/A</v>
      </c>
      <c r="AF13" s="196">
        <f t="shared" si="13"/>
        <v>0</v>
      </c>
      <c r="AH13" s="2">
        <v>10</v>
      </c>
      <c r="AI13" s="2" t="e">
        <f t="shared" si="14"/>
        <v>#N/A</v>
      </c>
      <c r="AJ13" s="2" t="e">
        <f t="shared" si="15"/>
        <v>#N/A</v>
      </c>
      <c r="AL13" s="2" t="e">
        <f t="shared" si="16"/>
        <v>#N/A</v>
      </c>
      <c r="AM13" s="2" t="e">
        <f t="shared" si="17"/>
        <v>#N/A</v>
      </c>
      <c r="AN13" s="2" t="e">
        <f t="shared" si="17"/>
        <v>#N/A</v>
      </c>
      <c r="AP13" s="2">
        <v>10</v>
      </c>
      <c r="AQ13" t="e">
        <f t="shared" si="18"/>
        <v>#N/A</v>
      </c>
      <c r="AR13" t="e">
        <f t="shared" si="19"/>
        <v>#N/A</v>
      </c>
      <c r="AT13" s="2">
        <v>10</v>
      </c>
      <c r="AU13" t="str">
        <f t="shared" si="20"/>
        <v>Station (ft)</v>
      </c>
      <c r="AV13" t="str">
        <f t="shared" si="20"/>
        <v>Elevation (ft)</v>
      </c>
    </row>
    <row r="14" spans="1:48" ht="15" customHeight="1">
      <c r="A14" s="22" t="e">
        <f>#REF!</f>
        <v>#REF!</v>
      </c>
      <c r="B14" s="22" t="e">
        <f>IF(ISNUMBER(#REF!),#REF!,NA())</f>
        <v>#N/A</v>
      </c>
      <c r="C14" s="22" t="e">
        <f>IF(ISNUMBER(#REF!),#REF!,NA())</f>
        <v>#N/A</v>
      </c>
      <c r="E14" s="325">
        <f>XS_Designer!E15</f>
        <v>11</v>
      </c>
      <c r="F14" s="46">
        <f>IF(XS_Designer!F15&lt;&gt;"",XS_Designer!F15,NA())</f>
        <v>1E-3</v>
      </c>
      <c r="G14" s="46">
        <f>IF(XS_Designer!G15&lt;&gt;"",XS_Designer!G15,NA())</f>
        <v>1E-3</v>
      </c>
      <c r="I14" s="2" t="s">
        <v>933</v>
      </c>
      <c r="J14" s="2" t="s">
        <v>453</v>
      </c>
      <c r="L14">
        <f t="shared" si="0"/>
        <v>11</v>
      </c>
      <c r="M14" s="54" t="e">
        <f t="shared" si="1"/>
        <v>#REF!</v>
      </c>
      <c r="N14" s="54">
        <f t="shared" si="2"/>
        <v>1E-3</v>
      </c>
      <c r="O14" s="54"/>
      <c r="P14" s="2" t="e">
        <f t="shared" si="21"/>
        <v>#N/A</v>
      </c>
      <c r="Q14" s="2" t="e">
        <f t="shared" si="3"/>
        <v>#N/A</v>
      </c>
      <c r="R14" s="2" t="e">
        <f t="shared" si="4"/>
        <v>#N/A</v>
      </c>
      <c r="T14" s="2" t="e">
        <f t="shared" si="5"/>
        <v>#N/A</v>
      </c>
      <c r="U14" s="128" t="e">
        <f>IF((SUMPRODUCT(COUNTIF($Q$4:$Q14,"INSERT"))=0),Q14,NA())</f>
        <v>#N/A</v>
      </c>
      <c r="V14" s="128" t="e">
        <f>IF((SUMPRODUCT(COUNTIF($Q$4:$Q14,"INSERT"))=0),R14,NA())</f>
        <v>#N/A</v>
      </c>
      <c r="W14" s="27" t="e">
        <f t="shared" si="6"/>
        <v>#N/A</v>
      </c>
      <c r="X14" s="27" t="e">
        <f t="shared" si="7"/>
        <v>#N/A</v>
      </c>
      <c r="Y14" s="196">
        <f t="shared" si="8"/>
        <v>0</v>
      </c>
      <c r="AA14" s="2" t="e">
        <f t="shared" si="9"/>
        <v>#N/A</v>
      </c>
      <c r="AB14" s="128" t="e">
        <f t="shared" si="10"/>
        <v>#N/A</v>
      </c>
      <c r="AC14" s="128" t="e">
        <f t="shared" si="10"/>
        <v>#N/A</v>
      </c>
      <c r="AD14" s="27" t="e">
        <f t="shared" si="11"/>
        <v>#N/A</v>
      </c>
      <c r="AE14" s="27" t="e">
        <f t="shared" si="12"/>
        <v>#N/A</v>
      </c>
      <c r="AF14" s="196">
        <f t="shared" si="13"/>
        <v>0</v>
      </c>
      <c r="AH14" s="2">
        <v>11</v>
      </c>
      <c r="AI14" s="2" t="e">
        <f t="shared" si="14"/>
        <v>#N/A</v>
      </c>
      <c r="AJ14" s="2" t="e">
        <f t="shared" si="15"/>
        <v>#N/A</v>
      </c>
      <c r="AL14" s="2" t="e">
        <f t="shared" si="16"/>
        <v>#N/A</v>
      </c>
      <c r="AM14" s="2" t="e">
        <f t="shared" si="17"/>
        <v>#N/A</v>
      </c>
      <c r="AN14" s="2" t="e">
        <f t="shared" si="17"/>
        <v>#N/A</v>
      </c>
      <c r="AP14" s="2">
        <v>11</v>
      </c>
      <c r="AQ14" t="e">
        <f t="shared" si="18"/>
        <v>#N/A</v>
      </c>
      <c r="AR14" t="e">
        <f t="shared" si="19"/>
        <v>#N/A</v>
      </c>
      <c r="AT14" s="2">
        <v>11</v>
      </c>
      <c r="AU14" t="str">
        <f t="shared" si="20"/>
        <v>Station (ft)</v>
      </c>
      <c r="AV14" t="str">
        <f t="shared" si="20"/>
        <v>Elevation (ft)</v>
      </c>
    </row>
    <row r="15" spans="1:48" ht="15" customHeight="1">
      <c r="A15" s="22" t="e">
        <f>#REF!</f>
        <v>#REF!</v>
      </c>
      <c r="B15" s="22" t="e">
        <f>IF(ISNUMBER(#REF!),#REF!,NA())</f>
        <v>#N/A</v>
      </c>
      <c r="C15" s="22" t="e">
        <f>IF(ISNUMBER(#REF!),#REF!,NA())</f>
        <v>#N/A</v>
      </c>
      <c r="E15" s="325">
        <f>XS_Designer!E16</f>
        <v>12</v>
      </c>
      <c r="F15" s="46">
        <f>IF(XS_Designer!F16&lt;&gt;"",XS_Designer!F16,NA())</f>
        <v>0.50124999999999997</v>
      </c>
      <c r="G15" s="46">
        <f>IF(XS_Designer!G16&lt;&gt;"",XS_Designer!G16,NA())</f>
        <v>0.126</v>
      </c>
      <c r="I15" s="27">
        <f t="array" ref="I15">MIN(IF(ISNUMBER($M$4:$M$103),$M$4:$M$103))</f>
        <v>0</v>
      </c>
      <c r="J15" s="27">
        <f t="array" ref="J15">MAX(IF(ISNUMBER($M$4:$M$103),$M$4:$M$103))</f>
        <v>0</v>
      </c>
      <c r="L15">
        <f t="shared" si="0"/>
        <v>12</v>
      </c>
      <c r="M15" s="54" t="e">
        <f t="shared" si="1"/>
        <v>#REF!</v>
      </c>
      <c r="N15" s="54">
        <f t="shared" si="2"/>
        <v>0.126</v>
      </c>
      <c r="O15" s="54"/>
      <c r="P15" s="2" t="e">
        <f t="shared" si="21"/>
        <v>#N/A</v>
      </c>
      <c r="Q15" s="2" t="e">
        <f t="shared" si="3"/>
        <v>#N/A</v>
      </c>
      <c r="R15" s="2" t="e">
        <f t="shared" si="4"/>
        <v>#N/A</v>
      </c>
      <c r="T15" s="2" t="e">
        <f t="shared" si="5"/>
        <v>#N/A</v>
      </c>
      <c r="U15" s="128" t="e">
        <f>IF((SUMPRODUCT(COUNTIF($Q$4:$Q15,"INSERT"))=0),Q15,NA())</f>
        <v>#N/A</v>
      </c>
      <c r="V15" s="128" t="e">
        <f>IF((SUMPRODUCT(COUNTIF($Q$4:$Q15,"INSERT"))=0),R15,NA())</f>
        <v>#N/A</v>
      </c>
      <c r="W15" s="27" t="e">
        <f t="shared" si="6"/>
        <v>#N/A</v>
      </c>
      <c r="X15" s="27" t="e">
        <f t="shared" si="7"/>
        <v>#N/A</v>
      </c>
      <c r="Y15" s="196">
        <f t="shared" si="8"/>
        <v>0</v>
      </c>
      <c r="AA15" s="2" t="e">
        <f t="shared" si="9"/>
        <v>#N/A</v>
      </c>
      <c r="AB15" s="128" t="e">
        <f t="shared" si="10"/>
        <v>#N/A</v>
      </c>
      <c r="AC15" s="128" t="e">
        <f t="shared" si="10"/>
        <v>#N/A</v>
      </c>
      <c r="AD15" s="27" t="e">
        <f t="shared" si="11"/>
        <v>#N/A</v>
      </c>
      <c r="AE15" s="27" t="e">
        <f t="shared" si="12"/>
        <v>#N/A</v>
      </c>
      <c r="AF15" s="196">
        <f t="shared" si="13"/>
        <v>0</v>
      </c>
      <c r="AH15" s="2">
        <v>12</v>
      </c>
      <c r="AI15" s="2" t="e">
        <f t="shared" si="14"/>
        <v>#N/A</v>
      </c>
      <c r="AJ15" s="2" t="e">
        <f t="shared" si="15"/>
        <v>#N/A</v>
      </c>
      <c r="AL15" s="2" t="e">
        <f t="shared" si="16"/>
        <v>#N/A</v>
      </c>
      <c r="AM15" s="2" t="e">
        <f t="shared" si="17"/>
        <v>#N/A</v>
      </c>
      <c r="AN15" s="2" t="e">
        <f t="shared" si="17"/>
        <v>#N/A</v>
      </c>
      <c r="AP15" s="2">
        <v>12</v>
      </c>
      <c r="AQ15" t="e">
        <f t="shared" si="18"/>
        <v>#N/A</v>
      </c>
      <c r="AR15" t="e">
        <f t="shared" si="19"/>
        <v>#N/A</v>
      </c>
      <c r="AT15" s="2">
        <v>12</v>
      </c>
      <c r="AU15" t="str">
        <f t="shared" si="20"/>
        <v>Station (ft)</v>
      </c>
      <c r="AV15" t="str">
        <f t="shared" si="20"/>
        <v>Elevation (ft)</v>
      </c>
    </row>
    <row r="16" spans="1:48">
      <c r="A16" s="22" t="e">
        <f>#REF!</f>
        <v>#REF!</v>
      </c>
      <c r="B16" s="22" t="e">
        <f>IF(ISNUMBER(#REF!),#REF!,NA())</f>
        <v>#N/A</v>
      </c>
      <c r="C16" s="22" t="e">
        <f>IF(ISNUMBER(#REF!),#REF!,NA())</f>
        <v>#N/A</v>
      </c>
      <c r="E16" s="325">
        <f>XS_Designer!E17</f>
        <v>13</v>
      </c>
      <c r="F16" s="46">
        <f>IF(XS_Designer!F17&lt;&gt;"",XS_Designer!F17,NA())</f>
        <v>1.00125</v>
      </c>
      <c r="G16" s="46">
        <f>IF(XS_Designer!G17&lt;&gt;"",XS_Designer!G17,NA())</f>
        <v>0.251</v>
      </c>
      <c r="L16">
        <f t="shared" si="0"/>
        <v>13</v>
      </c>
      <c r="M16" s="54" t="e">
        <f t="shared" si="1"/>
        <v>#REF!</v>
      </c>
      <c r="N16" s="54">
        <f t="shared" si="2"/>
        <v>0.251</v>
      </c>
      <c r="O16" s="54"/>
      <c r="P16" s="2" t="e">
        <f t="shared" si="21"/>
        <v>#N/A</v>
      </c>
      <c r="Q16" s="2" t="e">
        <f t="shared" si="3"/>
        <v>#N/A</v>
      </c>
      <c r="R16" s="2" t="e">
        <f t="shared" si="4"/>
        <v>#N/A</v>
      </c>
      <c r="T16" s="2" t="e">
        <f t="shared" si="5"/>
        <v>#N/A</v>
      </c>
      <c r="U16" s="128" t="e">
        <f>IF((SUMPRODUCT(COUNTIF($Q$4:$Q16,"INSERT"))=0),Q16,NA())</f>
        <v>#N/A</v>
      </c>
      <c r="V16" s="128" t="e">
        <f>IF((SUMPRODUCT(COUNTIF($Q$4:$Q16,"INSERT"))=0),R16,NA())</f>
        <v>#N/A</v>
      </c>
      <c r="W16" s="27" t="e">
        <f t="shared" si="6"/>
        <v>#N/A</v>
      </c>
      <c r="X16" s="27" t="e">
        <f t="shared" si="7"/>
        <v>#N/A</v>
      </c>
      <c r="Y16" s="196">
        <f t="shared" si="8"/>
        <v>0</v>
      </c>
      <c r="AA16" s="2" t="e">
        <f t="shared" si="9"/>
        <v>#N/A</v>
      </c>
      <c r="AB16" s="128" t="e">
        <f t="shared" si="10"/>
        <v>#N/A</v>
      </c>
      <c r="AC16" s="128" t="e">
        <f t="shared" si="10"/>
        <v>#N/A</v>
      </c>
      <c r="AD16" s="27" t="e">
        <f t="shared" si="11"/>
        <v>#N/A</v>
      </c>
      <c r="AE16" s="27" t="e">
        <f t="shared" si="12"/>
        <v>#N/A</v>
      </c>
      <c r="AF16" s="196">
        <f t="shared" si="13"/>
        <v>0</v>
      </c>
      <c r="AH16" s="2">
        <v>13</v>
      </c>
      <c r="AI16" s="2" t="e">
        <f t="shared" si="14"/>
        <v>#N/A</v>
      </c>
      <c r="AJ16" s="2" t="e">
        <f t="shared" si="15"/>
        <v>#N/A</v>
      </c>
      <c r="AL16" s="2" t="e">
        <f t="shared" si="16"/>
        <v>#N/A</v>
      </c>
      <c r="AM16" s="2" t="e">
        <f t="shared" si="17"/>
        <v>#N/A</v>
      </c>
      <c r="AN16" s="2" t="e">
        <f t="shared" si="17"/>
        <v>#N/A</v>
      </c>
      <c r="AP16" s="2">
        <v>13</v>
      </c>
      <c r="AQ16" t="e">
        <f t="shared" si="18"/>
        <v>#N/A</v>
      </c>
      <c r="AR16" t="e">
        <f t="shared" si="19"/>
        <v>#N/A</v>
      </c>
      <c r="AT16" s="2">
        <v>13</v>
      </c>
      <c r="AU16" t="str">
        <f t="shared" si="20"/>
        <v>Station (ft)</v>
      </c>
      <c r="AV16" t="str">
        <f t="shared" si="20"/>
        <v>Elevation (ft)</v>
      </c>
    </row>
    <row r="17" spans="1:48">
      <c r="A17" s="22" t="e">
        <f>#REF!</f>
        <v>#REF!</v>
      </c>
      <c r="B17" s="22" t="e">
        <f>IF(ISNUMBER(#REF!),#REF!,NA())</f>
        <v>#N/A</v>
      </c>
      <c r="C17" s="22" t="e">
        <f>IF(ISNUMBER(#REF!),#REF!,NA())</f>
        <v>#N/A</v>
      </c>
      <c r="E17" s="325">
        <f>XS_Designer!E18</f>
        <v>14</v>
      </c>
      <c r="F17" s="46">
        <f>IF(XS_Designer!F18&lt;&gt;"",XS_Designer!F18,NA())</f>
        <v>2.0012499999999998</v>
      </c>
      <c r="G17" s="46">
        <f>IF(XS_Designer!G18&lt;&gt;"",XS_Designer!G18,NA())</f>
        <v>0.501</v>
      </c>
      <c r="I17" s="2" t="s">
        <v>814</v>
      </c>
      <c r="J17" s="2" t="s">
        <v>383</v>
      </c>
      <c r="L17">
        <f t="shared" si="0"/>
        <v>14</v>
      </c>
      <c r="M17" s="54" t="e">
        <f t="shared" si="1"/>
        <v>#REF!</v>
      </c>
      <c r="N17" s="54">
        <f t="shared" si="2"/>
        <v>0.501</v>
      </c>
      <c r="O17" s="54"/>
      <c r="P17" s="2" t="e">
        <f t="shared" si="21"/>
        <v>#N/A</v>
      </c>
      <c r="Q17" s="2" t="e">
        <f t="shared" si="3"/>
        <v>#N/A</v>
      </c>
      <c r="R17" s="2" t="e">
        <f t="shared" si="4"/>
        <v>#N/A</v>
      </c>
      <c r="T17" s="2" t="e">
        <f t="shared" si="5"/>
        <v>#N/A</v>
      </c>
      <c r="U17" s="128" t="e">
        <f>IF((SUMPRODUCT(COUNTIF($Q$4:$Q17,"INSERT"))=0),Q17,NA())</f>
        <v>#N/A</v>
      </c>
      <c r="V17" s="128" t="e">
        <f>IF((SUMPRODUCT(COUNTIF($Q$4:$Q17,"INSERT"))=0),R17,NA())</f>
        <v>#N/A</v>
      </c>
      <c r="W17" s="27" t="e">
        <f t="shared" si="6"/>
        <v>#N/A</v>
      </c>
      <c r="X17" s="27" t="e">
        <f t="shared" si="7"/>
        <v>#N/A</v>
      </c>
      <c r="Y17" s="196">
        <f t="shared" si="8"/>
        <v>0</v>
      </c>
      <c r="AA17" s="2" t="e">
        <f t="shared" si="9"/>
        <v>#N/A</v>
      </c>
      <c r="AB17" s="128" t="e">
        <f t="shared" si="10"/>
        <v>#N/A</v>
      </c>
      <c r="AC17" s="128" t="e">
        <f t="shared" si="10"/>
        <v>#N/A</v>
      </c>
      <c r="AD17" s="27" t="e">
        <f t="shared" si="11"/>
        <v>#N/A</v>
      </c>
      <c r="AE17" s="27" t="e">
        <f t="shared" si="12"/>
        <v>#N/A</v>
      </c>
      <c r="AF17" s="196">
        <f t="shared" si="13"/>
        <v>0</v>
      </c>
      <c r="AH17" s="2">
        <v>14</v>
      </c>
      <c r="AI17" s="2" t="e">
        <f t="shared" si="14"/>
        <v>#N/A</v>
      </c>
      <c r="AJ17" s="2" t="e">
        <f t="shared" si="15"/>
        <v>#N/A</v>
      </c>
      <c r="AL17" s="2" t="e">
        <f t="shared" si="16"/>
        <v>#N/A</v>
      </c>
      <c r="AM17" s="2" t="e">
        <f t="shared" si="17"/>
        <v>#N/A</v>
      </c>
      <c r="AN17" s="2" t="e">
        <f t="shared" si="17"/>
        <v>#N/A</v>
      </c>
      <c r="AP17" s="2">
        <v>14</v>
      </c>
      <c r="AQ17" t="e">
        <f t="shared" si="18"/>
        <v>#N/A</v>
      </c>
      <c r="AR17" t="e">
        <f t="shared" si="19"/>
        <v>#N/A</v>
      </c>
      <c r="AT17" s="2">
        <v>14</v>
      </c>
      <c r="AU17" t="str">
        <f t="shared" si="20"/>
        <v>Station (ft)</v>
      </c>
      <c r="AV17" t="str">
        <f t="shared" si="20"/>
        <v>Elevation (ft)</v>
      </c>
    </row>
    <row r="18" spans="1:48">
      <c r="A18" s="22" t="e">
        <f>#REF!</f>
        <v>#REF!</v>
      </c>
      <c r="B18" s="22" t="e">
        <f>IF(ISNUMBER(#REF!),#REF!,NA())</f>
        <v>#N/A</v>
      </c>
      <c r="C18" s="22" t="e">
        <f>IF(ISNUMBER(#REF!),#REF!,NA())</f>
        <v>#N/A</v>
      </c>
      <c r="E18" s="325">
        <f>XS_Designer!E19</f>
        <v>15</v>
      </c>
      <c r="F18" s="46">
        <f>IF(XS_Designer!F19&lt;&gt;"",XS_Designer!F19,NA())</f>
        <v>5.0012499999999998</v>
      </c>
      <c r="G18" s="46">
        <f>IF(XS_Designer!G19&lt;&gt;"",XS_Designer!G19,NA())</f>
        <v>2.0009999999999999</v>
      </c>
      <c r="I18" s="2">
        <f>COUNT(M4:M103)</f>
        <v>0</v>
      </c>
      <c r="J18" s="2">
        <f>COUNTIFS($Q$4:$Q$103,"&lt;&gt;"&amp;"INSERT",$Q$4:$Q$103,"&lt;&gt;"&amp;("#N/A"))</f>
        <v>0</v>
      </c>
      <c r="L18">
        <f t="shared" si="0"/>
        <v>15</v>
      </c>
      <c r="M18" s="54" t="e">
        <f t="shared" si="1"/>
        <v>#REF!</v>
      </c>
      <c r="N18" s="54">
        <f t="shared" si="2"/>
        <v>2.0009999999999999</v>
      </c>
      <c r="O18" s="54"/>
      <c r="P18" s="2" t="e">
        <f t="shared" si="21"/>
        <v>#N/A</v>
      </c>
      <c r="Q18" s="2" t="e">
        <f t="shared" si="3"/>
        <v>#N/A</v>
      </c>
      <c r="R18" s="2" t="e">
        <f t="shared" si="4"/>
        <v>#N/A</v>
      </c>
      <c r="T18" s="2" t="e">
        <f t="shared" si="5"/>
        <v>#N/A</v>
      </c>
      <c r="U18" s="128" t="e">
        <f>IF((SUMPRODUCT(COUNTIF($Q$4:$Q18,"INSERT"))=0),Q18,NA())</f>
        <v>#N/A</v>
      </c>
      <c r="V18" s="128" t="e">
        <f>IF((SUMPRODUCT(COUNTIF($Q$4:$Q18,"INSERT"))=0),R18,NA())</f>
        <v>#N/A</v>
      </c>
      <c r="W18" s="27" t="e">
        <f t="shared" si="6"/>
        <v>#N/A</v>
      </c>
      <c r="X18" s="27" t="e">
        <f t="shared" si="7"/>
        <v>#N/A</v>
      </c>
      <c r="Y18" s="196">
        <f t="shared" si="8"/>
        <v>0</v>
      </c>
      <c r="AA18" s="2" t="e">
        <f t="shared" si="9"/>
        <v>#N/A</v>
      </c>
      <c r="AB18" s="128" t="e">
        <f t="shared" si="10"/>
        <v>#N/A</v>
      </c>
      <c r="AC18" s="128" t="e">
        <f t="shared" si="10"/>
        <v>#N/A</v>
      </c>
      <c r="AD18" s="27" t="e">
        <f t="shared" si="11"/>
        <v>#N/A</v>
      </c>
      <c r="AE18" s="27" t="e">
        <f t="shared" si="12"/>
        <v>#N/A</v>
      </c>
      <c r="AF18" s="196">
        <f t="shared" si="13"/>
        <v>0</v>
      </c>
      <c r="AH18" s="2">
        <v>15</v>
      </c>
      <c r="AI18" s="2" t="e">
        <f t="shared" si="14"/>
        <v>#N/A</v>
      </c>
      <c r="AJ18" s="2" t="e">
        <f t="shared" si="15"/>
        <v>#N/A</v>
      </c>
      <c r="AL18" s="2" t="e">
        <f t="shared" si="16"/>
        <v>#N/A</v>
      </c>
      <c r="AM18" s="2" t="e">
        <f t="shared" si="17"/>
        <v>#N/A</v>
      </c>
      <c r="AN18" s="2" t="e">
        <f t="shared" si="17"/>
        <v>#N/A</v>
      </c>
      <c r="AP18" s="2">
        <v>15</v>
      </c>
      <c r="AQ18" t="e">
        <f t="shared" si="18"/>
        <v>#N/A</v>
      </c>
      <c r="AR18" t="e">
        <f t="shared" si="19"/>
        <v>#N/A</v>
      </c>
      <c r="AT18" s="2">
        <v>15</v>
      </c>
      <c r="AU18" t="str">
        <f t="shared" si="20"/>
        <v>Station (ft)</v>
      </c>
      <c r="AV18" t="str">
        <f t="shared" si="20"/>
        <v>Elevation (ft)</v>
      </c>
    </row>
    <row r="19" spans="1:48">
      <c r="A19" s="22" t="e">
        <f>#REF!</f>
        <v>#REF!</v>
      </c>
      <c r="B19" s="22" t="e">
        <f>IF(ISNUMBER(#REF!),#REF!,NA())</f>
        <v>#N/A</v>
      </c>
      <c r="C19" s="22" t="e">
        <f>IF(ISNUMBER(#REF!),#REF!,NA())</f>
        <v>#N/A</v>
      </c>
      <c r="E19" s="325">
        <f>XS_Designer!E20</f>
        <v>16</v>
      </c>
      <c r="F19" s="46">
        <f>IF(XS_Designer!F20&lt;&gt;"",XS_Designer!F20,NA())</f>
        <v>15.001249999999999</v>
      </c>
      <c r="G19" s="46">
        <f>IF(XS_Designer!G20&lt;&gt;"",XS_Designer!G20,NA())</f>
        <v>2.2010000000000001</v>
      </c>
      <c r="L19">
        <f t="shared" si="0"/>
        <v>16</v>
      </c>
      <c r="M19" s="54" t="e">
        <f t="shared" si="1"/>
        <v>#REF!</v>
      </c>
      <c r="N19" s="54">
        <f t="shared" si="2"/>
        <v>2.2010000000000001</v>
      </c>
      <c r="O19" s="54"/>
      <c r="P19" s="2" t="e">
        <f t="shared" si="21"/>
        <v>#N/A</v>
      </c>
      <c r="Q19" s="2" t="e">
        <f t="shared" si="3"/>
        <v>#N/A</v>
      </c>
      <c r="R19" s="2" t="e">
        <f t="shared" si="4"/>
        <v>#N/A</v>
      </c>
      <c r="T19" s="2" t="e">
        <f t="shared" si="5"/>
        <v>#N/A</v>
      </c>
      <c r="U19" s="128" t="e">
        <f>IF((SUMPRODUCT(COUNTIF($Q$4:$Q19,"INSERT"))=0),Q19,NA())</f>
        <v>#N/A</v>
      </c>
      <c r="V19" s="128" t="e">
        <f>IF((SUMPRODUCT(COUNTIF($Q$4:$Q19,"INSERT"))=0),R19,NA())</f>
        <v>#N/A</v>
      </c>
      <c r="W19" s="27" t="e">
        <f t="shared" si="6"/>
        <v>#N/A</v>
      </c>
      <c r="X19" s="27" t="e">
        <f t="shared" si="7"/>
        <v>#N/A</v>
      </c>
      <c r="Y19" s="196">
        <f t="shared" si="8"/>
        <v>0</v>
      </c>
      <c r="AA19" s="2" t="e">
        <f t="shared" si="9"/>
        <v>#N/A</v>
      </c>
      <c r="AB19" s="128" t="e">
        <f t="shared" si="10"/>
        <v>#N/A</v>
      </c>
      <c r="AC19" s="128" t="e">
        <f t="shared" si="10"/>
        <v>#N/A</v>
      </c>
      <c r="AD19" s="27" t="e">
        <f t="shared" si="11"/>
        <v>#N/A</v>
      </c>
      <c r="AE19" s="27" t="e">
        <f t="shared" si="12"/>
        <v>#N/A</v>
      </c>
      <c r="AF19" s="196">
        <f t="shared" si="13"/>
        <v>0</v>
      </c>
      <c r="AH19" s="2">
        <v>16</v>
      </c>
      <c r="AI19" s="2" t="e">
        <f t="shared" si="14"/>
        <v>#N/A</v>
      </c>
      <c r="AJ19" s="2" t="e">
        <f t="shared" si="15"/>
        <v>#N/A</v>
      </c>
      <c r="AL19" s="2" t="e">
        <f t="shared" si="16"/>
        <v>#N/A</v>
      </c>
      <c r="AM19" s="2" t="e">
        <f t="shared" si="17"/>
        <v>#N/A</v>
      </c>
      <c r="AN19" s="2" t="e">
        <f t="shared" si="17"/>
        <v>#N/A</v>
      </c>
      <c r="AP19" s="2">
        <v>16</v>
      </c>
      <c r="AQ19" t="e">
        <f t="shared" si="18"/>
        <v>#N/A</v>
      </c>
      <c r="AR19" t="e">
        <f t="shared" si="19"/>
        <v>#N/A</v>
      </c>
      <c r="AT19" s="2">
        <v>16</v>
      </c>
      <c r="AU19" t="str">
        <f t="shared" si="20"/>
        <v>Station (ft)</v>
      </c>
      <c r="AV19" t="str">
        <f t="shared" si="20"/>
        <v>Elevation (ft)</v>
      </c>
    </row>
    <row r="20" spans="1:48">
      <c r="A20" s="22" t="e">
        <f>#REF!</f>
        <v>#REF!</v>
      </c>
      <c r="B20" s="22" t="e">
        <f>IF(ISNUMBER(#REF!),#REF!,NA())</f>
        <v>#N/A</v>
      </c>
      <c r="C20" s="22" t="e">
        <f>IF(ISNUMBER(#REF!),#REF!,NA())</f>
        <v>#N/A</v>
      </c>
      <c r="E20" s="325">
        <f>XS_Designer!E21</f>
        <v>17</v>
      </c>
      <c r="F20" s="46">
        <f>IF(XS_Designer!F21&lt;&gt;"",XS_Designer!F21,NA())</f>
        <v>16.60125</v>
      </c>
      <c r="G20" s="46">
        <f>IF(XS_Designer!G21&lt;&gt;"",XS_Designer!G21,NA())</f>
        <v>3.0010000000000003</v>
      </c>
      <c r="I20" s="2" t="s">
        <v>68</v>
      </c>
      <c r="J20" s="2" t="s">
        <v>997</v>
      </c>
      <c r="L20">
        <f t="shared" si="0"/>
        <v>17</v>
      </c>
      <c r="M20" s="54" t="e">
        <f t="shared" si="1"/>
        <v>#REF!</v>
      </c>
      <c r="N20" s="54">
        <f t="shared" si="2"/>
        <v>3.0010000000000003</v>
      </c>
      <c r="O20" s="54"/>
      <c r="P20" s="2" t="e">
        <f t="shared" si="21"/>
        <v>#N/A</v>
      </c>
      <c r="Q20" s="2" t="e">
        <f t="shared" si="3"/>
        <v>#N/A</v>
      </c>
      <c r="R20" s="2" t="e">
        <f t="shared" si="4"/>
        <v>#N/A</v>
      </c>
      <c r="T20" s="2" t="e">
        <f t="shared" si="5"/>
        <v>#N/A</v>
      </c>
      <c r="U20" s="128" t="e">
        <f>IF((SUMPRODUCT(COUNTIF($Q$4:$Q20,"INSERT"))=0),Q20,NA())</f>
        <v>#N/A</v>
      </c>
      <c r="V20" s="128" t="e">
        <f>IF((SUMPRODUCT(COUNTIF($Q$4:$Q20,"INSERT"))=0),R20,NA())</f>
        <v>#N/A</v>
      </c>
      <c r="W20" s="27" t="e">
        <f t="shared" si="6"/>
        <v>#N/A</v>
      </c>
      <c r="X20" s="27" t="e">
        <f t="shared" si="7"/>
        <v>#N/A</v>
      </c>
      <c r="Y20" s="196">
        <f t="shared" si="8"/>
        <v>0</v>
      </c>
      <c r="AA20" s="2" t="e">
        <f t="shared" si="9"/>
        <v>#N/A</v>
      </c>
      <c r="AB20" s="128" t="e">
        <f t="shared" si="10"/>
        <v>#N/A</v>
      </c>
      <c r="AC20" s="128" t="e">
        <f t="shared" si="10"/>
        <v>#N/A</v>
      </c>
      <c r="AD20" s="27" t="e">
        <f t="shared" si="11"/>
        <v>#N/A</v>
      </c>
      <c r="AE20" s="27" t="e">
        <f t="shared" si="12"/>
        <v>#N/A</v>
      </c>
      <c r="AF20" s="196">
        <f t="shared" si="13"/>
        <v>0</v>
      </c>
      <c r="AH20" s="2">
        <v>17</v>
      </c>
      <c r="AI20" s="2" t="e">
        <f t="shared" si="14"/>
        <v>#N/A</v>
      </c>
      <c r="AJ20" s="2" t="e">
        <f t="shared" si="15"/>
        <v>#N/A</v>
      </c>
      <c r="AL20" s="2" t="e">
        <f t="shared" si="16"/>
        <v>#N/A</v>
      </c>
      <c r="AM20" s="2" t="e">
        <f t="shared" si="17"/>
        <v>#N/A</v>
      </c>
      <c r="AN20" s="2" t="e">
        <f t="shared" si="17"/>
        <v>#N/A</v>
      </c>
      <c r="AP20" s="2">
        <v>17</v>
      </c>
      <c r="AQ20" t="e">
        <f t="shared" si="18"/>
        <v>#N/A</v>
      </c>
      <c r="AR20" t="e">
        <f t="shared" si="19"/>
        <v>#N/A</v>
      </c>
      <c r="AT20" s="2">
        <v>17</v>
      </c>
      <c r="AU20" t="str">
        <f t="shared" si="20"/>
        <v>Station (ft)</v>
      </c>
      <c r="AV20" t="str">
        <f t="shared" si="20"/>
        <v>Elevation (ft)</v>
      </c>
    </row>
    <row r="21" spans="1:48">
      <c r="A21" s="22" t="e">
        <f>#REF!</f>
        <v>#REF!</v>
      </c>
      <c r="B21" s="22" t="e">
        <f>IF(ISNUMBER(#REF!),#REF!,NA())</f>
        <v>#N/A</v>
      </c>
      <c r="C21" s="22" t="e">
        <f>IF(ISNUMBER(#REF!),#REF!,NA())</f>
        <v>#N/A</v>
      </c>
      <c r="E21" s="325">
        <f>XS_Designer!E22</f>
        <v>18</v>
      </c>
      <c r="F21" s="46">
        <f>IF(XS_Designer!F22&lt;&gt;"",XS_Designer!F22,NA())</f>
        <v>26.60125</v>
      </c>
      <c r="G21" s="46">
        <f>IF(XS_Designer!G22&lt;&gt;"",XS_Designer!G22,NA())</f>
        <v>3.2010000000000005</v>
      </c>
      <c r="I21" s="2">
        <f>COUNTIFS($U$4:$U$103,"&lt;&gt;"&amp;"#N/A")</f>
        <v>0</v>
      </c>
      <c r="J21" s="2">
        <f>I21+I18</f>
        <v>0</v>
      </c>
      <c r="L21">
        <f t="shared" si="0"/>
        <v>18</v>
      </c>
      <c r="M21" s="54" t="e">
        <f t="shared" si="1"/>
        <v>#REF!</v>
      </c>
      <c r="N21" s="54">
        <f t="shared" si="2"/>
        <v>3.2010000000000005</v>
      </c>
      <c r="O21" s="54"/>
      <c r="P21" s="2" t="e">
        <f t="shared" si="21"/>
        <v>#N/A</v>
      </c>
      <c r="Q21" s="2" t="e">
        <f t="shared" si="3"/>
        <v>#N/A</v>
      </c>
      <c r="R21" s="2" t="e">
        <f t="shared" si="4"/>
        <v>#N/A</v>
      </c>
      <c r="T21" s="2" t="e">
        <f t="shared" si="5"/>
        <v>#N/A</v>
      </c>
      <c r="U21" s="128" t="e">
        <f>IF((SUMPRODUCT(COUNTIF($Q$4:$Q21,"INSERT"))=0),Q21,NA())</f>
        <v>#N/A</v>
      </c>
      <c r="V21" s="128" t="e">
        <f>IF((SUMPRODUCT(COUNTIF($Q$4:$Q21,"INSERT"))=0),R21,NA())</f>
        <v>#N/A</v>
      </c>
      <c r="W21" s="27" t="e">
        <f t="shared" si="6"/>
        <v>#N/A</v>
      </c>
      <c r="X21" s="27" t="e">
        <f t="shared" si="7"/>
        <v>#N/A</v>
      </c>
      <c r="Y21" s="196">
        <f t="shared" si="8"/>
        <v>0</v>
      </c>
      <c r="AA21" s="2" t="e">
        <f t="shared" si="9"/>
        <v>#N/A</v>
      </c>
      <c r="AB21" s="128" t="e">
        <f t="shared" si="10"/>
        <v>#N/A</v>
      </c>
      <c r="AC21" s="128" t="e">
        <f t="shared" si="10"/>
        <v>#N/A</v>
      </c>
      <c r="AD21" s="27" t="e">
        <f t="shared" si="11"/>
        <v>#N/A</v>
      </c>
      <c r="AE21" s="27" t="e">
        <f t="shared" si="12"/>
        <v>#N/A</v>
      </c>
      <c r="AF21" s="196">
        <f t="shared" si="13"/>
        <v>0</v>
      </c>
      <c r="AH21" s="2">
        <v>18</v>
      </c>
      <c r="AI21" s="2" t="e">
        <f t="shared" si="14"/>
        <v>#N/A</v>
      </c>
      <c r="AJ21" s="2" t="e">
        <f t="shared" si="15"/>
        <v>#N/A</v>
      </c>
      <c r="AL21" s="2" t="e">
        <f t="shared" si="16"/>
        <v>#N/A</v>
      </c>
      <c r="AM21" s="2" t="e">
        <f t="shared" si="17"/>
        <v>#N/A</v>
      </c>
      <c r="AN21" s="2" t="e">
        <f t="shared" si="17"/>
        <v>#N/A</v>
      </c>
      <c r="AP21" s="2">
        <v>18</v>
      </c>
      <c r="AQ21" t="e">
        <f t="shared" si="18"/>
        <v>#N/A</v>
      </c>
      <c r="AR21" t="e">
        <f t="shared" si="19"/>
        <v>#N/A</v>
      </c>
      <c r="AT21" s="2">
        <v>18</v>
      </c>
      <c r="AU21" t="str">
        <f t="shared" si="20"/>
        <v>Station (ft)</v>
      </c>
      <c r="AV21" t="str">
        <f t="shared" si="20"/>
        <v>Elevation (ft)</v>
      </c>
    </row>
    <row r="22" spans="1:48">
      <c r="A22" s="22" t="e">
        <f>#REF!</f>
        <v>#REF!</v>
      </c>
      <c r="B22" s="22" t="e">
        <f>IF(ISNUMBER(#REF!),#REF!,NA())</f>
        <v>#N/A</v>
      </c>
      <c r="C22" s="22" t="e">
        <f>IF(ISNUMBER(#REF!),#REF!,NA())</f>
        <v>#N/A</v>
      </c>
      <c r="E22" s="325">
        <f>XS_Designer!E23</f>
        <v>19</v>
      </c>
      <c r="F22" s="46">
        <f>IF(XS_Designer!F23&lt;&gt;"",XS_Designer!F23,NA())</f>
        <v>27.201250000000002</v>
      </c>
      <c r="G22" s="46">
        <f>IF(XS_Designer!G23&lt;&gt;"",XS_Designer!G23,NA())</f>
        <v>3.5010000000000003</v>
      </c>
      <c r="L22">
        <f t="shared" si="0"/>
        <v>19</v>
      </c>
      <c r="M22" s="54" t="e">
        <f t="shared" si="1"/>
        <v>#REF!</v>
      </c>
      <c r="N22" s="54">
        <f t="shared" si="2"/>
        <v>3.5010000000000003</v>
      </c>
      <c r="O22" s="54"/>
      <c r="P22" s="2" t="e">
        <f t="shared" si="21"/>
        <v>#N/A</v>
      </c>
      <c r="Q22" s="2" t="e">
        <f t="shared" si="3"/>
        <v>#N/A</v>
      </c>
      <c r="R22" s="2" t="e">
        <f t="shared" si="4"/>
        <v>#N/A</v>
      </c>
      <c r="T22" s="2" t="e">
        <f t="shared" si="5"/>
        <v>#N/A</v>
      </c>
      <c r="U22" s="128" t="e">
        <f>IF((SUMPRODUCT(COUNTIF($Q$4:$Q22,"INSERT"))=0),Q22,NA())</f>
        <v>#N/A</v>
      </c>
      <c r="V22" s="128" t="e">
        <f>IF((SUMPRODUCT(COUNTIF($Q$4:$Q22,"INSERT"))=0),R22,NA())</f>
        <v>#N/A</v>
      </c>
      <c r="W22" s="27" t="e">
        <f t="shared" si="6"/>
        <v>#N/A</v>
      </c>
      <c r="X22" s="27" t="e">
        <f t="shared" si="7"/>
        <v>#N/A</v>
      </c>
      <c r="Y22" s="196">
        <f t="shared" si="8"/>
        <v>0</v>
      </c>
      <c r="AA22" s="2" t="e">
        <f t="shared" si="9"/>
        <v>#N/A</v>
      </c>
      <c r="AB22" s="128" t="e">
        <f t="shared" si="10"/>
        <v>#N/A</v>
      </c>
      <c r="AC22" s="128" t="e">
        <f t="shared" si="10"/>
        <v>#N/A</v>
      </c>
      <c r="AD22" s="27" t="e">
        <f t="shared" si="11"/>
        <v>#N/A</v>
      </c>
      <c r="AE22" s="27" t="e">
        <f t="shared" si="12"/>
        <v>#N/A</v>
      </c>
      <c r="AF22" s="196">
        <f t="shared" si="13"/>
        <v>0</v>
      </c>
      <c r="AH22" s="2">
        <v>19</v>
      </c>
      <c r="AI22" s="2" t="e">
        <f t="shared" si="14"/>
        <v>#N/A</v>
      </c>
      <c r="AJ22" s="2" t="e">
        <f t="shared" si="15"/>
        <v>#N/A</v>
      </c>
      <c r="AL22" s="2" t="e">
        <f t="shared" si="16"/>
        <v>#N/A</v>
      </c>
      <c r="AM22" s="2" t="e">
        <f t="shared" si="17"/>
        <v>#N/A</v>
      </c>
      <c r="AN22" s="2" t="e">
        <f t="shared" si="17"/>
        <v>#N/A</v>
      </c>
      <c r="AP22" s="2">
        <v>19</v>
      </c>
      <c r="AQ22" t="e">
        <f t="shared" si="18"/>
        <v>#N/A</v>
      </c>
      <c r="AR22" t="e">
        <f t="shared" si="19"/>
        <v>#N/A</v>
      </c>
      <c r="AT22" s="2">
        <v>19</v>
      </c>
      <c r="AU22" t="str">
        <f t="shared" si="20"/>
        <v>Station (ft)</v>
      </c>
      <c r="AV22" t="str">
        <f t="shared" si="20"/>
        <v>Elevation (ft)</v>
      </c>
    </row>
    <row r="23" spans="1:48">
      <c r="A23" s="22" t="e">
        <f>#REF!</f>
        <v>#REF!</v>
      </c>
      <c r="B23" s="22" t="e">
        <f>IF(ISNUMBER(#REF!),#REF!,NA())</f>
        <v>#N/A</v>
      </c>
      <c r="C23" s="22" t="e">
        <f>IF(ISNUMBER(#REF!),#REF!,NA())</f>
        <v>#N/A</v>
      </c>
      <c r="E23" s="325">
        <f>XS_Designer!E24</f>
        <v>20</v>
      </c>
      <c r="F23" s="46" t="e">
        <f>IF(XS_Designer!F24&lt;&gt;"",XS_Designer!F24,NA())</f>
        <v>#N/A</v>
      </c>
      <c r="G23" s="46" t="e">
        <f>IF(XS_Designer!G24&lt;&gt;"",XS_Designer!G24,NA())</f>
        <v>#N/A</v>
      </c>
      <c r="I23" s="2" t="s">
        <v>815</v>
      </c>
      <c r="J23" s="2" t="s">
        <v>69</v>
      </c>
      <c r="L23">
        <f t="shared" si="0"/>
        <v>20</v>
      </c>
      <c r="M23" s="54" t="e">
        <f t="shared" si="1"/>
        <v>#N/A</v>
      </c>
      <c r="N23" s="54" t="e">
        <f t="shared" si="2"/>
        <v>#N/A</v>
      </c>
      <c r="O23" s="54"/>
      <c r="P23" s="2" t="e">
        <f t="shared" si="21"/>
        <v>#N/A</v>
      </c>
      <c r="Q23" s="2" t="e">
        <f t="shared" si="3"/>
        <v>#N/A</v>
      </c>
      <c r="R23" s="2" t="e">
        <f t="shared" si="4"/>
        <v>#N/A</v>
      </c>
      <c r="T23" s="2" t="e">
        <f t="shared" si="5"/>
        <v>#N/A</v>
      </c>
      <c r="U23" s="128" t="e">
        <f>IF((SUMPRODUCT(COUNTIF($Q$4:$Q23,"INSERT"))=0),Q23,NA())</f>
        <v>#N/A</v>
      </c>
      <c r="V23" s="128" t="e">
        <f>IF((SUMPRODUCT(COUNTIF($Q$4:$Q23,"INSERT"))=0),R23,NA())</f>
        <v>#N/A</v>
      </c>
      <c r="W23" s="27" t="e">
        <f t="shared" si="6"/>
        <v>#N/A</v>
      </c>
      <c r="X23" s="27" t="e">
        <f t="shared" si="7"/>
        <v>#N/A</v>
      </c>
      <c r="Y23" s="196">
        <f t="shared" si="8"/>
        <v>0</v>
      </c>
      <c r="AA23" s="2" t="e">
        <f t="shared" si="9"/>
        <v>#N/A</v>
      </c>
      <c r="AB23" s="128" t="e">
        <f t="shared" si="10"/>
        <v>#N/A</v>
      </c>
      <c r="AC23" s="128" t="e">
        <f t="shared" si="10"/>
        <v>#N/A</v>
      </c>
      <c r="AD23" s="27" t="e">
        <f t="shared" si="11"/>
        <v>#N/A</v>
      </c>
      <c r="AE23" s="27" t="e">
        <f t="shared" si="12"/>
        <v>#N/A</v>
      </c>
      <c r="AF23" s="196">
        <f t="shared" si="13"/>
        <v>0</v>
      </c>
      <c r="AH23" s="2">
        <v>20</v>
      </c>
      <c r="AI23" s="2" t="e">
        <f t="shared" si="14"/>
        <v>#N/A</v>
      </c>
      <c r="AJ23" s="2" t="e">
        <f t="shared" si="15"/>
        <v>#N/A</v>
      </c>
      <c r="AL23" s="2" t="e">
        <f t="shared" si="16"/>
        <v>#N/A</v>
      </c>
      <c r="AM23" s="2" t="e">
        <f t="shared" si="17"/>
        <v>#N/A</v>
      </c>
      <c r="AN23" s="2" t="e">
        <f t="shared" si="17"/>
        <v>#N/A</v>
      </c>
      <c r="AP23" s="2">
        <v>20</v>
      </c>
      <c r="AQ23" t="e">
        <f t="shared" si="18"/>
        <v>#N/A</v>
      </c>
      <c r="AR23" t="e">
        <f t="shared" si="19"/>
        <v>#N/A</v>
      </c>
      <c r="AT23" s="2">
        <v>20</v>
      </c>
      <c r="AU23" t="str">
        <f t="shared" si="20"/>
        <v>Station (ft)</v>
      </c>
      <c r="AV23" t="str">
        <f t="shared" si="20"/>
        <v>Elevation (ft)</v>
      </c>
    </row>
    <row r="24" spans="1:48">
      <c r="A24" s="22" t="e">
        <f>#REF!</f>
        <v>#REF!</v>
      </c>
      <c r="B24" s="22" t="e">
        <f>IF(ISNUMBER(#REF!),#REF!,NA())</f>
        <v>#N/A</v>
      </c>
      <c r="C24" s="22" t="e">
        <f>IF(ISNUMBER(#REF!),#REF!,NA())</f>
        <v>#N/A</v>
      </c>
      <c r="E24" s="325">
        <f>XS_Designer!E25</f>
        <v>21</v>
      </c>
      <c r="F24" s="46" t="e">
        <f>IF(XS_Designer!F25&lt;&gt;"",XS_Designer!F25,NA())</f>
        <v>#N/A</v>
      </c>
      <c r="G24" s="46" t="e">
        <f>IF(XS_Designer!G25&lt;&gt;"",XS_Designer!G25,NA())</f>
        <v>#N/A</v>
      </c>
      <c r="I24" s="2">
        <f>J21+1</f>
        <v>1</v>
      </c>
      <c r="J24" s="2">
        <f>I27</f>
        <v>0</v>
      </c>
      <c r="L24">
        <f t="shared" si="0"/>
        <v>21</v>
      </c>
      <c r="M24" s="54" t="e">
        <f t="shared" si="1"/>
        <v>#N/A</v>
      </c>
      <c r="N24" s="54" t="e">
        <f t="shared" si="2"/>
        <v>#N/A</v>
      </c>
      <c r="O24" s="54"/>
      <c r="P24" s="2" t="e">
        <f t="shared" si="21"/>
        <v>#N/A</v>
      </c>
      <c r="Q24" s="2" t="e">
        <f t="shared" si="3"/>
        <v>#N/A</v>
      </c>
      <c r="R24" s="2" t="e">
        <f t="shared" si="4"/>
        <v>#N/A</v>
      </c>
      <c r="T24" s="2" t="e">
        <f t="shared" si="5"/>
        <v>#N/A</v>
      </c>
      <c r="U24" s="128" t="e">
        <f>IF((SUMPRODUCT(COUNTIF($Q$4:$Q24,"INSERT"))=0),Q24,NA())</f>
        <v>#N/A</v>
      </c>
      <c r="V24" s="128" t="e">
        <f>IF((SUMPRODUCT(COUNTIF($Q$4:$Q24,"INSERT"))=0),R24,NA())</f>
        <v>#N/A</v>
      </c>
      <c r="W24" s="27" t="e">
        <f t="shared" si="6"/>
        <v>#N/A</v>
      </c>
      <c r="X24" s="27" t="e">
        <f t="shared" si="7"/>
        <v>#N/A</v>
      </c>
      <c r="Y24" s="196">
        <f t="shared" si="8"/>
        <v>0</v>
      </c>
      <c r="AA24" s="2" t="e">
        <f t="shared" si="9"/>
        <v>#N/A</v>
      </c>
      <c r="AB24" s="128" t="e">
        <f t="shared" si="10"/>
        <v>#N/A</v>
      </c>
      <c r="AC24" s="128" t="e">
        <f t="shared" si="10"/>
        <v>#N/A</v>
      </c>
      <c r="AD24" s="27" t="e">
        <f t="shared" si="11"/>
        <v>#N/A</v>
      </c>
      <c r="AE24" s="27" t="e">
        <f t="shared" si="12"/>
        <v>#N/A</v>
      </c>
      <c r="AF24" s="196">
        <f t="shared" si="13"/>
        <v>0</v>
      </c>
      <c r="AH24" s="2">
        <v>21</v>
      </c>
      <c r="AI24" s="2" t="e">
        <f t="shared" si="14"/>
        <v>#N/A</v>
      </c>
      <c r="AJ24" s="2" t="e">
        <f t="shared" si="15"/>
        <v>#N/A</v>
      </c>
      <c r="AL24" s="2" t="e">
        <f t="shared" si="16"/>
        <v>#N/A</v>
      </c>
      <c r="AM24" s="2" t="e">
        <f t="shared" si="17"/>
        <v>#N/A</v>
      </c>
      <c r="AN24" s="2" t="e">
        <f t="shared" si="17"/>
        <v>#N/A</v>
      </c>
      <c r="AP24" s="2">
        <v>21</v>
      </c>
      <c r="AQ24" t="e">
        <f t="shared" si="18"/>
        <v>#N/A</v>
      </c>
      <c r="AR24" t="e">
        <f t="shared" si="19"/>
        <v>#N/A</v>
      </c>
      <c r="AT24" s="2">
        <v>21</v>
      </c>
      <c r="AU24" t="str">
        <f t="shared" si="20"/>
        <v>Station (ft)</v>
      </c>
      <c r="AV24" t="str">
        <f t="shared" si="20"/>
        <v>Elevation (ft)</v>
      </c>
    </row>
    <row r="25" spans="1:48">
      <c r="A25" s="22" t="e">
        <f>#REF!</f>
        <v>#REF!</v>
      </c>
      <c r="B25" s="22" t="e">
        <f>IF(ISNUMBER(#REF!),#REF!,NA())</f>
        <v>#N/A</v>
      </c>
      <c r="C25" s="22" t="e">
        <f>IF(ISNUMBER(#REF!),#REF!,NA())</f>
        <v>#N/A</v>
      </c>
      <c r="E25" s="325">
        <f>XS_Designer!E26</f>
        <v>22</v>
      </c>
      <c r="F25" s="46" t="e">
        <f>IF(XS_Designer!F26&lt;&gt;"",XS_Designer!F26,NA())</f>
        <v>#N/A</v>
      </c>
      <c r="G25" s="46" t="e">
        <f>IF(XS_Designer!G26&lt;&gt;"",XS_Designer!G26,NA())</f>
        <v>#N/A</v>
      </c>
      <c r="L25">
        <f t="shared" si="0"/>
        <v>22</v>
      </c>
      <c r="M25" s="54" t="e">
        <f t="shared" si="1"/>
        <v>#N/A</v>
      </c>
      <c r="N25" s="54" t="e">
        <f t="shared" si="2"/>
        <v>#N/A</v>
      </c>
      <c r="O25" s="54"/>
      <c r="P25" s="2" t="e">
        <f t="shared" si="21"/>
        <v>#N/A</v>
      </c>
      <c r="Q25" s="2" t="e">
        <f t="shared" si="3"/>
        <v>#N/A</v>
      </c>
      <c r="R25" s="2" t="e">
        <f t="shared" si="4"/>
        <v>#N/A</v>
      </c>
      <c r="T25" s="2" t="e">
        <f t="shared" si="5"/>
        <v>#N/A</v>
      </c>
      <c r="U25" s="128" t="e">
        <f>IF((SUMPRODUCT(COUNTIF($Q$4:$Q25,"INSERT"))=0),Q25,NA())</f>
        <v>#N/A</v>
      </c>
      <c r="V25" s="128" t="e">
        <f>IF((SUMPRODUCT(COUNTIF($Q$4:$Q25,"INSERT"))=0),R25,NA())</f>
        <v>#N/A</v>
      </c>
      <c r="W25" s="27" t="e">
        <f t="shared" si="6"/>
        <v>#N/A</v>
      </c>
      <c r="X25" s="27" t="e">
        <f t="shared" si="7"/>
        <v>#N/A</v>
      </c>
      <c r="Y25" s="196">
        <f t="shared" si="8"/>
        <v>0</v>
      </c>
      <c r="AA25" s="2" t="e">
        <f t="shared" si="9"/>
        <v>#N/A</v>
      </c>
      <c r="AB25" s="128" t="e">
        <f t="shared" si="10"/>
        <v>#N/A</v>
      </c>
      <c r="AC25" s="128" t="e">
        <f t="shared" si="10"/>
        <v>#N/A</v>
      </c>
      <c r="AD25" s="27" t="e">
        <f t="shared" si="11"/>
        <v>#N/A</v>
      </c>
      <c r="AE25" s="27" t="e">
        <f t="shared" si="12"/>
        <v>#N/A</v>
      </c>
      <c r="AF25" s="196">
        <f t="shared" si="13"/>
        <v>0</v>
      </c>
      <c r="AH25" s="2">
        <v>22</v>
      </c>
      <c r="AI25" s="2" t="e">
        <f t="shared" si="14"/>
        <v>#N/A</v>
      </c>
      <c r="AJ25" s="2" t="e">
        <f t="shared" si="15"/>
        <v>#N/A</v>
      </c>
      <c r="AL25" s="2" t="e">
        <f t="shared" si="16"/>
        <v>#N/A</v>
      </c>
      <c r="AM25" s="2" t="e">
        <f t="shared" si="17"/>
        <v>#N/A</v>
      </c>
      <c r="AN25" s="2" t="e">
        <f t="shared" si="17"/>
        <v>#N/A</v>
      </c>
      <c r="AP25" s="2">
        <v>22</v>
      </c>
      <c r="AQ25" t="e">
        <f t="shared" si="18"/>
        <v>#N/A</v>
      </c>
      <c r="AR25" t="e">
        <f t="shared" si="19"/>
        <v>#N/A</v>
      </c>
      <c r="AT25" s="2">
        <v>22</v>
      </c>
      <c r="AU25" t="str">
        <f t="shared" si="20"/>
        <v>Station (ft)</v>
      </c>
      <c r="AV25" t="str">
        <f t="shared" si="20"/>
        <v>Elevation (ft)</v>
      </c>
    </row>
    <row r="26" spans="1:48">
      <c r="A26" s="22" t="e">
        <f>#REF!</f>
        <v>#REF!</v>
      </c>
      <c r="B26" s="22" t="e">
        <f>IF(ISNUMBER(#REF!),#REF!,NA())</f>
        <v>#N/A</v>
      </c>
      <c r="C26" s="22" t="e">
        <f>IF(ISNUMBER(#REF!),#REF!,NA())</f>
        <v>#N/A</v>
      </c>
      <c r="E26" s="325">
        <f>XS_Designer!E27</f>
        <v>23</v>
      </c>
      <c r="F26" s="46" t="e">
        <f>IF(XS_Designer!F27&lt;&gt;"",XS_Designer!F27,NA())</f>
        <v>#N/A</v>
      </c>
      <c r="G26" s="46" t="e">
        <f>IF(XS_Designer!G27&lt;&gt;"",XS_Designer!G27,NA())</f>
        <v>#N/A</v>
      </c>
      <c r="I26" s="2" t="s">
        <v>585</v>
      </c>
      <c r="L26">
        <f t="shared" si="0"/>
        <v>23</v>
      </c>
      <c r="M26" s="54" t="e">
        <f t="shared" si="1"/>
        <v>#N/A</v>
      </c>
      <c r="N26" s="54" t="e">
        <f t="shared" si="2"/>
        <v>#N/A</v>
      </c>
      <c r="O26" s="54"/>
      <c r="P26" s="2" t="e">
        <f t="shared" si="21"/>
        <v>#N/A</v>
      </c>
      <c r="Q26" s="2" t="e">
        <f t="shared" si="3"/>
        <v>#N/A</v>
      </c>
      <c r="R26" s="2" t="e">
        <f t="shared" si="4"/>
        <v>#N/A</v>
      </c>
      <c r="T26" s="2" t="e">
        <f t="shared" si="5"/>
        <v>#N/A</v>
      </c>
      <c r="U26" s="128" t="e">
        <f>IF((SUMPRODUCT(COUNTIF($Q$4:$Q26,"INSERT"))=0),Q26,NA())</f>
        <v>#N/A</v>
      </c>
      <c r="V26" s="128" t="e">
        <f>IF((SUMPRODUCT(COUNTIF($Q$4:$Q26,"INSERT"))=0),R26,NA())</f>
        <v>#N/A</v>
      </c>
      <c r="W26" s="27" t="e">
        <f t="shared" si="6"/>
        <v>#N/A</v>
      </c>
      <c r="X26" s="27" t="e">
        <f t="shared" si="7"/>
        <v>#N/A</v>
      </c>
      <c r="Y26" s="196">
        <f t="shared" si="8"/>
        <v>0</v>
      </c>
      <c r="AA26" s="2" t="e">
        <f t="shared" si="9"/>
        <v>#N/A</v>
      </c>
      <c r="AB26" s="128" t="e">
        <f t="shared" si="10"/>
        <v>#N/A</v>
      </c>
      <c r="AC26" s="128" t="e">
        <f t="shared" si="10"/>
        <v>#N/A</v>
      </c>
      <c r="AD26" s="27" t="e">
        <f t="shared" si="11"/>
        <v>#N/A</v>
      </c>
      <c r="AE26" s="27" t="e">
        <f t="shared" si="12"/>
        <v>#N/A</v>
      </c>
      <c r="AF26" s="196">
        <f t="shared" si="13"/>
        <v>0</v>
      </c>
      <c r="AH26" s="2">
        <v>23</v>
      </c>
      <c r="AI26" s="2" t="e">
        <f t="shared" si="14"/>
        <v>#N/A</v>
      </c>
      <c r="AJ26" s="2" t="e">
        <f t="shared" si="15"/>
        <v>#N/A</v>
      </c>
      <c r="AL26" s="2" t="e">
        <f t="shared" si="16"/>
        <v>#N/A</v>
      </c>
      <c r="AM26" s="2" t="e">
        <f t="shared" si="17"/>
        <v>#N/A</v>
      </c>
      <c r="AN26" s="2" t="e">
        <f t="shared" si="17"/>
        <v>#N/A</v>
      </c>
      <c r="AP26" s="2">
        <v>23</v>
      </c>
      <c r="AQ26" t="e">
        <f t="shared" si="18"/>
        <v>#N/A</v>
      </c>
      <c r="AR26" t="e">
        <f t="shared" si="19"/>
        <v>#N/A</v>
      </c>
      <c r="AT26" s="2">
        <v>23</v>
      </c>
      <c r="AU26" t="str">
        <f t="shared" si="20"/>
        <v>Station (ft)</v>
      </c>
      <c r="AV26" t="str">
        <f t="shared" si="20"/>
        <v>Elevation (ft)</v>
      </c>
    </row>
    <row r="27" spans="1:48">
      <c r="A27" s="22" t="e">
        <f>#REF!</f>
        <v>#REF!</v>
      </c>
      <c r="B27" s="22" t="e">
        <f>IF(ISNUMBER(#REF!),#REF!,NA())</f>
        <v>#N/A</v>
      </c>
      <c r="C27" s="22" t="e">
        <f>IF(ISNUMBER(#REF!),#REF!,NA())</f>
        <v>#N/A</v>
      </c>
      <c r="E27" s="325">
        <f>XS_Designer!E28</f>
        <v>24</v>
      </c>
      <c r="F27" s="46" t="e">
        <f>IF(XS_Designer!F28&lt;&gt;"",XS_Designer!F28,NA())</f>
        <v>#N/A</v>
      </c>
      <c r="G27" s="46" t="e">
        <f>IF(XS_Designer!G28&lt;&gt;"",XS_Designer!G28,NA())</f>
        <v>#N/A</v>
      </c>
      <c r="I27" s="2">
        <f>I18+J18</f>
        <v>0</v>
      </c>
      <c r="L27">
        <f t="shared" si="0"/>
        <v>24</v>
      </c>
      <c r="M27" s="54" t="e">
        <f t="shared" si="1"/>
        <v>#N/A</v>
      </c>
      <c r="N27" s="54" t="e">
        <f t="shared" si="2"/>
        <v>#N/A</v>
      </c>
      <c r="O27" s="54"/>
      <c r="P27" s="2" t="e">
        <f t="shared" si="21"/>
        <v>#N/A</v>
      </c>
      <c r="Q27" s="2" t="e">
        <f t="shared" si="3"/>
        <v>#N/A</v>
      </c>
      <c r="R27" s="2" t="e">
        <f t="shared" si="4"/>
        <v>#N/A</v>
      </c>
      <c r="T27" s="2" t="e">
        <f t="shared" si="5"/>
        <v>#N/A</v>
      </c>
      <c r="U27" s="128" t="e">
        <f>IF((SUMPRODUCT(COUNTIF($Q$4:$Q27,"INSERT"))=0),Q27,NA())</f>
        <v>#N/A</v>
      </c>
      <c r="V27" s="128" t="e">
        <f>IF((SUMPRODUCT(COUNTIF($Q$4:$Q27,"INSERT"))=0),R27,NA())</f>
        <v>#N/A</v>
      </c>
      <c r="W27" s="27" t="e">
        <f t="shared" si="6"/>
        <v>#N/A</v>
      </c>
      <c r="X27" s="27" t="e">
        <f t="shared" si="7"/>
        <v>#N/A</v>
      </c>
      <c r="Y27" s="196">
        <f t="shared" si="8"/>
        <v>0</v>
      </c>
      <c r="AA27" s="2" t="e">
        <f t="shared" si="9"/>
        <v>#N/A</v>
      </c>
      <c r="AB27" s="128" t="e">
        <f t="shared" si="10"/>
        <v>#N/A</v>
      </c>
      <c r="AC27" s="128" t="e">
        <f t="shared" si="10"/>
        <v>#N/A</v>
      </c>
      <c r="AD27" s="27" t="e">
        <f t="shared" si="11"/>
        <v>#N/A</v>
      </c>
      <c r="AE27" s="27" t="e">
        <f t="shared" si="12"/>
        <v>#N/A</v>
      </c>
      <c r="AF27" s="196">
        <f t="shared" si="13"/>
        <v>0</v>
      </c>
      <c r="AH27" s="2">
        <v>24</v>
      </c>
      <c r="AI27" s="2" t="e">
        <f t="shared" si="14"/>
        <v>#N/A</v>
      </c>
      <c r="AJ27" s="2" t="e">
        <f t="shared" si="15"/>
        <v>#N/A</v>
      </c>
      <c r="AL27" s="2" t="e">
        <f t="shared" si="16"/>
        <v>#N/A</v>
      </c>
      <c r="AM27" s="2" t="e">
        <f t="shared" si="17"/>
        <v>#N/A</v>
      </c>
      <c r="AN27" s="2" t="e">
        <f t="shared" si="17"/>
        <v>#N/A</v>
      </c>
      <c r="AP27" s="2">
        <v>24</v>
      </c>
      <c r="AQ27" t="e">
        <f t="shared" si="18"/>
        <v>#N/A</v>
      </c>
      <c r="AR27" t="e">
        <f t="shared" si="19"/>
        <v>#N/A</v>
      </c>
      <c r="AT27" s="2">
        <v>24</v>
      </c>
      <c r="AU27" t="str">
        <f t="shared" si="20"/>
        <v>Station (ft)</v>
      </c>
      <c r="AV27" t="str">
        <f t="shared" si="20"/>
        <v>Elevation (ft)</v>
      </c>
    </row>
    <row r="28" spans="1:48">
      <c r="A28" s="22" t="e">
        <f>#REF!</f>
        <v>#REF!</v>
      </c>
      <c r="B28" s="22" t="e">
        <f>IF(ISNUMBER(#REF!),#REF!,NA())</f>
        <v>#N/A</v>
      </c>
      <c r="C28" s="22" t="e">
        <f>IF(ISNUMBER(#REF!),#REF!,NA())</f>
        <v>#N/A</v>
      </c>
      <c r="E28" s="325">
        <f>XS_Designer!E29</f>
        <v>25</v>
      </c>
      <c r="F28" s="46" t="e">
        <f>IF(XS_Designer!F29&lt;&gt;"",XS_Designer!F29,NA())</f>
        <v>#N/A</v>
      </c>
      <c r="G28" s="46" t="e">
        <f>IF(XS_Designer!G29&lt;&gt;"",XS_Designer!G29,NA())</f>
        <v>#N/A</v>
      </c>
      <c r="L28">
        <f t="shared" si="0"/>
        <v>25</v>
      </c>
      <c r="M28" s="54" t="e">
        <f t="shared" si="1"/>
        <v>#N/A</v>
      </c>
      <c r="N28" s="54" t="e">
        <f t="shared" si="2"/>
        <v>#N/A</v>
      </c>
      <c r="O28" s="54"/>
      <c r="P28" s="2" t="e">
        <f t="shared" si="21"/>
        <v>#N/A</v>
      </c>
      <c r="Q28" s="2" t="e">
        <f t="shared" si="3"/>
        <v>#N/A</v>
      </c>
      <c r="R28" s="2" t="e">
        <f t="shared" si="4"/>
        <v>#N/A</v>
      </c>
      <c r="T28" s="2" t="e">
        <f t="shared" si="5"/>
        <v>#N/A</v>
      </c>
      <c r="U28" s="128" t="e">
        <f>IF((SUMPRODUCT(COUNTIF($Q$4:$Q28,"INSERT"))=0),Q28,NA())</f>
        <v>#N/A</v>
      </c>
      <c r="V28" s="128" t="e">
        <f>IF((SUMPRODUCT(COUNTIF($Q$4:$Q28,"INSERT"))=0),R28,NA())</f>
        <v>#N/A</v>
      </c>
      <c r="W28" s="27" t="e">
        <f t="shared" si="6"/>
        <v>#N/A</v>
      </c>
      <c r="X28" s="27" t="e">
        <f t="shared" si="7"/>
        <v>#N/A</v>
      </c>
      <c r="Y28" s="196">
        <f t="shared" si="8"/>
        <v>0</v>
      </c>
      <c r="AA28" s="2" t="e">
        <f t="shared" si="9"/>
        <v>#N/A</v>
      </c>
      <c r="AB28" s="128" t="e">
        <f t="shared" si="10"/>
        <v>#N/A</v>
      </c>
      <c r="AC28" s="128" t="e">
        <f t="shared" si="10"/>
        <v>#N/A</v>
      </c>
      <c r="AD28" s="27" t="e">
        <f t="shared" si="11"/>
        <v>#N/A</v>
      </c>
      <c r="AE28" s="27" t="e">
        <f t="shared" si="12"/>
        <v>#N/A</v>
      </c>
      <c r="AF28" s="196">
        <f t="shared" si="13"/>
        <v>0</v>
      </c>
      <c r="AH28" s="2">
        <v>25</v>
      </c>
      <c r="AI28" s="2" t="e">
        <f t="shared" si="14"/>
        <v>#N/A</v>
      </c>
      <c r="AJ28" s="2" t="e">
        <f t="shared" si="15"/>
        <v>#N/A</v>
      </c>
      <c r="AL28" s="2" t="e">
        <f t="shared" si="16"/>
        <v>#N/A</v>
      </c>
      <c r="AM28" s="2" t="e">
        <f t="shared" si="17"/>
        <v>#N/A</v>
      </c>
      <c r="AN28" s="2" t="e">
        <f t="shared" si="17"/>
        <v>#N/A</v>
      </c>
      <c r="AP28" s="2">
        <v>25</v>
      </c>
      <c r="AQ28" t="e">
        <f t="shared" si="18"/>
        <v>#N/A</v>
      </c>
      <c r="AR28" t="e">
        <f t="shared" si="19"/>
        <v>#N/A</v>
      </c>
      <c r="AT28" s="2">
        <v>25</v>
      </c>
      <c r="AU28" t="str">
        <f t="shared" si="20"/>
        <v>Station (ft)</v>
      </c>
      <c r="AV28" t="str">
        <f t="shared" si="20"/>
        <v>Elevation (ft)</v>
      </c>
    </row>
    <row r="29" spans="1:48">
      <c r="A29" s="22" t="e">
        <f>#REF!</f>
        <v>#REF!</v>
      </c>
      <c r="B29" s="22" t="e">
        <f>IF(ISNUMBER(#REF!),#REF!,NA())</f>
        <v>#N/A</v>
      </c>
      <c r="C29" s="22" t="e">
        <f>IF(ISNUMBER(#REF!),#REF!,NA())</f>
        <v>#N/A</v>
      </c>
      <c r="E29" s="325">
        <f>XS_Designer!E30</f>
        <v>26</v>
      </c>
      <c r="F29" s="46" t="e">
        <f>IF(XS_Designer!F30&lt;&gt;"",XS_Designer!F30,NA())</f>
        <v>#N/A</v>
      </c>
      <c r="G29" s="46" t="e">
        <f>IF(XS_Designer!G30&lt;&gt;"",XS_Designer!G30,NA())</f>
        <v>#N/A</v>
      </c>
      <c r="L29">
        <f t="shared" si="0"/>
        <v>26</v>
      </c>
      <c r="M29" s="54" t="e">
        <f t="shared" si="1"/>
        <v>#N/A</v>
      </c>
      <c r="N29" s="54" t="e">
        <f t="shared" si="2"/>
        <v>#N/A</v>
      </c>
      <c r="O29" s="54"/>
      <c r="P29" s="2" t="e">
        <f t="shared" si="21"/>
        <v>#N/A</v>
      </c>
      <c r="Q29" s="2" t="e">
        <f t="shared" si="3"/>
        <v>#N/A</v>
      </c>
      <c r="R29" s="2" t="e">
        <f t="shared" si="4"/>
        <v>#N/A</v>
      </c>
      <c r="T29" s="2" t="e">
        <f t="shared" si="5"/>
        <v>#N/A</v>
      </c>
      <c r="U29" s="128" t="e">
        <f>IF((SUMPRODUCT(COUNTIF($Q$4:$Q29,"INSERT"))=0),Q29,NA())</f>
        <v>#N/A</v>
      </c>
      <c r="V29" s="128" t="e">
        <f>IF((SUMPRODUCT(COUNTIF($Q$4:$Q29,"INSERT"))=0),R29,NA())</f>
        <v>#N/A</v>
      </c>
      <c r="W29" s="27" t="e">
        <f t="shared" si="6"/>
        <v>#N/A</v>
      </c>
      <c r="X29" s="27" t="e">
        <f t="shared" si="7"/>
        <v>#N/A</v>
      </c>
      <c r="Y29" s="196">
        <f t="shared" si="8"/>
        <v>0</v>
      </c>
      <c r="AA29" s="2" t="e">
        <f t="shared" si="9"/>
        <v>#N/A</v>
      </c>
      <c r="AB29" s="128" t="e">
        <f t="shared" si="10"/>
        <v>#N/A</v>
      </c>
      <c r="AC29" s="128" t="e">
        <f t="shared" si="10"/>
        <v>#N/A</v>
      </c>
      <c r="AD29" s="27" t="e">
        <f t="shared" si="11"/>
        <v>#N/A</v>
      </c>
      <c r="AE29" s="27" t="e">
        <f t="shared" si="12"/>
        <v>#N/A</v>
      </c>
      <c r="AF29" s="196">
        <f t="shared" si="13"/>
        <v>0</v>
      </c>
      <c r="AH29" s="2">
        <v>26</v>
      </c>
      <c r="AI29" s="2" t="e">
        <f t="shared" si="14"/>
        <v>#N/A</v>
      </c>
      <c r="AJ29" s="2" t="e">
        <f t="shared" si="15"/>
        <v>#N/A</v>
      </c>
      <c r="AL29" s="2" t="e">
        <f t="shared" si="16"/>
        <v>#N/A</v>
      </c>
      <c r="AM29" s="2" t="e">
        <f t="shared" si="17"/>
        <v>#N/A</v>
      </c>
      <c r="AN29" s="2" t="e">
        <f t="shared" si="17"/>
        <v>#N/A</v>
      </c>
      <c r="AP29" s="2">
        <v>26</v>
      </c>
      <c r="AQ29" t="e">
        <f t="shared" si="18"/>
        <v>#N/A</v>
      </c>
      <c r="AR29" t="e">
        <f t="shared" si="19"/>
        <v>#N/A</v>
      </c>
      <c r="AT29" s="2">
        <v>26</v>
      </c>
      <c r="AU29" t="str">
        <f t="shared" si="20"/>
        <v>Station (ft)</v>
      </c>
      <c r="AV29" t="str">
        <f t="shared" si="20"/>
        <v>Elevation (ft)</v>
      </c>
    </row>
    <row r="30" spans="1:48">
      <c r="A30" s="22" t="e">
        <f>#REF!</f>
        <v>#REF!</v>
      </c>
      <c r="B30" s="22" t="e">
        <f>IF(ISNUMBER(#REF!),#REF!,NA())</f>
        <v>#N/A</v>
      </c>
      <c r="C30" s="22" t="e">
        <f>IF(ISNUMBER(#REF!),#REF!,NA())</f>
        <v>#N/A</v>
      </c>
      <c r="E30" s="325">
        <f>XS_Designer!E31</f>
        <v>27</v>
      </c>
      <c r="F30" s="46" t="e">
        <f>IF(XS_Designer!F31&lt;&gt;"",XS_Designer!F31,NA())</f>
        <v>#N/A</v>
      </c>
      <c r="G30" s="46" t="e">
        <f>IF(XS_Designer!G31&lt;&gt;"",XS_Designer!G31,NA())</f>
        <v>#N/A</v>
      </c>
      <c r="L30">
        <f t="shared" si="0"/>
        <v>27</v>
      </c>
      <c r="M30" s="54" t="e">
        <f t="shared" si="1"/>
        <v>#N/A</v>
      </c>
      <c r="N30" s="54" t="e">
        <f t="shared" si="2"/>
        <v>#N/A</v>
      </c>
      <c r="O30" s="54"/>
      <c r="P30" s="2" t="e">
        <f t="shared" si="21"/>
        <v>#N/A</v>
      </c>
      <c r="Q30" s="2" t="e">
        <f t="shared" si="3"/>
        <v>#N/A</v>
      </c>
      <c r="R30" s="2" t="e">
        <f t="shared" si="4"/>
        <v>#N/A</v>
      </c>
      <c r="T30" s="2" t="e">
        <f t="shared" si="5"/>
        <v>#N/A</v>
      </c>
      <c r="U30" s="128" t="e">
        <f>IF((SUMPRODUCT(COUNTIF($Q$4:$Q30,"INSERT"))=0),Q30,NA())</f>
        <v>#N/A</v>
      </c>
      <c r="V30" s="128" t="e">
        <f>IF((SUMPRODUCT(COUNTIF($Q$4:$Q30,"INSERT"))=0),R30,NA())</f>
        <v>#N/A</v>
      </c>
      <c r="W30" s="27" t="e">
        <f t="shared" si="6"/>
        <v>#N/A</v>
      </c>
      <c r="X30" s="27" t="e">
        <f t="shared" si="7"/>
        <v>#N/A</v>
      </c>
      <c r="Y30" s="196">
        <f t="shared" si="8"/>
        <v>0</v>
      </c>
      <c r="AA30" s="2" t="e">
        <f t="shared" si="9"/>
        <v>#N/A</v>
      </c>
      <c r="AB30" s="128" t="e">
        <f t="shared" si="10"/>
        <v>#N/A</v>
      </c>
      <c r="AC30" s="128" t="e">
        <f t="shared" si="10"/>
        <v>#N/A</v>
      </c>
      <c r="AD30" s="27" t="e">
        <f t="shared" si="11"/>
        <v>#N/A</v>
      </c>
      <c r="AE30" s="27" t="e">
        <f t="shared" si="12"/>
        <v>#N/A</v>
      </c>
      <c r="AF30" s="196">
        <f t="shared" si="13"/>
        <v>0</v>
      </c>
      <c r="AH30" s="2">
        <v>27</v>
      </c>
      <c r="AI30" s="2" t="e">
        <f t="shared" si="14"/>
        <v>#N/A</v>
      </c>
      <c r="AJ30" s="2" t="e">
        <f t="shared" si="15"/>
        <v>#N/A</v>
      </c>
      <c r="AL30" s="2" t="e">
        <f t="shared" si="16"/>
        <v>#N/A</v>
      </c>
      <c r="AM30" s="2" t="e">
        <f t="shared" si="17"/>
        <v>#N/A</v>
      </c>
      <c r="AN30" s="2" t="e">
        <f t="shared" si="17"/>
        <v>#N/A</v>
      </c>
      <c r="AP30" s="2">
        <v>27</v>
      </c>
      <c r="AQ30" t="e">
        <f t="shared" si="18"/>
        <v>#N/A</v>
      </c>
      <c r="AR30" t="e">
        <f t="shared" si="19"/>
        <v>#N/A</v>
      </c>
      <c r="AT30" s="2">
        <v>27</v>
      </c>
      <c r="AU30" t="str">
        <f t="shared" si="20"/>
        <v>Station (ft)</v>
      </c>
      <c r="AV30" t="str">
        <f t="shared" si="20"/>
        <v>Elevation (ft)</v>
      </c>
    </row>
    <row r="31" spans="1:48">
      <c r="A31" s="22" t="e">
        <f>#REF!</f>
        <v>#REF!</v>
      </c>
      <c r="B31" s="22" t="e">
        <f>IF(ISNUMBER(#REF!),#REF!,NA())</f>
        <v>#N/A</v>
      </c>
      <c r="C31" s="22" t="e">
        <f>IF(ISNUMBER(#REF!),#REF!,NA())</f>
        <v>#N/A</v>
      </c>
      <c r="E31" s="325">
        <f>XS_Designer!E32</f>
        <v>28</v>
      </c>
      <c r="F31" s="46" t="e">
        <f>IF(XS_Designer!F32&lt;&gt;"",XS_Designer!F32,NA())</f>
        <v>#N/A</v>
      </c>
      <c r="G31" s="46" t="e">
        <f>IF(XS_Designer!G32&lt;&gt;"",XS_Designer!G32,NA())</f>
        <v>#N/A</v>
      </c>
      <c r="L31">
        <f t="shared" si="0"/>
        <v>28</v>
      </c>
      <c r="M31" s="54" t="e">
        <f t="shared" si="1"/>
        <v>#N/A</v>
      </c>
      <c r="N31" s="54" t="e">
        <f t="shared" si="2"/>
        <v>#N/A</v>
      </c>
      <c r="O31" s="54"/>
      <c r="P31" s="2" t="e">
        <f t="shared" si="21"/>
        <v>#N/A</v>
      </c>
      <c r="Q31" s="2" t="e">
        <f t="shared" si="3"/>
        <v>#N/A</v>
      </c>
      <c r="R31" s="2" t="e">
        <f t="shared" si="4"/>
        <v>#N/A</v>
      </c>
      <c r="T31" s="2" t="e">
        <f t="shared" si="5"/>
        <v>#N/A</v>
      </c>
      <c r="U31" s="128" t="e">
        <f>IF((SUMPRODUCT(COUNTIF($Q$4:$Q31,"INSERT"))=0),Q31,NA())</f>
        <v>#N/A</v>
      </c>
      <c r="V31" s="128" t="e">
        <f>IF((SUMPRODUCT(COUNTIF($Q$4:$Q31,"INSERT"))=0),R31,NA())</f>
        <v>#N/A</v>
      </c>
      <c r="W31" s="27" t="e">
        <f t="shared" si="6"/>
        <v>#N/A</v>
      </c>
      <c r="X31" s="27" t="e">
        <f t="shared" si="7"/>
        <v>#N/A</v>
      </c>
      <c r="Y31" s="196">
        <f t="shared" si="8"/>
        <v>0</v>
      </c>
      <c r="AA31" s="2" t="e">
        <f t="shared" si="9"/>
        <v>#N/A</v>
      </c>
      <c r="AB31" s="128" t="e">
        <f t="shared" si="10"/>
        <v>#N/A</v>
      </c>
      <c r="AC31" s="128" t="e">
        <f t="shared" si="10"/>
        <v>#N/A</v>
      </c>
      <c r="AD31" s="27" t="e">
        <f t="shared" si="11"/>
        <v>#N/A</v>
      </c>
      <c r="AE31" s="27" t="e">
        <f t="shared" si="12"/>
        <v>#N/A</v>
      </c>
      <c r="AF31" s="196">
        <f t="shared" si="13"/>
        <v>0</v>
      </c>
      <c r="AH31" s="2">
        <v>28</v>
      </c>
      <c r="AI31" s="2" t="e">
        <f t="shared" si="14"/>
        <v>#N/A</v>
      </c>
      <c r="AJ31" s="2" t="e">
        <f t="shared" si="15"/>
        <v>#N/A</v>
      </c>
      <c r="AL31" s="2" t="e">
        <f t="shared" si="16"/>
        <v>#N/A</v>
      </c>
      <c r="AM31" s="2" t="e">
        <f t="shared" si="17"/>
        <v>#N/A</v>
      </c>
      <c r="AN31" s="2" t="e">
        <f t="shared" si="17"/>
        <v>#N/A</v>
      </c>
      <c r="AP31" s="2">
        <v>28</v>
      </c>
      <c r="AQ31" t="e">
        <f t="shared" si="18"/>
        <v>#N/A</v>
      </c>
      <c r="AR31" t="e">
        <f t="shared" si="19"/>
        <v>#N/A</v>
      </c>
      <c r="AT31" s="2">
        <v>28</v>
      </c>
      <c r="AU31" t="str">
        <f t="shared" si="20"/>
        <v>Station (ft)</v>
      </c>
      <c r="AV31" t="str">
        <f t="shared" si="20"/>
        <v>Elevation (ft)</v>
      </c>
    </row>
    <row r="32" spans="1:48">
      <c r="A32" s="22" t="e">
        <f>#REF!</f>
        <v>#REF!</v>
      </c>
      <c r="B32" s="22" t="e">
        <f>IF(ISNUMBER(#REF!),#REF!,NA())</f>
        <v>#N/A</v>
      </c>
      <c r="C32" s="22" t="e">
        <f>IF(ISNUMBER(#REF!),#REF!,NA())</f>
        <v>#N/A</v>
      </c>
      <c r="E32" s="325">
        <f>XS_Designer!E33</f>
        <v>29</v>
      </c>
      <c r="F32" s="46" t="e">
        <f>IF(XS_Designer!F33&lt;&gt;"",XS_Designer!F33,NA())</f>
        <v>#N/A</v>
      </c>
      <c r="G32" s="46" t="e">
        <f>IF(XS_Designer!G33&lt;&gt;"",XS_Designer!G33,NA())</f>
        <v>#N/A</v>
      </c>
      <c r="I32" s="2" t="s">
        <v>200</v>
      </c>
      <c r="J32" s="2" t="s">
        <v>262</v>
      </c>
      <c r="L32">
        <f t="shared" si="0"/>
        <v>29</v>
      </c>
      <c r="M32" s="54" t="e">
        <f t="shared" si="1"/>
        <v>#N/A</v>
      </c>
      <c r="N32" s="54" t="e">
        <f t="shared" si="2"/>
        <v>#N/A</v>
      </c>
      <c r="O32" s="54"/>
      <c r="P32" s="2" t="e">
        <f t="shared" si="21"/>
        <v>#N/A</v>
      </c>
      <c r="Q32" s="2" t="e">
        <f t="shared" si="3"/>
        <v>#N/A</v>
      </c>
      <c r="R32" s="2" t="e">
        <f t="shared" si="4"/>
        <v>#N/A</v>
      </c>
      <c r="T32" s="2" t="e">
        <f t="shared" si="5"/>
        <v>#N/A</v>
      </c>
      <c r="U32" s="128" t="e">
        <f>IF((SUMPRODUCT(COUNTIF($Q$4:$Q32,"INSERT"))=0),Q32,NA())</f>
        <v>#N/A</v>
      </c>
      <c r="V32" s="128" t="e">
        <f>IF((SUMPRODUCT(COUNTIF($Q$4:$Q32,"INSERT"))=0),R32,NA())</f>
        <v>#N/A</v>
      </c>
      <c r="W32" s="27" t="e">
        <f t="shared" si="6"/>
        <v>#N/A</v>
      </c>
      <c r="X32" s="27" t="e">
        <f t="shared" si="7"/>
        <v>#N/A</v>
      </c>
      <c r="Y32" s="196">
        <f t="shared" si="8"/>
        <v>0</v>
      </c>
      <c r="AA32" s="2" t="e">
        <f t="shared" si="9"/>
        <v>#N/A</v>
      </c>
      <c r="AB32" s="128" t="e">
        <f t="shared" si="10"/>
        <v>#N/A</v>
      </c>
      <c r="AC32" s="128" t="e">
        <f t="shared" si="10"/>
        <v>#N/A</v>
      </c>
      <c r="AD32" s="27" t="e">
        <f t="shared" si="11"/>
        <v>#N/A</v>
      </c>
      <c r="AE32" s="27" t="e">
        <f t="shared" si="12"/>
        <v>#N/A</v>
      </c>
      <c r="AF32" s="196">
        <f t="shared" si="13"/>
        <v>0</v>
      </c>
      <c r="AH32" s="2">
        <v>29</v>
      </c>
      <c r="AI32" s="2" t="e">
        <f t="shared" si="14"/>
        <v>#N/A</v>
      </c>
      <c r="AJ32" s="2" t="e">
        <f t="shared" si="15"/>
        <v>#N/A</v>
      </c>
      <c r="AL32" s="2" t="e">
        <f t="shared" si="16"/>
        <v>#N/A</v>
      </c>
      <c r="AM32" s="2" t="e">
        <f t="shared" si="17"/>
        <v>#N/A</v>
      </c>
      <c r="AN32" s="2" t="e">
        <f t="shared" si="17"/>
        <v>#N/A</v>
      </c>
      <c r="AP32" s="2">
        <v>29</v>
      </c>
      <c r="AQ32" t="e">
        <f t="shared" si="18"/>
        <v>#N/A</v>
      </c>
      <c r="AR32" t="e">
        <f t="shared" si="19"/>
        <v>#N/A</v>
      </c>
      <c r="AT32" s="2">
        <v>29</v>
      </c>
      <c r="AU32" t="str">
        <f t="shared" si="20"/>
        <v>Station (ft)</v>
      </c>
      <c r="AV32" t="str">
        <f t="shared" si="20"/>
        <v>Elevation (ft)</v>
      </c>
    </row>
    <row r="33" spans="1:48">
      <c r="A33" s="22" t="e">
        <f>#REF!</f>
        <v>#REF!</v>
      </c>
      <c r="B33" s="22" t="e">
        <f>IF(ISNUMBER(#REF!),#REF!,NA())</f>
        <v>#N/A</v>
      </c>
      <c r="C33" s="22" t="e">
        <f>IF(ISNUMBER(#REF!),#REF!,NA())</f>
        <v>#N/A</v>
      </c>
      <c r="E33" s="325">
        <f>XS_Designer!E34</f>
        <v>30</v>
      </c>
      <c r="F33" s="46" t="e">
        <f>IF(XS_Designer!F34&lt;&gt;"",XS_Designer!F34,NA())</f>
        <v>#N/A</v>
      </c>
      <c r="G33" s="46" t="e">
        <f>IF(XS_Designer!G34&lt;&gt;"",XS_Designer!G34,NA())</f>
        <v>#N/A</v>
      </c>
      <c r="I33" s="2">
        <f>XS_Designer!AG7</f>
        <v>0</v>
      </c>
      <c r="J33" s="2" t="e">
        <f>#REF!</f>
        <v>#REF!</v>
      </c>
      <c r="L33">
        <f t="shared" si="0"/>
        <v>30</v>
      </c>
      <c r="M33" s="54" t="e">
        <f t="shared" si="1"/>
        <v>#N/A</v>
      </c>
      <c r="N33" s="54" t="e">
        <f t="shared" si="2"/>
        <v>#N/A</v>
      </c>
      <c r="O33" s="54"/>
      <c r="P33" s="2" t="e">
        <f t="shared" si="21"/>
        <v>#N/A</v>
      </c>
      <c r="Q33" s="2" t="e">
        <f t="shared" si="3"/>
        <v>#N/A</v>
      </c>
      <c r="R33" s="2" t="e">
        <f t="shared" si="4"/>
        <v>#N/A</v>
      </c>
      <c r="T33" s="2" t="e">
        <f t="shared" si="5"/>
        <v>#N/A</v>
      </c>
      <c r="U33" s="128" t="e">
        <f>IF((SUMPRODUCT(COUNTIF($Q$4:$Q33,"INSERT"))=0),Q33,NA())</f>
        <v>#N/A</v>
      </c>
      <c r="V33" s="128" t="e">
        <f>IF((SUMPRODUCT(COUNTIF($Q$4:$Q33,"INSERT"))=0),R33,NA())</f>
        <v>#N/A</v>
      </c>
      <c r="W33" s="27" t="e">
        <f t="shared" si="6"/>
        <v>#N/A</v>
      </c>
      <c r="X33" s="27" t="e">
        <f t="shared" si="7"/>
        <v>#N/A</v>
      </c>
      <c r="Y33" s="196">
        <f t="shared" si="8"/>
        <v>0</v>
      </c>
      <c r="AA33" s="2" t="e">
        <f t="shared" si="9"/>
        <v>#N/A</v>
      </c>
      <c r="AB33" s="128" t="e">
        <f t="shared" si="10"/>
        <v>#N/A</v>
      </c>
      <c r="AC33" s="128" t="e">
        <f t="shared" si="10"/>
        <v>#N/A</v>
      </c>
      <c r="AD33" s="27" t="e">
        <f t="shared" si="11"/>
        <v>#N/A</v>
      </c>
      <c r="AE33" s="27" t="e">
        <f t="shared" si="12"/>
        <v>#N/A</v>
      </c>
      <c r="AF33" s="196">
        <f t="shared" si="13"/>
        <v>0</v>
      </c>
      <c r="AH33" s="2">
        <v>30</v>
      </c>
      <c r="AI33" s="2" t="e">
        <f t="shared" si="14"/>
        <v>#N/A</v>
      </c>
      <c r="AJ33" s="2" t="e">
        <f t="shared" si="15"/>
        <v>#N/A</v>
      </c>
      <c r="AL33" s="2" t="e">
        <f t="shared" si="16"/>
        <v>#N/A</v>
      </c>
      <c r="AM33" s="2" t="e">
        <f t="shared" si="17"/>
        <v>#N/A</v>
      </c>
      <c r="AN33" s="2" t="e">
        <f t="shared" si="17"/>
        <v>#N/A</v>
      </c>
      <c r="AP33" s="2">
        <v>30</v>
      </c>
      <c r="AQ33" t="e">
        <f t="shared" si="18"/>
        <v>#N/A</v>
      </c>
      <c r="AR33" t="e">
        <f t="shared" si="19"/>
        <v>#N/A</v>
      </c>
      <c r="AT33" s="2">
        <v>30</v>
      </c>
      <c r="AU33" t="str">
        <f t="shared" si="20"/>
        <v>Station (ft)</v>
      </c>
      <c r="AV33" t="str">
        <f t="shared" si="20"/>
        <v>Elevation (ft)</v>
      </c>
    </row>
    <row r="34" spans="1:48">
      <c r="A34" s="22" t="e">
        <f>#REF!</f>
        <v>#REF!</v>
      </c>
      <c r="B34" s="22" t="e">
        <f>IF(ISNUMBER(#REF!),#REF!,NA())</f>
        <v>#N/A</v>
      </c>
      <c r="C34" s="22" t="e">
        <f>IF(ISNUMBER(#REF!),#REF!,NA())</f>
        <v>#N/A</v>
      </c>
      <c r="E34" s="325">
        <f>XS_Designer!E35</f>
        <v>31</v>
      </c>
      <c r="F34" s="46" t="e">
        <f>IF(XS_Designer!F35&lt;&gt;"",XS_Designer!F35,NA())</f>
        <v>#N/A</v>
      </c>
      <c r="G34" s="46" t="e">
        <f>IF(XS_Designer!G35&lt;&gt;"",XS_Designer!G35,NA())</f>
        <v>#N/A</v>
      </c>
      <c r="L34">
        <f t="shared" si="0"/>
        <v>31</v>
      </c>
      <c r="M34" s="54" t="e">
        <f t="shared" si="1"/>
        <v>#N/A</v>
      </c>
      <c r="N34" s="54" t="e">
        <f t="shared" si="2"/>
        <v>#N/A</v>
      </c>
      <c r="O34" s="54"/>
      <c r="P34" s="2" t="e">
        <f t="shared" si="21"/>
        <v>#N/A</v>
      </c>
      <c r="Q34" s="2" t="e">
        <f t="shared" si="3"/>
        <v>#N/A</v>
      </c>
      <c r="R34" s="2" t="e">
        <f t="shared" si="4"/>
        <v>#N/A</v>
      </c>
      <c r="T34" s="2" t="e">
        <f t="shared" si="5"/>
        <v>#N/A</v>
      </c>
      <c r="U34" s="128" t="e">
        <f>IF((SUMPRODUCT(COUNTIF($Q$4:$Q34,"INSERT"))=0),Q34,NA())</f>
        <v>#N/A</v>
      </c>
      <c r="V34" s="128" t="e">
        <f>IF((SUMPRODUCT(COUNTIF($Q$4:$Q34,"INSERT"))=0),R34,NA())</f>
        <v>#N/A</v>
      </c>
      <c r="W34" s="27" t="e">
        <f t="shared" si="6"/>
        <v>#N/A</v>
      </c>
      <c r="X34" s="27" t="e">
        <f t="shared" si="7"/>
        <v>#N/A</v>
      </c>
      <c r="Y34" s="196">
        <f t="shared" si="8"/>
        <v>0</v>
      </c>
      <c r="AA34" s="2" t="e">
        <f t="shared" si="9"/>
        <v>#N/A</v>
      </c>
      <c r="AB34" s="128" t="e">
        <f t="shared" si="10"/>
        <v>#N/A</v>
      </c>
      <c r="AC34" s="128" t="e">
        <f t="shared" si="10"/>
        <v>#N/A</v>
      </c>
      <c r="AD34" s="27" t="e">
        <f t="shared" si="11"/>
        <v>#N/A</v>
      </c>
      <c r="AE34" s="27" t="e">
        <f t="shared" si="12"/>
        <v>#N/A</v>
      </c>
      <c r="AF34" s="196">
        <f t="shared" si="13"/>
        <v>0</v>
      </c>
      <c r="AH34" s="2">
        <v>31</v>
      </c>
      <c r="AI34" s="2" t="e">
        <f t="shared" si="14"/>
        <v>#N/A</v>
      </c>
      <c r="AJ34" s="2" t="e">
        <f t="shared" si="15"/>
        <v>#N/A</v>
      </c>
      <c r="AL34" s="2" t="e">
        <f t="shared" si="16"/>
        <v>#N/A</v>
      </c>
      <c r="AM34" s="2" t="e">
        <f t="shared" si="17"/>
        <v>#N/A</v>
      </c>
      <c r="AN34" s="2" t="e">
        <f t="shared" si="17"/>
        <v>#N/A</v>
      </c>
      <c r="AP34" s="2">
        <v>31</v>
      </c>
      <c r="AQ34" t="e">
        <f t="shared" si="18"/>
        <v>#N/A</v>
      </c>
      <c r="AR34" t="e">
        <f t="shared" si="19"/>
        <v>#N/A</v>
      </c>
      <c r="AT34" s="2">
        <v>31</v>
      </c>
      <c r="AU34" t="str">
        <f t="shared" si="20"/>
        <v>Station (ft)</v>
      </c>
      <c r="AV34" t="str">
        <f t="shared" si="20"/>
        <v>Elevation (ft)</v>
      </c>
    </row>
    <row r="35" spans="1:48">
      <c r="A35" s="22" t="e">
        <f>#REF!</f>
        <v>#REF!</v>
      </c>
      <c r="B35" s="22" t="e">
        <f>IF(ISNUMBER(#REF!),#REF!,NA())</f>
        <v>#N/A</v>
      </c>
      <c r="C35" s="22" t="e">
        <f>IF(ISNUMBER(#REF!),#REF!,NA())</f>
        <v>#N/A</v>
      </c>
      <c r="E35" s="325">
        <f>XS_Designer!E36</f>
        <v>32</v>
      </c>
      <c r="F35" s="46" t="e">
        <f>IF(XS_Designer!F36&lt;&gt;"",XS_Designer!F36,NA())</f>
        <v>#N/A</v>
      </c>
      <c r="G35" s="46" t="e">
        <f>IF(XS_Designer!G36&lt;&gt;"",XS_Designer!G36,NA())</f>
        <v>#N/A</v>
      </c>
      <c r="I35" s="2" t="s">
        <v>263</v>
      </c>
      <c r="L35">
        <f t="shared" si="0"/>
        <v>32</v>
      </c>
      <c r="M35" s="54" t="e">
        <f t="shared" si="1"/>
        <v>#N/A</v>
      </c>
      <c r="N35" s="54" t="e">
        <f t="shared" si="2"/>
        <v>#N/A</v>
      </c>
      <c r="O35" s="54"/>
      <c r="P35" s="2" t="e">
        <f t="shared" si="21"/>
        <v>#N/A</v>
      </c>
      <c r="Q35" s="2" t="e">
        <f t="shared" si="3"/>
        <v>#N/A</v>
      </c>
      <c r="R35" s="2" t="e">
        <f t="shared" si="4"/>
        <v>#N/A</v>
      </c>
      <c r="T35" s="2" t="e">
        <f t="shared" si="5"/>
        <v>#N/A</v>
      </c>
      <c r="U35" s="128" t="e">
        <f>IF((SUMPRODUCT(COUNTIF($Q$4:$Q35,"INSERT"))=0),Q35,NA())</f>
        <v>#N/A</v>
      </c>
      <c r="V35" s="128" t="e">
        <f>IF((SUMPRODUCT(COUNTIF($Q$4:$Q35,"INSERT"))=0),R35,NA())</f>
        <v>#N/A</v>
      </c>
      <c r="W35" s="27" t="e">
        <f t="shared" si="6"/>
        <v>#N/A</v>
      </c>
      <c r="X35" s="27" t="e">
        <f t="shared" si="7"/>
        <v>#N/A</v>
      </c>
      <c r="Y35" s="196">
        <f t="shared" si="8"/>
        <v>0</v>
      </c>
      <c r="AA35" s="2" t="e">
        <f t="shared" si="9"/>
        <v>#N/A</v>
      </c>
      <c r="AB35" s="128" t="e">
        <f t="shared" si="10"/>
        <v>#N/A</v>
      </c>
      <c r="AC35" s="128" t="e">
        <f t="shared" si="10"/>
        <v>#N/A</v>
      </c>
      <c r="AD35" s="27" t="e">
        <f t="shared" si="11"/>
        <v>#N/A</v>
      </c>
      <c r="AE35" s="27" t="e">
        <f t="shared" si="12"/>
        <v>#N/A</v>
      </c>
      <c r="AF35" s="196">
        <f t="shared" si="13"/>
        <v>0</v>
      </c>
      <c r="AH35" s="2">
        <v>32</v>
      </c>
      <c r="AI35" s="2" t="e">
        <f t="shared" si="14"/>
        <v>#N/A</v>
      </c>
      <c r="AJ35" s="2" t="e">
        <f t="shared" si="15"/>
        <v>#N/A</v>
      </c>
      <c r="AL35" s="2" t="e">
        <f t="shared" si="16"/>
        <v>#N/A</v>
      </c>
      <c r="AM35" s="2" t="e">
        <f t="shared" si="17"/>
        <v>#N/A</v>
      </c>
      <c r="AN35" s="2" t="e">
        <f t="shared" si="17"/>
        <v>#N/A</v>
      </c>
      <c r="AP35" s="2">
        <v>32</v>
      </c>
      <c r="AQ35" t="e">
        <f t="shared" si="18"/>
        <v>#N/A</v>
      </c>
      <c r="AR35" t="e">
        <f t="shared" si="19"/>
        <v>#N/A</v>
      </c>
      <c r="AT35" s="2">
        <v>32</v>
      </c>
      <c r="AU35" t="str">
        <f t="shared" si="20"/>
        <v>Station (ft)</v>
      </c>
      <c r="AV35" t="str">
        <f t="shared" si="20"/>
        <v>Elevation (ft)</v>
      </c>
    </row>
    <row r="36" spans="1:48">
      <c r="A36" s="22" t="e">
        <f>#REF!</f>
        <v>#REF!</v>
      </c>
      <c r="B36" s="22" t="e">
        <f>IF(ISNUMBER(#REF!),#REF!,NA())</f>
        <v>#N/A</v>
      </c>
      <c r="C36" s="22" t="e">
        <f>IF(ISNUMBER(#REF!),#REF!,NA())</f>
        <v>#N/A</v>
      </c>
      <c r="E36" s="325">
        <f>XS_Designer!E37</f>
        <v>33</v>
      </c>
      <c r="F36" s="46" t="e">
        <f>IF(XS_Designer!F37&lt;&gt;"",XS_Designer!F37,NA())</f>
        <v>#N/A</v>
      </c>
      <c r="G36" s="46" t="e">
        <f>IF(XS_Designer!G37&lt;&gt;"",XS_Designer!G37,NA())</f>
        <v>#N/A</v>
      </c>
      <c r="I36" s="2" t="e">
        <f>J33-I33</f>
        <v>#REF!</v>
      </c>
      <c r="L36">
        <f t="shared" si="0"/>
        <v>33</v>
      </c>
      <c r="M36" s="54" t="e">
        <f t="shared" si="1"/>
        <v>#N/A</v>
      </c>
      <c r="N36" s="54" t="e">
        <f t="shared" si="2"/>
        <v>#N/A</v>
      </c>
      <c r="O36" s="54"/>
      <c r="P36" s="2" t="e">
        <f t="shared" si="21"/>
        <v>#N/A</v>
      </c>
      <c r="Q36" s="2" t="e">
        <f t="shared" si="3"/>
        <v>#N/A</v>
      </c>
      <c r="R36" s="2" t="e">
        <f t="shared" si="4"/>
        <v>#N/A</v>
      </c>
      <c r="T36" s="2" t="e">
        <f t="shared" si="5"/>
        <v>#N/A</v>
      </c>
      <c r="U36" s="128" t="e">
        <f>IF((SUMPRODUCT(COUNTIF($Q$4:$Q36,"INSERT"))=0),Q36,NA())</f>
        <v>#N/A</v>
      </c>
      <c r="V36" s="128" t="e">
        <f>IF((SUMPRODUCT(COUNTIF($Q$4:$Q36,"INSERT"))=0),R36,NA())</f>
        <v>#N/A</v>
      </c>
      <c r="W36" s="27" t="e">
        <f t="shared" si="6"/>
        <v>#N/A</v>
      </c>
      <c r="X36" s="27" t="e">
        <f t="shared" si="7"/>
        <v>#N/A</v>
      </c>
      <c r="Y36" s="196">
        <f t="shared" si="8"/>
        <v>0</v>
      </c>
      <c r="AA36" s="2" t="e">
        <f t="shared" si="9"/>
        <v>#N/A</v>
      </c>
      <c r="AB36" s="128" t="e">
        <f t="shared" si="10"/>
        <v>#N/A</v>
      </c>
      <c r="AC36" s="128" t="e">
        <f t="shared" si="10"/>
        <v>#N/A</v>
      </c>
      <c r="AD36" s="27" t="e">
        <f t="shared" si="11"/>
        <v>#N/A</v>
      </c>
      <c r="AE36" s="27" t="e">
        <f t="shared" si="12"/>
        <v>#N/A</v>
      </c>
      <c r="AF36" s="196">
        <f t="shared" si="13"/>
        <v>0</v>
      </c>
      <c r="AH36" s="2">
        <v>33</v>
      </c>
      <c r="AI36" s="2" t="e">
        <f t="shared" si="14"/>
        <v>#N/A</v>
      </c>
      <c r="AJ36" s="2" t="e">
        <f t="shared" si="15"/>
        <v>#N/A</v>
      </c>
      <c r="AL36" s="2" t="e">
        <f t="shared" si="16"/>
        <v>#N/A</v>
      </c>
      <c r="AM36" s="2" t="e">
        <f t="shared" si="17"/>
        <v>#N/A</v>
      </c>
      <c r="AN36" s="2" t="e">
        <f t="shared" si="17"/>
        <v>#N/A</v>
      </c>
      <c r="AP36" s="2">
        <v>33</v>
      </c>
      <c r="AQ36" t="e">
        <f t="shared" si="18"/>
        <v>#N/A</v>
      </c>
      <c r="AR36" t="e">
        <f t="shared" si="19"/>
        <v>#N/A</v>
      </c>
      <c r="AT36" s="2">
        <v>33</v>
      </c>
      <c r="AU36" t="str">
        <f t="shared" si="20"/>
        <v>Station (ft)</v>
      </c>
      <c r="AV36" t="str">
        <f t="shared" si="20"/>
        <v>Elevation (ft)</v>
      </c>
    </row>
    <row r="37" spans="1:48">
      <c r="A37" s="22" t="e">
        <f>#REF!</f>
        <v>#REF!</v>
      </c>
      <c r="B37" s="22" t="e">
        <f>IF(ISNUMBER(#REF!),#REF!,NA())</f>
        <v>#N/A</v>
      </c>
      <c r="C37" s="22" t="e">
        <f>IF(ISNUMBER(#REF!),#REF!,NA())</f>
        <v>#N/A</v>
      </c>
      <c r="E37" s="325">
        <f>XS_Designer!E38</f>
        <v>34</v>
      </c>
      <c r="F37" s="46" t="e">
        <f>IF(XS_Designer!F38&lt;&gt;"",XS_Designer!F38,NA())</f>
        <v>#N/A</v>
      </c>
      <c r="G37" s="46" t="e">
        <f>IF(XS_Designer!G38&lt;&gt;"",XS_Designer!G38,NA())</f>
        <v>#N/A</v>
      </c>
      <c r="L37">
        <f t="shared" si="0"/>
        <v>34</v>
      </c>
      <c r="M37" s="54" t="e">
        <f t="shared" si="1"/>
        <v>#N/A</v>
      </c>
      <c r="N37" s="54" t="e">
        <f t="shared" si="2"/>
        <v>#N/A</v>
      </c>
      <c r="O37" s="54"/>
      <c r="P37" s="2" t="e">
        <f t="shared" si="21"/>
        <v>#N/A</v>
      </c>
      <c r="Q37" s="2" t="e">
        <f t="shared" si="3"/>
        <v>#N/A</v>
      </c>
      <c r="R37" s="2" t="e">
        <f t="shared" si="4"/>
        <v>#N/A</v>
      </c>
      <c r="T37" s="2" t="e">
        <f t="shared" si="5"/>
        <v>#N/A</v>
      </c>
      <c r="U37" s="128" t="e">
        <f>IF((SUMPRODUCT(COUNTIF($Q$4:$Q37,"INSERT"))=0),Q37,NA())</f>
        <v>#N/A</v>
      </c>
      <c r="V37" s="128" t="e">
        <f>IF((SUMPRODUCT(COUNTIF($Q$4:$Q37,"INSERT"))=0),R37,NA())</f>
        <v>#N/A</v>
      </c>
      <c r="W37" s="27" t="e">
        <f t="shared" si="6"/>
        <v>#N/A</v>
      </c>
      <c r="X37" s="27" t="e">
        <f t="shared" si="7"/>
        <v>#N/A</v>
      </c>
      <c r="Y37" s="196">
        <f t="shared" si="8"/>
        <v>0</v>
      </c>
      <c r="AA37" s="2" t="e">
        <f t="shared" si="9"/>
        <v>#N/A</v>
      </c>
      <c r="AB37" s="128" t="e">
        <f t="shared" si="10"/>
        <v>#N/A</v>
      </c>
      <c r="AC37" s="128" t="e">
        <f t="shared" si="10"/>
        <v>#N/A</v>
      </c>
      <c r="AD37" s="27" t="e">
        <f t="shared" si="11"/>
        <v>#N/A</v>
      </c>
      <c r="AE37" s="27" t="e">
        <f t="shared" si="12"/>
        <v>#N/A</v>
      </c>
      <c r="AF37" s="196">
        <f t="shared" si="13"/>
        <v>0</v>
      </c>
      <c r="AH37" s="2">
        <v>34</v>
      </c>
      <c r="AI37" s="2" t="e">
        <f t="shared" si="14"/>
        <v>#N/A</v>
      </c>
      <c r="AJ37" s="2" t="e">
        <f t="shared" si="15"/>
        <v>#N/A</v>
      </c>
      <c r="AL37" s="2" t="e">
        <f t="shared" si="16"/>
        <v>#N/A</v>
      </c>
      <c r="AM37" s="2" t="e">
        <f t="shared" si="17"/>
        <v>#N/A</v>
      </c>
      <c r="AN37" s="2" t="e">
        <f t="shared" si="17"/>
        <v>#N/A</v>
      </c>
      <c r="AP37" s="2">
        <v>34</v>
      </c>
      <c r="AQ37" t="e">
        <f t="shared" si="18"/>
        <v>#N/A</v>
      </c>
      <c r="AR37" t="e">
        <f t="shared" si="19"/>
        <v>#N/A</v>
      </c>
      <c r="AT37" s="2">
        <v>34</v>
      </c>
      <c r="AU37" t="str">
        <f t="shared" si="20"/>
        <v>Station (ft)</v>
      </c>
      <c r="AV37" t="str">
        <f t="shared" si="20"/>
        <v>Elevation (ft)</v>
      </c>
    </row>
    <row r="38" spans="1:48">
      <c r="A38" s="22" t="e">
        <f>#REF!</f>
        <v>#REF!</v>
      </c>
      <c r="B38" s="22" t="e">
        <f>IF(ISNUMBER(#REF!),#REF!,NA())</f>
        <v>#N/A</v>
      </c>
      <c r="C38" s="22" t="e">
        <f>IF(ISNUMBER(#REF!),#REF!,NA())</f>
        <v>#N/A</v>
      </c>
      <c r="E38" s="325">
        <f>XS_Designer!E39</f>
        <v>35</v>
      </c>
      <c r="F38" s="46" t="e">
        <f>IF(XS_Designer!F39&lt;&gt;"",XS_Designer!F39,NA())</f>
        <v>#N/A</v>
      </c>
      <c r="G38" s="46" t="e">
        <f>IF(XS_Designer!G39&lt;&gt;"",XS_Designer!G39,NA())</f>
        <v>#N/A</v>
      </c>
      <c r="L38">
        <f t="shared" si="0"/>
        <v>35</v>
      </c>
      <c r="M38" s="54" t="e">
        <f t="shared" si="1"/>
        <v>#N/A</v>
      </c>
      <c r="N38" s="54" t="e">
        <f t="shared" si="2"/>
        <v>#N/A</v>
      </c>
      <c r="O38" s="54"/>
      <c r="P38" s="2" t="e">
        <f t="shared" si="21"/>
        <v>#N/A</v>
      </c>
      <c r="Q38" s="2" t="e">
        <f t="shared" si="3"/>
        <v>#N/A</v>
      </c>
      <c r="R38" s="2" t="e">
        <f t="shared" si="4"/>
        <v>#N/A</v>
      </c>
      <c r="T38" s="2" t="e">
        <f t="shared" si="5"/>
        <v>#N/A</v>
      </c>
      <c r="U38" s="128" t="e">
        <f>IF((SUMPRODUCT(COUNTIF($Q$4:$Q38,"INSERT"))=0),Q38,NA())</f>
        <v>#N/A</v>
      </c>
      <c r="V38" s="128" t="e">
        <f>IF((SUMPRODUCT(COUNTIF($Q$4:$Q38,"INSERT"))=0),R38,NA())</f>
        <v>#N/A</v>
      </c>
      <c r="W38" s="27" t="e">
        <f t="shared" si="6"/>
        <v>#N/A</v>
      </c>
      <c r="X38" s="27" t="e">
        <f t="shared" si="7"/>
        <v>#N/A</v>
      </c>
      <c r="Y38" s="196">
        <f t="shared" si="8"/>
        <v>0</v>
      </c>
      <c r="AA38" s="2" t="e">
        <f t="shared" si="9"/>
        <v>#N/A</v>
      </c>
      <c r="AB38" s="128" t="e">
        <f t="shared" si="10"/>
        <v>#N/A</v>
      </c>
      <c r="AC38" s="128" t="e">
        <f t="shared" si="10"/>
        <v>#N/A</v>
      </c>
      <c r="AD38" s="27" t="e">
        <f t="shared" si="11"/>
        <v>#N/A</v>
      </c>
      <c r="AE38" s="27" t="e">
        <f t="shared" si="12"/>
        <v>#N/A</v>
      </c>
      <c r="AF38" s="196">
        <f t="shared" si="13"/>
        <v>0</v>
      </c>
      <c r="AH38" s="2">
        <v>35</v>
      </c>
      <c r="AI38" s="2" t="e">
        <f t="shared" si="14"/>
        <v>#N/A</v>
      </c>
      <c r="AJ38" s="2" t="e">
        <f t="shared" si="15"/>
        <v>#N/A</v>
      </c>
      <c r="AL38" s="2" t="e">
        <f t="shared" si="16"/>
        <v>#N/A</v>
      </c>
      <c r="AM38" s="2" t="e">
        <f t="shared" si="17"/>
        <v>#N/A</v>
      </c>
      <c r="AN38" s="2" t="e">
        <f t="shared" si="17"/>
        <v>#N/A</v>
      </c>
      <c r="AP38" s="2">
        <v>35</v>
      </c>
      <c r="AQ38" t="e">
        <f t="shared" si="18"/>
        <v>#N/A</v>
      </c>
      <c r="AR38" t="e">
        <f t="shared" si="19"/>
        <v>#N/A</v>
      </c>
      <c r="AT38" s="2">
        <v>35</v>
      </c>
      <c r="AU38" t="str">
        <f t="shared" si="20"/>
        <v>Station (ft)</v>
      </c>
      <c r="AV38" t="str">
        <f t="shared" si="20"/>
        <v>Elevation (ft)</v>
      </c>
    </row>
    <row r="39" spans="1:48">
      <c r="A39" s="22" t="e">
        <f>#REF!</f>
        <v>#REF!</v>
      </c>
      <c r="B39" s="22" t="e">
        <f>IF(ISNUMBER(#REF!),#REF!,NA())</f>
        <v>#N/A</v>
      </c>
      <c r="C39" s="22" t="e">
        <f>IF(ISNUMBER(#REF!),#REF!,NA())</f>
        <v>#N/A</v>
      </c>
      <c r="E39" s="325">
        <f>XS_Designer!E40</f>
        <v>36</v>
      </c>
      <c r="F39" s="46" t="e">
        <f>IF(XS_Designer!F40&lt;&gt;"",XS_Designer!F40,NA())</f>
        <v>#N/A</v>
      </c>
      <c r="G39" s="46" t="e">
        <f>IF(XS_Designer!G40&lt;&gt;"",XS_Designer!G40,NA())</f>
        <v>#N/A</v>
      </c>
      <c r="L39">
        <f t="shared" si="0"/>
        <v>36</v>
      </c>
      <c r="M39" s="54" t="e">
        <f t="shared" si="1"/>
        <v>#N/A</v>
      </c>
      <c r="N39" s="54" t="e">
        <f t="shared" si="2"/>
        <v>#N/A</v>
      </c>
      <c r="O39" s="54"/>
      <c r="P39" s="2" t="e">
        <f t="shared" si="21"/>
        <v>#N/A</v>
      </c>
      <c r="Q39" s="2" t="e">
        <f t="shared" si="3"/>
        <v>#N/A</v>
      </c>
      <c r="R39" s="2" t="e">
        <f t="shared" si="4"/>
        <v>#N/A</v>
      </c>
      <c r="T39" s="2" t="e">
        <f t="shared" si="5"/>
        <v>#N/A</v>
      </c>
      <c r="U39" s="128" t="e">
        <f>IF((SUMPRODUCT(COUNTIF($Q$4:$Q39,"INSERT"))=0),Q39,NA())</f>
        <v>#N/A</v>
      </c>
      <c r="V39" s="128" t="e">
        <f>IF((SUMPRODUCT(COUNTIF($Q$4:$Q39,"INSERT"))=0),R39,NA())</f>
        <v>#N/A</v>
      </c>
      <c r="W39" s="27" t="e">
        <f t="shared" si="6"/>
        <v>#N/A</v>
      </c>
      <c r="X39" s="27" t="e">
        <f t="shared" si="7"/>
        <v>#N/A</v>
      </c>
      <c r="Y39" s="196">
        <f t="shared" si="8"/>
        <v>0</v>
      </c>
      <c r="AA39" s="2" t="e">
        <f t="shared" si="9"/>
        <v>#N/A</v>
      </c>
      <c r="AB39" s="128" t="e">
        <f t="shared" si="10"/>
        <v>#N/A</v>
      </c>
      <c r="AC39" s="128" t="e">
        <f t="shared" si="10"/>
        <v>#N/A</v>
      </c>
      <c r="AD39" s="27" t="e">
        <f t="shared" si="11"/>
        <v>#N/A</v>
      </c>
      <c r="AE39" s="27" t="e">
        <f t="shared" si="12"/>
        <v>#N/A</v>
      </c>
      <c r="AF39" s="196">
        <f t="shared" si="13"/>
        <v>0</v>
      </c>
      <c r="AH39" s="2">
        <v>36</v>
      </c>
      <c r="AI39" s="2" t="e">
        <f t="shared" si="14"/>
        <v>#N/A</v>
      </c>
      <c r="AJ39" s="2" t="e">
        <f t="shared" si="15"/>
        <v>#N/A</v>
      </c>
      <c r="AL39" s="2" t="e">
        <f t="shared" si="16"/>
        <v>#N/A</v>
      </c>
      <c r="AM39" s="2" t="e">
        <f t="shared" si="17"/>
        <v>#N/A</v>
      </c>
      <c r="AN39" s="2" t="e">
        <f t="shared" si="17"/>
        <v>#N/A</v>
      </c>
      <c r="AP39" s="2">
        <v>36</v>
      </c>
      <c r="AQ39" t="e">
        <f t="shared" si="18"/>
        <v>#N/A</v>
      </c>
      <c r="AR39" t="e">
        <f t="shared" si="19"/>
        <v>#N/A</v>
      </c>
      <c r="AT39" s="2">
        <v>36</v>
      </c>
      <c r="AU39" t="str">
        <f t="shared" si="20"/>
        <v>Station (ft)</v>
      </c>
      <c r="AV39" t="str">
        <f t="shared" si="20"/>
        <v>Elevation (ft)</v>
      </c>
    </row>
    <row r="40" spans="1:48">
      <c r="A40" s="22" t="e">
        <f>#REF!</f>
        <v>#REF!</v>
      </c>
      <c r="B40" s="22" t="e">
        <f>IF(ISNUMBER(#REF!),#REF!,NA())</f>
        <v>#N/A</v>
      </c>
      <c r="C40" s="22" t="e">
        <f>IF(ISNUMBER(#REF!),#REF!,NA())</f>
        <v>#N/A</v>
      </c>
      <c r="E40" s="325">
        <f>XS_Designer!E41</f>
        <v>37</v>
      </c>
      <c r="F40" s="46" t="e">
        <f>IF(XS_Designer!F41&lt;&gt;"",XS_Designer!F41,NA())</f>
        <v>#N/A</v>
      </c>
      <c r="G40" s="46" t="e">
        <f>IF(XS_Designer!G41&lt;&gt;"",XS_Designer!G41,NA())</f>
        <v>#N/A</v>
      </c>
      <c r="I40" s="3" t="s">
        <v>633</v>
      </c>
      <c r="J40" s="3" t="s">
        <v>139</v>
      </c>
      <c r="L40">
        <f t="shared" si="0"/>
        <v>37</v>
      </c>
      <c r="M40" s="54" t="e">
        <f t="shared" si="1"/>
        <v>#N/A</v>
      </c>
      <c r="N40" s="54" t="e">
        <f t="shared" si="2"/>
        <v>#N/A</v>
      </c>
      <c r="O40" s="54"/>
      <c r="P40" s="2" t="e">
        <f t="shared" si="21"/>
        <v>#N/A</v>
      </c>
      <c r="Q40" s="2" t="e">
        <f t="shared" si="3"/>
        <v>#N/A</v>
      </c>
      <c r="R40" s="2" t="e">
        <f t="shared" si="4"/>
        <v>#N/A</v>
      </c>
      <c r="T40" s="2" t="e">
        <f t="shared" si="5"/>
        <v>#N/A</v>
      </c>
      <c r="U40" s="128" t="e">
        <f>IF((SUMPRODUCT(COUNTIF($Q$4:$Q40,"INSERT"))=0),Q40,NA())</f>
        <v>#N/A</v>
      </c>
      <c r="V40" s="128" t="e">
        <f>IF((SUMPRODUCT(COUNTIF($Q$4:$Q40,"INSERT"))=0),R40,NA())</f>
        <v>#N/A</v>
      </c>
      <c r="W40" s="27" t="e">
        <f t="shared" si="6"/>
        <v>#N/A</v>
      </c>
      <c r="X40" s="27" t="e">
        <f t="shared" si="7"/>
        <v>#N/A</v>
      </c>
      <c r="Y40" s="196">
        <f t="shared" si="8"/>
        <v>0</v>
      </c>
      <c r="AA40" s="2" t="e">
        <f t="shared" si="9"/>
        <v>#N/A</v>
      </c>
      <c r="AB40" s="128" t="e">
        <f t="shared" si="10"/>
        <v>#N/A</v>
      </c>
      <c r="AC40" s="128" t="e">
        <f t="shared" si="10"/>
        <v>#N/A</v>
      </c>
      <c r="AD40" s="27" t="e">
        <f t="shared" si="11"/>
        <v>#N/A</v>
      </c>
      <c r="AE40" s="27" t="e">
        <f t="shared" si="12"/>
        <v>#N/A</v>
      </c>
      <c r="AF40" s="196">
        <f t="shared" si="13"/>
        <v>0</v>
      </c>
      <c r="AH40" s="2">
        <v>37</v>
      </c>
      <c r="AI40" s="2" t="e">
        <f t="shared" si="14"/>
        <v>#N/A</v>
      </c>
      <c r="AJ40" s="2" t="e">
        <f t="shared" si="15"/>
        <v>#N/A</v>
      </c>
      <c r="AL40" s="2" t="e">
        <f t="shared" si="16"/>
        <v>#N/A</v>
      </c>
      <c r="AM40" s="2" t="e">
        <f t="shared" si="17"/>
        <v>#N/A</v>
      </c>
      <c r="AN40" s="2" t="e">
        <f t="shared" si="17"/>
        <v>#N/A</v>
      </c>
      <c r="AP40" s="2">
        <v>37</v>
      </c>
      <c r="AQ40" t="e">
        <f t="shared" si="18"/>
        <v>#N/A</v>
      </c>
      <c r="AR40" t="e">
        <f t="shared" si="19"/>
        <v>#N/A</v>
      </c>
      <c r="AT40" s="2">
        <v>37</v>
      </c>
      <c r="AU40" t="str">
        <f t="shared" si="20"/>
        <v>Station (ft)</v>
      </c>
      <c r="AV40" t="str">
        <f t="shared" si="20"/>
        <v>Elevation (ft)</v>
      </c>
    </row>
    <row r="41" spans="1:48">
      <c r="A41" s="22" t="e">
        <f>#REF!</f>
        <v>#REF!</v>
      </c>
      <c r="B41" s="22" t="e">
        <f>IF(ISNUMBER(#REF!),#REF!,NA())</f>
        <v>#N/A</v>
      </c>
      <c r="C41" s="22" t="e">
        <f>IF(ISNUMBER(#REF!),#REF!,NA())</f>
        <v>#N/A</v>
      </c>
      <c r="E41" s="325">
        <f>XS_Designer!E42</f>
        <v>38</v>
      </c>
      <c r="F41" s="46" t="e">
        <f>IF(XS_Designer!F42&lt;&gt;"",XS_Designer!F42,NA())</f>
        <v>#N/A</v>
      </c>
      <c r="G41" s="46" t="e">
        <f>IF(XS_Designer!G42&lt;&gt;"",XS_Designer!G42,NA())</f>
        <v>#N/A</v>
      </c>
      <c r="I41" s="14">
        <f t="array" ref="I41">MIN(IF(ISNUMBER($B$4:$B$103),$B$4:$B$103))</f>
        <v>0</v>
      </c>
      <c r="J41" s="14">
        <f t="array" ref="J41">MAX(IF(ISNUMBER($B$4:$B$103),$B$4:$B$103))</f>
        <v>0</v>
      </c>
      <c r="L41">
        <f t="shared" si="0"/>
        <v>38</v>
      </c>
      <c r="M41" s="54" t="e">
        <f t="shared" si="1"/>
        <v>#N/A</v>
      </c>
      <c r="N41" s="54" t="e">
        <f t="shared" si="2"/>
        <v>#N/A</v>
      </c>
      <c r="O41" s="54"/>
      <c r="P41" s="2" t="e">
        <f t="shared" si="21"/>
        <v>#N/A</v>
      </c>
      <c r="Q41" s="2" t="e">
        <f t="shared" si="3"/>
        <v>#N/A</v>
      </c>
      <c r="R41" s="2" t="e">
        <f t="shared" si="4"/>
        <v>#N/A</v>
      </c>
      <c r="T41" s="2" t="e">
        <f t="shared" si="5"/>
        <v>#N/A</v>
      </c>
      <c r="U41" s="128" t="e">
        <f>IF((SUMPRODUCT(COUNTIF($Q$4:$Q41,"INSERT"))=0),Q41,NA())</f>
        <v>#N/A</v>
      </c>
      <c r="V41" s="128" t="e">
        <f>IF((SUMPRODUCT(COUNTIF($Q$4:$Q41,"INSERT"))=0),R41,NA())</f>
        <v>#N/A</v>
      </c>
      <c r="W41" s="27" t="e">
        <f t="shared" si="6"/>
        <v>#N/A</v>
      </c>
      <c r="X41" s="27" t="e">
        <f t="shared" si="7"/>
        <v>#N/A</v>
      </c>
      <c r="Y41" s="196">
        <f t="shared" si="8"/>
        <v>0</v>
      </c>
      <c r="AA41" s="2" t="e">
        <f t="shared" si="9"/>
        <v>#N/A</v>
      </c>
      <c r="AB41" s="128" t="e">
        <f t="shared" si="10"/>
        <v>#N/A</v>
      </c>
      <c r="AC41" s="128" t="e">
        <f t="shared" si="10"/>
        <v>#N/A</v>
      </c>
      <c r="AD41" s="27" t="e">
        <f t="shared" si="11"/>
        <v>#N/A</v>
      </c>
      <c r="AE41" s="27" t="e">
        <f t="shared" si="12"/>
        <v>#N/A</v>
      </c>
      <c r="AF41" s="196">
        <f t="shared" si="13"/>
        <v>0</v>
      </c>
      <c r="AH41" s="2">
        <v>38</v>
      </c>
      <c r="AI41" s="2" t="e">
        <f t="shared" si="14"/>
        <v>#N/A</v>
      </c>
      <c r="AJ41" s="2" t="e">
        <f t="shared" si="15"/>
        <v>#N/A</v>
      </c>
      <c r="AL41" s="2" t="e">
        <f t="shared" si="16"/>
        <v>#N/A</v>
      </c>
      <c r="AM41" s="2" t="e">
        <f t="shared" si="17"/>
        <v>#N/A</v>
      </c>
      <c r="AN41" s="2" t="e">
        <f t="shared" si="17"/>
        <v>#N/A</v>
      </c>
      <c r="AP41" s="2">
        <v>38</v>
      </c>
      <c r="AQ41" t="e">
        <f t="shared" si="18"/>
        <v>#N/A</v>
      </c>
      <c r="AR41" t="e">
        <f t="shared" si="19"/>
        <v>#N/A</v>
      </c>
      <c r="AT41" s="2">
        <v>38</v>
      </c>
      <c r="AU41" t="str">
        <f t="shared" si="20"/>
        <v>Station (ft)</v>
      </c>
      <c r="AV41" t="str">
        <f t="shared" si="20"/>
        <v>Elevation (ft)</v>
      </c>
    </row>
    <row r="42" spans="1:48">
      <c r="A42" s="22" t="e">
        <f>#REF!</f>
        <v>#REF!</v>
      </c>
      <c r="B42" s="22" t="e">
        <f>IF(ISNUMBER(#REF!),#REF!,NA())</f>
        <v>#N/A</v>
      </c>
      <c r="C42" s="22" t="e">
        <f>IF(ISNUMBER(#REF!),#REF!,NA())</f>
        <v>#N/A</v>
      </c>
      <c r="E42" s="325">
        <f>XS_Designer!E43</f>
        <v>39</v>
      </c>
      <c r="F42" s="46" t="e">
        <f>IF(XS_Designer!F43&lt;&gt;"",XS_Designer!F43,NA())</f>
        <v>#N/A</v>
      </c>
      <c r="G42" s="46" t="e">
        <f>IF(XS_Designer!G43&lt;&gt;"",XS_Designer!G43,NA())</f>
        <v>#N/A</v>
      </c>
      <c r="L42">
        <f t="shared" si="0"/>
        <v>39</v>
      </c>
      <c r="M42" s="54" t="e">
        <f t="shared" si="1"/>
        <v>#N/A</v>
      </c>
      <c r="N42" s="54" t="e">
        <f t="shared" si="2"/>
        <v>#N/A</v>
      </c>
      <c r="O42" s="54"/>
      <c r="P42" s="2" t="e">
        <f t="shared" si="21"/>
        <v>#N/A</v>
      </c>
      <c r="Q42" s="2" t="e">
        <f t="shared" si="3"/>
        <v>#N/A</v>
      </c>
      <c r="R42" s="2" t="e">
        <f t="shared" si="4"/>
        <v>#N/A</v>
      </c>
      <c r="T42" s="2" t="e">
        <f t="shared" si="5"/>
        <v>#N/A</v>
      </c>
      <c r="U42" s="128" t="e">
        <f>IF((SUMPRODUCT(COUNTIF($Q$4:$Q42,"INSERT"))=0),Q42,NA())</f>
        <v>#N/A</v>
      </c>
      <c r="V42" s="128" t="e">
        <f>IF((SUMPRODUCT(COUNTIF($Q$4:$Q42,"INSERT"))=0),R42,NA())</f>
        <v>#N/A</v>
      </c>
      <c r="W42" s="27" t="e">
        <f t="shared" si="6"/>
        <v>#N/A</v>
      </c>
      <c r="X42" s="27" t="e">
        <f t="shared" si="7"/>
        <v>#N/A</v>
      </c>
      <c r="Y42" s="196">
        <f t="shared" si="8"/>
        <v>0</v>
      </c>
      <c r="AA42" s="2" t="e">
        <f t="shared" si="9"/>
        <v>#N/A</v>
      </c>
      <c r="AB42" s="128" t="e">
        <f t="shared" si="10"/>
        <v>#N/A</v>
      </c>
      <c r="AC42" s="128" t="e">
        <f t="shared" si="10"/>
        <v>#N/A</v>
      </c>
      <c r="AD42" s="27" t="e">
        <f t="shared" si="11"/>
        <v>#N/A</v>
      </c>
      <c r="AE42" s="27" t="e">
        <f t="shared" si="12"/>
        <v>#N/A</v>
      </c>
      <c r="AF42" s="196">
        <f t="shared" si="13"/>
        <v>0</v>
      </c>
      <c r="AH42" s="2">
        <v>39</v>
      </c>
      <c r="AI42" s="2" t="e">
        <f t="shared" si="14"/>
        <v>#N/A</v>
      </c>
      <c r="AJ42" s="2" t="e">
        <f t="shared" si="15"/>
        <v>#N/A</v>
      </c>
      <c r="AL42" s="2" t="e">
        <f t="shared" si="16"/>
        <v>#N/A</v>
      </c>
      <c r="AM42" s="2" t="e">
        <f t="shared" si="17"/>
        <v>#N/A</v>
      </c>
      <c r="AN42" s="2" t="e">
        <f t="shared" si="17"/>
        <v>#N/A</v>
      </c>
      <c r="AP42" s="2">
        <v>39</v>
      </c>
      <c r="AQ42" t="e">
        <f t="shared" si="18"/>
        <v>#N/A</v>
      </c>
      <c r="AR42" t="e">
        <f t="shared" si="19"/>
        <v>#N/A</v>
      </c>
      <c r="AT42" s="2">
        <v>39</v>
      </c>
      <c r="AU42" t="str">
        <f t="shared" si="20"/>
        <v>Station (ft)</v>
      </c>
      <c r="AV42" t="str">
        <f t="shared" si="20"/>
        <v>Elevation (ft)</v>
      </c>
    </row>
    <row r="43" spans="1:48">
      <c r="A43" s="22" t="e">
        <f>#REF!</f>
        <v>#REF!</v>
      </c>
      <c r="B43" s="22" t="e">
        <f>IF(ISNUMBER(#REF!),#REF!,NA())</f>
        <v>#N/A</v>
      </c>
      <c r="C43" s="22" t="e">
        <f>IF(ISNUMBER(#REF!),#REF!,NA())</f>
        <v>#N/A</v>
      </c>
      <c r="E43" s="325">
        <f>XS_Designer!E44</f>
        <v>40</v>
      </c>
      <c r="F43" s="46" t="e">
        <f>IF(XS_Designer!F44&lt;&gt;"",XS_Designer!F44,NA())</f>
        <v>#N/A</v>
      </c>
      <c r="G43" s="46" t="e">
        <f>IF(XS_Designer!G44&lt;&gt;"",XS_Designer!G44,NA())</f>
        <v>#N/A</v>
      </c>
      <c r="I43" s="2" t="s">
        <v>140</v>
      </c>
      <c r="J43" s="2" t="s">
        <v>754</v>
      </c>
      <c r="L43">
        <f t="shared" si="0"/>
        <v>40</v>
      </c>
      <c r="M43" s="54" t="e">
        <f t="shared" si="1"/>
        <v>#N/A</v>
      </c>
      <c r="N43" s="54" t="e">
        <f t="shared" si="2"/>
        <v>#N/A</v>
      </c>
      <c r="O43" s="54"/>
      <c r="P43" s="2" t="e">
        <f t="shared" si="21"/>
        <v>#N/A</v>
      </c>
      <c r="Q43" s="2" t="e">
        <f t="shared" si="3"/>
        <v>#N/A</v>
      </c>
      <c r="R43" s="2" t="e">
        <f t="shared" si="4"/>
        <v>#N/A</v>
      </c>
      <c r="T43" s="2" t="e">
        <f t="shared" si="5"/>
        <v>#N/A</v>
      </c>
      <c r="U43" s="128" t="e">
        <f>IF((SUMPRODUCT(COUNTIF($Q$4:$Q43,"INSERT"))=0),Q43,NA())</f>
        <v>#N/A</v>
      </c>
      <c r="V43" s="128" t="e">
        <f>IF((SUMPRODUCT(COUNTIF($Q$4:$Q43,"INSERT"))=0),R43,NA())</f>
        <v>#N/A</v>
      </c>
      <c r="W43" s="27" t="e">
        <f t="shared" si="6"/>
        <v>#N/A</v>
      </c>
      <c r="X43" s="27" t="e">
        <f t="shared" si="7"/>
        <v>#N/A</v>
      </c>
      <c r="Y43" s="196">
        <f t="shared" si="8"/>
        <v>0</v>
      </c>
      <c r="AA43" s="2" t="e">
        <f t="shared" si="9"/>
        <v>#N/A</v>
      </c>
      <c r="AB43" s="128" t="e">
        <f t="shared" si="10"/>
        <v>#N/A</v>
      </c>
      <c r="AC43" s="128" t="e">
        <f t="shared" si="10"/>
        <v>#N/A</v>
      </c>
      <c r="AD43" s="27" t="e">
        <f t="shared" si="11"/>
        <v>#N/A</v>
      </c>
      <c r="AE43" s="27" t="e">
        <f t="shared" si="12"/>
        <v>#N/A</v>
      </c>
      <c r="AF43" s="196">
        <f t="shared" si="13"/>
        <v>0</v>
      </c>
      <c r="AH43" s="2">
        <v>40</v>
      </c>
      <c r="AI43" s="2" t="e">
        <f t="shared" si="14"/>
        <v>#N/A</v>
      </c>
      <c r="AJ43" s="2" t="e">
        <f t="shared" si="15"/>
        <v>#N/A</v>
      </c>
      <c r="AL43" s="2" t="e">
        <f t="shared" si="16"/>
        <v>#N/A</v>
      </c>
      <c r="AM43" s="2" t="e">
        <f t="shared" si="17"/>
        <v>#N/A</v>
      </c>
      <c r="AN43" s="2" t="e">
        <f t="shared" si="17"/>
        <v>#N/A</v>
      </c>
      <c r="AP43" s="2">
        <v>40</v>
      </c>
      <c r="AQ43" t="e">
        <f t="shared" si="18"/>
        <v>#N/A</v>
      </c>
      <c r="AR43" t="e">
        <f t="shared" si="19"/>
        <v>#N/A</v>
      </c>
      <c r="AT43" s="2">
        <v>40</v>
      </c>
      <c r="AU43" t="str">
        <f t="shared" si="20"/>
        <v>Station (ft)</v>
      </c>
      <c r="AV43" t="str">
        <f t="shared" si="20"/>
        <v>Elevation (ft)</v>
      </c>
    </row>
    <row r="44" spans="1:48">
      <c r="A44" s="22" t="e">
        <f>#REF!</f>
        <v>#REF!</v>
      </c>
      <c r="B44" s="22" t="e">
        <f>IF(ISNUMBER(#REF!),#REF!,NA())</f>
        <v>#N/A</v>
      </c>
      <c r="C44" s="22" t="e">
        <f>IF(ISNUMBER(#REF!),#REF!,NA())</f>
        <v>#N/A</v>
      </c>
      <c r="E44" s="325">
        <f>XS_Designer!E45</f>
        <v>41</v>
      </c>
      <c r="F44" s="46" t="e">
        <f>IF(XS_Designer!F45&lt;&gt;"",XS_Designer!F45,NA())</f>
        <v>#N/A</v>
      </c>
      <c r="G44" s="46" t="e">
        <f>IF(XS_Designer!G45&lt;&gt;"",XS_Designer!G45,NA())</f>
        <v>#N/A</v>
      </c>
      <c r="I44" s="2" t="e">
        <f>C4</f>
        <v>#N/A</v>
      </c>
      <c r="J44" s="2" t="e">
        <f>VLOOKUP($J$24,$P$4:$R$103,3,TRUE)</f>
        <v>#N/A</v>
      </c>
      <c r="L44">
        <f t="shared" si="0"/>
        <v>41</v>
      </c>
      <c r="M44" s="54" t="e">
        <f t="shared" si="1"/>
        <v>#N/A</v>
      </c>
      <c r="N44" s="54" t="e">
        <f t="shared" si="2"/>
        <v>#N/A</v>
      </c>
      <c r="O44" s="54"/>
      <c r="P44" s="2" t="e">
        <f t="shared" si="21"/>
        <v>#N/A</v>
      </c>
      <c r="Q44" s="2" t="e">
        <f t="shared" si="3"/>
        <v>#N/A</v>
      </c>
      <c r="R44" s="2" t="e">
        <f t="shared" si="4"/>
        <v>#N/A</v>
      </c>
      <c r="T44" s="2" t="e">
        <f t="shared" si="5"/>
        <v>#N/A</v>
      </c>
      <c r="U44" s="128" t="e">
        <f>IF((SUMPRODUCT(COUNTIF($Q$4:$Q44,"INSERT"))=0),Q44,NA())</f>
        <v>#N/A</v>
      </c>
      <c r="V44" s="128" t="e">
        <f>IF((SUMPRODUCT(COUNTIF($Q$4:$Q44,"INSERT"))=0),R44,NA())</f>
        <v>#N/A</v>
      </c>
      <c r="W44" s="27" t="e">
        <f t="shared" si="6"/>
        <v>#N/A</v>
      </c>
      <c r="X44" s="27" t="e">
        <f t="shared" si="7"/>
        <v>#N/A</v>
      </c>
      <c r="Y44" s="196">
        <f t="shared" si="8"/>
        <v>0</v>
      </c>
      <c r="AA44" s="2" t="e">
        <f t="shared" si="9"/>
        <v>#N/A</v>
      </c>
      <c r="AB44" s="128" t="e">
        <f t="shared" si="10"/>
        <v>#N/A</v>
      </c>
      <c r="AC44" s="128" t="e">
        <f t="shared" si="10"/>
        <v>#N/A</v>
      </c>
      <c r="AD44" s="27" t="e">
        <f t="shared" si="11"/>
        <v>#N/A</v>
      </c>
      <c r="AE44" s="27" t="e">
        <f t="shared" si="12"/>
        <v>#N/A</v>
      </c>
      <c r="AF44" s="196">
        <f t="shared" si="13"/>
        <v>0</v>
      </c>
      <c r="AH44" s="2">
        <v>41</v>
      </c>
      <c r="AI44" s="2" t="e">
        <f t="shared" si="14"/>
        <v>#N/A</v>
      </c>
      <c r="AJ44" s="2" t="e">
        <f t="shared" si="15"/>
        <v>#N/A</v>
      </c>
      <c r="AL44" s="2" t="e">
        <f t="shared" si="16"/>
        <v>#N/A</v>
      </c>
      <c r="AM44" s="2" t="e">
        <f t="shared" si="17"/>
        <v>#N/A</v>
      </c>
      <c r="AN44" s="2" t="e">
        <f t="shared" si="17"/>
        <v>#N/A</v>
      </c>
      <c r="AP44" s="2">
        <v>41</v>
      </c>
      <c r="AQ44" t="e">
        <f t="shared" si="18"/>
        <v>#N/A</v>
      </c>
      <c r="AR44" t="e">
        <f t="shared" si="19"/>
        <v>#N/A</v>
      </c>
      <c r="AT44" s="2">
        <v>41</v>
      </c>
      <c r="AU44" t="str">
        <f t="shared" si="20"/>
        <v>Station (ft)</v>
      </c>
      <c r="AV44" t="str">
        <f t="shared" si="20"/>
        <v>Elevation (ft)</v>
      </c>
    </row>
    <row r="45" spans="1:48">
      <c r="A45" s="22" t="e">
        <f>#REF!</f>
        <v>#REF!</v>
      </c>
      <c r="B45" s="22" t="e">
        <f>IF(ISNUMBER(#REF!),#REF!,NA())</f>
        <v>#N/A</v>
      </c>
      <c r="C45" s="22" t="e">
        <f>IF(ISNUMBER(#REF!),#REF!,NA())</f>
        <v>#N/A</v>
      </c>
      <c r="E45" s="325">
        <f>XS_Designer!E46</f>
        <v>42</v>
      </c>
      <c r="F45" s="46" t="e">
        <f>IF(XS_Designer!F46&lt;&gt;"",XS_Designer!F46,NA())</f>
        <v>#N/A</v>
      </c>
      <c r="G45" s="46" t="e">
        <f>IF(XS_Designer!G46&lt;&gt;"",XS_Designer!G46,NA())</f>
        <v>#N/A</v>
      </c>
      <c r="L45">
        <f t="shared" si="0"/>
        <v>42</v>
      </c>
      <c r="M45" s="54" t="e">
        <f t="shared" si="1"/>
        <v>#N/A</v>
      </c>
      <c r="N45" s="54" t="e">
        <f t="shared" si="2"/>
        <v>#N/A</v>
      </c>
      <c r="O45" s="54"/>
      <c r="P45" s="2" t="e">
        <f t="shared" si="21"/>
        <v>#N/A</v>
      </c>
      <c r="Q45" s="2" t="e">
        <f t="shared" si="3"/>
        <v>#N/A</v>
      </c>
      <c r="R45" s="2" t="e">
        <f t="shared" si="4"/>
        <v>#N/A</v>
      </c>
      <c r="T45" s="2" t="e">
        <f t="shared" si="5"/>
        <v>#N/A</v>
      </c>
      <c r="U45" s="128" t="e">
        <f>IF((SUMPRODUCT(COUNTIF($Q$4:$Q45,"INSERT"))=0),Q45,NA())</f>
        <v>#N/A</v>
      </c>
      <c r="V45" s="128" t="e">
        <f>IF((SUMPRODUCT(COUNTIF($Q$4:$Q45,"INSERT"))=0),R45,NA())</f>
        <v>#N/A</v>
      </c>
      <c r="W45" s="27" t="e">
        <f t="shared" si="6"/>
        <v>#N/A</v>
      </c>
      <c r="X45" s="27" t="e">
        <f t="shared" si="7"/>
        <v>#N/A</v>
      </c>
      <c r="Y45" s="196">
        <f t="shared" si="8"/>
        <v>0</v>
      </c>
      <c r="AA45" s="2" t="e">
        <f t="shared" si="9"/>
        <v>#N/A</v>
      </c>
      <c r="AB45" s="128" t="e">
        <f t="shared" si="10"/>
        <v>#N/A</v>
      </c>
      <c r="AC45" s="128" t="e">
        <f t="shared" si="10"/>
        <v>#N/A</v>
      </c>
      <c r="AD45" s="27" t="e">
        <f t="shared" si="11"/>
        <v>#N/A</v>
      </c>
      <c r="AE45" s="27" t="e">
        <f t="shared" si="12"/>
        <v>#N/A</v>
      </c>
      <c r="AF45" s="196">
        <f t="shared" si="13"/>
        <v>0</v>
      </c>
      <c r="AH45" s="2">
        <v>42</v>
      </c>
      <c r="AI45" s="2" t="e">
        <f t="shared" si="14"/>
        <v>#N/A</v>
      </c>
      <c r="AJ45" s="2" t="e">
        <f t="shared" si="15"/>
        <v>#N/A</v>
      </c>
      <c r="AL45" s="2" t="e">
        <f t="shared" si="16"/>
        <v>#N/A</v>
      </c>
      <c r="AM45" s="2" t="e">
        <f t="shared" si="17"/>
        <v>#N/A</v>
      </c>
      <c r="AN45" s="2" t="e">
        <f t="shared" si="17"/>
        <v>#N/A</v>
      </c>
      <c r="AP45" s="2">
        <v>42</v>
      </c>
      <c r="AQ45" t="e">
        <f t="shared" si="18"/>
        <v>#N/A</v>
      </c>
      <c r="AR45" t="e">
        <f t="shared" si="19"/>
        <v>#N/A</v>
      </c>
      <c r="AT45" s="2">
        <v>42</v>
      </c>
      <c r="AU45" t="str">
        <f t="shared" si="20"/>
        <v>Station (ft)</v>
      </c>
      <c r="AV45" t="str">
        <f t="shared" si="20"/>
        <v>Elevation (ft)</v>
      </c>
    </row>
    <row r="46" spans="1:48">
      <c r="A46" s="22" t="e">
        <f>#REF!</f>
        <v>#REF!</v>
      </c>
      <c r="B46" s="22" t="e">
        <f>IF(ISNUMBER(#REF!),#REF!,NA())</f>
        <v>#N/A</v>
      </c>
      <c r="C46" s="22" t="e">
        <f>IF(ISNUMBER(#REF!),#REF!,NA())</f>
        <v>#N/A</v>
      </c>
      <c r="E46" s="325">
        <f>XS_Designer!E47</f>
        <v>43</v>
      </c>
      <c r="F46" s="46" t="e">
        <f>IF(XS_Designer!F47&lt;&gt;"",XS_Designer!F47,NA())</f>
        <v>#N/A</v>
      </c>
      <c r="G46" s="46" t="e">
        <f>IF(XS_Designer!G47&lt;&gt;"",XS_Designer!G47,NA())</f>
        <v>#N/A</v>
      </c>
      <c r="I46" s="3" t="s">
        <v>755</v>
      </c>
      <c r="J46" s="3" t="s">
        <v>141</v>
      </c>
      <c r="L46">
        <f t="shared" si="0"/>
        <v>43</v>
      </c>
      <c r="M46" s="54" t="e">
        <f t="shared" si="1"/>
        <v>#N/A</v>
      </c>
      <c r="N46" s="54" t="e">
        <f t="shared" si="2"/>
        <v>#N/A</v>
      </c>
      <c r="O46" s="54"/>
      <c r="P46" s="2" t="e">
        <f t="shared" si="21"/>
        <v>#N/A</v>
      </c>
      <c r="Q46" s="2" t="e">
        <f t="shared" si="3"/>
        <v>#N/A</v>
      </c>
      <c r="R46" s="2" t="e">
        <f t="shared" si="4"/>
        <v>#N/A</v>
      </c>
      <c r="T46" s="2" t="e">
        <f t="shared" si="5"/>
        <v>#N/A</v>
      </c>
      <c r="U46" s="128" t="e">
        <f>IF((SUMPRODUCT(COUNTIF($Q$4:$Q46,"INSERT"))=0),Q46,NA())</f>
        <v>#N/A</v>
      </c>
      <c r="V46" s="128" t="e">
        <f>IF((SUMPRODUCT(COUNTIF($Q$4:$Q46,"INSERT"))=0),R46,NA())</f>
        <v>#N/A</v>
      </c>
      <c r="W46" s="27" t="e">
        <f t="shared" si="6"/>
        <v>#N/A</v>
      </c>
      <c r="X46" s="27" t="e">
        <f t="shared" si="7"/>
        <v>#N/A</v>
      </c>
      <c r="Y46" s="196">
        <f t="shared" si="8"/>
        <v>0</v>
      </c>
      <c r="AA46" s="2" t="e">
        <f t="shared" si="9"/>
        <v>#N/A</v>
      </c>
      <c r="AB46" s="128" t="e">
        <f t="shared" si="10"/>
        <v>#N/A</v>
      </c>
      <c r="AC46" s="128" t="e">
        <f t="shared" si="10"/>
        <v>#N/A</v>
      </c>
      <c r="AD46" s="27" t="e">
        <f t="shared" si="11"/>
        <v>#N/A</v>
      </c>
      <c r="AE46" s="27" t="e">
        <f t="shared" si="12"/>
        <v>#N/A</v>
      </c>
      <c r="AF46" s="196">
        <f t="shared" si="13"/>
        <v>0</v>
      </c>
      <c r="AH46" s="2">
        <v>43</v>
      </c>
      <c r="AI46" s="2" t="e">
        <f t="shared" si="14"/>
        <v>#N/A</v>
      </c>
      <c r="AJ46" s="2" t="e">
        <f t="shared" si="15"/>
        <v>#N/A</v>
      </c>
      <c r="AL46" s="2" t="e">
        <f t="shared" si="16"/>
        <v>#N/A</v>
      </c>
      <c r="AM46" s="2" t="e">
        <f t="shared" si="17"/>
        <v>#N/A</v>
      </c>
      <c r="AN46" s="2" t="e">
        <f t="shared" si="17"/>
        <v>#N/A</v>
      </c>
      <c r="AP46" s="2">
        <v>43</v>
      </c>
      <c r="AQ46" t="e">
        <f t="shared" si="18"/>
        <v>#N/A</v>
      </c>
      <c r="AR46" t="e">
        <f t="shared" si="19"/>
        <v>#N/A</v>
      </c>
      <c r="AT46" s="2">
        <v>43</v>
      </c>
      <c r="AU46" t="str">
        <f t="shared" si="20"/>
        <v>Station (ft)</v>
      </c>
      <c r="AV46" t="str">
        <f t="shared" si="20"/>
        <v>Elevation (ft)</v>
      </c>
    </row>
    <row r="47" spans="1:48">
      <c r="A47" s="22" t="e">
        <f>#REF!</f>
        <v>#REF!</v>
      </c>
      <c r="B47" s="22" t="e">
        <f>IF(ISNUMBER(#REF!),#REF!,NA())</f>
        <v>#N/A</v>
      </c>
      <c r="C47" s="22" t="e">
        <f>IF(ISNUMBER(#REF!),#REF!,NA())</f>
        <v>#N/A</v>
      </c>
      <c r="E47" s="325">
        <f>XS_Designer!E48</f>
        <v>44</v>
      </c>
      <c r="F47" s="46" t="e">
        <f>IF(XS_Designer!F48&lt;&gt;"",XS_Designer!F48,NA())</f>
        <v>#N/A</v>
      </c>
      <c r="G47" s="46" t="e">
        <f>IF(XS_Designer!G48&lt;&gt;"",XS_Designer!G48,NA())</f>
        <v>#N/A</v>
      </c>
      <c r="I47" s="3">
        <f>IF(XS_Designer!B3=3,XS_Designer!D32,IF(XS_Designer!B3=2,XS_Designer!D23,XS_Designer!D13))</f>
        <v>3</v>
      </c>
      <c r="J47" s="3">
        <f>IF(XS_Designer!B3=3,XS_Designer!D33,IF(XS_Designer!B3=2,XS_Designer!D24,XS_Designer!D14))</f>
        <v>3</v>
      </c>
      <c r="L47">
        <f t="shared" si="0"/>
        <v>44</v>
      </c>
      <c r="M47" s="54" t="e">
        <f t="shared" si="1"/>
        <v>#N/A</v>
      </c>
      <c r="N47" s="54" t="e">
        <f t="shared" si="2"/>
        <v>#N/A</v>
      </c>
      <c r="O47" s="54"/>
      <c r="P47" s="2" t="e">
        <f t="shared" si="21"/>
        <v>#N/A</v>
      </c>
      <c r="Q47" s="2" t="e">
        <f t="shared" si="3"/>
        <v>#N/A</v>
      </c>
      <c r="R47" s="2" t="e">
        <f t="shared" si="4"/>
        <v>#N/A</v>
      </c>
      <c r="T47" s="2" t="e">
        <f t="shared" si="5"/>
        <v>#N/A</v>
      </c>
      <c r="U47" s="128" t="e">
        <f>IF((SUMPRODUCT(COUNTIF($Q$4:$Q47,"INSERT"))=0),Q47,NA())</f>
        <v>#N/A</v>
      </c>
      <c r="V47" s="128" t="e">
        <f>IF((SUMPRODUCT(COUNTIF($Q$4:$Q47,"INSERT"))=0),R47,NA())</f>
        <v>#N/A</v>
      </c>
      <c r="W47" s="27" t="e">
        <f t="shared" si="6"/>
        <v>#N/A</v>
      </c>
      <c r="X47" s="27" t="e">
        <f t="shared" si="7"/>
        <v>#N/A</v>
      </c>
      <c r="Y47" s="196">
        <f t="shared" si="8"/>
        <v>0</v>
      </c>
      <c r="AA47" s="2" t="e">
        <f t="shared" si="9"/>
        <v>#N/A</v>
      </c>
      <c r="AB47" s="128" t="e">
        <f t="shared" si="10"/>
        <v>#N/A</v>
      </c>
      <c r="AC47" s="128" t="e">
        <f t="shared" si="10"/>
        <v>#N/A</v>
      </c>
      <c r="AD47" s="27" t="e">
        <f t="shared" si="11"/>
        <v>#N/A</v>
      </c>
      <c r="AE47" s="27" t="e">
        <f t="shared" si="12"/>
        <v>#N/A</v>
      </c>
      <c r="AF47" s="196">
        <f t="shared" si="13"/>
        <v>0</v>
      </c>
      <c r="AH47" s="2">
        <v>44</v>
      </c>
      <c r="AI47" s="2" t="e">
        <f t="shared" si="14"/>
        <v>#N/A</v>
      </c>
      <c r="AJ47" s="2" t="e">
        <f t="shared" si="15"/>
        <v>#N/A</v>
      </c>
      <c r="AL47" s="2" t="e">
        <f t="shared" si="16"/>
        <v>#N/A</v>
      </c>
      <c r="AM47" s="2" t="e">
        <f t="shared" si="17"/>
        <v>#N/A</v>
      </c>
      <c r="AN47" s="2" t="e">
        <f t="shared" si="17"/>
        <v>#N/A</v>
      </c>
      <c r="AP47" s="2">
        <v>44</v>
      </c>
      <c r="AQ47" t="e">
        <f t="shared" si="18"/>
        <v>#N/A</v>
      </c>
      <c r="AR47" t="e">
        <f t="shared" si="19"/>
        <v>#N/A</v>
      </c>
      <c r="AT47" s="2">
        <v>44</v>
      </c>
      <c r="AU47" t="str">
        <f t="shared" si="20"/>
        <v>Station (ft)</v>
      </c>
      <c r="AV47" t="str">
        <f t="shared" si="20"/>
        <v>Elevation (ft)</v>
      </c>
    </row>
    <row r="48" spans="1:48">
      <c r="A48" s="22" t="e">
        <f>#REF!</f>
        <v>#REF!</v>
      </c>
      <c r="B48" s="22" t="e">
        <f>IF(ISNUMBER(#REF!),#REF!,NA())</f>
        <v>#N/A</v>
      </c>
      <c r="C48" s="22" t="e">
        <f>IF(ISNUMBER(#REF!),#REF!,NA())</f>
        <v>#N/A</v>
      </c>
      <c r="E48" s="325">
        <f>XS_Designer!E49</f>
        <v>45</v>
      </c>
      <c r="F48" s="46" t="e">
        <f>IF(XS_Designer!F49&lt;&gt;"",XS_Designer!F49,NA())</f>
        <v>#N/A</v>
      </c>
      <c r="G48" s="46" t="e">
        <f>IF(XS_Designer!G49&lt;&gt;"",XS_Designer!G49,NA())</f>
        <v>#N/A</v>
      </c>
      <c r="L48">
        <f t="shared" si="0"/>
        <v>45</v>
      </c>
      <c r="M48" s="54" t="e">
        <f t="shared" si="1"/>
        <v>#N/A</v>
      </c>
      <c r="N48" s="54" t="e">
        <f t="shared" si="2"/>
        <v>#N/A</v>
      </c>
      <c r="O48" s="54"/>
      <c r="P48" s="2" t="e">
        <f t="shared" si="21"/>
        <v>#N/A</v>
      </c>
      <c r="Q48" s="2" t="e">
        <f t="shared" si="3"/>
        <v>#N/A</v>
      </c>
      <c r="R48" s="2" t="e">
        <f t="shared" si="4"/>
        <v>#N/A</v>
      </c>
      <c r="T48" s="2" t="e">
        <f t="shared" si="5"/>
        <v>#N/A</v>
      </c>
      <c r="U48" s="128" t="e">
        <f>IF((SUMPRODUCT(COUNTIF($Q$4:$Q48,"INSERT"))=0),Q48,NA())</f>
        <v>#N/A</v>
      </c>
      <c r="V48" s="128" t="e">
        <f>IF((SUMPRODUCT(COUNTIF($Q$4:$Q48,"INSERT"))=0),R48,NA())</f>
        <v>#N/A</v>
      </c>
      <c r="W48" s="27" t="e">
        <f t="shared" si="6"/>
        <v>#N/A</v>
      </c>
      <c r="X48" s="27" t="e">
        <f t="shared" si="7"/>
        <v>#N/A</v>
      </c>
      <c r="Y48" s="196">
        <f t="shared" si="8"/>
        <v>0</v>
      </c>
      <c r="AA48" s="2" t="e">
        <f t="shared" si="9"/>
        <v>#N/A</v>
      </c>
      <c r="AB48" s="128" t="e">
        <f t="shared" si="10"/>
        <v>#N/A</v>
      </c>
      <c r="AC48" s="128" t="e">
        <f t="shared" si="10"/>
        <v>#N/A</v>
      </c>
      <c r="AD48" s="27" t="e">
        <f t="shared" si="11"/>
        <v>#N/A</v>
      </c>
      <c r="AE48" s="27" t="e">
        <f t="shared" si="12"/>
        <v>#N/A</v>
      </c>
      <c r="AF48" s="196">
        <f t="shared" si="13"/>
        <v>0</v>
      </c>
      <c r="AH48" s="2">
        <v>45</v>
      </c>
      <c r="AI48" s="2" t="e">
        <f t="shared" si="14"/>
        <v>#N/A</v>
      </c>
      <c r="AJ48" s="2" t="e">
        <f t="shared" si="15"/>
        <v>#N/A</v>
      </c>
      <c r="AL48" s="2" t="e">
        <f t="shared" si="16"/>
        <v>#N/A</v>
      </c>
      <c r="AM48" s="2" t="e">
        <f t="shared" si="17"/>
        <v>#N/A</v>
      </c>
      <c r="AN48" s="2" t="e">
        <f t="shared" si="17"/>
        <v>#N/A</v>
      </c>
      <c r="AP48" s="2">
        <v>45</v>
      </c>
      <c r="AQ48" t="e">
        <f t="shared" si="18"/>
        <v>#N/A</v>
      </c>
      <c r="AR48" t="e">
        <f t="shared" si="19"/>
        <v>#N/A</v>
      </c>
      <c r="AT48" s="2">
        <v>45</v>
      </c>
      <c r="AU48" t="str">
        <f t="shared" si="20"/>
        <v>Station (ft)</v>
      </c>
      <c r="AV48" t="str">
        <f t="shared" si="20"/>
        <v>Elevation (ft)</v>
      </c>
    </row>
    <row r="49" spans="1:48">
      <c r="A49" s="22" t="e">
        <f>#REF!</f>
        <v>#REF!</v>
      </c>
      <c r="B49" s="22" t="e">
        <f>IF(ISNUMBER(#REF!),#REF!,NA())</f>
        <v>#N/A</v>
      </c>
      <c r="C49" s="22" t="e">
        <f>IF(ISNUMBER(#REF!),#REF!,NA())</f>
        <v>#N/A</v>
      </c>
      <c r="E49" s="325">
        <f>XS_Designer!E50</f>
        <v>46</v>
      </c>
      <c r="F49" s="46" t="e">
        <f>IF(XS_Designer!F50&lt;&gt;"",XS_Designer!F50,NA())</f>
        <v>#N/A</v>
      </c>
      <c r="G49" s="46" t="e">
        <f>IF(XS_Designer!G50&lt;&gt;"",XS_Designer!G50,NA())</f>
        <v>#N/A</v>
      </c>
      <c r="I49" s="3" t="s">
        <v>934</v>
      </c>
      <c r="J49" s="3" t="s">
        <v>935</v>
      </c>
      <c r="L49">
        <f t="shared" si="0"/>
        <v>46</v>
      </c>
      <c r="M49" s="54" t="e">
        <f t="shared" si="1"/>
        <v>#N/A</v>
      </c>
      <c r="N49" s="54" t="e">
        <f t="shared" si="2"/>
        <v>#N/A</v>
      </c>
      <c r="O49" s="54"/>
      <c r="P49" s="2" t="e">
        <f t="shared" si="21"/>
        <v>#N/A</v>
      </c>
      <c r="Q49" s="2" t="e">
        <f t="shared" si="3"/>
        <v>#N/A</v>
      </c>
      <c r="R49" s="2" t="e">
        <f t="shared" si="4"/>
        <v>#N/A</v>
      </c>
      <c r="T49" s="2" t="e">
        <f t="shared" si="5"/>
        <v>#N/A</v>
      </c>
      <c r="U49" s="128" t="e">
        <f>IF((SUMPRODUCT(COUNTIF($Q$4:$Q49,"INSERT"))=0),Q49,NA())</f>
        <v>#N/A</v>
      </c>
      <c r="V49" s="128" t="e">
        <f>IF((SUMPRODUCT(COUNTIF($Q$4:$Q49,"INSERT"))=0),R49,NA())</f>
        <v>#N/A</v>
      </c>
      <c r="W49" s="27" t="e">
        <f t="shared" si="6"/>
        <v>#N/A</v>
      </c>
      <c r="X49" s="27" t="e">
        <f t="shared" si="7"/>
        <v>#N/A</v>
      </c>
      <c r="Y49" s="196">
        <f t="shared" si="8"/>
        <v>0</v>
      </c>
      <c r="AA49" s="2" t="e">
        <f t="shared" si="9"/>
        <v>#N/A</v>
      </c>
      <c r="AB49" s="128" t="e">
        <f t="shared" si="10"/>
        <v>#N/A</v>
      </c>
      <c r="AC49" s="128" t="e">
        <f t="shared" si="10"/>
        <v>#N/A</v>
      </c>
      <c r="AD49" s="27" t="e">
        <f t="shared" si="11"/>
        <v>#N/A</v>
      </c>
      <c r="AE49" s="27" t="e">
        <f t="shared" si="12"/>
        <v>#N/A</v>
      </c>
      <c r="AF49" s="196">
        <f t="shared" si="13"/>
        <v>0</v>
      </c>
      <c r="AH49" s="2">
        <v>46</v>
      </c>
      <c r="AI49" s="2" t="e">
        <f t="shared" si="14"/>
        <v>#N/A</v>
      </c>
      <c r="AJ49" s="2" t="e">
        <f t="shared" si="15"/>
        <v>#N/A</v>
      </c>
      <c r="AL49" s="2" t="e">
        <f t="shared" si="16"/>
        <v>#N/A</v>
      </c>
      <c r="AM49" s="2" t="e">
        <f t="shared" si="17"/>
        <v>#N/A</v>
      </c>
      <c r="AN49" s="2" t="e">
        <f t="shared" si="17"/>
        <v>#N/A</v>
      </c>
      <c r="AP49" s="2">
        <v>46</v>
      </c>
      <c r="AQ49" t="e">
        <f t="shared" si="18"/>
        <v>#N/A</v>
      </c>
      <c r="AR49" t="e">
        <f t="shared" si="19"/>
        <v>#N/A</v>
      </c>
      <c r="AT49" s="2">
        <v>46</v>
      </c>
      <c r="AU49" t="str">
        <f t="shared" si="20"/>
        <v>Station (ft)</v>
      </c>
      <c r="AV49" t="str">
        <f t="shared" si="20"/>
        <v>Elevation (ft)</v>
      </c>
    </row>
    <row r="50" spans="1:48">
      <c r="A50" s="22" t="e">
        <f>#REF!</f>
        <v>#REF!</v>
      </c>
      <c r="B50" s="22" t="e">
        <f>IF(ISNUMBER(#REF!),#REF!,NA())</f>
        <v>#N/A</v>
      </c>
      <c r="C50" s="22" t="e">
        <f>IF(ISNUMBER(#REF!),#REF!,NA())</f>
        <v>#N/A</v>
      </c>
      <c r="E50" s="325">
        <f>XS_Designer!E51</f>
        <v>47</v>
      </c>
      <c r="F50" s="46" t="e">
        <f>IF(XS_Designer!F51&lt;&gt;"",XS_Designer!F51,NA())</f>
        <v>#N/A</v>
      </c>
      <c r="G50" s="46" t="e">
        <f>IF(XS_Designer!G51&lt;&gt;"",XS_Designer!G51,NA())</f>
        <v>#N/A</v>
      </c>
      <c r="I50" s="45">
        <f>($I$15-$I$41)*(1/$I$47)</f>
        <v>0</v>
      </c>
      <c r="J50" s="45">
        <f>($J$41-$J$15)*(1/$J$47)</f>
        <v>0</v>
      </c>
      <c r="L50">
        <f t="shared" si="0"/>
        <v>47</v>
      </c>
      <c r="M50" s="54" t="e">
        <f t="shared" si="1"/>
        <v>#N/A</v>
      </c>
      <c r="N50" s="54" t="e">
        <f t="shared" si="2"/>
        <v>#N/A</v>
      </c>
      <c r="O50" s="54"/>
      <c r="P50" s="2" t="e">
        <f t="shared" si="21"/>
        <v>#N/A</v>
      </c>
      <c r="Q50" s="2" t="e">
        <f t="shared" si="3"/>
        <v>#N/A</v>
      </c>
      <c r="R50" s="2" t="e">
        <f t="shared" si="4"/>
        <v>#N/A</v>
      </c>
      <c r="T50" s="2" t="e">
        <f t="shared" si="5"/>
        <v>#N/A</v>
      </c>
      <c r="U50" s="128" t="e">
        <f>IF((SUMPRODUCT(COUNTIF($Q$4:$Q50,"INSERT"))=0),Q50,NA())</f>
        <v>#N/A</v>
      </c>
      <c r="V50" s="128" t="e">
        <f>IF((SUMPRODUCT(COUNTIF($Q$4:$Q50,"INSERT"))=0),R50,NA())</f>
        <v>#N/A</v>
      </c>
      <c r="W50" s="27" t="e">
        <f t="shared" si="6"/>
        <v>#N/A</v>
      </c>
      <c r="X50" s="27" t="e">
        <f t="shared" si="7"/>
        <v>#N/A</v>
      </c>
      <c r="Y50" s="196">
        <f t="shared" si="8"/>
        <v>0</v>
      </c>
      <c r="AA50" s="2" t="e">
        <f t="shared" si="9"/>
        <v>#N/A</v>
      </c>
      <c r="AB50" s="128" t="e">
        <f t="shared" si="10"/>
        <v>#N/A</v>
      </c>
      <c r="AC50" s="128" t="e">
        <f t="shared" si="10"/>
        <v>#N/A</v>
      </c>
      <c r="AD50" s="27" t="e">
        <f t="shared" si="11"/>
        <v>#N/A</v>
      </c>
      <c r="AE50" s="27" t="e">
        <f t="shared" si="12"/>
        <v>#N/A</v>
      </c>
      <c r="AF50" s="196">
        <f t="shared" si="13"/>
        <v>0</v>
      </c>
      <c r="AH50" s="2">
        <v>47</v>
      </c>
      <c r="AI50" s="2" t="e">
        <f t="shared" si="14"/>
        <v>#N/A</v>
      </c>
      <c r="AJ50" s="2" t="e">
        <f t="shared" si="15"/>
        <v>#N/A</v>
      </c>
      <c r="AL50" s="2" t="e">
        <f t="shared" si="16"/>
        <v>#N/A</v>
      </c>
      <c r="AM50" s="2" t="e">
        <f t="shared" si="17"/>
        <v>#N/A</v>
      </c>
      <c r="AN50" s="2" t="e">
        <f t="shared" si="17"/>
        <v>#N/A</v>
      </c>
      <c r="AP50" s="2">
        <v>47</v>
      </c>
      <c r="AQ50" t="e">
        <f t="shared" si="18"/>
        <v>#N/A</v>
      </c>
      <c r="AR50" t="e">
        <f t="shared" si="19"/>
        <v>#N/A</v>
      </c>
      <c r="AT50" s="2">
        <v>47</v>
      </c>
      <c r="AU50" t="str">
        <f t="shared" si="20"/>
        <v>Station (ft)</v>
      </c>
      <c r="AV50" t="str">
        <f t="shared" si="20"/>
        <v>Elevation (ft)</v>
      </c>
    </row>
    <row r="51" spans="1:48">
      <c r="A51" s="22" t="e">
        <f>#REF!</f>
        <v>#REF!</v>
      </c>
      <c r="B51" s="22" t="e">
        <f>IF(ISNUMBER(#REF!),#REF!,NA())</f>
        <v>#N/A</v>
      </c>
      <c r="C51" s="22" t="e">
        <f>IF(ISNUMBER(#REF!),#REF!,NA())</f>
        <v>#N/A</v>
      </c>
      <c r="E51" s="325">
        <f>XS_Designer!E52</f>
        <v>48</v>
      </c>
      <c r="F51" s="46" t="e">
        <f>IF(XS_Designer!F52&lt;&gt;"",XS_Designer!F52,NA())</f>
        <v>#N/A</v>
      </c>
      <c r="G51" s="46" t="e">
        <f>IF(XS_Designer!G52&lt;&gt;"",XS_Designer!G52,NA())</f>
        <v>#N/A</v>
      </c>
      <c r="L51">
        <f t="shared" si="0"/>
        <v>48</v>
      </c>
      <c r="M51" s="54" t="e">
        <f t="shared" si="1"/>
        <v>#N/A</v>
      </c>
      <c r="N51" s="54" t="e">
        <f t="shared" si="2"/>
        <v>#N/A</v>
      </c>
      <c r="O51" s="54"/>
      <c r="P51" s="2" t="e">
        <f t="shared" si="21"/>
        <v>#N/A</v>
      </c>
      <c r="Q51" s="2" t="e">
        <f t="shared" si="3"/>
        <v>#N/A</v>
      </c>
      <c r="R51" s="2" t="e">
        <f t="shared" si="4"/>
        <v>#N/A</v>
      </c>
      <c r="T51" s="2" t="e">
        <f t="shared" si="5"/>
        <v>#N/A</v>
      </c>
      <c r="U51" s="128" t="e">
        <f>IF((SUMPRODUCT(COUNTIF($Q$4:$Q51,"INSERT"))=0),Q51,NA())</f>
        <v>#N/A</v>
      </c>
      <c r="V51" s="128" t="e">
        <f>IF((SUMPRODUCT(COUNTIF($Q$4:$Q51,"INSERT"))=0),R51,NA())</f>
        <v>#N/A</v>
      </c>
      <c r="W51" s="27" t="e">
        <f t="shared" si="6"/>
        <v>#N/A</v>
      </c>
      <c r="X51" s="27" t="e">
        <f t="shared" si="7"/>
        <v>#N/A</v>
      </c>
      <c r="Y51" s="196">
        <f t="shared" si="8"/>
        <v>0</v>
      </c>
      <c r="AA51" s="2" t="e">
        <f t="shared" si="9"/>
        <v>#N/A</v>
      </c>
      <c r="AB51" s="128" t="e">
        <f t="shared" si="10"/>
        <v>#N/A</v>
      </c>
      <c r="AC51" s="128" t="e">
        <f t="shared" si="10"/>
        <v>#N/A</v>
      </c>
      <c r="AD51" s="27" t="e">
        <f t="shared" si="11"/>
        <v>#N/A</v>
      </c>
      <c r="AE51" s="27" t="e">
        <f t="shared" si="12"/>
        <v>#N/A</v>
      </c>
      <c r="AF51" s="196">
        <f t="shared" si="13"/>
        <v>0</v>
      </c>
      <c r="AH51" s="2">
        <v>48</v>
      </c>
      <c r="AI51" s="2" t="e">
        <f t="shared" si="14"/>
        <v>#N/A</v>
      </c>
      <c r="AJ51" s="2" t="e">
        <f t="shared" si="15"/>
        <v>#N/A</v>
      </c>
      <c r="AL51" s="2" t="e">
        <f t="shared" si="16"/>
        <v>#N/A</v>
      </c>
      <c r="AM51" s="2" t="e">
        <f t="shared" si="17"/>
        <v>#N/A</v>
      </c>
      <c r="AN51" s="2" t="e">
        <f t="shared" si="17"/>
        <v>#N/A</v>
      </c>
      <c r="AP51" s="2">
        <v>48</v>
      </c>
      <c r="AQ51" t="e">
        <f t="shared" si="18"/>
        <v>#N/A</v>
      </c>
      <c r="AR51" t="e">
        <f t="shared" si="19"/>
        <v>#N/A</v>
      </c>
      <c r="AT51" s="2">
        <v>48</v>
      </c>
      <c r="AU51" t="str">
        <f t="shared" si="20"/>
        <v>Station (ft)</v>
      </c>
      <c r="AV51" t="str">
        <f t="shared" si="20"/>
        <v>Elevation (ft)</v>
      </c>
    </row>
    <row r="52" spans="1:48">
      <c r="A52" s="22" t="e">
        <f>#REF!</f>
        <v>#REF!</v>
      </c>
      <c r="B52" s="22" t="e">
        <f>IF(ISNUMBER(#REF!),#REF!,NA())</f>
        <v>#N/A</v>
      </c>
      <c r="C52" s="22" t="e">
        <f>IF(ISNUMBER(#REF!),#REF!,NA())</f>
        <v>#N/A</v>
      </c>
      <c r="E52" s="325">
        <f>XS_Designer!E53</f>
        <v>49</v>
      </c>
      <c r="F52" s="46" t="e">
        <f>IF(XS_Designer!F53&lt;&gt;"",XS_Designer!F53,NA())</f>
        <v>#N/A</v>
      </c>
      <c r="G52" s="46" t="e">
        <f>IF(XS_Designer!G53&lt;&gt;"",XS_Designer!G53,NA())</f>
        <v>#N/A</v>
      </c>
      <c r="L52">
        <f t="shared" si="0"/>
        <v>49</v>
      </c>
      <c r="M52" s="54" t="e">
        <f t="shared" si="1"/>
        <v>#N/A</v>
      </c>
      <c r="N52" s="54" t="e">
        <f t="shared" si="2"/>
        <v>#N/A</v>
      </c>
      <c r="O52" s="54"/>
      <c r="P52" s="2" t="e">
        <f t="shared" si="21"/>
        <v>#N/A</v>
      </c>
      <c r="Q52" s="2" t="e">
        <f t="shared" si="3"/>
        <v>#N/A</v>
      </c>
      <c r="R52" s="2" t="e">
        <f t="shared" si="4"/>
        <v>#N/A</v>
      </c>
      <c r="T52" s="2" t="e">
        <f t="shared" si="5"/>
        <v>#N/A</v>
      </c>
      <c r="U52" s="128" t="e">
        <f>IF((SUMPRODUCT(COUNTIF($Q$4:$Q52,"INSERT"))=0),Q52,NA())</f>
        <v>#N/A</v>
      </c>
      <c r="V52" s="128" t="e">
        <f>IF((SUMPRODUCT(COUNTIF($Q$4:$Q52,"INSERT"))=0),R52,NA())</f>
        <v>#N/A</v>
      </c>
      <c r="W52" s="27" t="e">
        <f t="shared" si="6"/>
        <v>#N/A</v>
      </c>
      <c r="X52" s="27" t="e">
        <f t="shared" si="7"/>
        <v>#N/A</v>
      </c>
      <c r="Y52" s="196">
        <f t="shared" si="8"/>
        <v>0</v>
      </c>
      <c r="AA52" s="2" t="e">
        <f t="shared" si="9"/>
        <v>#N/A</v>
      </c>
      <c r="AB52" s="128" t="e">
        <f t="shared" si="10"/>
        <v>#N/A</v>
      </c>
      <c r="AC52" s="128" t="e">
        <f t="shared" si="10"/>
        <v>#N/A</v>
      </c>
      <c r="AD52" s="27" t="e">
        <f t="shared" si="11"/>
        <v>#N/A</v>
      </c>
      <c r="AE52" s="27" t="e">
        <f t="shared" si="12"/>
        <v>#N/A</v>
      </c>
      <c r="AF52" s="196">
        <f t="shared" si="13"/>
        <v>0</v>
      </c>
      <c r="AH52" s="2">
        <v>49</v>
      </c>
      <c r="AI52" s="2" t="e">
        <f t="shared" si="14"/>
        <v>#N/A</v>
      </c>
      <c r="AJ52" s="2" t="e">
        <f t="shared" si="15"/>
        <v>#N/A</v>
      </c>
      <c r="AL52" s="2" t="e">
        <f t="shared" si="16"/>
        <v>#N/A</v>
      </c>
      <c r="AM52" s="2" t="e">
        <f t="shared" si="17"/>
        <v>#N/A</v>
      </c>
      <c r="AN52" s="2" t="e">
        <f t="shared" si="17"/>
        <v>#N/A</v>
      </c>
      <c r="AP52" s="2">
        <v>49</v>
      </c>
      <c r="AQ52" t="e">
        <f t="shared" si="18"/>
        <v>#N/A</v>
      </c>
      <c r="AR52" t="e">
        <f t="shared" si="19"/>
        <v>#N/A</v>
      </c>
      <c r="AT52" s="2">
        <v>49</v>
      </c>
      <c r="AU52" t="str">
        <f t="shared" si="20"/>
        <v>Station (ft)</v>
      </c>
      <c r="AV52" t="str">
        <f t="shared" si="20"/>
        <v>Elevation (ft)</v>
      </c>
    </row>
    <row r="53" spans="1:48">
      <c r="A53" s="22" t="e">
        <f>#REF!</f>
        <v>#REF!</v>
      </c>
      <c r="B53" s="22" t="e">
        <f>IF(ISNUMBER(#REF!),#REF!,NA())</f>
        <v>#N/A</v>
      </c>
      <c r="C53" s="22" t="e">
        <f>IF(ISNUMBER(#REF!),#REF!,NA())</f>
        <v>#N/A</v>
      </c>
      <c r="E53" s="325">
        <f>XS_Designer!E54</f>
        <v>50</v>
      </c>
      <c r="F53" s="46" t="e">
        <f>IF(XS_Designer!F54&lt;&gt;"",XS_Designer!F54,NA())</f>
        <v>#N/A</v>
      </c>
      <c r="G53" s="46" t="e">
        <f>IF(XS_Designer!G54&lt;&gt;"",XS_Designer!G54,NA())</f>
        <v>#N/A</v>
      </c>
      <c r="J53" s="2" t="s">
        <v>756</v>
      </c>
      <c r="L53">
        <f t="shared" si="0"/>
        <v>50</v>
      </c>
      <c r="M53" s="54" t="e">
        <f t="shared" si="1"/>
        <v>#N/A</v>
      </c>
      <c r="N53" s="54" t="e">
        <f t="shared" si="2"/>
        <v>#N/A</v>
      </c>
      <c r="O53" s="54"/>
      <c r="P53" s="2" t="e">
        <f t="shared" si="21"/>
        <v>#N/A</v>
      </c>
      <c r="Q53" s="2" t="e">
        <f t="shared" si="3"/>
        <v>#N/A</v>
      </c>
      <c r="R53" s="2" t="e">
        <f t="shared" si="4"/>
        <v>#N/A</v>
      </c>
      <c r="T53" s="2" t="e">
        <f t="shared" si="5"/>
        <v>#N/A</v>
      </c>
      <c r="U53" s="128" t="e">
        <f>IF((SUMPRODUCT(COUNTIF($Q$4:$Q53,"INSERT"))=0),Q53,NA())</f>
        <v>#N/A</v>
      </c>
      <c r="V53" s="128" t="e">
        <f>IF((SUMPRODUCT(COUNTIF($Q$4:$Q53,"INSERT"))=0),R53,NA())</f>
        <v>#N/A</v>
      </c>
      <c r="W53" s="27" t="e">
        <f t="shared" si="6"/>
        <v>#N/A</v>
      </c>
      <c r="X53" s="27" t="e">
        <f t="shared" si="7"/>
        <v>#N/A</v>
      </c>
      <c r="Y53" s="196">
        <f t="shared" si="8"/>
        <v>0</v>
      </c>
      <c r="AA53" s="2" t="e">
        <f t="shared" si="9"/>
        <v>#N/A</v>
      </c>
      <c r="AB53" s="128" t="e">
        <f t="shared" si="10"/>
        <v>#N/A</v>
      </c>
      <c r="AC53" s="128" t="e">
        <f t="shared" si="10"/>
        <v>#N/A</v>
      </c>
      <c r="AD53" s="27" t="e">
        <f t="shared" si="11"/>
        <v>#N/A</v>
      </c>
      <c r="AE53" s="27" t="e">
        <f t="shared" si="12"/>
        <v>#N/A</v>
      </c>
      <c r="AF53" s="196">
        <f t="shared" si="13"/>
        <v>0</v>
      </c>
      <c r="AH53" s="2">
        <v>50</v>
      </c>
      <c r="AI53" s="2" t="e">
        <f t="shared" si="14"/>
        <v>#N/A</v>
      </c>
      <c r="AJ53" s="2" t="e">
        <f t="shared" si="15"/>
        <v>#N/A</v>
      </c>
      <c r="AL53" s="2" t="e">
        <f t="shared" si="16"/>
        <v>#N/A</v>
      </c>
      <c r="AM53" s="2" t="e">
        <f t="shared" si="17"/>
        <v>#N/A</v>
      </c>
      <c r="AN53" s="2" t="e">
        <f t="shared" si="17"/>
        <v>#N/A</v>
      </c>
      <c r="AP53" s="2">
        <v>50</v>
      </c>
      <c r="AQ53" t="e">
        <f t="shared" si="18"/>
        <v>#N/A</v>
      </c>
      <c r="AR53" t="e">
        <f t="shared" si="19"/>
        <v>#N/A</v>
      </c>
      <c r="AT53" s="2">
        <v>50</v>
      </c>
      <c r="AU53" t="str">
        <f t="shared" si="20"/>
        <v>Station (ft)</v>
      </c>
      <c r="AV53" t="str">
        <f t="shared" si="20"/>
        <v>Elevation (ft)</v>
      </c>
    </row>
    <row r="54" spans="1:48">
      <c r="A54" s="22" t="e">
        <f>#REF!</f>
        <v>#REF!</v>
      </c>
      <c r="B54" s="22" t="e">
        <f>IF(ISNUMBER(#REF!),#REF!,NA())</f>
        <v>#N/A</v>
      </c>
      <c r="C54" s="22" t="e">
        <f>IF(ISNUMBER(#REF!),#REF!,NA())</f>
        <v>#N/A</v>
      </c>
      <c r="E54" s="325">
        <f>XS_Designer!E55</f>
        <v>51</v>
      </c>
      <c r="F54" s="46" t="e">
        <f>IF(XS_Designer!F55&lt;&gt;"",XS_Designer!F55,NA())</f>
        <v>#N/A</v>
      </c>
      <c r="G54" s="46" t="e">
        <f>IF(XS_Designer!G55&lt;&gt;"",XS_Designer!G55,NA())</f>
        <v>#N/A</v>
      </c>
      <c r="J54" s="27">
        <f>J15</f>
        <v>0</v>
      </c>
      <c r="L54">
        <f t="shared" si="0"/>
        <v>51</v>
      </c>
      <c r="M54" s="54" t="e">
        <f t="shared" si="1"/>
        <v>#N/A</v>
      </c>
      <c r="N54" s="54" t="e">
        <f t="shared" si="2"/>
        <v>#N/A</v>
      </c>
      <c r="O54" s="54"/>
      <c r="P54" s="2" t="e">
        <f t="shared" si="21"/>
        <v>#N/A</v>
      </c>
      <c r="Q54" s="2" t="e">
        <f t="shared" si="3"/>
        <v>#N/A</v>
      </c>
      <c r="R54" s="2" t="e">
        <f t="shared" si="4"/>
        <v>#N/A</v>
      </c>
      <c r="T54" s="2" t="e">
        <f t="shared" si="5"/>
        <v>#N/A</v>
      </c>
      <c r="U54" s="128" t="e">
        <f>IF((SUMPRODUCT(COUNTIF($Q$4:$Q54,"INSERT"))=0),Q54,NA())</f>
        <v>#N/A</v>
      </c>
      <c r="V54" s="128" t="e">
        <f>IF((SUMPRODUCT(COUNTIF($Q$4:$Q54,"INSERT"))=0),R54,NA())</f>
        <v>#N/A</v>
      </c>
      <c r="W54" s="27" t="e">
        <f t="shared" si="6"/>
        <v>#N/A</v>
      </c>
      <c r="X54" s="27" t="e">
        <f t="shared" si="7"/>
        <v>#N/A</v>
      </c>
      <c r="Y54" s="196">
        <f t="shared" si="8"/>
        <v>0</v>
      </c>
      <c r="AA54" s="2" t="e">
        <f t="shared" si="9"/>
        <v>#N/A</v>
      </c>
      <c r="AB54" s="128" t="e">
        <f t="shared" si="10"/>
        <v>#N/A</v>
      </c>
      <c r="AC54" s="128" t="e">
        <f t="shared" si="10"/>
        <v>#N/A</v>
      </c>
      <c r="AD54" s="27" t="e">
        <f t="shared" si="11"/>
        <v>#N/A</v>
      </c>
      <c r="AE54" s="27" t="e">
        <f t="shared" si="12"/>
        <v>#N/A</v>
      </c>
      <c r="AF54" s="196">
        <f t="shared" si="13"/>
        <v>0</v>
      </c>
      <c r="AH54" s="2">
        <v>51</v>
      </c>
      <c r="AI54" s="2" t="e">
        <f t="shared" si="14"/>
        <v>#N/A</v>
      </c>
      <c r="AJ54" s="2" t="e">
        <f t="shared" si="15"/>
        <v>#N/A</v>
      </c>
      <c r="AL54" s="2" t="e">
        <f t="shared" si="16"/>
        <v>#N/A</v>
      </c>
      <c r="AM54" s="2" t="e">
        <f t="shared" si="17"/>
        <v>#N/A</v>
      </c>
      <c r="AN54" s="2" t="e">
        <f t="shared" si="17"/>
        <v>#N/A</v>
      </c>
      <c r="AP54" s="2">
        <v>51</v>
      </c>
      <c r="AQ54" t="e">
        <f t="shared" si="18"/>
        <v>#N/A</v>
      </c>
      <c r="AR54" t="e">
        <f t="shared" si="19"/>
        <v>#N/A</v>
      </c>
      <c r="AT54" s="2">
        <v>51</v>
      </c>
      <c r="AU54" t="str">
        <f t="shared" si="20"/>
        <v>Station (ft)</v>
      </c>
      <c r="AV54" t="str">
        <f t="shared" si="20"/>
        <v>Elevation (ft)</v>
      </c>
    </row>
    <row r="55" spans="1:48">
      <c r="A55" s="22" t="e">
        <f>#REF!</f>
        <v>#REF!</v>
      </c>
      <c r="B55" s="22" t="e">
        <f>IF(ISNUMBER(#REF!),#REF!,NA())</f>
        <v>#N/A</v>
      </c>
      <c r="C55" s="22" t="e">
        <f>IF(ISNUMBER(#REF!),#REF!,NA())</f>
        <v>#N/A</v>
      </c>
      <c r="E55" s="325">
        <f>XS_Designer!E56</f>
        <v>52</v>
      </c>
      <c r="F55" s="46" t="e">
        <f>IF(XS_Designer!F56&lt;&gt;"",XS_Designer!F56,NA())</f>
        <v>#N/A</v>
      </c>
      <c r="G55" s="46" t="e">
        <f>IF(XS_Designer!G56&lt;&gt;"",XS_Designer!G56,NA())</f>
        <v>#N/A</v>
      </c>
      <c r="J55" s="2" t="s">
        <v>385</v>
      </c>
      <c r="L55">
        <f t="shared" si="0"/>
        <v>52</v>
      </c>
      <c r="M55" s="54" t="e">
        <f t="shared" si="1"/>
        <v>#N/A</v>
      </c>
      <c r="N55" s="54" t="e">
        <f t="shared" si="2"/>
        <v>#N/A</v>
      </c>
      <c r="O55" s="54"/>
      <c r="P55" s="2" t="e">
        <f t="shared" si="21"/>
        <v>#N/A</v>
      </c>
      <c r="Q55" s="2" t="e">
        <f t="shared" si="3"/>
        <v>#N/A</v>
      </c>
      <c r="R55" s="2" t="e">
        <f t="shared" si="4"/>
        <v>#N/A</v>
      </c>
      <c r="T55" s="2" t="e">
        <f t="shared" si="5"/>
        <v>#N/A</v>
      </c>
      <c r="U55" s="128" t="e">
        <f>IF((SUMPRODUCT(COUNTIF($Q$4:$Q55,"INSERT"))=0),Q55,NA())</f>
        <v>#N/A</v>
      </c>
      <c r="V55" s="128" t="e">
        <f>IF((SUMPRODUCT(COUNTIF($Q$4:$Q55,"INSERT"))=0),R55,NA())</f>
        <v>#N/A</v>
      </c>
      <c r="W55" s="27" t="e">
        <f t="shared" si="6"/>
        <v>#N/A</v>
      </c>
      <c r="X55" s="27" t="e">
        <f t="shared" si="7"/>
        <v>#N/A</v>
      </c>
      <c r="Y55" s="196">
        <f t="shared" si="8"/>
        <v>0</v>
      </c>
      <c r="AA55" s="2" t="e">
        <f t="shared" si="9"/>
        <v>#N/A</v>
      </c>
      <c r="AB55" s="128" t="e">
        <f t="shared" si="10"/>
        <v>#N/A</v>
      </c>
      <c r="AC55" s="128" t="e">
        <f t="shared" si="10"/>
        <v>#N/A</v>
      </c>
      <c r="AD55" s="27" t="e">
        <f t="shared" si="11"/>
        <v>#N/A</v>
      </c>
      <c r="AE55" s="27" t="e">
        <f t="shared" si="12"/>
        <v>#N/A</v>
      </c>
      <c r="AF55" s="196">
        <f t="shared" si="13"/>
        <v>0</v>
      </c>
      <c r="AH55" s="2">
        <v>52</v>
      </c>
      <c r="AI55" s="2" t="e">
        <f t="shared" si="14"/>
        <v>#N/A</v>
      </c>
      <c r="AJ55" s="2" t="e">
        <f t="shared" si="15"/>
        <v>#N/A</v>
      </c>
      <c r="AL55" s="2" t="e">
        <f t="shared" si="16"/>
        <v>#N/A</v>
      </c>
      <c r="AM55" s="2" t="e">
        <f t="shared" si="17"/>
        <v>#N/A</v>
      </c>
      <c r="AN55" s="2" t="e">
        <f t="shared" si="17"/>
        <v>#N/A</v>
      </c>
      <c r="AP55" s="2">
        <v>52</v>
      </c>
      <c r="AQ55" t="e">
        <f t="shared" si="18"/>
        <v>#N/A</v>
      </c>
      <c r="AR55" t="e">
        <f t="shared" si="19"/>
        <v>#N/A</v>
      </c>
      <c r="AT55" s="2">
        <v>52</v>
      </c>
      <c r="AU55" t="str">
        <f t="shared" si="20"/>
        <v>Station (ft)</v>
      </c>
      <c r="AV55" t="str">
        <f t="shared" si="20"/>
        <v>Elevation (ft)</v>
      </c>
    </row>
    <row r="56" spans="1:48">
      <c r="A56" s="22" t="e">
        <f>#REF!</f>
        <v>#REF!</v>
      </c>
      <c r="B56" s="22" t="e">
        <f>IF(ISNUMBER(#REF!),#REF!,NA())</f>
        <v>#N/A</v>
      </c>
      <c r="C56" s="22" t="e">
        <f>IF(ISNUMBER(#REF!),#REF!,NA())</f>
        <v>#N/A</v>
      </c>
      <c r="E56" s="325">
        <f>XS_Designer!E57</f>
        <v>53</v>
      </c>
      <c r="F56" s="46" t="e">
        <f>IF(XS_Designer!F57&lt;&gt;"",XS_Designer!F57,NA())</f>
        <v>#N/A</v>
      </c>
      <c r="G56" s="46" t="e">
        <f>IF(XS_Designer!G57&lt;&gt;"",XS_Designer!G57,NA())</f>
        <v>#N/A</v>
      </c>
      <c r="J56" s="2" t="e">
        <f>VLOOKUP(J54,M4:N103,2,FALSE)</f>
        <v>#N/A</v>
      </c>
      <c r="L56">
        <f t="shared" si="0"/>
        <v>53</v>
      </c>
      <c r="M56" s="54" t="e">
        <f t="shared" si="1"/>
        <v>#N/A</v>
      </c>
      <c r="N56" s="54" t="e">
        <f t="shared" si="2"/>
        <v>#N/A</v>
      </c>
      <c r="O56" s="54"/>
      <c r="P56" s="2" t="e">
        <f t="shared" si="21"/>
        <v>#N/A</v>
      </c>
      <c r="Q56" s="2" t="e">
        <f t="shared" si="3"/>
        <v>#N/A</v>
      </c>
      <c r="R56" s="2" t="e">
        <f t="shared" si="4"/>
        <v>#N/A</v>
      </c>
      <c r="T56" s="2" t="e">
        <f t="shared" si="5"/>
        <v>#N/A</v>
      </c>
      <c r="U56" s="128" t="e">
        <f>IF((SUMPRODUCT(COUNTIF($Q$4:$Q56,"INSERT"))=0),Q56,NA())</f>
        <v>#N/A</v>
      </c>
      <c r="V56" s="128" t="e">
        <f>IF((SUMPRODUCT(COUNTIF($Q$4:$Q56,"INSERT"))=0),R56,NA())</f>
        <v>#N/A</v>
      </c>
      <c r="W56" s="27" t="e">
        <f t="shared" si="6"/>
        <v>#N/A</v>
      </c>
      <c r="X56" s="27" t="e">
        <f t="shared" si="7"/>
        <v>#N/A</v>
      </c>
      <c r="Y56" s="196">
        <f t="shared" si="8"/>
        <v>0</v>
      </c>
      <c r="AA56" s="2" t="e">
        <f t="shared" si="9"/>
        <v>#N/A</v>
      </c>
      <c r="AB56" s="128" t="e">
        <f t="shared" si="10"/>
        <v>#N/A</v>
      </c>
      <c r="AC56" s="128" t="e">
        <f t="shared" si="10"/>
        <v>#N/A</v>
      </c>
      <c r="AD56" s="27" t="e">
        <f t="shared" si="11"/>
        <v>#N/A</v>
      </c>
      <c r="AE56" s="27" t="e">
        <f t="shared" si="12"/>
        <v>#N/A</v>
      </c>
      <c r="AF56" s="196">
        <f t="shared" si="13"/>
        <v>0</v>
      </c>
      <c r="AH56" s="2">
        <v>53</v>
      </c>
      <c r="AI56" s="2" t="e">
        <f t="shared" si="14"/>
        <v>#N/A</v>
      </c>
      <c r="AJ56" s="2" t="e">
        <f t="shared" si="15"/>
        <v>#N/A</v>
      </c>
      <c r="AL56" s="2" t="e">
        <f t="shared" si="16"/>
        <v>#N/A</v>
      </c>
      <c r="AM56" s="2" t="e">
        <f t="shared" si="17"/>
        <v>#N/A</v>
      </c>
      <c r="AN56" s="2" t="e">
        <f t="shared" si="17"/>
        <v>#N/A</v>
      </c>
      <c r="AP56" s="2">
        <v>53</v>
      </c>
      <c r="AQ56" t="e">
        <f t="shared" si="18"/>
        <v>#N/A</v>
      </c>
      <c r="AR56" t="e">
        <f t="shared" si="19"/>
        <v>#N/A</v>
      </c>
      <c r="AT56" s="2">
        <v>53</v>
      </c>
      <c r="AU56" t="str">
        <f t="shared" si="20"/>
        <v>Station (ft)</v>
      </c>
      <c r="AV56" t="str">
        <f t="shared" si="20"/>
        <v>Elevation (ft)</v>
      </c>
    </row>
    <row r="57" spans="1:48">
      <c r="A57" s="22" t="e">
        <f>#REF!</f>
        <v>#REF!</v>
      </c>
      <c r="B57" s="22" t="e">
        <f>IF(ISNUMBER(#REF!),#REF!,NA())</f>
        <v>#N/A</v>
      </c>
      <c r="C57" s="22" t="e">
        <f>IF(ISNUMBER(#REF!),#REF!,NA())</f>
        <v>#N/A</v>
      </c>
      <c r="E57" s="325">
        <f>XS_Designer!E58</f>
        <v>54</v>
      </c>
      <c r="F57" s="46" t="e">
        <f>IF(XS_Designer!F58&lt;&gt;"",XS_Designer!F58,NA())</f>
        <v>#N/A</v>
      </c>
      <c r="G57" s="46" t="e">
        <f>IF(XS_Designer!G58&lt;&gt;"",XS_Designer!G58,NA())</f>
        <v>#N/A</v>
      </c>
      <c r="L57">
        <f t="shared" si="0"/>
        <v>54</v>
      </c>
      <c r="M57" s="54" t="e">
        <f t="shared" si="1"/>
        <v>#N/A</v>
      </c>
      <c r="N57" s="54" t="e">
        <f t="shared" si="2"/>
        <v>#N/A</v>
      </c>
      <c r="O57" s="54"/>
      <c r="P57" s="2" t="e">
        <f t="shared" si="21"/>
        <v>#N/A</v>
      </c>
      <c r="Q57" s="2" t="e">
        <f t="shared" si="3"/>
        <v>#N/A</v>
      </c>
      <c r="R57" s="2" t="e">
        <f t="shared" si="4"/>
        <v>#N/A</v>
      </c>
      <c r="T57" s="2" t="e">
        <f t="shared" si="5"/>
        <v>#N/A</v>
      </c>
      <c r="U57" s="128" t="e">
        <f>IF((SUMPRODUCT(COUNTIF($Q$4:$Q57,"INSERT"))=0),Q57,NA())</f>
        <v>#N/A</v>
      </c>
      <c r="V57" s="128" t="e">
        <f>IF((SUMPRODUCT(COUNTIF($Q$4:$Q57,"INSERT"))=0),R57,NA())</f>
        <v>#N/A</v>
      </c>
      <c r="W57" s="27" t="e">
        <f t="shared" si="6"/>
        <v>#N/A</v>
      </c>
      <c r="X57" s="27" t="e">
        <f t="shared" si="7"/>
        <v>#N/A</v>
      </c>
      <c r="Y57" s="196">
        <f t="shared" si="8"/>
        <v>0</v>
      </c>
      <c r="AA57" s="2" t="e">
        <f t="shared" si="9"/>
        <v>#N/A</v>
      </c>
      <c r="AB57" s="128" t="e">
        <f t="shared" si="10"/>
        <v>#N/A</v>
      </c>
      <c r="AC57" s="128" t="e">
        <f t="shared" si="10"/>
        <v>#N/A</v>
      </c>
      <c r="AD57" s="27" t="e">
        <f t="shared" si="11"/>
        <v>#N/A</v>
      </c>
      <c r="AE57" s="27" t="e">
        <f t="shared" si="12"/>
        <v>#N/A</v>
      </c>
      <c r="AF57" s="196">
        <f t="shared" si="13"/>
        <v>0</v>
      </c>
      <c r="AH57" s="2">
        <v>54</v>
      </c>
      <c r="AI57" s="2" t="e">
        <f t="shared" si="14"/>
        <v>#N/A</v>
      </c>
      <c r="AJ57" s="2" t="e">
        <f t="shared" si="15"/>
        <v>#N/A</v>
      </c>
      <c r="AL57" s="2" t="e">
        <f t="shared" si="16"/>
        <v>#N/A</v>
      </c>
      <c r="AM57" s="2" t="e">
        <f t="shared" si="17"/>
        <v>#N/A</v>
      </c>
      <c r="AN57" s="2" t="e">
        <f t="shared" si="17"/>
        <v>#N/A</v>
      </c>
      <c r="AP57" s="2">
        <v>54</v>
      </c>
      <c r="AQ57" t="e">
        <f t="shared" si="18"/>
        <v>#N/A</v>
      </c>
      <c r="AR57" t="e">
        <f t="shared" si="19"/>
        <v>#N/A</v>
      </c>
      <c r="AT57" s="2">
        <v>54</v>
      </c>
      <c r="AU57" t="str">
        <f t="shared" si="20"/>
        <v>Station (ft)</v>
      </c>
      <c r="AV57" t="str">
        <f t="shared" si="20"/>
        <v>Elevation (ft)</v>
      </c>
    </row>
    <row r="58" spans="1:48">
      <c r="A58" s="22" t="e">
        <f>#REF!</f>
        <v>#REF!</v>
      </c>
      <c r="B58" s="22" t="e">
        <f>IF(ISNUMBER(#REF!),#REF!,NA())</f>
        <v>#N/A</v>
      </c>
      <c r="C58" s="22" t="e">
        <f>IF(ISNUMBER(#REF!),#REF!,NA())</f>
        <v>#N/A</v>
      </c>
      <c r="E58" s="325">
        <f>XS_Designer!E59</f>
        <v>55</v>
      </c>
      <c r="F58" s="46" t="e">
        <f>IF(XS_Designer!F59&lt;&gt;"",XS_Designer!F59,NA())</f>
        <v>#N/A</v>
      </c>
      <c r="G58" s="46" t="e">
        <f>IF(XS_Designer!G59&lt;&gt;"",XS_Designer!G59,NA())</f>
        <v>#N/A</v>
      </c>
      <c r="I58" s="2" t="s">
        <v>634</v>
      </c>
      <c r="J58" s="2" t="s">
        <v>936</v>
      </c>
      <c r="L58">
        <f t="shared" si="0"/>
        <v>55</v>
      </c>
      <c r="M58" s="54" t="e">
        <f t="shared" si="1"/>
        <v>#N/A</v>
      </c>
      <c r="N58" s="54" t="e">
        <f t="shared" si="2"/>
        <v>#N/A</v>
      </c>
      <c r="O58" s="54"/>
      <c r="P58" s="2" t="e">
        <f t="shared" si="21"/>
        <v>#N/A</v>
      </c>
      <c r="Q58" s="2" t="e">
        <f t="shared" si="3"/>
        <v>#N/A</v>
      </c>
      <c r="R58" s="2" t="e">
        <f t="shared" si="4"/>
        <v>#N/A</v>
      </c>
      <c r="T58" s="2" t="e">
        <f t="shared" si="5"/>
        <v>#N/A</v>
      </c>
      <c r="U58" s="128" t="e">
        <f>IF((SUMPRODUCT(COUNTIF($Q$4:$Q58,"INSERT"))=0),Q58,NA())</f>
        <v>#N/A</v>
      </c>
      <c r="V58" s="128" t="e">
        <f>IF((SUMPRODUCT(COUNTIF($Q$4:$Q58,"INSERT"))=0),R58,NA())</f>
        <v>#N/A</v>
      </c>
      <c r="W58" s="27" t="e">
        <f t="shared" si="6"/>
        <v>#N/A</v>
      </c>
      <c r="X58" s="27" t="e">
        <f t="shared" si="7"/>
        <v>#N/A</v>
      </c>
      <c r="Y58" s="196">
        <f t="shared" si="8"/>
        <v>0</v>
      </c>
      <c r="AA58" s="2" t="e">
        <f t="shared" si="9"/>
        <v>#N/A</v>
      </c>
      <c r="AB58" s="128" t="e">
        <f t="shared" si="10"/>
        <v>#N/A</v>
      </c>
      <c r="AC58" s="128" t="e">
        <f t="shared" si="10"/>
        <v>#N/A</v>
      </c>
      <c r="AD58" s="27" t="e">
        <f t="shared" si="11"/>
        <v>#N/A</v>
      </c>
      <c r="AE58" s="27" t="e">
        <f t="shared" si="12"/>
        <v>#N/A</v>
      </c>
      <c r="AF58" s="196">
        <f t="shared" si="13"/>
        <v>0</v>
      </c>
      <c r="AH58" s="2">
        <v>55</v>
      </c>
      <c r="AI58" s="2" t="e">
        <f t="shared" si="14"/>
        <v>#N/A</v>
      </c>
      <c r="AJ58" s="2" t="e">
        <f t="shared" si="15"/>
        <v>#N/A</v>
      </c>
      <c r="AL58" s="2" t="e">
        <f t="shared" si="16"/>
        <v>#N/A</v>
      </c>
      <c r="AM58" s="2" t="e">
        <f t="shared" si="17"/>
        <v>#N/A</v>
      </c>
      <c r="AN58" s="2" t="e">
        <f t="shared" si="17"/>
        <v>#N/A</v>
      </c>
      <c r="AP58" s="2">
        <v>55</v>
      </c>
      <c r="AQ58" t="e">
        <f t="shared" si="18"/>
        <v>#N/A</v>
      </c>
      <c r="AR58" t="e">
        <f t="shared" si="19"/>
        <v>#N/A</v>
      </c>
      <c r="AT58" s="2">
        <v>55</v>
      </c>
      <c r="AU58" t="str">
        <f t="shared" si="20"/>
        <v>Station (ft)</v>
      </c>
      <c r="AV58" t="str">
        <f t="shared" si="20"/>
        <v>Elevation (ft)</v>
      </c>
    </row>
    <row r="59" spans="1:48">
      <c r="A59" s="22" t="e">
        <f>#REF!</f>
        <v>#REF!</v>
      </c>
      <c r="B59" s="22" t="e">
        <f>IF(ISNUMBER(#REF!),#REF!,NA())</f>
        <v>#N/A</v>
      </c>
      <c r="C59" s="22" t="e">
        <f>IF(ISNUMBER(#REF!),#REF!,NA())</f>
        <v>#N/A</v>
      </c>
      <c r="E59" s="325">
        <f>XS_Designer!E60</f>
        <v>56</v>
      </c>
      <c r="F59" s="46" t="e">
        <f>IF(XS_Designer!F60&lt;&gt;"",XS_Designer!F60,NA())</f>
        <v>#N/A</v>
      </c>
      <c r="G59" s="46" t="e">
        <f>IF(XS_Designer!G60&lt;&gt;"",XS_Designer!G60,NA())</f>
        <v>#N/A</v>
      </c>
      <c r="I59" s="2" t="e">
        <f>VLOOKUP(SUM(Y4:Y103),T4:V103,2,FALSE)</f>
        <v>#N/A</v>
      </c>
      <c r="J59" s="2" t="e">
        <f>VLOOKUP(SUM(Y4:Y103),T4:V103,3,FALSE)</f>
        <v>#N/A</v>
      </c>
      <c r="L59">
        <f t="shared" si="0"/>
        <v>56</v>
      </c>
      <c r="M59" s="54" t="e">
        <f t="shared" si="1"/>
        <v>#N/A</v>
      </c>
      <c r="N59" s="54" t="e">
        <f t="shared" si="2"/>
        <v>#N/A</v>
      </c>
      <c r="O59" s="54"/>
      <c r="P59" s="2" t="e">
        <f t="shared" si="21"/>
        <v>#N/A</v>
      </c>
      <c r="Q59" s="2" t="e">
        <f t="shared" si="3"/>
        <v>#N/A</v>
      </c>
      <c r="R59" s="2" t="e">
        <f t="shared" si="4"/>
        <v>#N/A</v>
      </c>
      <c r="T59" s="2" t="e">
        <f t="shared" si="5"/>
        <v>#N/A</v>
      </c>
      <c r="U59" s="128" t="e">
        <f>IF((SUMPRODUCT(COUNTIF($Q$4:$Q59,"INSERT"))=0),Q59,NA())</f>
        <v>#N/A</v>
      </c>
      <c r="V59" s="128" t="e">
        <f>IF((SUMPRODUCT(COUNTIF($Q$4:$Q59,"INSERT"))=0),R59,NA())</f>
        <v>#N/A</v>
      </c>
      <c r="W59" s="27" t="e">
        <f t="shared" si="6"/>
        <v>#N/A</v>
      </c>
      <c r="X59" s="27" t="e">
        <f t="shared" si="7"/>
        <v>#N/A</v>
      </c>
      <c r="Y59" s="196">
        <f t="shared" si="8"/>
        <v>0</v>
      </c>
      <c r="AA59" s="2" t="e">
        <f t="shared" si="9"/>
        <v>#N/A</v>
      </c>
      <c r="AB59" s="128" t="e">
        <f t="shared" si="10"/>
        <v>#N/A</v>
      </c>
      <c r="AC59" s="128" t="e">
        <f t="shared" si="10"/>
        <v>#N/A</v>
      </c>
      <c r="AD59" s="27" t="e">
        <f t="shared" si="11"/>
        <v>#N/A</v>
      </c>
      <c r="AE59" s="27" t="e">
        <f t="shared" si="12"/>
        <v>#N/A</v>
      </c>
      <c r="AF59" s="196">
        <f t="shared" si="13"/>
        <v>0</v>
      </c>
      <c r="AH59" s="2">
        <v>56</v>
      </c>
      <c r="AI59" s="2" t="e">
        <f t="shared" si="14"/>
        <v>#N/A</v>
      </c>
      <c r="AJ59" s="2" t="e">
        <f t="shared" si="15"/>
        <v>#N/A</v>
      </c>
      <c r="AL59" s="2" t="e">
        <f t="shared" si="16"/>
        <v>#N/A</v>
      </c>
      <c r="AM59" s="2" t="e">
        <f t="shared" si="17"/>
        <v>#N/A</v>
      </c>
      <c r="AN59" s="2" t="e">
        <f t="shared" si="17"/>
        <v>#N/A</v>
      </c>
      <c r="AP59" s="2">
        <v>56</v>
      </c>
      <c r="AQ59" t="e">
        <f t="shared" si="18"/>
        <v>#N/A</v>
      </c>
      <c r="AR59" t="e">
        <f t="shared" si="19"/>
        <v>#N/A</v>
      </c>
      <c r="AT59" s="2">
        <v>56</v>
      </c>
      <c r="AU59" t="str">
        <f t="shared" si="20"/>
        <v>Station (ft)</v>
      </c>
      <c r="AV59" t="str">
        <f t="shared" si="20"/>
        <v>Elevation (ft)</v>
      </c>
    </row>
    <row r="60" spans="1:48">
      <c r="A60" s="22" t="e">
        <f>#REF!</f>
        <v>#REF!</v>
      </c>
      <c r="B60" s="22" t="e">
        <f>IF(ISNUMBER(#REF!),#REF!,NA())</f>
        <v>#N/A</v>
      </c>
      <c r="C60" s="22" t="e">
        <f>IF(ISNUMBER(#REF!),#REF!,NA())</f>
        <v>#N/A</v>
      </c>
      <c r="E60" s="325">
        <f>XS_Designer!E61</f>
        <v>57</v>
      </c>
      <c r="F60" s="46" t="e">
        <f>IF(XS_Designer!F61&lt;&gt;"",XS_Designer!F61,NA())</f>
        <v>#N/A</v>
      </c>
      <c r="G60" s="46" t="e">
        <f>IF(XS_Designer!G61&lt;&gt;"",XS_Designer!G61,NA())</f>
        <v>#N/A</v>
      </c>
      <c r="I60" s="2" t="s">
        <v>757</v>
      </c>
      <c r="J60" s="2" t="s">
        <v>635</v>
      </c>
      <c r="L60">
        <f t="shared" si="0"/>
        <v>57</v>
      </c>
      <c r="M60" s="54" t="e">
        <f t="shared" si="1"/>
        <v>#N/A</v>
      </c>
      <c r="N60" s="54" t="e">
        <f t="shared" si="2"/>
        <v>#N/A</v>
      </c>
      <c r="O60" s="54"/>
      <c r="P60" s="2" t="e">
        <f t="shared" si="21"/>
        <v>#N/A</v>
      </c>
      <c r="Q60" s="2" t="e">
        <f t="shared" si="3"/>
        <v>#N/A</v>
      </c>
      <c r="R60" s="2" t="e">
        <f t="shared" si="4"/>
        <v>#N/A</v>
      </c>
      <c r="T60" s="2" t="e">
        <f t="shared" si="5"/>
        <v>#N/A</v>
      </c>
      <c r="U60" s="128" t="e">
        <f>IF((SUMPRODUCT(COUNTIF($Q$4:$Q60,"INSERT"))=0),Q60,NA())</f>
        <v>#N/A</v>
      </c>
      <c r="V60" s="128" t="e">
        <f>IF((SUMPRODUCT(COUNTIF($Q$4:$Q60,"INSERT"))=0),R60,NA())</f>
        <v>#N/A</v>
      </c>
      <c r="W60" s="27" t="e">
        <f t="shared" si="6"/>
        <v>#N/A</v>
      </c>
      <c r="X60" s="27" t="e">
        <f t="shared" si="7"/>
        <v>#N/A</v>
      </c>
      <c r="Y60" s="196">
        <f t="shared" si="8"/>
        <v>0</v>
      </c>
      <c r="AA60" s="2" t="e">
        <f t="shared" si="9"/>
        <v>#N/A</v>
      </c>
      <c r="AB60" s="128" t="e">
        <f t="shared" si="10"/>
        <v>#N/A</v>
      </c>
      <c r="AC60" s="128" t="e">
        <f t="shared" si="10"/>
        <v>#N/A</v>
      </c>
      <c r="AD60" s="27" t="e">
        <f t="shared" si="11"/>
        <v>#N/A</v>
      </c>
      <c r="AE60" s="27" t="e">
        <f t="shared" si="12"/>
        <v>#N/A</v>
      </c>
      <c r="AF60" s="196">
        <f t="shared" si="13"/>
        <v>0</v>
      </c>
      <c r="AH60" s="2">
        <v>57</v>
      </c>
      <c r="AI60" s="2" t="e">
        <f t="shared" si="14"/>
        <v>#N/A</v>
      </c>
      <c r="AJ60" s="2" t="e">
        <f t="shared" si="15"/>
        <v>#N/A</v>
      </c>
      <c r="AL60" s="2" t="e">
        <f t="shared" si="16"/>
        <v>#N/A</v>
      </c>
      <c r="AM60" s="2" t="e">
        <f t="shared" si="17"/>
        <v>#N/A</v>
      </c>
      <c r="AN60" s="2" t="e">
        <f t="shared" si="17"/>
        <v>#N/A</v>
      </c>
      <c r="AP60" s="2">
        <v>57</v>
      </c>
      <c r="AQ60" t="e">
        <f t="shared" si="18"/>
        <v>#N/A</v>
      </c>
      <c r="AR60" t="e">
        <f t="shared" si="19"/>
        <v>#N/A</v>
      </c>
      <c r="AT60" s="2">
        <v>57</v>
      </c>
      <c r="AU60" t="str">
        <f t="shared" si="20"/>
        <v>Station (ft)</v>
      </c>
      <c r="AV60" t="str">
        <f t="shared" si="20"/>
        <v>Elevation (ft)</v>
      </c>
    </row>
    <row r="61" spans="1:48">
      <c r="A61" s="22" t="e">
        <f>#REF!</f>
        <v>#REF!</v>
      </c>
      <c r="B61" s="22" t="e">
        <f>IF(ISNUMBER(#REF!),#REF!,NA())</f>
        <v>#N/A</v>
      </c>
      <c r="C61" s="22" t="e">
        <f>IF(ISNUMBER(#REF!),#REF!,NA())</f>
        <v>#N/A</v>
      </c>
      <c r="E61" s="325">
        <f>XS_Designer!E62</f>
        <v>58</v>
      </c>
      <c r="F61" s="46" t="e">
        <f>IF(XS_Designer!F62&lt;&gt;"",XS_Designer!F62,NA())</f>
        <v>#N/A</v>
      </c>
      <c r="G61" s="46" t="e">
        <f>IF(XS_Designer!G62&lt;&gt;"",XS_Designer!G62,NA())</f>
        <v>#N/A</v>
      </c>
      <c r="I61" s="2" t="e">
        <f>VLOOKUP(SUM(AF4:AF103),AA4:AC103,2,FALSE)</f>
        <v>#N/A</v>
      </c>
      <c r="J61" s="2" t="e">
        <f>VLOOKUP(SUM(AF4:AF103),AA4:AC103,3,FALSE)</f>
        <v>#N/A</v>
      </c>
      <c r="L61">
        <f t="shared" si="0"/>
        <v>58</v>
      </c>
      <c r="M61" s="54" t="e">
        <f t="shared" si="1"/>
        <v>#N/A</v>
      </c>
      <c r="N61" s="54" t="e">
        <f t="shared" si="2"/>
        <v>#N/A</v>
      </c>
      <c r="O61" s="54"/>
      <c r="P61" s="2" t="e">
        <f t="shared" si="21"/>
        <v>#N/A</v>
      </c>
      <c r="Q61" s="2" t="e">
        <f t="shared" si="3"/>
        <v>#N/A</v>
      </c>
      <c r="R61" s="2" t="e">
        <f t="shared" si="4"/>
        <v>#N/A</v>
      </c>
      <c r="T61" s="2" t="e">
        <f t="shared" si="5"/>
        <v>#N/A</v>
      </c>
      <c r="U61" s="128" t="e">
        <f>IF((SUMPRODUCT(COUNTIF($Q$4:$Q61,"INSERT"))=0),Q61,NA())</f>
        <v>#N/A</v>
      </c>
      <c r="V61" s="128" t="e">
        <f>IF((SUMPRODUCT(COUNTIF($Q$4:$Q61,"INSERT"))=0),R61,NA())</f>
        <v>#N/A</v>
      </c>
      <c r="W61" s="27" t="e">
        <f t="shared" si="6"/>
        <v>#N/A</v>
      </c>
      <c r="X61" s="27" t="e">
        <f t="shared" si="7"/>
        <v>#N/A</v>
      </c>
      <c r="Y61" s="196">
        <f t="shared" si="8"/>
        <v>0</v>
      </c>
      <c r="AA61" s="2" t="e">
        <f t="shared" si="9"/>
        <v>#N/A</v>
      </c>
      <c r="AB61" s="128" t="e">
        <f t="shared" si="10"/>
        <v>#N/A</v>
      </c>
      <c r="AC61" s="128" t="e">
        <f t="shared" si="10"/>
        <v>#N/A</v>
      </c>
      <c r="AD61" s="27" t="e">
        <f t="shared" si="11"/>
        <v>#N/A</v>
      </c>
      <c r="AE61" s="27" t="e">
        <f t="shared" si="12"/>
        <v>#N/A</v>
      </c>
      <c r="AF61" s="196">
        <f t="shared" si="13"/>
        <v>0</v>
      </c>
      <c r="AH61" s="2">
        <v>58</v>
      </c>
      <c r="AI61" s="2" t="e">
        <f t="shared" si="14"/>
        <v>#N/A</v>
      </c>
      <c r="AJ61" s="2" t="e">
        <f t="shared" si="15"/>
        <v>#N/A</v>
      </c>
      <c r="AL61" s="2" t="e">
        <f t="shared" si="16"/>
        <v>#N/A</v>
      </c>
      <c r="AM61" s="2" t="e">
        <f t="shared" si="17"/>
        <v>#N/A</v>
      </c>
      <c r="AN61" s="2" t="e">
        <f t="shared" si="17"/>
        <v>#N/A</v>
      </c>
      <c r="AP61" s="2">
        <v>58</v>
      </c>
      <c r="AQ61" t="e">
        <f t="shared" si="18"/>
        <v>#N/A</v>
      </c>
      <c r="AR61" t="e">
        <f t="shared" si="19"/>
        <v>#N/A</v>
      </c>
      <c r="AT61" s="2">
        <v>58</v>
      </c>
      <c r="AU61" t="str">
        <f t="shared" si="20"/>
        <v>Station (ft)</v>
      </c>
      <c r="AV61" t="str">
        <f t="shared" si="20"/>
        <v>Elevation (ft)</v>
      </c>
    </row>
    <row r="62" spans="1:48">
      <c r="A62" s="22" t="e">
        <f>#REF!</f>
        <v>#REF!</v>
      </c>
      <c r="B62" s="22" t="e">
        <f>IF(ISNUMBER(#REF!),#REF!,NA())</f>
        <v>#N/A</v>
      </c>
      <c r="C62" s="22" t="e">
        <f>IF(ISNUMBER(#REF!),#REF!,NA())</f>
        <v>#N/A</v>
      </c>
      <c r="E62" s="325">
        <f>XS_Designer!E63</f>
        <v>59</v>
      </c>
      <c r="F62" s="46" t="e">
        <f>IF(XS_Designer!F63&lt;&gt;"",XS_Designer!F63,NA())</f>
        <v>#N/A</v>
      </c>
      <c r="G62" s="46" t="e">
        <f>IF(XS_Designer!G63&lt;&gt;"",XS_Designer!G63,NA())</f>
        <v>#N/A</v>
      </c>
      <c r="L62">
        <f t="shared" si="0"/>
        <v>59</v>
      </c>
      <c r="M62" s="54" t="e">
        <f t="shared" si="1"/>
        <v>#N/A</v>
      </c>
      <c r="N62" s="54" t="e">
        <f t="shared" si="2"/>
        <v>#N/A</v>
      </c>
      <c r="O62" s="54"/>
      <c r="P62" s="2" t="e">
        <f t="shared" si="21"/>
        <v>#N/A</v>
      </c>
      <c r="Q62" s="2" t="e">
        <f t="shared" si="3"/>
        <v>#N/A</v>
      </c>
      <c r="R62" s="2" t="e">
        <f t="shared" si="4"/>
        <v>#N/A</v>
      </c>
      <c r="T62" s="2" t="e">
        <f t="shared" si="5"/>
        <v>#N/A</v>
      </c>
      <c r="U62" s="128" t="e">
        <f>IF((SUMPRODUCT(COUNTIF($Q$4:$Q62,"INSERT"))=0),Q62,NA())</f>
        <v>#N/A</v>
      </c>
      <c r="V62" s="128" t="e">
        <f>IF((SUMPRODUCT(COUNTIF($Q$4:$Q62,"INSERT"))=0),R62,NA())</f>
        <v>#N/A</v>
      </c>
      <c r="W62" s="27" t="e">
        <f t="shared" si="6"/>
        <v>#N/A</v>
      </c>
      <c r="X62" s="27" t="e">
        <f t="shared" si="7"/>
        <v>#N/A</v>
      </c>
      <c r="Y62" s="196">
        <f t="shared" si="8"/>
        <v>0</v>
      </c>
      <c r="AA62" s="2" t="e">
        <f t="shared" si="9"/>
        <v>#N/A</v>
      </c>
      <c r="AB62" s="128" t="e">
        <f t="shared" si="10"/>
        <v>#N/A</v>
      </c>
      <c r="AC62" s="128" t="e">
        <f t="shared" si="10"/>
        <v>#N/A</v>
      </c>
      <c r="AD62" s="27" t="e">
        <f t="shared" si="11"/>
        <v>#N/A</v>
      </c>
      <c r="AE62" s="27" t="e">
        <f t="shared" si="12"/>
        <v>#N/A</v>
      </c>
      <c r="AF62" s="196">
        <f t="shared" si="13"/>
        <v>0</v>
      </c>
      <c r="AH62" s="2">
        <v>59</v>
      </c>
      <c r="AI62" s="2" t="e">
        <f t="shared" si="14"/>
        <v>#N/A</v>
      </c>
      <c r="AJ62" s="2" t="e">
        <f t="shared" si="15"/>
        <v>#N/A</v>
      </c>
      <c r="AL62" s="2" t="e">
        <f t="shared" si="16"/>
        <v>#N/A</v>
      </c>
      <c r="AM62" s="2" t="e">
        <f t="shared" si="17"/>
        <v>#N/A</v>
      </c>
      <c r="AN62" s="2" t="e">
        <f t="shared" si="17"/>
        <v>#N/A</v>
      </c>
      <c r="AP62" s="2">
        <v>59</v>
      </c>
      <c r="AQ62" t="e">
        <f t="shared" si="18"/>
        <v>#N/A</v>
      </c>
      <c r="AR62" t="e">
        <f t="shared" si="19"/>
        <v>#N/A</v>
      </c>
      <c r="AT62" s="2">
        <v>59</v>
      </c>
      <c r="AU62" t="str">
        <f t="shared" si="20"/>
        <v>Station (ft)</v>
      </c>
      <c r="AV62" t="str">
        <f t="shared" si="20"/>
        <v>Elevation (ft)</v>
      </c>
    </row>
    <row r="63" spans="1:48">
      <c r="A63" s="22" t="e">
        <f>#REF!</f>
        <v>#REF!</v>
      </c>
      <c r="B63" s="22" t="e">
        <f>IF(ISNUMBER(#REF!),#REF!,NA())</f>
        <v>#N/A</v>
      </c>
      <c r="C63" s="22" t="e">
        <f>IF(ISNUMBER(#REF!),#REF!,NA())</f>
        <v>#N/A</v>
      </c>
      <c r="E63" s="325">
        <f>XS_Designer!E64</f>
        <v>60</v>
      </c>
      <c r="F63" s="46" t="e">
        <f>IF(XS_Designer!F64&lt;&gt;"",XS_Designer!F64,NA())</f>
        <v>#N/A</v>
      </c>
      <c r="G63" s="46" t="e">
        <f>IF(XS_Designer!G64&lt;&gt;"",XS_Designer!G64,NA())</f>
        <v>#N/A</v>
      </c>
      <c r="L63">
        <f t="shared" si="0"/>
        <v>60</v>
      </c>
      <c r="M63" s="54" t="e">
        <f t="shared" si="1"/>
        <v>#N/A</v>
      </c>
      <c r="N63" s="54" t="e">
        <f t="shared" si="2"/>
        <v>#N/A</v>
      </c>
      <c r="O63" s="54"/>
      <c r="P63" s="2" t="e">
        <f t="shared" si="21"/>
        <v>#N/A</v>
      </c>
      <c r="Q63" s="2" t="e">
        <f t="shared" si="3"/>
        <v>#N/A</v>
      </c>
      <c r="R63" s="2" t="e">
        <f t="shared" si="4"/>
        <v>#N/A</v>
      </c>
      <c r="T63" s="2" t="e">
        <f t="shared" si="5"/>
        <v>#N/A</v>
      </c>
      <c r="U63" s="128" t="e">
        <f>IF((SUMPRODUCT(COUNTIF($Q$4:$Q63,"INSERT"))=0),Q63,NA())</f>
        <v>#N/A</v>
      </c>
      <c r="V63" s="128" t="e">
        <f>IF((SUMPRODUCT(COUNTIF($Q$4:$Q63,"INSERT"))=0),R63,NA())</f>
        <v>#N/A</v>
      </c>
      <c r="W63" s="27" t="e">
        <f t="shared" si="6"/>
        <v>#N/A</v>
      </c>
      <c r="X63" s="27" t="e">
        <f t="shared" si="7"/>
        <v>#N/A</v>
      </c>
      <c r="Y63" s="196">
        <f t="shared" si="8"/>
        <v>0</v>
      </c>
      <c r="AA63" s="2" t="e">
        <f t="shared" si="9"/>
        <v>#N/A</v>
      </c>
      <c r="AB63" s="128" t="e">
        <f t="shared" si="10"/>
        <v>#N/A</v>
      </c>
      <c r="AC63" s="128" t="e">
        <f t="shared" si="10"/>
        <v>#N/A</v>
      </c>
      <c r="AD63" s="27" t="e">
        <f t="shared" si="11"/>
        <v>#N/A</v>
      </c>
      <c r="AE63" s="27" t="e">
        <f t="shared" si="12"/>
        <v>#N/A</v>
      </c>
      <c r="AF63" s="196">
        <f t="shared" si="13"/>
        <v>0</v>
      </c>
      <c r="AH63" s="2">
        <v>60</v>
      </c>
      <c r="AI63" s="2" t="e">
        <f t="shared" si="14"/>
        <v>#N/A</v>
      </c>
      <c r="AJ63" s="2" t="e">
        <f t="shared" si="15"/>
        <v>#N/A</v>
      </c>
      <c r="AL63" s="2" t="e">
        <f t="shared" si="16"/>
        <v>#N/A</v>
      </c>
      <c r="AM63" s="2" t="e">
        <f t="shared" si="17"/>
        <v>#N/A</v>
      </c>
      <c r="AN63" s="2" t="e">
        <f t="shared" si="17"/>
        <v>#N/A</v>
      </c>
      <c r="AP63" s="2">
        <v>60</v>
      </c>
      <c r="AQ63" t="e">
        <f t="shared" si="18"/>
        <v>#N/A</v>
      </c>
      <c r="AR63" t="e">
        <f t="shared" si="19"/>
        <v>#N/A</v>
      </c>
      <c r="AT63" s="2">
        <v>60</v>
      </c>
      <c r="AU63" t="str">
        <f t="shared" si="20"/>
        <v>Station (ft)</v>
      </c>
      <c r="AV63" t="str">
        <f t="shared" si="20"/>
        <v>Elevation (ft)</v>
      </c>
    </row>
    <row r="64" spans="1:48">
      <c r="A64" s="22" t="e">
        <f>#REF!</f>
        <v>#REF!</v>
      </c>
      <c r="B64" s="22" t="e">
        <f>IF(ISNUMBER(#REF!),#REF!,NA())</f>
        <v>#N/A</v>
      </c>
      <c r="C64" s="22" t="e">
        <f>IF(ISNUMBER(#REF!),#REF!,NA())</f>
        <v>#N/A</v>
      </c>
      <c r="E64" s="325">
        <f>XS_Designer!E65</f>
        <v>61</v>
      </c>
      <c r="F64" s="46" t="e">
        <f>IF(XS_Designer!F65&lt;&gt;"",XS_Designer!F65,NA())</f>
        <v>#N/A</v>
      </c>
      <c r="G64" s="46" t="e">
        <f>IF(XS_Designer!G65&lt;&gt;"",XS_Designer!G65,NA())</f>
        <v>#N/A</v>
      </c>
      <c r="L64">
        <f t="shared" si="0"/>
        <v>61</v>
      </c>
      <c r="M64" s="54" t="e">
        <f t="shared" si="1"/>
        <v>#N/A</v>
      </c>
      <c r="N64" s="54" t="e">
        <f t="shared" si="2"/>
        <v>#N/A</v>
      </c>
      <c r="O64" s="54"/>
      <c r="P64" s="2" t="e">
        <f t="shared" si="21"/>
        <v>#N/A</v>
      </c>
      <c r="Q64" s="2" t="e">
        <f t="shared" si="3"/>
        <v>#N/A</v>
      </c>
      <c r="R64" s="2" t="e">
        <f t="shared" si="4"/>
        <v>#N/A</v>
      </c>
      <c r="T64" s="2" t="e">
        <f t="shared" si="5"/>
        <v>#N/A</v>
      </c>
      <c r="U64" s="128" t="e">
        <f>IF((SUMPRODUCT(COUNTIF($Q$4:$Q64,"INSERT"))=0),Q64,NA())</f>
        <v>#N/A</v>
      </c>
      <c r="V64" s="128" t="e">
        <f>IF((SUMPRODUCT(COUNTIF($Q$4:$Q64,"INSERT"))=0),R64,NA())</f>
        <v>#N/A</v>
      </c>
      <c r="W64" s="27" t="e">
        <f t="shared" si="6"/>
        <v>#N/A</v>
      </c>
      <c r="X64" s="27" t="e">
        <f t="shared" si="7"/>
        <v>#N/A</v>
      </c>
      <c r="Y64" s="196">
        <f t="shared" si="8"/>
        <v>0</v>
      </c>
      <c r="AA64" s="2" t="e">
        <f t="shared" si="9"/>
        <v>#N/A</v>
      </c>
      <c r="AB64" s="128" t="e">
        <f t="shared" si="10"/>
        <v>#N/A</v>
      </c>
      <c r="AC64" s="128" t="e">
        <f t="shared" si="10"/>
        <v>#N/A</v>
      </c>
      <c r="AD64" s="27" t="e">
        <f t="shared" si="11"/>
        <v>#N/A</v>
      </c>
      <c r="AE64" s="27" t="e">
        <f t="shared" si="12"/>
        <v>#N/A</v>
      </c>
      <c r="AF64" s="196">
        <f t="shared" si="13"/>
        <v>0</v>
      </c>
      <c r="AH64" s="2">
        <v>61</v>
      </c>
      <c r="AI64" s="2" t="e">
        <f t="shared" si="14"/>
        <v>#N/A</v>
      </c>
      <c r="AJ64" s="2" t="e">
        <f t="shared" si="15"/>
        <v>#N/A</v>
      </c>
      <c r="AL64" s="2" t="e">
        <f t="shared" si="16"/>
        <v>#N/A</v>
      </c>
      <c r="AM64" s="2" t="e">
        <f t="shared" si="17"/>
        <v>#N/A</v>
      </c>
      <c r="AN64" s="2" t="e">
        <f t="shared" si="17"/>
        <v>#N/A</v>
      </c>
      <c r="AP64" s="2">
        <v>61</v>
      </c>
      <c r="AQ64" t="e">
        <f t="shared" si="18"/>
        <v>#N/A</v>
      </c>
      <c r="AR64" t="e">
        <f t="shared" si="19"/>
        <v>#N/A</v>
      </c>
      <c r="AT64" s="2">
        <v>61</v>
      </c>
      <c r="AU64" t="str">
        <f t="shared" si="20"/>
        <v>Station (ft)</v>
      </c>
      <c r="AV64" t="str">
        <f t="shared" si="20"/>
        <v>Elevation (ft)</v>
      </c>
    </row>
    <row r="65" spans="1:48">
      <c r="A65" s="22" t="e">
        <f>#REF!</f>
        <v>#REF!</v>
      </c>
      <c r="B65" s="22" t="e">
        <f>IF(ISNUMBER(#REF!),#REF!,NA())</f>
        <v>#N/A</v>
      </c>
      <c r="C65" s="22" t="e">
        <f>IF(ISNUMBER(#REF!),#REF!,NA())</f>
        <v>#N/A</v>
      </c>
      <c r="E65" s="325">
        <f>XS_Designer!E66</f>
        <v>62</v>
      </c>
      <c r="F65" s="46" t="e">
        <f>IF(XS_Designer!F66&lt;&gt;"",XS_Designer!F66,NA())</f>
        <v>#N/A</v>
      </c>
      <c r="G65" s="46" t="e">
        <f>IF(XS_Designer!G66&lt;&gt;"",XS_Designer!G66,NA())</f>
        <v>#N/A</v>
      </c>
      <c r="L65">
        <f t="shared" si="0"/>
        <v>62</v>
      </c>
      <c r="M65" s="54" t="e">
        <f t="shared" si="1"/>
        <v>#N/A</v>
      </c>
      <c r="N65" s="54" t="e">
        <f t="shared" si="2"/>
        <v>#N/A</v>
      </c>
      <c r="O65" s="54"/>
      <c r="P65" s="2" t="e">
        <f t="shared" si="21"/>
        <v>#N/A</v>
      </c>
      <c r="Q65" s="2" t="e">
        <f t="shared" si="3"/>
        <v>#N/A</v>
      </c>
      <c r="R65" s="2" t="e">
        <f t="shared" si="4"/>
        <v>#N/A</v>
      </c>
      <c r="T65" s="2" t="e">
        <f t="shared" si="5"/>
        <v>#N/A</v>
      </c>
      <c r="U65" s="128" t="e">
        <f>IF((SUMPRODUCT(COUNTIF($Q$4:$Q65,"INSERT"))=0),Q65,NA())</f>
        <v>#N/A</v>
      </c>
      <c r="V65" s="128" t="e">
        <f>IF((SUMPRODUCT(COUNTIF($Q$4:$Q65,"INSERT"))=0),R65,NA())</f>
        <v>#N/A</v>
      </c>
      <c r="W65" s="27" t="e">
        <f t="shared" si="6"/>
        <v>#N/A</v>
      </c>
      <c r="X65" s="27" t="e">
        <f t="shared" si="7"/>
        <v>#N/A</v>
      </c>
      <c r="Y65" s="196">
        <f t="shared" si="8"/>
        <v>0</v>
      </c>
      <c r="AA65" s="2" t="e">
        <f t="shared" si="9"/>
        <v>#N/A</v>
      </c>
      <c r="AB65" s="128" t="e">
        <f t="shared" si="10"/>
        <v>#N/A</v>
      </c>
      <c r="AC65" s="128" t="e">
        <f t="shared" si="10"/>
        <v>#N/A</v>
      </c>
      <c r="AD65" s="27" t="e">
        <f t="shared" si="11"/>
        <v>#N/A</v>
      </c>
      <c r="AE65" s="27" t="e">
        <f t="shared" si="12"/>
        <v>#N/A</v>
      </c>
      <c r="AF65" s="196">
        <f t="shared" si="13"/>
        <v>0</v>
      </c>
      <c r="AH65" s="2">
        <v>62</v>
      </c>
      <c r="AI65" s="2" t="e">
        <f t="shared" si="14"/>
        <v>#N/A</v>
      </c>
      <c r="AJ65" s="2" t="e">
        <f t="shared" si="15"/>
        <v>#N/A</v>
      </c>
      <c r="AL65" s="2" t="e">
        <f t="shared" si="16"/>
        <v>#N/A</v>
      </c>
      <c r="AM65" s="2" t="e">
        <f t="shared" si="17"/>
        <v>#N/A</v>
      </c>
      <c r="AN65" s="2" t="e">
        <f t="shared" si="17"/>
        <v>#N/A</v>
      </c>
      <c r="AP65" s="2">
        <v>62</v>
      </c>
      <c r="AQ65" t="e">
        <f t="shared" si="18"/>
        <v>#N/A</v>
      </c>
      <c r="AR65" t="e">
        <f t="shared" si="19"/>
        <v>#N/A</v>
      </c>
      <c r="AT65" s="2">
        <v>62</v>
      </c>
      <c r="AU65" t="str">
        <f t="shared" si="20"/>
        <v>Station (ft)</v>
      </c>
      <c r="AV65" t="str">
        <f t="shared" si="20"/>
        <v>Elevation (ft)</v>
      </c>
    </row>
    <row r="66" spans="1:48">
      <c r="A66" s="22" t="e">
        <f>#REF!</f>
        <v>#REF!</v>
      </c>
      <c r="B66" s="22" t="e">
        <f>IF(ISNUMBER(#REF!),#REF!,NA())</f>
        <v>#N/A</v>
      </c>
      <c r="C66" s="22" t="e">
        <f>IF(ISNUMBER(#REF!),#REF!,NA())</f>
        <v>#N/A</v>
      </c>
      <c r="E66" s="325">
        <f>XS_Designer!E67</f>
        <v>63</v>
      </c>
      <c r="F66" s="46" t="e">
        <f>IF(XS_Designer!F67&lt;&gt;"",XS_Designer!F67,NA())</f>
        <v>#N/A</v>
      </c>
      <c r="G66" s="46" t="e">
        <f>IF(XS_Designer!G67&lt;&gt;"",XS_Designer!G67,NA())</f>
        <v>#N/A</v>
      </c>
      <c r="L66">
        <f t="shared" si="0"/>
        <v>63</v>
      </c>
      <c r="M66" s="54" t="e">
        <f t="shared" si="1"/>
        <v>#N/A</v>
      </c>
      <c r="N66" s="54" t="e">
        <f t="shared" si="2"/>
        <v>#N/A</v>
      </c>
      <c r="O66" s="54"/>
      <c r="P66" s="2" t="e">
        <f t="shared" si="21"/>
        <v>#N/A</v>
      </c>
      <c r="Q66" s="2" t="e">
        <f t="shared" si="3"/>
        <v>#N/A</v>
      </c>
      <c r="R66" s="2" t="e">
        <f t="shared" si="4"/>
        <v>#N/A</v>
      </c>
      <c r="T66" s="2" t="e">
        <f t="shared" si="5"/>
        <v>#N/A</v>
      </c>
      <c r="U66" s="128" t="e">
        <f>IF((SUMPRODUCT(COUNTIF($Q$4:$Q66,"INSERT"))=0),Q66,NA())</f>
        <v>#N/A</v>
      </c>
      <c r="V66" s="128" t="e">
        <f>IF((SUMPRODUCT(COUNTIF($Q$4:$Q66,"INSERT"))=0),R66,NA())</f>
        <v>#N/A</v>
      </c>
      <c r="W66" s="27" t="e">
        <f t="shared" si="6"/>
        <v>#N/A</v>
      </c>
      <c r="X66" s="27" t="e">
        <f t="shared" si="7"/>
        <v>#N/A</v>
      </c>
      <c r="Y66" s="196">
        <f t="shared" si="8"/>
        <v>0</v>
      </c>
      <c r="AA66" s="2" t="e">
        <f t="shared" si="9"/>
        <v>#N/A</v>
      </c>
      <c r="AB66" s="128" t="e">
        <f t="shared" si="10"/>
        <v>#N/A</v>
      </c>
      <c r="AC66" s="128" t="e">
        <f t="shared" si="10"/>
        <v>#N/A</v>
      </c>
      <c r="AD66" s="27" t="e">
        <f t="shared" si="11"/>
        <v>#N/A</v>
      </c>
      <c r="AE66" s="27" t="e">
        <f t="shared" si="12"/>
        <v>#N/A</v>
      </c>
      <c r="AF66" s="196">
        <f t="shared" si="13"/>
        <v>0</v>
      </c>
      <c r="AH66" s="2">
        <v>63</v>
      </c>
      <c r="AI66" s="2" t="e">
        <f t="shared" si="14"/>
        <v>#N/A</v>
      </c>
      <c r="AJ66" s="2" t="e">
        <f t="shared" si="15"/>
        <v>#N/A</v>
      </c>
      <c r="AL66" s="2" t="e">
        <f t="shared" si="16"/>
        <v>#N/A</v>
      </c>
      <c r="AM66" s="2" t="e">
        <f t="shared" si="17"/>
        <v>#N/A</v>
      </c>
      <c r="AN66" s="2" t="e">
        <f t="shared" si="17"/>
        <v>#N/A</v>
      </c>
      <c r="AP66" s="2">
        <v>63</v>
      </c>
      <c r="AQ66" t="e">
        <f t="shared" si="18"/>
        <v>#N/A</v>
      </c>
      <c r="AR66" t="e">
        <f t="shared" si="19"/>
        <v>#N/A</v>
      </c>
      <c r="AT66" s="2">
        <v>63</v>
      </c>
      <c r="AU66" t="str">
        <f t="shared" si="20"/>
        <v>Station (ft)</v>
      </c>
      <c r="AV66" t="str">
        <f t="shared" si="20"/>
        <v>Elevation (ft)</v>
      </c>
    </row>
    <row r="67" spans="1:48">
      <c r="A67" s="22" t="e">
        <f>#REF!</f>
        <v>#REF!</v>
      </c>
      <c r="B67" s="22" t="e">
        <f>IF(ISNUMBER(#REF!),#REF!,NA())</f>
        <v>#N/A</v>
      </c>
      <c r="C67" s="22" t="e">
        <f>IF(ISNUMBER(#REF!),#REF!,NA())</f>
        <v>#N/A</v>
      </c>
      <c r="E67" s="325">
        <f>XS_Designer!E68</f>
        <v>64</v>
      </c>
      <c r="F67" s="46" t="e">
        <f>IF(XS_Designer!F68&lt;&gt;"",XS_Designer!F68,NA())</f>
        <v>#N/A</v>
      </c>
      <c r="G67" s="46" t="e">
        <f>IF(XS_Designer!G68&lt;&gt;"",XS_Designer!G68,NA())</f>
        <v>#N/A</v>
      </c>
      <c r="L67">
        <f t="shared" si="0"/>
        <v>64</v>
      </c>
      <c r="M67" s="54" t="e">
        <f t="shared" si="1"/>
        <v>#N/A</v>
      </c>
      <c r="N67" s="54" t="e">
        <f t="shared" si="2"/>
        <v>#N/A</v>
      </c>
      <c r="O67" s="54"/>
      <c r="P67" s="2" t="e">
        <f t="shared" si="21"/>
        <v>#N/A</v>
      </c>
      <c r="Q67" s="2" t="e">
        <f t="shared" si="3"/>
        <v>#N/A</v>
      </c>
      <c r="R67" s="2" t="e">
        <f t="shared" si="4"/>
        <v>#N/A</v>
      </c>
      <c r="T67" s="2" t="e">
        <f t="shared" si="5"/>
        <v>#N/A</v>
      </c>
      <c r="U67" s="128" t="e">
        <f>IF((SUMPRODUCT(COUNTIF($Q$4:$Q67,"INSERT"))=0),Q67,NA())</f>
        <v>#N/A</v>
      </c>
      <c r="V67" s="128" t="e">
        <f>IF((SUMPRODUCT(COUNTIF($Q$4:$Q67,"INSERT"))=0),R67,NA())</f>
        <v>#N/A</v>
      </c>
      <c r="W67" s="27" t="e">
        <f t="shared" si="6"/>
        <v>#N/A</v>
      </c>
      <c r="X67" s="27" t="e">
        <f t="shared" si="7"/>
        <v>#N/A</v>
      </c>
      <c r="Y67" s="196">
        <f t="shared" si="8"/>
        <v>0</v>
      </c>
      <c r="AA67" s="2" t="e">
        <f t="shared" si="9"/>
        <v>#N/A</v>
      </c>
      <c r="AB67" s="128" t="e">
        <f t="shared" si="10"/>
        <v>#N/A</v>
      </c>
      <c r="AC67" s="128" t="e">
        <f t="shared" si="10"/>
        <v>#N/A</v>
      </c>
      <c r="AD67" s="27" t="e">
        <f t="shared" si="11"/>
        <v>#N/A</v>
      </c>
      <c r="AE67" s="27" t="e">
        <f t="shared" si="12"/>
        <v>#N/A</v>
      </c>
      <c r="AF67" s="196">
        <f t="shared" si="13"/>
        <v>0</v>
      </c>
      <c r="AH67" s="2">
        <v>64</v>
      </c>
      <c r="AI67" s="2" t="e">
        <f t="shared" si="14"/>
        <v>#N/A</v>
      </c>
      <c r="AJ67" s="2" t="e">
        <f t="shared" si="15"/>
        <v>#N/A</v>
      </c>
      <c r="AL67" s="2" t="e">
        <f t="shared" si="16"/>
        <v>#N/A</v>
      </c>
      <c r="AM67" s="2" t="e">
        <f t="shared" si="17"/>
        <v>#N/A</v>
      </c>
      <c r="AN67" s="2" t="e">
        <f t="shared" si="17"/>
        <v>#N/A</v>
      </c>
      <c r="AP67" s="2">
        <v>64</v>
      </c>
      <c r="AQ67" t="e">
        <f t="shared" si="18"/>
        <v>#N/A</v>
      </c>
      <c r="AR67" t="e">
        <f t="shared" si="19"/>
        <v>#N/A</v>
      </c>
      <c r="AT67" s="2">
        <v>64</v>
      </c>
      <c r="AU67" t="str">
        <f t="shared" si="20"/>
        <v>Station (ft)</v>
      </c>
      <c r="AV67" t="str">
        <f t="shared" si="20"/>
        <v>Elevation (ft)</v>
      </c>
    </row>
    <row r="68" spans="1:48">
      <c r="A68" s="22" t="e">
        <f>#REF!</f>
        <v>#REF!</v>
      </c>
      <c r="B68" s="22" t="e">
        <f>IF(ISNUMBER(#REF!),#REF!,NA())</f>
        <v>#N/A</v>
      </c>
      <c r="C68" s="22" t="e">
        <f>IF(ISNUMBER(#REF!),#REF!,NA())</f>
        <v>#N/A</v>
      </c>
      <c r="E68" s="325">
        <f>XS_Designer!E69</f>
        <v>65</v>
      </c>
      <c r="F68" s="46" t="e">
        <f>IF(XS_Designer!F69&lt;&gt;"",XS_Designer!F69,NA())</f>
        <v>#N/A</v>
      </c>
      <c r="G68" s="46" t="e">
        <f>IF(XS_Designer!G69&lt;&gt;"",XS_Designer!G69,NA())</f>
        <v>#N/A</v>
      </c>
      <c r="L68">
        <f t="shared" si="0"/>
        <v>65</v>
      </c>
      <c r="M68" s="54" t="e">
        <f t="shared" si="1"/>
        <v>#N/A</v>
      </c>
      <c r="N68" s="54" t="e">
        <f t="shared" si="2"/>
        <v>#N/A</v>
      </c>
      <c r="O68" s="54"/>
      <c r="P68" s="2" t="e">
        <f t="shared" si="21"/>
        <v>#N/A</v>
      </c>
      <c r="Q68" s="2" t="e">
        <f t="shared" si="3"/>
        <v>#N/A</v>
      </c>
      <c r="R68" s="2" t="e">
        <f t="shared" si="4"/>
        <v>#N/A</v>
      </c>
      <c r="T68" s="2" t="e">
        <f t="shared" si="5"/>
        <v>#N/A</v>
      </c>
      <c r="U68" s="128" t="e">
        <f>IF((SUMPRODUCT(COUNTIF($Q$4:$Q68,"INSERT"))=0),Q68,NA())</f>
        <v>#N/A</v>
      </c>
      <c r="V68" s="128" t="e">
        <f>IF((SUMPRODUCT(COUNTIF($Q$4:$Q68,"INSERT"))=0),R68,NA())</f>
        <v>#N/A</v>
      </c>
      <c r="W68" s="27" t="e">
        <f t="shared" si="6"/>
        <v>#N/A</v>
      </c>
      <c r="X68" s="27" t="e">
        <f t="shared" si="7"/>
        <v>#N/A</v>
      </c>
      <c r="Y68" s="196">
        <f t="shared" si="8"/>
        <v>0</v>
      </c>
      <c r="AA68" s="2" t="e">
        <f t="shared" si="9"/>
        <v>#N/A</v>
      </c>
      <c r="AB68" s="128" t="e">
        <f t="shared" si="10"/>
        <v>#N/A</v>
      </c>
      <c r="AC68" s="128" t="e">
        <f t="shared" si="10"/>
        <v>#N/A</v>
      </c>
      <c r="AD68" s="27" t="e">
        <f t="shared" si="11"/>
        <v>#N/A</v>
      </c>
      <c r="AE68" s="27" t="e">
        <f t="shared" si="12"/>
        <v>#N/A</v>
      </c>
      <c r="AF68" s="196">
        <f t="shared" si="13"/>
        <v>0</v>
      </c>
      <c r="AH68" s="2">
        <v>65</v>
      </c>
      <c r="AI68" s="2" t="e">
        <f t="shared" si="14"/>
        <v>#N/A</v>
      </c>
      <c r="AJ68" s="2" t="e">
        <f t="shared" si="15"/>
        <v>#N/A</v>
      </c>
      <c r="AL68" s="2" t="e">
        <f t="shared" si="16"/>
        <v>#N/A</v>
      </c>
      <c r="AM68" s="2" t="e">
        <f t="shared" si="17"/>
        <v>#N/A</v>
      </c>
      <c r="AN68" s="2" t="e">
        <f t="shared" si="17"/>
        <v>#N/A</v>
      </c>
      <c r="AP68" s="2">
        <v>65</v>
      </c>
      <c r="AQ68" t="e">
        <f t="shared" si="18"/>
        <v>#N/A</v>
      </c>
      <c r="AR68" t="e">
        <f t="shared" si="19"/>
        <v>#N/A</v>
      </c>
      <c r="AT68" s="2">
        <v>65</v>
      </c>
      <c r="AU68" t="str">
        <f t="shared" si="20"/>
        <v>Station (ft)</v>
      </c>
      <c r="AV68" t="str">
        <f t="shared" si="20"/>
        <v>Elevation (ft)</v>
      </c>
    </row>
    <row r="69" spans="1:48">
      <c r="A69" s="22" t="e">
        <f>#REF!</f>
        <v>#REF!</v>
      </c>
      <c r="B69" s="22" t="e">
        <f>IF(ISNUMBER(#REF!),#REF!,NA())</f>
        <v>#N/A</v>
      </c>
      <c r="C69" s="22" t="e">
        <f>IF(ISNUMBER(#REF!),#REF!,NA())</f>
        <v>#N/A</v>
      </c>
      <c r="E69" s="325">
        <f>XS_Designer!E70</f>
        <v>66</v>
      </c>
      <c r="F69" s="46" t="e">
        <f>IF(XS_Designer!F70&lt;&gt;"",XS_Designer!F70,NA())</f>
        <v>#N/A</v>
      </c>
      <c r="G69" s="46" t="e">
        <f>IF(XS_Designer!G70&lt;&gt;"",XS_Designer!G70,NA())</f>
        <v>#N/A</v>
      </c>
      <c r="L69">
        <f t="shared" si="0"/>
        <v>66</v>
      </c>
      <c r="M69" s="54" t="e">
        <f t="shared" si="1"/>
        <v>#N/A</v>
      </c>
      <c r="N69" s="54" t="e">
        <f t="shared" si="2"/>
        <v>#N/A</v>
      </c>
      <c r="O69" s="54"/>
      <c r="P69" s="2" t="e">
        <f t="shared" si="21"/>
        <v>#N/A</v>
      </c>
      <c r="Q69" s="2" t="e">
        <f t="shared" si="3"/>
        <v>#N/A</v>
      </c>
      <c r="R69" s="2" t="e">
        <f t="shared" si="4"/>
        <v>#N/A</v>
      </c>
      <c r="T69" s="2" t="e">
        <f t="shared" si="5"/>
        <v>#N/A</v>
      </c>
      <c r="U69" s="128" t="e">
        <f>IF((SUMPRODUCT(COUNTIF($Q$4:$Q69,"INSERT"))=0),Q69,NA())</f>
        <v>#N/A</v>
      </c>
      <c r="V69" s="128" t="e">
        <f>IF((SUMPRODUCT(COUNTIF($Q$4:$Q69,"INSERT"))=0),R69,NA())</f>
        <v>#N/A</v>
      </c>
      <c r="W69" s="27" t="e">
        <f t="shared" si="6"/>
        <v>#N/A</v>
      </c>
      <c r="X69" s="27" t="e">
        <f t="shared" si="7"/>
        <v>#N/A</v>
      </c>
      <c r="Y69" s="196">
        <f t="shared" si="8"/>
        <v>0</v>
      </c>
      <c r="AA69" s="2" t="e">
        <f t="shared" si="9"/>
        <v>#N/A</v>
      </c>
      <c r="AB69" s="128" t="e">
        <f t="shared" si="10"/>
        <v>#N/A</v>
      </c>
      <c r="AC69" s="128" t="e">
        <f t="shared" si="10"/>
        <v>#N/A</v>
      </c>
      <c r="AD69" s="27" t="e">
        <f t="shared" si="11"/>
        <v>#N/A</v>
      </c>
      <c r="AE69" s="27" t="e">
        <f t="shared" si="12"/>
        <v>#N/A</v>
      </c>
      <c r="AF69" s="196">
        <f t="shared" si="13"/>
        <v>0</v>
      </c>
      <c r="AH69" s="2">
        <v>66</v>
      </c>
      <c r="AI69" s="2" t="e">
        <f t="shared" si="14"/>
        <v>#N/A</v>
      </c>
      <c r="AJ69" s="2" t="e">
        <f t="shared" si="15"/>
        <v>#N/A</v>
      </c>
      <c r="AL69" s="2" t="e">
        <f t="shared" si="16"/>
        <v>#N/A</v>
      </c>
      <c r="AM69" s="2" t="e">
        <f t="shared" si="17"/>
        <v>#N/A</v>
      </c>
      <c r="AN69" s="2" t="e">
        <f t="shared" si="17"/>
        <v>#N/A</v>
      </c>
      <c r="AP69" s="2">
        <v>66</v>
      </c>
      <c r="AQ69" t="e">
        <f t="shared" si="18"/>
        <v>#N/A</v>
      </c>
      <c r="AR69" t="e">
        <f t="shared" si="19"/>
        <v>#N/A</v>
      </c>
      <c r="AT69" s="2">
        <v>66</v>
      </c>
      <c r="AU69" t="str">
        <f t="shared" si="20"/>
        <v>Station (ft)</v>
      </c>
      <c r="AV69" t="str">
        <f t="shared" si="20"/>
        <v>Elevation (ft)</v>
      </c>
    </row>
    <row r="70" spans="1:48">
      <c r="A70" s="22" t="e">
        <f>#REF!</f>
        <v>#REF!</v>
      </c>
      <c r="B70" s="22" t="e">
        <f>IF(ISNUMBER(#REF!),#REF!,NA())</f>
        <v>#N/A</v>
      </c>
      <c r="C70" s="22" t="e">
        <f>IF(ISNUMBER(#REF!),#REF!,NA())</f>
        <v>#N/A</v>
      </c>
      <c r="E70" s="325">
        <f>XS_Designer!E71</f>
        <v>67</v>
      </c>
      <c r="F70" s="46" t="e">
        <f>IF(XS_Designer!F71&lt;&gt;"",XS_Designer!F71,NA())</f>
        <v>#N/A</v>
      </c>
      <c r="G70" s="46" t="e">
        <f>IF(XS_Designer!G71&lt;&gt;"",XS_Designer!G71,NA())</f>
        <v>#N/A</v>
      </c>
      <c r="L70">
        <f t="shared" si="0"/>
        <v>67</v>
      </c>
      <c r="M70" s="54" t="e">
        <f t="shared" si="1"/>
        <v>#N/A</v>
      </c>
      <c r="N70" s="54" t="e">
        <f t="shared" si="2"/>
        <v>#N/A</v>
      </c>
      <c r="O70" s="54"/>
      <c r="P70" s="2" t="e">
        <f t="shared" si="21"/>
        <v>#N/A</v>
      </c>
      <c r="Q70" s="2" t="e">
        <f t="shared" si="3"/>
        <v>#N/A</v>
      </c>
      <c r="R70" s="2" t="e">
        <f t="shared" si="4"/>
        <v>#N/A</v>
      </c>
      <c r="T70" s="2" t="e">
        <f t="shared" si="5"/>
        <v>#N/A</v>
      </c>
      <c r="U70" s="128" t="e">
        <f>IF((SUMPRODUCT(COUNTIF($Q$4:$Q70,"INSERT"))=0),Q70,NA())</f>
        <v>#N/A</v>
      </c>
      <c r="V70" s="128" t="e">
        <f>IF((SUMPRODUCT(COUNTIF($Q$4:$Q70,"INSERT"))=0),R70,NA())</f>
        <v>#N/A</v>
      </c>
      <c r="W70" s="27" t="e">
        <f t="shared" si="6"/>
        <v>#N/A</v>
      </c>
      <c r="X70" s="27" t="e">
        <f t="shared" si="7"/>
        <v>#N/A</v>
      </c>
      <c r="Y70" s="196">
        <f t="shared" si="8"/>
        <v>0</v>
      </c>
      <c r="AA70" s="2" t="e">
        <f t="shared" si="9"/>
        <v>#N/A</v>
      </c>
      <c r="AB70" s="128" t="e">
        <f t="shared" si="10"/>
        <v>#N/A</v>
      </c>
      <c r="AC70" s="128" t="e">
        <f t="shared" si="10"/>
        <v>#N/A</v>
      </c>
      <c r="AD70" s="27" t="e">
        <f t="shared" si="11"/>
        <v>#N/A</v>
      </c>
      <c r="AE70" s="27" t="e">
        <f t="shared" si="12"/>
        <v>#N/A</v>
      </c>
      <c r="AF70" s="196">
        <f t="shared" si="13"/>
        <v>0</v>
      </c>
      <c r="AH70" s="2">
        <v>67</v>
      </c>
      <c r="AI70" s="2" t="e">
        <f t="shared" si="14"/>
        <v>#N/A</v>
      </c>
      <c r="AJ70" s="2" t="e">
        <f t="shared" si="15"/>
        <v>#N/A</v>
      </c>
      <c r="AL70" s="2" t="e">
        <f t="shared" si="16"/>
        <v>#N/A</v>
      </c>
      <c r="AM70" s="2" t="e">
        <f t="shared" si="17"/>
        <v>#N/A</v>
      </c>
      <c r="AN70" s="2" t="e">
        <f t="shared" si="17"/>
        <v>#N/A</v>
      </c>
      <c r="AP70" s="2">
        <v>67</v>
      </c>
      <c r="AQ70" t="e">
        <f t="shared" si="18"/>
        <v>#N/A</v>
      </c>
      <c r="AR70" t="e">
        <f t="shared" si="19"/>
        <v>#N/A</v>
      </c>
      <c r="AT70" s="2">
        <v>67</v>
      </c>
      <c r="AU70" t="str">
        <f t="shared" si="20"/>
        <v>Station (ft)</v>
      </c>
      <c r="AV70" t="str">
        <f t="shared" si="20"/>
        <v>Elevation (ft)</v>
      </c>
    </row>
    <row r="71" spans="1:48">
      <c r="A71" s="22" t="e">
        <f>#REF!</f>
        <v>#REF!</v>
      </c>
      <c r="B71" s="22" t="e">
        <f>IF(ISNUMBER(#REF!),#REF!,NA())</f>
        <v>#N/A</v>
      </c>
      <c r="C71" s="22" t="e">
        <f>IF(ISNUMBER(#REF!),#REF!,NA())</f>
        <v>#N/A</v>
      </c>
      <c r="E71" s="325">
        <f>XS_Designer!E72</f>
        <v>68</v>
      </c>
      <c r="F71" s="46" t="e">
        <f>IF(XS_Designer!F72&lt;&gt;"",XS_Designer!F72,NA())</f>
        <v>#N/A</v>
      </c>
      <c r="G71" s="46" t="e">
        <f>IF(XS_Designer!G72&lt;&gt;"",XS_Designer!G72,NA())</f>
        <v>#N/A</v>
      </c>
      <c r="L71">
        <f t="shared" si="0"/>
        <v>68</v>
      </c>
      <c r="M71" s="54" t="e">
        <f t="shared" si="1"/>
        <v>#N/A</v>
      </c>
      <c r="N71" s="54" t="e">
        <f t="shared" si="2"/>
        <v>#N/A</v>
      </c>
      <c r="O71" s="54"/>
      <c r="P71" s="2" t="e">
        <f t="shared" si="21"/>
        <v>#N/A</v>
      </c>
      <c r="Q71" s="2" t="e">
        <f t="shared" si="3"/>
        <v>#N/A</v>
      </c>
      <c r="R71" s="2" t="e">
        <f t="shared" si="4"/>
        <v>#N/A</v>
      </c>
      <c r="T71" s="2" t="e">
        <f t="shared" si="5"/>
        <v>#N/A</v>
      </c>
      <c r="U71" s="128" t="e">
        <f>IF((SUMPRODUCT(COUNTIF($Q$4:$Q71,"INSERT"))=0),Q71,NA())</f>
        <v>#N/A</v>
      </c>
      <c r="V71" s="128" t="e">
        <f>IF((SUMPRODUCT(COUNTIF($Q$4:$Q71,"INSERT"))=0),R71,NA())</f>
        <v>#N/A</v>
      </c>
      <c r="W71" s="27" t="e">
        <f t="shared" si="6"/>
        <v>#N/A</v>
      </c>
      <c r="X71" s="27" t="e">
        <f t="shared" si="7"/>
        <v>#N/A</v>
      </c>
      <c r="Y71" s="196">
        <f t="shared" si="8"/>
        <v>0</v>
      </c>
      <c r="AA71" s="2" t="e">
        <f t="shared" si="9"/>
        <v>#N/A</v>
      </c>
      <c r="AB71" s="128" t="e">
        <f t="shared" si="10"/>
        <v>#N/A</v>
      </c>
      <c r="AC71" s="128" t="e">
        <f t="shared" si="10"/>
        <v>#N/A</v>
      </c>
      <c r="AD71" s="27" t="e">
        <f t="shared" si="11"/>
        <v>#N/A</v>
      </c>
      <c r="AE71" s="27" t="e">
        <f t="shared" si="12"/>
        <v>#N/A</v>
      </c>
      <c r="AF71" s="196">
        <f t="shared" si="13"/>
        <v>0</v>
      </c>
      <c r="AH71" s="2">
        <v>68</v>
      </c>
      <c r="AI71" s="2" t="e">
        <f t="shared" si="14"/>
        <v>#N/A</v>
      </c>
      <c r="AJ71" s="2" t="e">
        <f t="shared" si="15"/>
        <v>#N/A</v>
      </c>
      <c r="AL71" s="2" t="e">
        <f t="shared" si="16"/>
        <v>#N/A</v>
      </c>
      <c r="AM71" s="2" t="e">
        <f t="shared" si="17"/>
        <v>#N/A</v>
      </c>
      <c r="AN71" s="2" t="e">
        <f t="shared" si="17"/>
        <v>#N/A</v>
      </c>
      <c r="AP71" s="2">
        <v>68</v>
      </c>
      <c r="AQ71" t="e">
        <f t="shared" si="18"/>
        <v>#N/A</v>
      </c>
      <c r="AR71" t="e">
        <f t="shared" si="19"/>
        <v>#N/A</v>
      </c>
      <c r="AT71" s="2">
        <v>68</v>
      </c>
      <c r="AU71" t="str">
        <f t="shared" si="20"/>
        <v>Station (ft)</v>
      </c>
      <c r="AV71" t="str">
        <f t="shared" si="20"/>
        <v>Elevation (ft)</v>
      </c>
    </row>
    <row r="72" spans="1:48">
      <c r="A72" s="22" t="e">
        <f>#REF!</f>
        <v>#REF!</v>
      </c>
      <c r="B72" s="22" t="e">
        <f>IF(ISNUMBER(#REF!),#REF!,NA())</f>
        <v>#N/A</v>
      </c>
      <c r="C72" s="22" t="e">
        <f>IF(ISNUMBER(#REF!),#REF!,NA())</f>
        <v>#N/A</v>
      </c>
      <c r="E72" s="325">
        <f>XS_Designer!E73</f>
        <v>69</v>
      </c>
      <c r="F72" s="46" t="e">
        <f>IF(XS_Designer!F73&lt;&gt;"",XS_Designer!F73,NA())</f>
        <v>#N/A</v>
      </c>
      <c r="G72" s="46" t="e">
        <f>IF(XS_Designer!G73&lt;&gt;"",XS_Designer!G73,NA())</f>
        <v>#N/A</v>
      </c>
      <c r="L72">
        <f t="shared" si="0"/>
        <v>69</v>
      </c>
      <c r="M72" s="54" t="e">
        <f t="shared" si="1"/>
        <v>#N/A</v>
      </c>
      <c r="N72" s="54" t="e">
        <f t="shared" si="2"/>
        <v>#N/A</v>
      </c>
      <c r="O72" s="54"/>
      <c r="P72" s="2" t="e">
        <f t="shared" si="21"/>
        <v>#N/A</v>
      </c>
      <c r="Q72" s="2" t="e">
        <f t="shared" si="3"/>
        <v>#N/A</v>
      </c>
      <c r="R72" s="2" t="e">
        <f t="shared" si="4"/>
        <v>#N/A</v>
      </c>
      <c r="T72" s="2" t="e">
        <f t="shared" si="5"/>
        <v>#N/A</v>
      </c>
      <c r="U72" s="128" t="e">
        <f>IF((SUMPRODUCT(COUNTIF($Q$4:$Q72,"INSERT"))=0),Q72,NA())</f>
        <v>#N/A</v>
      </c>
      <c r="V72" s="128" t="e">
        <f>IF((SUMPRODUCT(COUNTIF($Q$4:$Q72,"INSERT"))=0),R72,NA())</f>
        <v>#N/A</v>
      </c>
      <c r="W72" s="27" t="e">
        <f t="shared" si="6"/>
        <v>#N/A</v>
      </c>
      <c r="X72" s="27" t="e">
        <f t="shared" si="7"/>
        <v>#N/A</v>
      </c>
      <c r="Y72" s="196">
        <f t="shared" si="8"/>
        <v>0</v>
      </c>
      <c r="AA72" s="2" t="e">
        <f t="shared" si="9"/>
        <v>#N/A</v>
      </c>
      <c r="AB72" s="128" t="e">
        <f t="shared" si="10"/>
        <v>#N/A</v>
      </c>
      <c r="AC72" s="128" t="e">
        <f t="shared" si="10"/>
        <v>#N/A</v>
      </c>
      <c r="AD72" s="27" t="e">
        <f t="shared" si="11"/>
        <v>#N/A</v>
      </c>
      <c r="AE72" s="27" t="e">
        <f t="shared" si="12"/>
        <v>#N/A</v>
      </c>
      <c r="AF72" s="196">
        <f t="shared" si="13"/>
        <v>0</v>
      </c>
      <c r="AH72" s="2">
        <v>69</v>
      </c>
      <c r="AI72" s="2" t="e">
        <f t="shared" si="14"/>
        <v>#N/A</v>
      </c>
      <c r="AJ72" s="2" t="e">
        <f t="shared" si="15"/>
        <v>#N/A</v>
      </c>
      <c r="AL72" s="2" t="e">
        <f t="shared" si="16"/>
        <v>#N/A</v>
      </c>
      <c r="AM72" s="2" t="e">
        <f t="shared" si="17"/>
        <v>#N/A</v>
      </c>
      <c r="AN72" s="2" t="e">
        <f t="shared" si="17"/>
        <v>#N/A</v>
      </c>
      <c r="AP72" s="2">
        <v>69</v>
      </c>
      <c r="AQ72" t="e">
        <f t="shared" si="18"/>
        <v>#N/A</v>
      </c>
      <c r="AR72" t="e">
        <f t="shared" si="19"/>
        <v>#N/A</v>
      </c>
      <c r="AT72" s="2">
        <v>69</v>
      </c>
      <c r="AU72" t="str">
        <f t="shared" si="20"/>
        <v>Station (ft)</v>
      </c>
      <c r="AV72" t="str">
        <f t="shared" si="20"/>
        <v>Elevation (ft)</v>
      </c>
    </row>
    <row r="73" spans="1:48">
      <c r="A73" s="22" t="e">
        <f>#REF!</f>
        <v>#REF!</v>
      </c>
      <c r="B73" s="22" t="e">
        <f>IF(ISNUMBER(#REF!),#REF!,NA())</f>
        <v>#N/A</v>
      </c>
      <c r="C73" s="22" t="e">
        <f>IF(ISNUMBER(#REF!),#REF!,NA())</f>
        <v>#N/A</v>
      </c>
      <c r="E73" s="325">
        <f>XS_Designer!E74</f>
        <v>70</v>
      </c>
      <c r="F73" s="46" t="e">
        <f>IF(XS_Designer!F74&lt;&gt;"",XS_Designer!F74,NA())</f>
        <v>#N/A</v>
      </c>
      <c r="G73" s="46" t="e">
        <f>IF(XS_Designer!G74&lt;&gt;"",XS_Designer!G74,NA())</f>
        <v>#N/A</v>
      </c>
      <c r="L73">
        <f t="shared" si="0"/>
        <v>70</v>
      </c>
      <c r="M73" s="54" t="e">
        <f t="shared" si="1"/>
        <v>#N/A</v>
      </c>
      <c r="N73" s="54" t="e">
        <f t="shared" si="2"/>
        <v>#N/A</v>
      </c>
      <c r="O73" s="54"/>
      <c r="P73" s="2" t="e">
        <f t="shared" si="21"/>
        <v>#N/A</v>
      </c>
      <c r="Q73" s="2" t="e">
        <f t="shared" si="3"/>
        <v>#N/A</v>
      </c>
      <c r="R73" s="2" t="e">
        <f t="shared" si="4"/>
        <v>#N/A</v>
      </c>
      <c r="T73" s="2" t="e">
        <f t="shared" si="5"/>
        <v>#N/A</v>
      </c>
      <c r="U73" s="128" t="e">
        <f>IF((SUMPRODUCT(COUNTIF($Q$4:$Q73,"INSERT"))=0),Q73,NA())</f>
        <v>#N/A</v>
      </c>
      <c r="V73" s="128" t="e">
        <f>IF((SUMPRODUCT(COUNTIF($Q$4:$Q73,"INSERT"))=0),R73,NA())</f>
        <v>#N/A</v>
      </c>
      <c r="W73" s="27" t="e">
        <f t="shared" si="6"/>
        <v>#N/A</v>
      </c>
      <c r="X73" s="27" t="e">
        <f t="shared" si="7"/>
        <v>#N/A</v>
      </c>
      <c r="Y73" s="196">
        <f t="shared" si="8"/>
        <v>0</v>
      </c>
      <c r="AA73" s="2" t="e">
        <f t="shared" si="9"/>
        <v>#N/A</v>
      </c>
      <c r="AB73" s="128" t="e">
        <f t="shared" si="10"/>
        <v>#N/A</v>
      </c>
      <c r="AC73" s="128" t="e">
        <f t="shared" si="10"/>
        <v>#N/A</v>
      </c>
      <c r="AD73" s="27" t="e">
        <f t="shared" si="11"/>
        <v>#N/A</v>
      </c>
      <c r="AE73" s="27" t="e">
        <f t="shared" si="12"/>
        <v>#N/A</v>
      </c>
      <c r="AF73" s="196">
        <f t="shared" si="13"/>
        <v>0</v>
      </c>
      <c r="AH73" s="2">
        <v>70</v>
      </c>
      <c r="AI73" s="2" t="e">
        <f t="shared" si="14"/>
        <v>#N/A</v>
      </c>
      <c r="AJ73" s="2" t="e">
        <f t="shared" si="15"/>
        <v>#N/A</v>
      </c>
      <c r="AL73" s="2" t="e">
        <f t="shared" si="16"/>
        <v>#N/A</v>
      </c>
      <c r="AM73" s="2" t="e">
        <f t="shared" si="17"/>
        <v>#N/A</v>
      </c>
      <c r="AN73" s="2" t="e">
        <f t="shared" si="17"/>
        <v>#N/A</v>
      </c>
      <c r="AP73" s="2">
        <v>70</v>
      </c>
      <c r="AQ73" t="e">
        <f t="shared" si="18"/>
        <v>#N/A</v>
      </c>
      <c r="AR73" t="e">
        <f t="shared" si="19"/>
        <v>#N/A</v>
      </c>
      <c r="AT73" s="2">
        <v>70</v>
      </c>
      <c r="AU73" t="str">
        <f t="shared" si="20"/>
        <v>Station (ft)</v>
      </c>
      <c r="AV73" t="str">
        <f t="shared" si="20"/>
        <v>Elevation (ft)</v>
      </c>
    </row>
    <row r="74" spans="1:48">
      <c r="A74" s="22" t="e">
        <f>#REF!</f>
        <v>#REF!</v>
      </c>
      <c r="B74" s="22" t="e">
        <f>IF(ISNUMBER(#REF!),#REF!,NA())</f>
        <v>#N/A</v>
      </c>
      <c r="C74" s="22" t="e">
        <f>IF(ISNUMBER(#REF!),#REF!,NA())</f>
        <v>#N/A</v>
      </c>
      <c r="E74" s="325">
        <f>XS_Designer!E75</f>
        <v>71</v>
      </c>
      <c r="F74" s="46" t="e">
        <f>IF(XS_Designer!F75&lt;&gt;"",XS_Designer!F75,NA())</f>
        <v>#N/A</v>
      </c>
      <c r="G74" s="46" t="e">
        <f>IF(XS_Designer!G75&lt;&gt;"",XS_Designer!G75,NA())</f>
        <v>#N/A</v>
      </c>
      <c r="L74">
        <f t="shared" si="0"/>
        <v>71</v>
      </c>
      <c r="M74" s="54" t="e">
        <f t="shared" si="1"/>
        <v>#N/A</v>
      </c>
      <c r="N74" s="54" t="e">
        <f t="shared" si="2"/>
        <v>#N/A</v>
      </c>
      <c r="O74" s="54"/>
      <c r="P74" s="2" t="e">
        <f t="shared" si="21"/>
        <v>#N/A</v>
      </c>
      <c r="Q74" s="2" t="e">
        <f t="shared" si="3"/>
        <v>#N/A</v>
      </c>
      <c r="R74" s="2" t="e">
        <f t="shared" si="4"/>
        <v>#N/A</v>
      </c>
      <c r="T74" s="2" t="e">
        <f t="shared" si="5"/>
        <v>#N/A</v>
      </c>
      <c r="U74" s="128" t="e">
        <f>IF((SUMPRODUCT(COUNTIF($Q$4:$Q74,"INSERT"))=0),Q74,NA())</f>
        <v>#N/A</v>
      </c>
      <c r="V74" s="128" t="e">
        <f>IF((SUMPRODUCT(COUNTIF($Q$4:$Q74,"INSERT"))=0),R74,NA())</f>
        <v>#N/A</v>
      </c>
      <c r="W74" s="27" t="e">
        <f t="shared" si="6"/>
        <v>#N/A</v>
      </c>
      <c r="X74" s="27" t="e">
        <f t="shared" si="7"/>
        <v>#N/A</v>
      </c>
      <c r="Y74" s="196">
        <f t="shared" si="8"/>
        <v>0</v>
      </c>
      <c r="AA74" s="2" t="e">
        <f t="shared" si="9"/>
        <v>#N/A</v>
      </c>
      <c r="AB74" s="128" t="e">
        <f t="shared" si="10"/>
        <v>#N/A</v>
      </c>
      <c r="AC74" s="128" t="e">
        <f t="shared" si="10"/>
        <v>#N/A</v>
      </c>
      <c r="AD74" s="27" t="e">
        <f t="shared" si="11"/>
        <v>#N/A</v>
      </c>
      <c r="AE74" s="27" t="e">
        <f t="shared" si="12"/>
        <v>#N/A</v>
      </c>
      <c r="AF74" s="196">
        <f t="shared" si="13"/>
        <v>0</v>
      </c>
      <c r="AH74" s="2">
        <v>71</v>
      </c>
      <c r="AI74" s="2" t="e">
        <f t="shared" si="14"/>
        <v>#N/A</v>
      </c>
      <c r="AJ74" s="2" t="e">
        <f t="shared" si="15"/>
        <v>#N/A</v>
      </c>
      <c r="AL74" s="2" t="e">
        <f t="shared" si="16"/>
        <v>#N/A</v>
      </c>
      <c r="AM74" s="2" t="e">
        <f t="shared" si="17"/>
        <v>#N/A</v>
      </c>
      <c r="AN74" s="2" t="e">
        <f t="shared" si="17"/>
        <v>#N/A</v>
      </c>
      <c r="AP74" s="2">
        <v>71</v>
      </c>
      <c r="AQ74" t="e">
        <f t="shared" si="18"/>
        <v>#N/A</v>
      </c>
      <c r="AR74" t="e">
        <f t="shared" si="19"/>
        <v>#N/A</v>
      </c>
      <c r="AT74" s="2">
        <v>71</v>
      </c>
      <c r="AU74" t="str">
        <f t="shared" si="20"/>
        <v>Station (ft)</v>
      </c>
      <c r="AV74" t="str">
        <f t="shared" si="20"/>
        <v>Elevation (ft)</v>
      </c>
    </row>
    <row r="75" spans="1:48">
      <c r="A75" s="22" t="e">
        <f>#REF!</f>
        <v>#REF!</v>
      </c>
      <c r="B75" s="22" t="e">
        <f>IF(ISNUMBER(#REF!),#REF!,NA())</f>
        <v>#N/A</v>
      </c>
      <c r="C75" s="22" t="e">
        <f>IF(ISNUMBER(#REF!),#REF!,NA())</f>
        <v>#N/A</v>
      </c>
      <c r="E75" s="325">
        <f>XS_Designer!E76</f>
        <v>72</v>
      </c>
      <c r="F75" s="46" t="e">
        <f>IF(XS_Designer!F76&lt;&gt;"",XS_Designer!F76,NA())</f>
        <v>#N/A</v>
      </c>
      <c r="G75" s="46" t="e">
        <f>IF(XS_Designer!G76&lt;&gt;"",XS_Designer!G76,NA())</f>
        <v>#N/A</v>
      </c>
      <c r="L75">
        <f t="shared" si="0"/>
        <v>72</v>
      </c>
      <c r="M75" s="54" t="e">
        <f t="shared" si="1"/>
        <v>#N/A</v>
      </c>
      <c r="N75" s="54" t="e">
        <f t="shared" si="2"/>
        <v>#N/A</v>
      </c>
      <c r="O75" s="54"/>
      <c r="P75" s="2" t="e">
        <f t="shared" si="21"/>
        <v>#N/A</v>
      </c>
      <c r="Q75" s="2" t="e">
        <f t="shared" si="3"/>
        <v>#N/A</v>
      </c>
      <c r="R75" s="2" t="e">
        <f t="shared" si="4"/>
        <v>#N/A</v>
      </c>
      <c r="T75" s="2" t="e">
        <f t="shared" si="5"/>
        <v>#N/A</v>
      </c>
      <c r="U75" s="128" t="e">
        <f>IF((SUMPRODUCT(COUNTIF($Q$4:$Q75,"INSERT"))=0),Q75,NA())</f>
        <v>#N/A</v>
      </c>
      <c r="V75" s="128" t="e">
        <f>IF((SUMPRODUCT(COUNTIF($Q$4:$Q75,"INSERT"))=0),R75,NA())</f>
        <v>#N/A</v>
      </c>
      <c r="W75" s="27" t="e">
        <f t="shared" si="6"/>
        <v>#N/A</v>
      </c>
      <c r="X75" s="27" t="e">
        <f t="shared" si="7"/>
        <v>#N/A</v>
      </c>
      <c r="Y75" s="196">
        <f t="shared" si="8"/>
        <v>0</v>
      </c>
      <c r="AA75" s="2" t="e">
        <f t="shared" si="9"/>
        <v>#N/A</v>
      </c>
      <c r="AB75" s="128" t="e">
        <f t="shared" si="10"/>
        <v>#N/A</v>
      </c>
      <c r="AC75" s="128" t="e">
        <f t="shared" si="10"/>
        <v>#N/A</v>
      </c>
      <c r="AD75" s="27" t="e">
        <f t="shared" si="11"/>
        <v>#N/A</v>
      </c>
      <c r="AE75" s="27" t="e">
        <f t="shared" si="12"/>
        <v>#N/A</v>
      </c>
      <c r="AF75" s="196">
        <f t="shared" si="13"/>
        <v>0</v>
      </c>
      <c r="AH75" s="2">
        <v>72</v>
      </c>
      <c r="AI75" s="2" t="e">
        <f t="shared" si="14"/>
        <v>#N/A</v>
      </c>
      <c r="AJ75" s="2" t="e">
        <f t="shared" si="15"/>
        <v>#N/A</v>
      </c>
      <c r="AL75" s="2" t="e">
        <f t="shared" si="16"/>
        <v>#N/A</v>
      </c>
      <c r="AM75" s="2" t="e">
        <f t="shared" si="17"/>
        <v>#N/A</v>
      </c>
      <c r="AN75" s="2" t="e">
        <f t="shared" si="17"/>
        <v>#N/A</v>
      </c>
      <c r="AP75" s="2">
        <v>72</v>
      </c>
      <c r="AQ75" t="e">
        <f t="shared" si="18"/>
        <v>#N/A</v>
      </c>
      <c r="AR75" t="e">
        <f t="shared" si="19"/>
        <v>#N/A</v>
      </c>
      <c r="AT75" s="2">
        <v>72</v>
      </c>
      <c r="AU75" t="str">
        <f t="shared" si="20"/>
        <v>Station (ft)</v>
      </c>
      <c r="AV75" t="str">
        <f t="shared" si="20"/>
        <v>Elevation (ft)</v>
      </c>
    </row>
    <row r="76" spans="1:48">
      <c r="A76" s="22" t="e">
        <f>#REF!</f>
        <v>#REF!</v>
      </c>
      <c r="B76" s="22" t="e">
        <f>IF(ISNUMBER(#REF!),#REF!,NA())</f>
        <v>#N/A</v>
      </c>
      <c r="C76" s="22" t="e">
        <f>IF(ISNUMBER(#REF!),#REF!,NA())</f>
        <v>#N/A</v>
      </c>
      <c r="E76" s="325">
        <f>XS_Designer!E77</f>
        <v>73</v>
      </c>
      <c r="F76" s="46" t="e">
        <f>IF(XS_Designer!F77&lt;&gt;"",XS_Designer!F77,NA())</f>
        <v>#N/A</v>
      </c>
      <c r="G76" s="46" t="e">
        <f>IF(XS_Designer!G77&lt;&gt;"",XS_Designer!G77,NA())</f>
        <v>#N/A</v>
      </c>
      <c r="L76">
        <f t="shared" si="0"/>
        <v>73</v>
      </c>
      <c r="M76" s="54" t="e">
        <f t="shared" si="1"/>
        <v>#N/A</v>
      </c>
      <c r="N76" s="54" t="e">
        <f t="shared" si="2"/>
        <v>#N/A</v>
      </c>
      <c r="O76" s="54"/>
      <c r="P76" s="2" t="e">
        <f t="shared" si="21"/>
        <v>#N/A</v>
      </c>
      <c r="Q76" s="2" t="e">
        <f t="shared" si="3"/>
        <v>#N/A</v>
      </c>
      <c r="R76" s="2" t="e">
        <f t="shared" si="4"/>
        <v>#N/A</v>
      </c>
      <c r="T76" s="2" t="e">
        <f t="shared" si="5"/>
        <v>#N/A</v>
      </c>
      <c r="U76" s="128" t="e">
        <f>IF((SUMPRODUCT(COUNTIF($Q$4:$Q76,"INSERT"))=0),Q76,NA())</f>
        <v>#N/A</v>
      </c>
      <c r="V76" s="128" t="e">
        <f>IF((SUMPRODUCT(COUNTIF($Q$4:$Q76,"INSERT"))=0),R76,NA())</f>
        <v>#N/A</v>
      </c>
      <c r="W76" s="27" t="e">
        <f t="shared" si="6"/>
        <v>#N/A</v>
      </c>
      <c r="X76" s="27" t="e">
        <f t="shared" si="7"/>
        <v>#N/A</v>
      </c>
      <c r="Y76" s="196">
        <f t="shared" si="8"/>
        <v>0</v>
      </c>
      <c r="AA76" s="2" t="e">
        <f t="shared" si="9"/>
        <v>#N/A</v>
      </c>
      <c r="AB76" s="128" t="e">
        <f t="shared" si="10"/>
        <v>#N/A</v>
      </c>
      <c r="AC76" s="128" t="e">
        <f t="shared" si="10"/>
        <v>#N/A</v>
      </c>
      <c r="AD76" s="27" t="e">
        <f t="shared" si="11"/>
        <v>#N/A</v>
      </c>
      <c r="AE76" s="27" t="e">
        <f t="shared" si="12"/>
        <v>#N/A</v>
      </c>
      <c r="AF76" s="196">
        <f t="shared" si="13"/>
        <v>0</v>
      </c>
      <c r="AH76" s="2">
        <v>73</v>
      </c>
      <c r="AI76" s="2" t="e">
        <f t="shared" si="14"/>
        <v>#N/A</v>
      </c>
      <c r="AJ76" s="2" t="e">
        <f t="shared" si="15"/>
        <v>#N/A</v>
      </c>
      <c r="AL76" s="2" t="e">
        <f t="shared" si="16"/>
        <v>#N/A</v>
      </c>
      <c r="AM76" s="2" t="e">
        <f t="shared" si="17"/>
        <v>#N/A</v>
      </c>
      <c r="AN76" s="2" t="e">
        <f t="shared" si="17"/>
        <v>#N/A</v>
      </c>
      <c r="AP76" s="2">
        <v>73</v>
      </c>
      <c r="AQ76" t="e">
        <f t="shared" si="18"/>
        <v>#N/A</v>
      </c>
      <c r="AR76" t="e">
        <f t="shared" si="19"/>
        <v>#N/A</v>
      </c>
      <c r="AT76" s="2">
        <v>73</v>
      </c>
      <c r="AU76" t="str">
        <f t="shared" si="20"/>
        <v>Station (ft)</v>
      </c>
      <c r="AV76" t="str">
        <f t="shared" si="20"/>
        <v>Elevation (ft)</v>
      </c>
    </row>
    <row r="77" spans="1:48">
      <c r="A77" s="22" t="e">
        <f>#REF!</f>
        <v>#REF!</v>
      </c>
      <c r="B77" s="22" t="e">
        <f>IF(ISNUMBER(#REF!),#REF!,NA())</f>
        <v>#N/A</v>
      </c>
      <c r="C77" s="22" t="e">
        <f>IF(ISNUMBER(#REF!),#REF!,NA())</f>
        <v>#N/A</v>
      </c>
      <c r="E77" s="325">
        <f>XS_Designer!E78</f>
        <v>74</v>
      </c>
      <c r="F77" s="46" t="e">
        <f>IF(XS_Designer!F78&lt;&gt;"",XS_Designer!F78,NA())</f>
        <v>#N/A</v>
      </c>
      <c r="G77" s="46" t="e">
        <f>IF(XS_Designer!G78&lt;&gt;"",XS_Designer!G78,NA())</f>
        <v>#N/A</v>
      </c>
      <c r="L77">
        <f t="shared" si="0"/>
        <v>74</v>
      </c>
      <c r="M77" s="54" t="e">
        <f t="shared" si="1"/>
        <v>#N/A</v>
      </c>
      <c r="N77" s="54" t="e">
        <f t="shared" si="2"/>
        <v>#N/A</v>
      </c>
      <c r="O77" s="54"/>
      <c r="P77" s="2" t="e">
        <f t="shared" si="21"/>
        <v>#N/A</v>
      </c>
      <c r="Q77" s="2" t="e">
        <f t="shared" si="3"/>
        <v>#N/A</v>
      </c>
      <c r="R77" s="2" t="e">
        <f t="shared" si="4"/>
        <v>#N/A</v>
      </c>
      <c r="T77" s="2" t="e">
        <f t="shared" si="5"/>
        <v>#N/A</v>
      </c>
      <c r="U77" s="128" t="e">
        <f>IF((SUMPRODUCT(COUNTIF($Q$4:$Q77,"INSERT"))=0),Q77,NA())</f>
        <v>#N/A</v>
      </c>
      <c r="V77" s="128" t="e">
        <f>IF((SUMPRODUCT(COUNTIF($Q$4:$Q77,"INSERT"))=0),R77,NA())</f>
        <v>#N/A</v>
      </c>
      <c r="W77" s="27" t="e">
        <f t="shared" si="6"/>
        <v>#N/A</v>
      </c>
      <c r="X77" s="27" t="e">
        <f t="shared" si="7"/>
        <v>#N/A</v>
      </c>
      <c r="Y77" s="196">
        <f t="shared" si="8"/>
        <v>0</v>
      </c>
      <c r="AA77" s="2" t="e">
        <f t="shared" si="9"/>
        <v>#N/A</v>
      </c>
      <c r="AB77" s="128" t="e">
        <f t="shared" si="10"/>
        <v>#N/A</v>
      </c>
      <c r="AC77" s="128" t="e">
        <f t="shared" si="10"/>
        <v>#N/A</v>
      </c>
      <c r="AD77" s="27" t="e">
        <f t="shared" si="11"/>
        <v>#N/A</v>
      </c>
      <c r="AE77" s="27" t="e">
        <f t="shared" si="12"/>
        <v>#N/A</v>
      </c>
      <c r="AF77" s="196">
        <f t="shared" si="13"/>
        <v>0</v>
      </c>
      <c r="AH77" s="2">
        <v>74</v>
      </c>
      <c r="AI77" s="2" t="e">
        <f t="shared" si="14"/>
        <v>#N/A</v>
      </c>
      <c r="AJ77" s="2" t="e">
        <f t="shared" si="15"/>
        <v>#N/A</v>
      </c>
      <c r="AL77" s="2" t="e">
        <f t="shared" si="16"/>
        <v>#N/A</v>
      </c>
      <c r="AM77" s="2" t="e">
        <f t="shared" si="17"/>
        <v>#N/A</v>
      </c>
      <c r="AN77" s="2" t="e">
        <f t="shared" si="17"/>
        <v>#N/A</v>
      </c>
      <c r="AP77" s="2">
        <v>74</v>
      </c>
      <c r="AQ77" t="e">
        <f t="shared" si="18"/>
        <v>#N/A</v>
      </c>
      <c r="AR77" t="e">
        <f t="shared" si="19"/>
        <v>#N/A</v>
      </c>
      <c r="AT77" s="2">
        <v>74</v>
      </c>
      <c r="AU77" t="str">
        <f t="shared" si="20"/>
        <v>Station (ft)</v>
      </c>
      <c r="AV77" t="str">
        <f t="shared" si="20"/>
        <v>Elevation (ft)</v>
      </c>
    </row>
    <row r="78" spans="1:48">
      <c r="A78" s="22" t="e">
        <f>#REF!</f>
        <v>#REF!</v>
      </c>
      <c r="B78" s="22" t="e">
        <f>IF(ISNUMBER(#REF!),#REF!,NA())</f>
        <v>#N/A</v>
      </c>
      <c r="C78" s="22" t="e">
        <f>IF(ISNUMBER(#REF!),#REF!,NA())</f>
        <v>#N/A</v>
      </c>
      <c r="E78" s="325">
        <f>XS_Designer!E79</f>
        <v>75</v>
      </c>
      <c r="F78" s="46" t="e">
        <f>IF(XS_Designer!F79&lt;&gt;"",XS_Designer!F79,NA())</f>
        <v>#N/A</v>
      </c>
      <c r="G78" s="46" t="e">
        <f>IF(XS_Designer!G79&lt;&gt;"",XS_Designer!G79,NA())</f>
        <v>#N/A</v>
      </c>
      <c r="L78">
        <f t="shared" si="0"/>
        <v>75</v>
      </c>
      <c r="M78" s="54" t="e">
        <f t="shared" si="1"/>
        <v>#N/A</v>
      </c>
      <c r="N78" s="54" t="e">
        <f t="shared" si="2"/>
        <v>#N/A</v>
      </c>
      <c r="O78" s="54"/>
      <c r="P78" s="2" t="e">
        <f t="shared" si="21"/>
        <v>#N/A</v>
      </c>
      <c r="Q78" s="2" t="e">
        <f t="shared" si="3"/>
        <v>#N/A</v>
      </c>
      <c r="R78" s="2" t="e">
        <f t="shared" si="4"/>
        <v>#N/A</v>
      </c>
      <c r="T78" s="2" t="e">
        <f t="shared" si="5"/>
        <v>#N/A</v>
      </c>
      <c r="U78" s="128" t="e">
        <f>IF((SUMPRODUCT(COUNTIF($Q$4:$Q78,"INSERT"))=0),Q78,NA())</f>
        <v>#N/A</v>
      </c>
      <c r="V78" s="128" t="e">
        <f>IF((SUMPRODUCT(COUNTIF($Q$4:$Q78,"INSERT"))=0),R78,NA())</f>
        <v>#N/A</v>
      </c>
      <c r="W78" s="27" t="e">
        <f t="shared" si="6"/>
        <v>#N/A</v>
      </c>
      <c r="X78" s="27" t="e">
        <f t="shared" si="7"/>
        <v>#N/A</v>
      </c>
      <c r="Y78" s="196">
        <f t="shared" si="8"/>
        <v>0</v>
      </c>
      <c r="AA78" s="2" t="e">
        <f t="shared" si="9"/>
        <v>#N/A</v>
      </c>
      <c r="AB78" s="128" t="e">
        <f t="shared" si="10"/>
        <v>#N/A</v>
      </c>
      <c r="AC78" s="128" t="e">
        <f t="shared" si="10"/>
        <v>#N/A</v>
      </c>
      <c r="AD78" s="27" t="e">
        <f t="shared" si="11"/>
        <v>#N/A</v>
      </c>
      <c r="AE78" s="27" t="e">
        <f t="shared" si="12"/>
        <v>#N/A</v>
      </c>
      <c r="AF78" s="196">
        <f t="shared" si="13"/>
        <v>0</v>
      </c>
      <c r="AH78" s="2">
        <v>75</v>
      </c>
      <c r="AI78" s="2" t="e">
        <f t="shared" si="14"/>
        <v>#N/A</v>
      </c>
      <c r="AJ78" s="2" t="e">
        <f t="shared" si="15"/>
        <v>#N/A</v>
      </c>
      <c r="AL78" s="2" t="e">
        <f t="shared" si="16"/>
        <v>#N/A</v>
      </c>
      <c r="AM78" s="2" t="e">
        <f t="shared" si="17"/>
        <v>#N/A</v>
      </c>
      <c r="AN78" s="2" t="e">
        <f t="shared" si="17"/>
        <v>#N/A</v>
      </c>
      <c r="AP78" s="2">
        <v>75</v>
      </c>
      <c r="AQ78" t="e">
        <f t="shared" si="18"/>
        <v>#N/A</v>
      </c>
      <c r="AR78" t="e">
        <f t="shared" si="19"/>
        <v>#N/A</v>
      </c>
      <c r="AT78" s="2">
        <v>75</v>
      </c>
      <c r="AU78" t="str">
        <f t="shared" si="20"/>
        <v>Station (ft)</v>
      </c>
      <c r="AV78" t="str">
        <f t="shared" si="20"/>
        <v>Elevation (ft)</v>
      </c>
    </row>
    <row r="79" spans="1:48">
      <c r="A79" s="22" t="e">
        <f>#REF!</f>
        <v>#REF!</v>
      </c>
      <c r="B79" s="22" t="e">
        <f>IF(ISNUMBER(#REF!),#REF!,NA())</f>
        <v>#N/A</v>
      </c>
      <c r="C79" s="22" t="e">
        <f>IF(ISNUMBER(#REF!),#REF!,NA())</f>
        <v>#N/A</v>
      </c>
      <c r="E79" s="325">
        <f>XS_Designer!E80</f>
        <v>76</v>
      </c>
      <c r="F79" s="46" t="e">
        <f>IF(XS_Designer!F80&lt;&gt;"",XS_Designer!F80,NA())</f>
        <v>#N/A</v>
      </c>
      <c r="G79" s="46" t="e">
        <f>IF(XS_Designer!G80&lt;&gt;"",XS_Designer!G80,NA())</f>
        <v>#N/A</v>
      </c>
      <c r="L79">
        <f t="shared" si="0"/>
        <v>76</v>
      </c>
      <c r="M79" s="54" t="e">
        <f t="shared" si="1"/>
        <v>#N/A</v>
      </c>
      <c r="N79" s="54" t="e">
        <f t="shared" si="2"/>
        <v>#N/A</v>
      </c>
      <c r="O79" s="54"/>
      <c r="P79" s="2" t="e">
        <f t="shared" si="21"/>
        <v>#N/A</v>
      </c>
      <c r="Q79" s="2" t="e">
        <f t="shared" si="3"/>
        <v>#N/A</v>
      </c>
      <c r="R79" s="2" t="e">
        <f t="shared" si="4"/>
        <v>#N/A</v>
      </c>
      <c r="T79" s="2" t="e">
        <f t="shared" si="5"/>
        <v>#N/A</v>
      </c>
      <c r="U79" s="128" t="e">
        <f>IF((SUMPRODUCT(COUNTIF($Q$4:$Q79,"INSERT"))=0),Q79,NA())</f>
        <v>#N/A</v>
      </c>
      <c r="V79" s="128" t="e">
        <f>IF((SUMPRODUCT(COUNTIF($Q$4:$Q79,"INSERT"))=0),R79,NA())</f>
        <v>#N/A</v>
      </c>
      <c r="W79" s="27" t="e">
        <f t="shared" si="6"/>
        <v>#N/A</v>
      </c>
      <c r="X79" s="27" t="e">
        <f t="shared" si="7"/>
        <v>#N/A</v>
      </c>
      <c r="Y79" s="196">
        <f t="shared" si="8"/>
        <v>0</v>
      </c>
      <c r="AA79" s="2" t="e">
        <f t="shared" si="9"/>
        <v>#N/A</v>
      </c>
      <c r="AB79" s="128" t="e">
        <f t="shared" si="10"/>
        <v>#N/A</v>
      </c>
      <c r="AC79" s="128" t="e">
        <f t="shared" si="10"/>
        <v>#N/A</v>
      </c>
      <c r="AD79" s="27" t="e">
        <f t="shared" si="11"/>
        <v>#N/A</v>
      </c>
      <c r="AE79" s="27" t="e">
        <f t="shared" si="12"/>
        <v>#N/A</v>
      </c>
      <c r="AF79" s="196">
        <f t="shared" si="13"/>
        <v>0</v>
      </c>
      <c r="AH79" s="2">
        <v>76</v>
      </c>
      <c r="AI79" s="2" t="e">
        <f t="shared" si="14"/>
        <v>#N/A</v>
      </c>
      <c r="AJ79" s="2" t="e">
        <f t="shared" si="15"/>
        <v>#N/A</v>
      </c>
      <c r="AL79" s="2" t="e">
        <f t="shared" si="16"/>
        <v>#N/A</v>
      </c>
      <c r="AM79" s="2" t="e">
        <f t="shared" si="17"/>
        <v>#N/A</v>
      </c>
      <c r="AN79" s="2" t="e">
        <f t="shared" si="17"/>
        <v>#N/A</v>
      </c>
      <c r="AP79" s="2">
        <v>76</v>
      </c>
      <c r="AQ79" t="e">
        <f t="shared" si="18"/>
        <v>#N/A</v>
      </c>
      <c r="AR79" t="e">
        <f t="shared" si="19"/>
        <v>#N/A</v>
      </c>
      <c r="AT79" s="2">
        <v>76</v>
      </c>
      <c r="AU79" t="str">
        <f t="shared" si="20"/>
        <v>Station (ft)</v>
      </c>
      <c r="AV79" t="str">
        <f t="shared" si="20"/>
        <v>Elevation (ft)</v>
      </c>
    </row>
    <row r="80" spans="1:48">
      <c r="A80" s="22" t="e">
        <f>#REF!</f>
        <v>#REF!</v>
      </c>
      <c r="B80" s="22" t="e">
        <f>IF(ISNUMBER(#REF!),#REF!,NA())</f>
        <v>#N/A</v>
      </c>
      <c r="C80" s="22" t="e">
        <f>IF(ISNUMBER(#REF!),#REF!,NA())</f>
        <v>#N/A</v>
      </c>
      <c r="E80" s="325">
        <f>XS_Designer!E81</f>
        <v>77</v>
      </c>
      <c r="F80" s="46" t="e">
        <f>IF(XS_Designer!F81&lt;&gt;"",XS_Designer!F81,NA())</f>
        <v>#N/A</v>
      </c>
      <c r="G80" s="46" t="e">
        <f>IF(XS_Designer!G81&lt;&gt;"",XS_Designer!G81,NA())</f>
        <v>#N/A</v>
      </c>
      <c r="L80">
        <f t="shared" si="0"/>
        <v>77</v>
      </c>
      <c r="M80" s="54" t="e">
        <f t="shared" si="1"/>
        <v>#N/A</v>
      </c>
      <c r="N80" s="54" t="e">
        <f t="shared" si="2"/>
        <v>#N/A</v>
      </c>
      <c r="O80" s="54"/>
      <c r="P80" s="2" t="e">
        <f t="shared" si="21"/>
        <v>#N/A</v>
      </c>
      <c r="Q80" s="2" t="e">
        <f t="shared" si="3"/>
        <v>#N/A</v>
      </c>
      <c r="R80" s="2" t="e">
        <f t="shared" si="4"/>
        <v>#N/A</v>
      </c>
      <c r="T80" s="2" t="e">
        <f t="shared" si="5"/>
        <v>#N/A</v>
      </c>
      <c r="U80" s="128" t="e">
        <f>IF((SUMPRODUCT(COUNTIF($Q$4:$Q80,"INSERT"))=0),Q80,NA())</f>
        <v>#N/A</v>
      </c>
      <c r="V80" s="128" t="e">
        <f>IF((SUMPRODUCT(COUNTIF($Q$4:$Q80,"INSERT"))=0),R80,NA())</f>
        <v>#N/A</v>
      </c>
      <c r="W80" s="27" t="e">
        <f t="shared" si="6"/>
        <v>#N/A</v>
      </c>
      <c r="X80" s="27" t="e">
        <f t="shared" si="7"/>
        <v>#N/A</v>
      </c>
      <c r="Y80" s="196">
        <f t="shared" si="8"/>
        <v>0</v>
      </c>
      <c r="AA80" s="2" t="e">
        <f t="shared" si="9"/>
        <v>#N/A</v>
      </c>
      <c r="AB80" s="128" t="e">
        <f t="shared" si="10"/>
        <v>#N/A</v>
      </c>
      <c r="AC80" s="128" t="e">
        <f t="shared" si="10"/>
        <v>#N/A</v>
      </c>
      <c r="AD80" s="27" t="e">
        <f t="shared" si="11"/>
        <v>#N/A</v>
      </c>
      <c r="AE80" s="27" t="e">
        <f t="shared" si="12"/>
        <v>#N/A</v>
      </c>
      <c r="AF80" s="196">
        <f t="shared" si="13"/>
        <v>0</v>
      </c>
      <c r="AH80" s="2">
        <v>77</v>
      </c>
      <c r="AI80" s="2" t="e">
        <f t="shared" si="14"/>
        <v>#N/A</v>
      </c>
      <c r="AJ80" s="2" t="e">
        <f t="shared" si="15"/>
        <v>#N/A</v>
      </c>
      <c r="AL80" s="2" t="e">
        <f t="shared" si="16"/>
        <v>#N/A</v>
      </c>
      <c r="AM80" s="2" t="e">
        <f t="shared" si="17"/>
        <v>#N/A</v>
      </c>
      <c r="AN80" s="2" t="e">
        <f t="shared" si="17"/>
        <v>#N/A</v>
      </c>
      <c r="AP80" s="2">
        <v>77</v>
      </c>
      <c r="AQ80" t="e">
        <f t="shared" si="18"/>
        <v>#N/A</v>
      </c>
      <c r="AR80" t="e">
        <f t="shared" si="19"/>
        <v>#N/A</v>
      </c>
      <c r="AT80" s="2">
        <v>77</v>
      </c>
      <c r="AU80" t="str">
        <f t="shared" si="20"/>
        <v>Station (ft)</v>
      </c>
      <c r="AV80" t="str">
        <f t="shared" si="20"/>
        <v>Elevation (ft)</v>
      </c>
    </row>
    <row r="81" spans="1:48">
      <c r="A81" s="22" t="e">
        <f>#REF!</f>
        <v>#REF!</v>
      </c>
      <c r="B81" s="22" t="e">
        <f>IF(ISNUMBER(#REF!),#REF!,NA())</f>
        <v>#N/A</v>
      </c>
      <c r="C81" s="22" t="e">
        <f>IF(ISNUMBER(#REF!),#REF!,NA())</f>
        <v>#N/A</v>
      </c>
      <c r="E81" s="325">
        <f>XS_Designer!E82</f>
        <v>78</v>
      </c>
      <c r="F81" s="46" t="e">
        <f>IF(XS_Designer!F82&lt;&gt;"",XS_Designer!F82,NA())</f>
        <v>#N/A</v>
      </c>
      <c r="G81" s="46" t="e">
        <f>IF(XS_Designer!G82&lt;&gt;"",XS_Designer!G82,NA())</f>
        <v>#N/A</v>
      </c>
      <c r="L81">
        <f t="shared" si="0"/>
        <v>78</v>
      </c>
      <c r="M81" s="54" t="e">
        <f t="shared" si="1"/>
        <v>#N/A</v>
      </c>
      <c r="N81" s="54" t="e">
        <f t="shared" si="2"/>
        <v>#N/A</v>
      </c>
      <c r="O81" s="54"/>
      <c r="P81" s="2" t="e">
        <f t="shared" si="21"/>
        <v>#N/A</v>
      </c>
      <c r="Q81" s="2" t="e">
        <f t="shared" si="3"/>
        <v>#N/A</v>
      </c>
      <c r="R81" s="2" t="e">
        <f t="shared" si="4"/>
        <v>#N/A</v>
      </c>
      <c r="T81" s="2" t="e">
        <f t="shared" si="5"/>
        <v>#N/A</v>
      </c>
      <c r="U81" s="128" t="e">
        <f>IF((SUMPRODUCT(COUNTIF($Q$4:$Q81,"INSERT"))=0),Q81,NA())</f>
        <v>#N/A</v>
      </c>
      <c r="V81" s="128" t="e">
        <f>IF((SUMPRODUCT(COUNTIF($Q$4:$Q81,"INSERT"))=0),R81,NA())</f>
        <v>#N/A</v>
      </c>
      <c r="W81" s="27" t="e">
        <f t="shared" si="6"/>
        <v>#N/A</v>
      </c>
      <c r="X81" s="27" t="e">
        <f t="shared" si="7"/>
        <v>#N/A</v>
      </c>
      <c r="Y81" s="196">
        <f t="shared" si="8"/>
        <v>0</v>
      </c>
      <c r="AA81" s="2" t="e">
        <f t="shared" si="9"/>
        <v>#N/A</v>
      </c>
      <c r="AB81" s="128" t="e">
        <f t="shared" si="10"/>
        <v>#N/A</v>
      </c>
      <c r="AC81" s="128" t="e">
        <f t="shared" si="10"/>
        <v>#N/A</v>
      </c>
      <c r="AD81" s="27" t="e">
        <f t="shared" si="11"/>
        <v>#N/A</v>
      </c>
      <c r="AE81" s="27" t="e">
        <f t="shared" si="12"/>
        <v>#N/A</v>
      </c>
      <c r="AF81" s="196">
        <f t="shared" si="13"/>
        <v>0</v>
      </c>
      <c r="AH81" s="2">
        <v>78</v>
      </c>
      <c r="AI81" s="2" t="e">
        <f t="shared" si="14"/>
        <v>#N/A</v>
      </c>
      <c r="AJ81" s="2" t="e">
        <f t="shared" si="15"/>
        <v>#N/A</v>
      </c>
      <c r="AL81" s="2" t="e">
        <f t="shared" si="16"/>
        <v>#N/A</v>
      </c>
      <c r="AM81" s="2" t="e">
        <f t="shared" si="17"/>
        <v>#N/A</v>
      </c>
      <c r="AN81" s="2" t="e">
        <f t="shared" si="17"/>
        <v>#N/A</v>
      </c>
      <c r="AP81" s="2">
        <v>78</v>
      </c>
      <c r="AQ81" t="e">
        <f t="shared" si="18"/>
        <v>#N/A</v>
      </c>
      <c r="AR81" t="e">
        <f t="shared" si="19"/>
        <v>#N/A</v>
      </c>
      <c r="AT81" s="2">
        <v>78</v>
      </c>
      <c r="AU81" t="str">
        <f t="shared" si="20"/>
        <v>Station (ft)</v>
      </c>
      <c r="AV81" t="str">
        <f t="shared" si="20"/>
        <v>Elevation (ft)</v>
      </c>
    </row>
    <row r="82" spans="1:48">
      <c r="A82" s="22" t="e">
        <f>#REF!</f>
        <v>#REF!</v>
      </c>
      <c r="B82" s="22" t="e">
        <f>IF(ISNUMBER(#REF!),#REF!,NA())</f>
        <v>#N/A</v>
      </c>
      <c r="C82" s="22" t="e">
        <f>IF(ISNUMBER(#REF!),#REF!,NA())</f>
        <v>#N/A</v>
      </c>
      <c r="E82" s="325">
        <f>XS_Designer!E83</f>
        <v>79</v>
      </c>
      <c r="F82" s="46" t="e">
        <f>IF(XS_Designer!F83&lt;&gt;"",XS_Designer!F83,NA())</f>
        <v>#N/A</v>
      </c>
      <c r="G82" s="46" t="e">
        <f>IF(XS_Designer!G83&lt;&gt;"",XS_Designer!G83,NA())</f>
        <v>#N/A</v>
      </c>
      <c r="L82">
        <f t="shared" si="0"/>
        <v>79</v>
      </c>
      <c r="M82" s="54" t="e">
        <f t="shared" si="1"/>
        <v>#N/A</v>
      </c>
      <c r="N82" s="54" t="e">
        <f t="shared" si="2"/>
        <v>#N/A</v>
      </c>
      <c r="O82" s="54"/>
      <c r="P82" s="2" t="e">
        <f t="shared" si="21"/>
        <v>#N/A</v>
      </c>
      <c r="Q82" s="2" t="e">
        <f t="shared" si="3"/>
        <v>#N/A</v>
      </c>
      <c r="R82" s="2" t="e">
        <f t="shared" si="4"/>
        <v>#N/A</v>
      </c>
      <c r="T82" s="2" t="e">
        <f t="shared" si="5"/>
        <v>#N/A</v>
      </c>
      <c r="U82" s="128" t="e">
        <f>IF((SUMPRODUCT(COUNTIF($Q$4:$Q82,"INSERT"))=0),Q82,NA())</f>
        <v>#N/A</v>
      </c>
      <c r="V82" s="128" t="e">
        <f>IF((SUMPRODUCT(COUNTIF($Q$4:$Q82,"INSERT"))=0),R82,NA())</f>
        <v>#N/A</v>
      </c>
      <c r="W82" s="27" t="e">
        <f t="shared" si="6"/>
        <v>#N/A</v>
      </c>
      <c r="X82" s="27" t="e">
        <f t="shared" si="7"/>
        <v>#N/A</v>
      </c>
      <c r="Y82" s="196">
        <f t="shared" si="8"/>
        <v>0</v>
      </c>
      <c r="AA82" s="2" t="e">
        <f t="shared" si="9"/>
        <v>#N/A</v>
      </c>
      <c r="AB82" s="128" t="e">
        <f t="shared" si="10"/>
        <v>#N/A</v>
      </c>
      <c r="AC82" s="128" t="e">
        <f t="shared" si="10"/>
        <v>#N/A</v>
      </c>
      <c r="AD82" s="27" t="e">
        <f t="shared" si="11"/>
        <v>#N/A</v>
      </c>
      <c r="AE82" s="27" t="e">
        <f t="shared" si="12"/>
        <v>#N/A</v>
      </c>
      <c r="AF82" s="196">
        <f t="shared" si="13"/>
        <v>0</v>
      </c>
      <c r="AH82" s="2">
        <v>79</v>
      </c>
      <c r="AI82" s="2" t="e">
        <f t="shared" si="14"/>
        <v>#N/A</v>
      </c>
      <c r="AJ82" s="2" t="e">
        <f t="shared" si="15"/>
        <v>#N/A</v>
      </c>
      <c r="AL82" s="2" t="e">
        <f t="shared" si="16"/>
        <v>#N/A</v>
      </c>
      <c r="AM82" s="2" t="e">
        <f t="shared" si="17"/>
        <v>#N/A</v>
      </c>
      <c r="AN82" s="2" t="e">
        <f t="shared" si="17"/>
        <v>#N/A</v>
      </c>
      <c r="AP82" s="2">
        <v>79</v>
      </c>
      <c r="AQ82" t="e">
        <f t="shared" si="18"/>
        <v>#N/A</v>
      </c>
      <c r="AR82" t="e">
        <f t="shared" si="19"/>
        <v>#N/A</v>
      </c>
      <c r="AT82" s="2">
        <v>79</v>
      </c>
      <c r="AU82" t="str">
        <f t="shared" si="20"/>
        <v>Station (ft)</v>
      </c>
      <c r="AV82" t="str">
        <f t="shared" si="20"/>
        <v>Elevation (ft)</v>
      </c>
    </row>
    <row r="83" spans="1:48">
      <c r="A83" s="22" t="e">
        <f>#REF!</f>
        <v>#REF!</v>
      </c>
      <c r="B83" s="22" t="e">
        <f>IF(ISNUMBER(#REF!),#REF!,NA())</f>
        <v>#N/A</v>
      </c>
      <c r="C83" s="22" t="e">
        <f>IF(ISNUMBER(#REF!),#REF!,NA())</f>
        <v>#N/A</v>
      </c>
      <c r="E83" s="325">
        <f>XS_Designer!E84</f>
        <v>80</v>
      </c>
      <c r="F83" s="46" t="e">
        <f>IF(XS_Designer!F84&lt;&gt;"",XS_Designer!F84,NA())</f>
        <v>#N/A</v>
      </c>
      <c r="G83" s="46" t="e">
        <f>IF(XS_Designer!G84&lt;&gt;"",XS_Designer!G84,NA())</f>
        <v>#N/A</v>
      </c>
      <c r="L83">
        <f t="shared" si="0"/>
        <v>80</v>
      </c>
      <c r="M83" s="54" t="e">
        <f t="shared" si="1"/>
        <v>#N/A</v>
      </c>
      <c r="N83" s="54" t="e">
        <f t="shared" si="2"/>
        <v>#N/A</v>
      </c>
      <c r="O83" s="54"/>
      <c r="P83" s="2" t="e">
        <f t="shared" si="21"/>
        <v>#N/A</v>
      </c>
      <c r="Q83" s="2" t="e">
        <f t="shared" si="3"/>
        <v>#N/A</v>
      </c>
      <c r="R83" s="2" t="e">
        <f t="shared" si="4"/>
        <v>#N/A</v>
      </c>
      <c r="T83" s="2" t="e">
        <f t="shared" si="5"/>
        <v>#N/A</v>
      </c>
      <c r="U83" s="128" t="e">
        <f>IF((SUMPRODUCT(COUNTIF($Q$4:$Q83,"INSERT"))=0),Q83,NA())</f>
        <v>#N/A</v>
      </c>
      <c r="V83" s="128" t="e">
        <f>IF((SUMPRODUCT(COUNTIF($Q$4:$Q83,"INSERT"))=0),R83,NA())</f>
        <v>#N/A</v>
      </c>
      <c r="W83" s="27" t="e">
        <f t="shared" si="6"/>
        <v>#N/A</v>
      </c>
      <c r="X83" s="27" t="e">
        <f t="shared" si="7"/>
        <v>#N/A</v>
      </c>
      <c r="Y83" s="196">
        <f t="shared" si="8"/>
        <v>0</v>
      </c>
      <c r="AA83" s="2" t="e">
        <f t="shared" si="9"/>
        <v>#N/A</v>
      </c>
      <c r="AB83" s="128" t="e">
        <f t="shared" si="10"/>
        <v>#N/A</v>
      </c>
      <c r="AC83" s="128" t="e">
        <f t="shared" si="10"/>
        <v>#N/A</v>
      </c>
      <c r="AD83" s="27" t="e">
        <f t="shared" si="11"/>
        <v>#N/A</v>
      </c>
      <c r="AE83" s="27" t="e">
        <f t="shared" si="12"/>
        <v>#N/A</v>
      </c>
      <c r="AF83" s="196">
        <f t="shared" si="13"/>
        <v>0</v>
      </c>
      <c r="AH83" s="2">
        <v>80</v>
      </c>
      <c r="AI83" s="2" t="e">
        <f t="shared" si="14"/>
        <v>#N/A</v>
      </c>
      <c r="AJ83" s="2" t="e">
        <f t="shared" si="15"/>
        <v>#N/A</v>
      </c>
      <c r="AL83" s="2" t="e">
        <f t="shared" si="16"/>
        <v>#N/A</v>
      </c>
      <c r="AM83" s="2" t="e">
        <f t="shared" si="17"/>
        <v>#N/A</v>
      </c>
      <c r="AN83" s="2" t="e">
        <f t="shared" si="17"/>
        <v>#N/A</v>
      </c>
      <c r="AP83" s="2">
        <v>80</v>
      </c>
      <c r="AQ83" t="e">
        <f t="shared" si="18"/>
        <v>#N/A</v>
      </c>
      <c r="AR83" t="e">
        <f t="shared" si="19"/>
        <v>#N/A</v>
      </c>
      <c r="AT83" s="2">
        <v>80</v>
      </c>
      <c r="AU83" t="str">
        <f t="shared" si="20"/>
        <v>Station (ft)</v>
      </c>
      <c r="AV83" t="str">
        <f t="shared" si="20"/>
        <v>Elevation (ft)</v>
      </c>
    </row>
    <row r="84" spans="1:48">
      <c r="A84" s="22" t="e">
        <f>#REF!</f>
        <v>#REF!</v>
      </c>
      <c r="B84" s="22" t="e">
        <f>IF(ISNUMBER(#REF!),#REF!,NA())</f>
        <v>#N/A</v>
      </c>
      <c r="C84" s="22" t="e">
        <f>IF(ISNUMBER(#REF!),#REF!,NA())</f>
        <v>#N/A</v>
      </c>
      <c r="E84" s="325">
        <f>XS_Designer!E85</f>
        <v>81</v>
      </c>
      <c r="F84" s="46" t="e">
        <f>IF(XS_Designer!F85&lt;&gt;"",XS_Designer!F85,NA())</f>
        <v>#N/A</v>
      </c>
      <c r="G84" s="46" t="e">
        <f>IF(XS_Designer!G85&lt;&gt;"",XS_Designer!G85,NA())</f>
        <v>#N/A</v>
      </c>
      <c r="L84">
        <f t="shared" si="0"/>
        <v>81</v>
      </c>
      <c r="M84" s="54" t="e">
        <f t="shared" si="1"/>
        <v>#N/A</v>
      </c>
      <c r="N84" s="54" t="e">
        <f t="shared" si="2"/>
        <v>#N/A</v>
      </c>
      <c r="O84" s="54"/>
      <c r="P84" s="2" t="e">
        <f t="shared" si="21"/>
        <v>#N/A</v>
      </c>
      <c r="Q84" s="2" t="e">
        <f t="shared" si="3"/>
        <v>#N/A</v>
      </c>
      <c r="R84" s="2" t="e">
        <f t="shared" si="4"/>
        <v>#N/A</v>
      </c>
      <c r="T84" s="2" t="e">
        <f t="shared" si="5"/>
        <v>#N/A</v>
      </c>
      <c r="U84" s="128" t="e">
        <f>IF((SUMPRODUCT(COUNTIF($Q$4:$Q84,"INSERT"))=0),Q84,NA())</f>
        <v>#N/A</v>
      </c>
      <c r="V84" s="128" t="e">
        <f>IF((SUMPRODUCT(COUNTIF($Q$4:$Q84,"INSERT"))=0),R84,NA())</f>
        <v>#N/A</v>
      </c>
      <c r="W84" s="27" t="e">
        <f t="shared" si="6"/>
        <v>#N/A</v>
      </c>
      <c r="X84" s="27" t="e">
        <f t="shared" si="7"/>
        <v>#N/A</v>
      </c>
      <c r="Y84" s="196">
        <f t="shared" si="8"/>
        <v>0</v>
      </c>
      <c r="AA84" s="2" t="e">
        <f t="shared" si="9"/>
        <v>#N/A</v>
      </c>
      <c r="AB84" s="128" t="e">
        <f t="shared" si="10"/>
        <v>#N/A</v>
      </c>
      <c r="AC84" s="128" t="e">
        <f t="shared" si="10"/>
        <v>#N/A</v>
      </c>
      <c r="AD84" s="27" t="e">
        <f t="shared" si="11"/>
        <v>#N/A</v>
      </c>
      <c r="AE84" s="27" t="e">
        <f t="shared" si="12"/>
        <v>#N/A</v>
      </c>
      <c r="AF84" s="196">
        <f t="shared" si="13"/>
        <v>0</v>
      </c>
      <c r="AH84" s="2">
        <v>81</v>
      </c>
      <c r="AI84" s="2" t="e">
        <f t="shared" si="14"/>
        <v>#N/A</v>
      </c>
      <c r="AJ84" s="2" t="e">
        <f t="shared" si="15"/>
        <v>#N/A</v>
      </c>
      <c r="AL84" s="2" t="e">
        <f t="shared" si="16"/>
        <v>#N/A</v>
      </c>
      <c r="AM84" s="2" t="e">
        <f t="shared" si="17"/>
        <v>#N/A</v>
      </c>
      <c r="AN84" s="2" t="e">
        <f t="shared" si="17"/>
        <v>#N/A</v>
      </c>
      <c r="AP84" s="2">
        <v>81</v>
      </c>
      <c r="AQ84" t="e">
        <f t="shared" si="18"/>
        <v>#N/A</v>
      </c>
      <c r="AR84" t="e">
        <f t="shared" si="19"/>
        <v>#N/A</v>
      </c>
      <c r="AT84" s="2">
        <v>81</v>
      </c>
      <c r="AU84" t="str">
        <f t="shared" si="20"/>
        <v>Station (ft)</v>
      </c>
      <c r="AV84" t="str">
        <f t="shared" si="20"/>
        <v>Elevation (ft)</v>
      </c>
    </row>
    <row r="85" spans="1:48">
      <c r="A85" s="22" t="e">
        <f>#REF!</f>
        <v>#REF!</v>
      </c>
      <c r="B85" s="22" t="e">
        <f>IF(ISNUMBER(#REF!),#REF!,NA())</f>
        <v>#N/A</v>
      </c>
      <c r="C85" s="22" t="e">
        <f>IF(ISNUMBER(#REF!),#REF!,NA())</f>
        <v>#N/A</v>
      </c>
      <c r="E85" s="325">
        <f>XS_Designer!E86</f>
        <v>82</v>
      </c>
      <c r="F85" s="46" t="e">
        <f>IF(XS_Designer!F86&lt;&gt;"",XS_Designer!F86,NA())</f>
        <v>#N/A</v>
      </c>
      <c r="G85" s="46" t="e">
        <f>IF(XS_Designer!G86&lt;&gt;"",XS_Designer!G86,NA())</f>
        <v>#N/A</v>
      </c>
      <c r="L85">
        <f t="shared" si="0"/>
        <v>82</v>
      </c>
      <c r="M85" s="54" t="e">
        <f t="shared" si="1"/>
        <v>#N/A</v>
      </c>
      <c r="N85" s="54" t="e">
        <f t="shared" si="2"/>
        <v>#N/A</v>
      </c>
      <c r="O85" s="54"/>
      <c r="P85" s="2" t="e">
        <f t="shared" si="21"/>
        <v>#N/A</v>
      </c>
      <c r="Q85" s="2" t="e">
        <f t="shared" si="3"/>
        <v>#N/A</v>
      </c>
      <c r="R85" s="2" t="e">
        <f t="shared" si="4"/>
        <v>#N/A</v>
      </c>
      <c r="T85" s="2" t="e">
        <f t="shared" si="5"/>
        <v>#N/A</v>
      </c>
      <c r="U85" s="128" t="e">
        <f>IF((SUMPRODUCT(COUNTIF($Q$4:$Q85,"INSERT"))=0),Q85,NA())</f>
        <v>#N/A</v>
      </c>
      <c r="V85" s="128" t="e">
        <f>IF((SUMPRODUCT(COUNTIF($Q$4:$Q85,"INSERT"))=0),R85,NA())</f>
        <v>#N/A</v>
      </c>
      <c r="W85" s="27" t="e">
        <f t="shared" si="6"/>
        <v>#N/A</v>
      </c>
      <c r="X85" s="27" t="e">
        <f t="shared" si="7"/>
        <v>#N/A</v>
      </c>
      <c r="Y85" s="196">
        <f t="shared" si="8"/>
        <v>0</v>
      </c>
      <c r="AA85" s="2" t="e">
        <f t="shared" si="9"/>
        <v>#N/A</v>
      </c>
      <c r="AB85" s="128" t="e">
        <f t="shared" si="10"/>
        <v>#N/A</v>
      </c>
      <c r="AC85" s="128" t="e">
        <f t="shared" si="10"/>
        <v>#N/A</v>
      </c>
      <c r="AD85" s="27" t="e">
        <f t="shared" si="11"/>
        <v>#N/A</v>
      </c>
      <c r="AE85" s="27" t="e">
        <f t="shared" si="12"/>
        <v>#N/A</v>
      </c>
      <c r="AF85" s="196">
        <f t="shared" si="13"/>
        <v>0</v>
      </c>
      <c r="AH85" s="2">
        <v>82</v>
      </c>
      <c r="AI85" s="2" t="e">
        <f t="shared" si="14"/>
        <v>#N/A</v>
      </c>
      <c r="AJ85" s="2" t="e">
        <f t="shared" si="15"/>
        <v>#N/A</v>
      </c>
      <c r="AL85" s="2" t="e">
        <f t="shared" si="16"/>
        <v>#N/A</v>
      </c>
      <c r="AM85" s="2" t="e">
        <f t="shared" si="17"/>
        <v>#N/A</v>
      </c>
      <c r="AN85" s="2" t="e">
        <f t="shared" si="17"/>
        <v>#N/A</v>
      </c>
      <c r="AP85" s="2">
        <v>82</v>
      </c>
      <c r="AQ85" t="e">
        <f t="shared" si="18"/>
        <v>#N/A</v>
      </c>
      <c r="AR85" t="e">
        <f t="shared" si="19"/>
        <v>#N/A</v>
      </c>
      <c r="AT85" s="2">
        <v>82</v>
      </c>
      <c r="AU85" t="str">
        <f t="shared" si="20"/>
        <v>Station (ft)</v>
      </c>
      <c r="AV85" t="str">
        <f t="shared" si="20"/>
        <v>Elevation (ft)</v>
      </c>
    </row>
    <row r="86" spans="1:48">
      <c r="A86" s="22" t="e">
        <f>#REF!</f>
        <v>#REF!</v>
      </c>
      <c r="B86" s="22" t="e">
        <f>IF(ISNUMBER(#REF!),#REF!,NA())</f>
        <v>#N/A</v>
      </c>
      <c r="C86" s="22" t="e">
        <f>IF(ISNUMBER(#REF!),#REF!,NA())</f>
        <v>#N/A</v>
      </c>
      <c r="E86" s="325">
        <f>XS_Designer!E87</f>
        <v>83</v>
      </c>
      <c r="F86" s="46" t="e">
        <f>IF(XS_Designer!F87&lt;&gt;"",XS_Designer!F87,NA())</f>
        <v>#N/A</v>
      </c>
      <c r="G86" s="46" t="e">
        <f>IF(XS_Designer!G87&lt;&gt;"",XS_Designer!G87,NA())</f>
        <v>#N/A</v>
      </c>
      <c r="L86">
        <f t="shared" si="0"/>
        <v>83</v>
      </c>
      <c r="M86" s="54" t="e">
        <f t="shared" si="1"/>
        <v>#N/A</v>
      </c>
      <c r="N86" s="54" t="e">
        <f t="shared" si="2"/>
        <v>#N/A</v>
      </c>
      <c r="O86" s="54"/>
      <c r="P86" s="2" t="e">
        <f t="shared" si="21"/>
        <v>#N/A</v>
      </c>
      <c r="Q86" s="2" t="e">
        <f t="shared" si="3"/>
        <v>#N/A</v>
      </c>
      <c r="R86" s="2" t="e">
        <f t="shared" si="4"/>
        <v>#N/A</v>
      </c>
      <c r="T86" s="2" t="e">
        <f t="shared" si="5"/>
        <v>#N/A</v>
      </c>
      <c r="U86" s="128" t="e">
        <f>IF((SUMPRODUCT(COUNTIF($Q$4:$Q86,"INSERT"))=0),Q86,NA())</f>
        <v>#N/A</v>
      </c>
      <c r="V86" s="128" t="e">
        <f>IF((SUMPRODUCT(COUNTIF($Q$4:$Q86,"INSERT"))=0),R86,NA())</f>
        <v>#N/A</v>
      </c>
      <c r="W86" s="27" t="e">
        <f t="shared" si="6"/>
        <v>#N/A</v>
      </c>
      <c r="X86" s="27" t="e">
        <f t="shared" si="7"/>
        <v>#N/A</v>
      </c>
      <c r="Y86" s="196">
        <f t="shared" si="8"/>
        <v>0</v>
      </c>
      <c r="AA86" s="2" t="e">
        <f t="shared" si="9"/>
        <v>#N/A</v>
      </c>
      <c r="AB86" s="128" t="e">
        <f t="shared" si="10"/>
        <v>#N/A</v>
      </c>
      <c r="AC86" s="128" t="e">
        <f t="shared" si="10"/>
        <v>#N/A</v>
      </c>
      <c r="AD86" s="27" t="e">
        <f t="shared" si="11"/>
        <v>#N/A</v>
      </c>
      <c r="AE86" s="27" t="e">
        <f t="shared" si="12"/>
        <v>#N/A</v>
      </c>
      <c r="AF86" s="196">
        <f t="shared" si="13"/>
        <v>0</v>
      </c>
      <c r="AH86" s="2">
        <v>83</v>
      </c>
      <c r="AI86" s="2" t="e">
        <f t="shared" si="14"/>
        <v>#N/A</v>
      </c>
      <c r="AJ86" s="2" t="e">
        <f t="shared" si="15"/>
        <v>#N/A</v>
      </c>
      <c r="AL86" s="2" t="e">
        <f t="shared" si="16"/>
        <v>#N/A</v>
      </c>
      <c r="AM86" s="2" t="e">
        <f t="shared" si="17"/>
        <v>#N/A</v>
      </c>
      <c r="AN86" s="2" t="e">
        <f t="shared" si="17"/>
        <v>#N/A</v>
      </c>
      <c r="AP86" s="2">
        <v>83</v>
      </c>
      <c r="AQ86" t="e">
        <f t="shared" si="18"/>
        <v>#N/A</v>
      </c>
      <c r="AR86" t="e">
        <f t="shared" si="19"/>
        <v>#N/A</v>
      </c>
      <c r="AT86" s="2">
        <v>83</v>
      </c>
      <c r="AU86" t="str">
        <f t="shared" si="20"/>
        <v>Station (ft)</v>
      </c>
      <c r="AV86" t="str">
        <f t="shared" si="20"/>
        <v>Elevation (ft)</v>
      </c>
    </row>
    <row r="87" spans="1:48">
      <c r="A87" s="22" t="e">
        <f>#REF!</f>
        <v>#REF!</v>
      </c>
      <c r="B87" s="22" t="e">
        <f>IF(ISNUMBER(#REF!),#REF!,NA())</f>
        <v>#N/A</v>
      </c>
      <c r="C87" s="22" t="e">
        <f>IF(ISNUMBER(#REF!),#REF!,NA())</f>
        <v>#N/A</v>
      </c>
      <c r="E87" s="325">
        <f>XS_Designer!E88</f>
        <v>84</v>
      </c>
      <c r="F87" s="46" t="e">
        <f>IF(XS_Designer!F88&lt;&gt;"",XS_Designer!F88,NA())</f>
        <v>#N/A</v>
      </c>
      <c r="G87" s="46" t="e">
        <f>IF(XS_Designer!G88&lt;&gt;"",XS_Designer!G88,NA())</f>
        <v>#N/A</v>
      </c>
      <c r="L87">
        <f t="shared" si="0"/>
        <v>84</v>
      </c>
      <c r="M87" s="54" t="e">
        <f t="shared" si="1"/>
        <v>#N/A</v>
      </c>
      <c r="N87" s="54" t="e">
        <f t="shared" si="2"/>
        <v>#N/A</v>
      </c>
      <c r="O87" s="54"/>
      <c r="P87" s="2" t="e">
        <f t="shared" si="21"/>
        <v>#N/A</v>
      </c>
      <c r="Q87" s="2" t="e">
        <f t="shared" si="3"/>
        <v>#N/A</v>
      </c>
      <c r="R87" s="2" t="e">
        <f t="shared" si="4"/>
        <v>#N/A</v>
      </c>
      <c r="T87" s="2" t="e">
        <f t="shared" si="5"/>
        <v>#N/A</v>
      </c>
      <c r="U87" s="128" t="e">
        <f>IF((SUMPRODUCT(COUNTIF($Q$4:$Q87,"INSERT"))=0),Q87,NA())</f>
        <v>#N/A</v>
      </c>
      <c r="V87" s="128" t="e">
        <f>IF((SUMPRODUCT(COUNTIF($Q$4:$Q87,"INSERT"))=0),R87,NA())</f>
        <v>#N/A</v>
      </c>
      <c r="W87" s="27" t="e">
        <f t="shared" si="6"/>
        <v>#N/A</v>
      </c>
      <c r="X87" s="27" t="e">
        <f t="shared" si="7"/>
        <v>#N/A</v>
      </c>
      <c r="Y87" s="196">
        <f t="shared" si="8"/>
        <v>0</v>
      </c>
      <c r="AA87" s="2" t="e">
        <f t="shared" si="9"/>
        <v>#N/A</v>
      </c>
      <c r="AB87" s="128" t="e">
        <f t="shared" si="10"/>
        <v>#N/A</v>
      </c>
      <c r="AC87" s="128" t="e">
        <f t="shared" si="10"/>
        <v>#N/A</v>
      </c>
      <c r="AD87" s="27" t="e">
        <f t="shared" si="11"/>
        <v>#N/A</v>
      </c>
      <c r="AE87" s="27" t="e">
        <f t="shared" si="12"/>
        <v>#N/A</v>
      </c>
      <c r="AF87" s="196">
        <f t="shared" si="13"/>
        <v>0</v>
      </c>
      <c r="AH87" s="2">
        <v>84</v>
      </c>
      <c r="AI87" s="2" t="e">
        <f t="shared" si="14"/>
        <v>#N/A</v>
      </c>
      <c r="AJ87" s="2" t="e">
        <f t="shared" si="15"/>
        <v>#N/A</v>
      </c>
      <c r="AL87" s="2" t="e">
        <f t="shared" si="16"/>
        <v>#N/A</v>
      </c>
      <c r="AM87" s="2" t="e">
        <f t="shared" si="17"/>
        <v>#N/A</v>
      </c>
      <c r="AN87" s="2" t="e">
        <f t="shared" si="17"/>
        <v>#N/A</v>
      </c>
      <c r="AP87" s="2">
        <v>84</v>
      </c>
      <c r="AQ87" t="e">
        <f t="shared" si="18"/>
        <v>#N/A</v>
      </c>
      <c r="AR87" t="e">
        <f t="shared" si="19"/>
        <v>#N/A</v>
      </c>
      <c r="AT87" s="2">
        <v>84</v>
      </c>
      <c r="AU87" t="str">
        <f t="shared" si="20"/>
        <v>Station (ft)</v>
      </c>
      <c r="AV87" t="str">
        <f t="shared" si="20"/>
        <v>Elevation (ft)</v>
      </c>
    </row>
    <row r="88" spans="1:48">
      <c r="A88" s="22" t="e">
        <f>#REF!</f>
        <v>#REF!</v>
      </c>
      <c r="B88" s="22" t="e">
        <f>IF(ISNUMBER(#REF!),#REF!,NA())</f>
        <v>#N/A</v>
      </c>
      <c r="C88" s="22" t="e">
        <f>IF(ISNUMBER(#REF!),#REF!,NA())</f>
        <v>#N/A</v>
      </c>
      <c r="E88" s="325">
        <f>XS_Designer!E89</f>
        <v>85</v>
      </c>
      <c r="F88" s="46" t="e">
        <f>IF(XS_Designer!F89&lt;&gt;"",XS_Designer!F89,NA())</f>
        <v>#N/A</v>
      </c>
      <c r="G88" s="46" t="e">
        <f>IF(XS_Designer!G89&lt;&gt;"",XS_Designer!G89,NA())</f>
        <v>#N/A</v>
      </c>
      <c r="L88">
        <f t="shared" si="0"/>
        <v>85</v>
      </c>
      <c r="M88" s="54" t="e">
        <f t="shared" si="1"/>
        <v>#N/A</v>
      </c>
      <c r="N88" s="54" t="e">
        <f t="shared" si="2"/>
        <v>#N/A</v>
      </c>
      <c r="O88" s="54"/>
      <c r="P88" s="2" t="e">
        <f t="shared" si="21"/>
        <v>#N/A</v>
      </c>
      <c r="Q88" s="2" t="e">
        <f t="shared" si="3"/>
        <v>#N/A</v>
      </c>
      <c r="R88" s="2" t="e">
        <f t="shared" si="4"/>
        <v>#N/A</v>
      </c>
      <c r="T88" s="2" t="e">
        <f t="shared" si="5"/>
        <v>#N/A</v>
      </c>
      <c r="U88" s="128" t="e">
        <f>IF((SUMPRODUCT(COUNTIF($Q$4:$Q88,"INSERT"))=0),Q88,NA())</f>
        <v>#N/A</v>
      </c>
      <c r="V88" s="128" t="e">
        <f>IF((SUMPRODUCT(COUNTIF($Q$4:$Q88,"INSERT"))=0),R88,NA())</f>
        <v>#N/A</v>
      </c>
      <c r="W88" s="27" t="e">
        <f t="shared" si="6"/>
        <v>#N/A</v>
      </c>
      <c r="X88" s="27" t="e">
        <f t="shared" si="7"/>
        <v>#N/A</v>
      </c>
      <c r="Y88" s="196">
        <f t="shared" si="8"/>
        <v>0</v>
      </c>
      <c r="AA88" s="2" t="e">
        <f t="shared" si="9"/>
        <v>#N/A</v>
      </c>
      <c r="AB88" s="128" t="e">
        <f t="shared" si="10"/>
        <v>#N/A</v>
      </c>
      <c r="AC88" s="128" t="e">
        <f t="shared" si="10"/>
        <v>#N/A</v>
      </c>
      <c r="AD88" s="27" t="e">
        <f t="shared" si="11"/>
        <v>#N/A</v>
      </c>
      <c r="AE88" s="27" t="e">
        <f t="shared" si="12"/>
        <v>#N/A</v>
      </c>
      <c r="AF88" s="196">
        <f t="shared" si="13"/>
        <v>0</v>
      </c>
      <c r="AH88" s="2">
        <v>85</v>
      </c>
      <c r="AI88" s="2" t="e">
        <f t="shared" si="14"/>
        <v>#N/A</v>
      </c>
      <c r="AJ88" s="2" t="e">
        <f t="shared" si="15"/>
        <v>#N/A</v>
      </c>
      <c r="AL88" s="2" t="e">
        <f t="shared" si="16"/>
        <v>#N/A</v>
      </c>
      <c r="AM88" s="2" t="e">
        <f t="shared" si="17"/>
        <v>#N/A</v>
      </c>
      <c r="AN88" s="2" t="e">
        <f t="shared" si="17"/>
        <v>#N/A</v>
      </c>
      <c r="AP88" s="2">
        <v>85</v>
      </c>
      <c r="AQ88" t="e">
        <f t="shared" si="18"/>
        <v>#N/A</v>
      </c>
      <c r="AR88" t="e">
        <f t="shared" si="19"/>
        <v>#N/A</v>
      </c>
      <c r="AT88" s="2">
        <v>85</v>
      </c>
      <c r="AU88" t="str">
        <f t="shared" si="20"/>
        <v>Station (ft)</v>
      </c>
      <c r="AV88" t="str">
        <f t="shared" si="20"/>
        <v>Elevation (ft)</v>
      </c>
    </row>
    <row r="89" spans="1:48">
      <c r="A89" s="22" t="e">
        <f>#REF!</f>
        <v>#REF!</v>
      </c>
      <c r="B89" s="22" t="e">
        <f>IF(ISNUMBER(#REF!),#REF!,NA())</f>
        <v>#N/A</v>
      </c>
      <c r="C89" s="22" t="e">
        <f>IF(ISNUMBER(#REF!),#REF!,NA())</f>
        <v>#N/A</v>
      </c>
      <c r="E89" s="325">
        <f>XS_Designer!E90</f>
        <v>86</v>
      </c>
      <c r="F89" s="46" t="e">
        <f>IF(XS_Designer!F90&lt;&gt;"",XS_Designer!F90,NA())</f>
        <v>#N/A</v>
      </c>
      <c r="G89" s="46" t="e">
        <f>IF(XS_Designer!G90&lt;&gt;"",XS_Designer!G90,NA())</f>
        <v>#N/A</v>
      </c>
      <c r="L89">
        <f t="shared" si="0"/>
        <v>86</v>
      </c>
      <c r="M89" s="54" t="e">
        <f t="shared" si="1"/>
        <v>#N/A</v>
      </c>
      <c r="N89" s="54" t="e">
        <f t="shared" si="2"/>
        <v>#N/A</v>
      </c>
      <c r="O89" s="54"/>
      <c r="P89" s="2" t="e">
        <f t="shared" si="21"/>
        <v>#N/A</v>
      </c>
      <c r="Q89" s="2" t="e">
        <f t="shared" si="3"/>
        <v>#N/A</v>
      </c>
      <c r="R89" s="2" t="e">
        <f t="shared" si="4"/>
        <v>#N/A</v>
      </c>
      <c r="T89" s="2" t="e">
        <f t="shared" si="5"/>
        <v>#N/A</v>
      </c>
      <c r="U89" s="128" t="e">
        <f>IF((SUMPRODUCT(COUNTIF($Q$4:$Q89,"INSERT"))=0),Q89,NA())</f>
        <v>#N/A</v>
      </c>
      <c r="V89" s="128" t="e">
        <f>IF((SUMPRODUCT(COUNTIF($Q$4:$Q89,"INSERT"))=0),R89,NA())</f>
        <v>#N/A</v>
      </c>
      <c r="W89" s="27" t="e">
        <f t="shared" si="6"/>
        <v>#N/A</v>
      </c>
      <c r="X89" s="27" t="e">
        <f t="shared" si="7"/>
        <v>#N/A</v>
      </c>
      <c r="Y89" s="196">
        <f t="shared" si="8"/>
        <v>0</v>
      </c>
      <c r="AA89" s="2" t="e">
        <f t="shared" si="9"/>
        <v>#N/A</v>
      </c>
      <c r="AB89" s="128" t="e">
        <f t="shared" si="10"/>
        <v>#N/A</v>
      </c>
      <c r="AC89" s="128" t="e">
        <f t="shared" si="10"/>
        <v>#N/A</v>
      </c>
      <c r="AD89" s="27" t="e">
        <f t="shared" si="11"/>
        <v>#N/A</v>
      </c>
      <c r="AE89" s="27" t="e">
        <f t="shared" si="12"/>
        <v>#N/A</v>
      </c>
      <c r="AF89" s="196">
        <f t="shared" si="13"/>
        <v>0</v>
      </c>
      <c r="AH89" s="2">
        <v>86</v>
      </c>
      <c r="AI89" s="2" t="e">
        <f t="shared" si="14"/>
        <v>#N/A</v>
      </c>
      <c r="AJ89" s="2" t="e">
        <f t="shared" si="15"/>
        <v>#N/A</v>
      </c>
      <c r="AL89" s="2" t="e">
        <f t="shared" si="16"/>
        <v>#N/A</v>
      </c>
      <c r="AM89" s="2" t="e">
        <f t="shared" si="17"/>
        <v>#N/A</v>
      </c>
      <c r="AN89" s="2" t="e">
        <f t="shared" si="17"/>
        <v>#N/A</v>
      </c>
      <c r="AP89" s="2">
        <v>86</v>
      </c>
      <c r="AQ89" t="e">
        <f t="shared" si="18"/>
        <v>#N/A</v>
      </c>
      <c r="AR89" t="e">
        <f t="shared" si="19"/>
        <v>#N/A</v>
      </c>
      <c r="AT89" s="2">
        <v>86</v>
      </c>
      <c r="AU89" t="str">
        <f t="shared" si="20"/>
        <v>Station (ft)</v>
      </c>
      <c r="AV89" t="str">
        <f t="shared" si="20"/>
        <v>Elevation (ft)</v>
      </c>
    </row>
    <row r="90" spans="1:48">
      <c r="A90" s="22" t="e">
        <f>#REF!</f>
        <v>#REF!</v>
      </c>
      <c r="B90" s="22" t="e">
        <f>IF(ISNUMBER(#REF!),#REF!,NA())</f>
        <v>#N/A</v>
      </c>
      <c r="C90" s="22" t="e">
        <f>IF(ISNUMBER(#REF!),#REF!,NA())</f>
        <v>#N/A</v>
      </c>
      <c r="E90" s="325">
        <f>XS_Designer!E91</f>
        <v>87</v>
      </c>
      <c r="F90" s="46" t="e">
        <f>IF(XS_Designer!F91&lt;&gt;"",XS_Designer!F91,NA())</f>
        <v>#N/A</v>
      </c>
      <c r="G90" s="46" t="e">
        <f>IF(XS_Designer!G91&lt;&gt;"",XS_Designer!G91,NA())</f>
        <v>#N/A</v>
      </c>
      <c r="L90">
        <f t="shared" si="0"/>
        <v>87</v>
      </c>
      <c r="M90" s="54" t="e">
        <f t="shared" si="1"/>
        <v>#N/A</v>
      </c>
      <c r="N90" s="54" t="e">
        <f t="shared" si="2"/>
        <v>#N/A</v>
      </c>
      <c r="O90" s="54"/>
      <c r="P90" s="2" t="e">
        <f t="shared" si="21"/>
        <v>#N/A</v>
      </c>
      <c r="Q90" s="2" t="e">
        <f t="shared" si="3"/>
        <v>#N/A</v>
      </c>
      <c r="R90" s="2" t="e">
        <f t="shared" si="4"/>
        <v>#N/A</v>
      </c>
      <c r="T90" s="2" t="e">
        <f t="shared" si="5"/>
        <v>#N/A</v>
      </c>
      <c r="U90" s="128" t="e">
        <f>IF((SUMPRODUCT(COUNTIF($Q$4:$Q90,"INSERT"))=0),Q90,NA())</f>
        <v>#N/A</v>
      </c>
      <c r="V90" s="128" t="e">
        <f>IF((SUMPRODUCT(COUNTIF($Q$4:$Q90,"INSERT"))=0),R90,NA())</f>
        <v>#N/A</v>
      </c>
      <c r="W90" s="27" t="e">
        <f t="shared" si="6"/>
        <v>#N/A</v>
      </c>
      <c r="X90" s="27" t="e">
        <f t="shared" si="7"/>
        <v>#N/A</v>
      </c>
      <c r="Y90" s="196">
        <f t="shared" si="8"/>
        <v>0</v>
      </c>
      <c r="AA90" s="2" t="e">
        <f t="shared" si="9"/>
        <v>#N/A</v>
      </c>
      <c r="AB90" s="128" t="e">
        <f t="shared" si="10"/>
        <v>#N/A</v>
      </c>
      <c r="AC90" s="128" t="e">
        <f t="shared" si="10"/>
        <v>#N/A</v>
      </c>
      <c r="AD90" s="27" t="e">
        <f t="shared" si="11"/>
        <v>#N/A</v>
      </c>
      <c r="AE90" s="27" t="e">
        <f t="shared" si="12"/>
        <v>#N/A</v>
      </c>
      <c r="AF90" s="196">
        <f t="shared" si="13"/>
        <v>0</v>
      </c>
      <c r="AH90" s="2">
        <v>87</v>
      </c>
      <c r="AI90" s="2" t="e">
        <f t="shared" si="14"/>
        <v>#N/A</v>
      </c>
      <c r="AJ90" s="2" t="e">
        <f t="shared" si="15"/>
        <v>#N/A</v>
      </c>
      <c r="AL90" s="2" t="e">
        <f t="shared" si="16"/>
        <v>#N/A</v>
      </c>
      <c r="AM90" s="2" t="e">
        <f t="shared" si="17"/>
        <v>#N/A</v>
      </c>
      <c r="AN90" s="2" t="e">
        <f t="shared" si="17"/>
        <v>#N/A</v>
      </c>
      <c r="AP90" s="2">
        <v>87</v>
      </c>
      <c r="AQ90" t="e">
        <f t="shared" si="18"/>
        <v>#N/A</v>
      </c>
      <c r="AR90" t="e">
        <f t="shared" si="19"/>
        <v>#N/A</v>
      </c>
      <c r="AT90" s="2">
        <v>87</v>
      </c>
      <c r="AU90" t="str">
        <f t="shared" si="20"/>
        <v>Station (ft)</v>
      </c>
      <c r="AV90" t="str">
        <f t="shared" si="20"/>
        <v>Elevation (ft)</v>
      </c>
    </row>
    <row r="91" spans="1:48">
      <c r="A91" s="22" t="e">
        <f>#REF!</f>
        <v>#REF!</v>
      </c>
      <c r="B91" s="22" t="e">
        <f>IF(ISNUMBER(#REF!),#REF!,NA())</f>
        <v>#N/A</v>
      </c>
      <c r="C91" s="22" t="e">
        <f>IF(ISNUMBER(#REF!),#REF!,NA())</f>
        <v>#N/A</v>
      </c>
      <c r="E91" s="325">
        <f>XS_Designer!E92</f>
        <v>88</v>
      </c>
      <c r="F91" s="46" t="e">
        <f>IF(XS_Designer!F92&lt;&gt;"",XS_Designer!F92,NA())</f>
        <v>#N/A</v>
      </c>
      <c r="G91" s="46" t="e">
        <f>IF(XS_Designer!G92&lt;&gt;"",XS_Designer!G92,NA())</f>
        <v>#N/A</v>
      </c>
      <c r="L91">
        <f t="shared" si="0"/>
        <v>88</v>
      </c>
      <c r="M91" s="54" t="e">
        <f t="shared" si="1"/>
        <v>#N/A</v>
      </c>
      <c r="N91" s="54" t="e">
        <f t="shared" si="2"/>
        <v>#N/A</v>
      </c>
      <c r="O91" s="54"/>
      <c r="P91" s="2" t="e">
        <f t="shared" si="21"/>
        <v>#N/A</v>
      </c>
      <c r="Q91" s="2" t="e">
        <f t="shared" si="3"/>
        <v>#N/A</v>
      </c>
      <c r="R91" s="2" t="e">
        <f t="shared" si="4"/>
        <v>#N/A</v>
      </c>
      <c r="T91" s="2" t="e">
        <f t="shared" si="5"/>
        <v>#N/A</v>
      </c>
      <c r="U91" s="128" t="e">
        <f>IF((SUMPRODUCT(COUNTIF($Q$4:$Q91,"INSERT"))=0),Q91,NA())</f>
        <v>#N/A</v>
      </c>
      <c r="V91" s="128" t="e">
        <f>IF((SUMPRODUCT(COUNTIF($Q$4:$Q91,"INSERT"))=0),R91,NA())</f>
        <v>#N/A</v>
      </c>
      <c r="W91" s="27" t="e">
        <f t="shared" si="6"/>
        <v>#N/A</v>
      </c>
      <c r="X91" s="27" t="e">
        <f t="shared" si="7"/>
        <v>#N/A</v>
      </c>
      <c r="Y91" s="196">
        <f t="shared" si="8"/>
        <v>0</v>
      </c>
      <c r="AA91" s="2" t="e">
        <f t="shared" si="9"/>
        <v>#N/A</v>
      </c>
      <c r="AB91" s="128" t="e">
        <f t="shared" si="10"/>
        <v>#N/A</v>
      </c>
      <c r="AC91" s="128" t="e">
        <f t="shared" si="10"/>
        <v>#N/A</v>
      </c>
      <c r="AD91" s="27" t="e">
        <f t="shared" si="11"/>
        <v>#N/A</v>
      </c>
      <c r="AE91" s="27" t="e">
        <f t="shared" si="12"/>
        <v>#N/A</v>
      </c>
      <c r="AF91" s="196">
        <f t="shared" si="13"/>
        <v>0</v>
      </c>
      <c r="AH91" s="2">
        <v>88</v>
      </c>
      <c r="AI91" s="2" t="e">
        <f t="shared" si="14"/>
        <v>#N/A</v>
      </c>
      <c r="AJ91" s="2" t="e">
        <f t="shared" si="15"/>
        <v>#N/A</v>
      </c>
      <c r="AL91" s="2" t="e">
        <f t="shared" si="16"/>
        <v>#N/A</v>
      </c>
      <c r="AM91" s="2" t="e">
        <f t="shared" si="17"/>
        <v>#N/A</v>
      </c>
      <c r="AN91" s="2" t="e">
        <f t="shared" si="17"/>
        <v>#N/A</v>
      </c>
      <c r="AP91" s="2">
        <v>88</v>
      </c>
      <c r="AQ91" t="e">
        <f t="shared" si="18"/>
        <v>#N/A</v>
      </c>
      <c r="AR91" t="e">
        <f t="shared" si="19"/>
        <v>#N/A</v>
      </c>
      <c r="AT91" s="2">
        <v>88</v>
      </c>
      <c r="AU91" t="str">
        <f t="shared" si="20"/>
        <v>Station (ft)</v>
      </c>
      <c r="AV91" t="str">
        <f t="shared" si="20"/>
        <v>Elevation (ft)</v>
      </c>
    </row>
    <row r="92" spans="1:48">
      <c r="A92" s="22" t="e">
        <f>#REF!</f>
        <v>#REF!</v>
      </c>
      <c r="B92" s="22" t="e">
        <f>IF(ISNUMBER(#REF!),#REF!,NA())</f>
        <v>#N/A</v>
      </c>
      <c r="C92" s="22" t="e">
        <f>IF(ISNUMBER(#REF!),#REF!,NA())</f>
        <v>#N/A</v>
      </c>
      <c r="E92" s="325">
        <f>XS_Designer!E93</f>
        <v>89</v>
      </c>
      <c r="F92" s="46" t="e">
        <f>IF(XS_Designer!F93&lt;&gt;"",XS_Designer!F93,NA())</f>
        <v>#N/A</v>
      </c>
      <c r="G92" s="46" t="e">
        <f>IF(XS_Designer!G93&lt;&gt;"",XS_Designer!G93,NA())</f>
        <v>#N/A</v>
      </c>
      <c r="L92">
        <f t="shared" si="0"/>
        <v>89</v>
      </c>
      <c r="M92" s="54" t="e">
        <f t="shared" si="1"/>
        <v>#N/A</v>
      </c>
      <c r="N92" s="54" t="e">
        <f t="shared" si="2"/>
        <v>#N/A</v>
      </c>
      <c r="O92" s="54"/>
      <c r="P92" s="2" t="e">
        <f t="shared" si="21"/>
        <v>#N/A</v>
      </c>
      <c r="Q92" s="2" t="e">
        <f t="shared" si="3"/>
        <v>#N/A</v>
      </c>
      <c r="R92" s="2" t="e">
        <f t="shared" si="4"/>
        <v>#N/A</v>
      </c>
      <c r="T92" s="2" t="e">
        <f t="shared" si="5"/>
        <v>#N/A</v>
      </c>
      <c r="U92" s="128" t="e">
        <f>IF((SUMPRODUCT(COUNTIF($Q$4:$Q92,"INSERT"))=0),Q92,NA())</f>
        <v>#N/A</v>
      </c>
      <c r="V92" s="128" t="e">
        <f>IF((SUMPRODUCT(COUNTIF($Q$4:$Q92,"INSERT"))=0),R92,NA())</f>
        <v>#N/A</v>
      </c>
      <c r="W92" s="27" t="e">
        <f t="shared" si="6"/>
        <v>#N/A</v>
      </c>
      <c r="X92" s="27" t="e">
        <f t="shared" si="7"/>
        <v>#N/A</v>
      </c>
      <c r="Y92" s="196">
        <f t="shared" si="8"/>
        <v>0</v>
      </c>
      <c r="AA92" s="2" t="e">
        <f t="shared" si="9"/>
        <v>#N/A</v>
      </c>
      <c r="AB92" s="128" t="e">
        <f t="shared" si="10"/>
        <v>#N/A</v>
      </c>
      <c r="AC92" s="128" t="e">
        <f t="shared" si="10"/>
        <v>#N/A</v>
      </c>
      <c r="AD92" s="27" t="e">
        <f t="shared" si="11"/>
        <v>#N/A</v>
      </c>
      <c r="AE92" s="27" t="e">
        <f t="shared" si="12"/>
        <v>#N/A</v>
      </c>
      <c r="AF92" s="196">
        <f t="shared" si="13"/>
        <v>0</v>
      </c>
      <c r="AH92" s="2">
        <v>89</v>
      </c>
      <c r="AI92" s="2" t="e">
        <f t="shared" si="14"/>
        <v>#N/A</v>
      </c>
      <c r="AJ92" s="2" t="e">
        <f t="shared" si="15"/>
        <v>#N/A</v>
      </c>
      <c r="AL92" s="2" t="e">
        <f t="shared" si="16"/>
        <v>#N/A</v>
      </c>
      <c r="AM92" s="2" t="e">
        <f t="shared" si="17"/>
        <v>#N/A</v>
      </c>
      <c r="AN92" s="2" t="e">
        <f t="shared" si="17"/>
        <v>#N/A</v>
      </c>
      <c r="AP92" s="2">
        <v>89</v>
      </c>
      <c r="AQ92" t="e">
        <f t="shared" si="18"/>
        <v>#N/A</v>
      </c>
      <c r="AR92" t="e">
        <f t="shared" si="19"/>
        <v>#N/A</v>
      </c>
      <c r="AT92" s="2">
        <v>89</v>
      </c>
      <c r="AU92" t="str">
        <f t="shared" si="20"/>
        <v>Station (ft)</v>
      </c>
      <c r="AV92" t="str">
        <f t="shared" si="20"/>
        <v>Elevation (ft)</v>
      </c>
    </row>
    <row r="93" spans="1:48">
      <c r="A93" s="22" t="e">
        <f>#REF!</f>
        <v>#REF!</v>
      </c>
      <c r="B93" s="22" t="e">
        <f>IF(ISNUMBER(#REF!),#REF!,NA())</f>
        <v>#N/A</v>
      </c>
      <c r="C93" s="22" t="e">
        <f>IF(ISNUMBER(#REF!),#REF!,NA())</f>
        <v>#N/A</v>
      </c>
      <c r="E93" s="325">
        <f>XS_Designer!E94</f>
        <v>90</v>
      </c>
      <c r="F93" s="46" t="e">
        <f>IF(XS_Designer!F94&lt;&gt;"",XS_Designer!F94,NA())</f>
        <v>#N/A</v>
      </c>
      <c r="G93" s="46" t="e">
        <f>IF(XS_Designer!G94&lt;&gt;"",XS_Designer!G94,NA())</f>
        <v>#N/A</v>
      </c>
      <c r="L93">
        <f t="shared" si="0"/>
        <v>90</v>
      </c>
      <c r="M93" s="54" t="e">
        <f t="shared" si="1"/>
        <v>#N/A</v>
      </c>
      <c r="N93" s="54" t="e">
        <f t="shared" si="2"/>
        <v>#N/A</v>
      </c>
      <c r="O93" s="54"/>
      <c r="P93" s="2" t="e">
        <f t="shared" si="21"/>
        <v>#N/A</v>
      </c>
      <c r="Q93" s="2" t="e">
        <f t="shared" si="3"/>
        <v>#N/A</v>
      </c>
      <c r="R93" s="2" t="e">
        <f t="shared" si="4"/>
        <v>#N/A</v>
      </c>
      <c r="T93" s="2" t="e">
        <f t="shared" si="5"/>
        <v>#N/A</v>
      </c>
      <c r="U93" s="128" t="e">
        <f>IF((SUMPRODUCT(COUNTIF($Q$4:$Q93,"INSERT"))=0),Q93,NA())</f>
        <v>#N/A</v>
      </c>
      <c r="V93" s="128" t="e">
        <f>IF((SUMPRODUCT(COUNTIF($Q$4:$Q93,"INSERT"))=0),R93,NA())</f>
        <v>#N/A</v>
      </c>
      <c r="W93" s="27" t="e">
        <f t="shared" si="6"/>
        <v>#N/A</v>
      </c>
      <c r="X93" s="27" t="e">
        <f t="shared" si="7"/>
        <v>#N/A</v>
      </c>
      <c r="Y93" s="196">
        <f t="shared" si="8"/>
        <v>0</v>
      </c>
      <c r="AA93" s="2" t="e">
        <f t="shared" si="9"/>
        <v>#N/A</v>
      </c>
      <c r="AB93" s="128" t="e">
        <f t="shared" si="10"/>
        <v>#N/A</v>
      </c>
      <c r="AC93" s="128" t="e">
        <f t="shared" si="10"/>
        <v>#N/A</v>
      </c>
      <c r="AD93" s="27" t="e">
        <f t="shared" si="11"/>
        <v>#N/A</v>
      </c>
      <c r="AE93" s="27" t="e">
        <f t="shared" si="12"/>
        <v>#N/A</v>
      </c>
      <c r="AF93" s="196">
        <f t="shared" si="13"/>
        <v>0</v>
      </c>
      <c r="AH93" s="2">
        <v>90</v>
      </c>
      <c r="AI93" s="2" t="e">
        <f t="shared" si="14"/>
        <v>#N/A</v>
      </c>
      <c r="AJ93" s="2" t="e">
        <f t="shared" si="15"/>
        <v>#N/A</v>
      </c>
      <c r="AL93" s="2" t="e">
        <f t="shared" si="16"/>
        <v>#N/A</v>
      </c>
      <c r="AM93" s="2" t="e">
        <f t="shared" si="17"/>
        <v>#N/A</v>
      </c>
      <c r="AN93" s="2" t="e">
        <f t="shared" si="17"/>
        <v>#N/A</v>
      </c>
      <c r="AP93" s="2">
        <v>90</v>
      </c>
      <c r="AQ93" t="e">
        <f t="shared" si="18"/>
        <v>#N/A</v>
      </c>
      <c r="AR93" t="e">
        <f t="shared" si="19"/>
        <v>#N/A</v>
      </c>
      <c r="AT93" s="2">
        <v>90</v>
      </c>
      <c r="AU93" t="str">
        <f t="shared" si="20"/>
        <v>Station (ft)</v>
      </c>
      <c r="AV93" t="str">
        <f t="shared" si="20"/>
        <v>Elevation (ft)</v>
      </c>
    </row>
    <row r="94" spans="1:48">
      <c r="A94" s="22" t="e">
        <f>#REF!</f>
        <v>#REF!</v>
      </c>
      <c r="B94" s="22" t="e">
        <f>IF(ISNUMBER(#REF!),#REF!,NA())</f>
        <v>#N/A</v>
      </c>
      <c r="C94" s="22" t="e">
        <f>IF(ISNUMBER(#REF!),#REF!,NA())</f>
        <v>#N/A</v>
      </c>
      <c r="E94" s="325">
        <f>XS_Designer!E95</f>
        <v>91</v>
      </c>
      <c r="F94" s="46" t="e">
        <f>IF(XS_Designer!F95&lt;&gt;"",XS_Designer!F95,NA())</f>
        <v>#N/A</v>
      </c>
      <c r="G94" s="46" t="e">
        <f>IF(XS_Designer!G95&lt;&gt;"",XS_Designer!G95,NA())</f>
        <v>#N/A</v>
      </c>
      <c r="L94">
        <f t="shared" si="0"/>
        <v>91</v>
      </c>
      <c r="M94" s="54" t="e">
        <f t="shared" si="1"/>
        <v>#N/A</v>
      </c>
      <c r="N94" s="54" t="e">
        <f t="shared" si="2"/>
        <v>#N/A</v>
      </c>
      <c r="O94" s="54"/>
      <c r="P94" s="2" t="e">
        <f t="shared" si="21"/>
        <v>#N/A</v>
      </c>
      <c r="Q94" s="2" t="e">
        <f t="shared" si="3"/>
        <v>#N/A</v>
      </c>
      <c r="R94" s="2" t="e">
        <f t="shared" si="4"/>
        <v>#N/A</v>
      </c>
      <c r="T94" s="2" t="e">
        <f t="shared" si="5"/>
        <v>#N/A</v>
      </c>
      <c r="U94" s="128" t="e">
        <f>IF((SUMPRODUCT(COUNTIF($Q$4:$Q94,"INSERT"))=0),Q94,NA())</f>
        <v>#N/A</v>
      </c>
      <c r="V94" s="128" t="e">
        <f>IF((SUMPRODUCT(COUNTIF($Q$4:$Q94,"INSERT"))=0),R94,NA())</f>
        <v>#N/A</v>
      </c>
      <c r="W94" s="27" t="e">
        <f t="shared" si="6"/>
        <v>#N/A</v>
      </c>
      <c r="X94" s="27" t="e">
        <f t="shared" si="7"/>
        <v>#N/A</v>
      </c>
      <c r="Y94" s="196">
        <f t="shared" si="8"/>
        <v>0</v>
      </c>
      <c r="AA94" s="2" t="e">
        <f t="shared" si="9"/>
        <v>#N/A</v>
      </c>
      <c r="AB94" s="128" t="e">
        <f t="shared" si="10"/>
        <v>#N/A</v>
      </c>
      <c r="AC94" s="128" t="e">
        <f t="shared" si="10"/>
        <v>#N/A</v>
      </c>
      <c r="AD94" s="27" t="e">
        <f t="shared" si="11"/>
        <v>#N/A</v>
      </c>
      <c r="AE94" s="27" t="e">
        <f t="shared" si="12"/>
        <v>#N/A</v>
      </c>
      <c r="AF94" s="196">
        <f t="shared" si="13"/>
        <v>0</v>
      </c>
      <c r="AH94" s="2">
        <v>91</v>
      </c>
      <c r="AI94" s="2" t="e">
        <f t="shared" si="14"/>
        <v>#N/A</v>
      </c>
      <c r="AJ94" s="2" t="e">
        <f t="shared" si="15"/>
        <v>#N/A</v>
      </c>
      <c r="AL94" s="2" t="e">
        <f t="shared" si="16"/>
        <v>#N/A</v>
      </c>
      <c r="AM94" s="2" t="e">
        <f t="shared" si="17"/>
        <v>#N/A</v>
      </c>
      <c r="AN94" s="2" t="e">
        <f t="shared" si="17"/>
        <v>#N/A</v>
      </c>
      <c r="AP94" s="2">
        <v>91</v>
      </c>
      <c r="AQ94" t="e">
        <f t="shared" si="18"/>
        <v>#N/A</v>
      </c>
      <c r="AR94" t="e">
        <f t="shared" si="19"/>
        <v>#N/A</v>
      </c>
      <c r="AT94" s="2">
        <v>91</v>
      </c>
      <c r="AU94" t="str">
        <f t="shared" si="20"/>
        <v>Station (ft)</v>
      </c>
      <c r="AV94" t="str">
        <f t="shared" si="20"/>
        <v>Elevation (ft)</v>
      </c>
    </row>
    <row r="95" spans="1:48">
      <c r="A95" s="22" t="e">
        <f>#REF!</f>
        <v>#REF!</v>
      </c>
      <c r="B95" s="22" t="e">
        <f>IF(ISNUMBER(#REF!),#REF!,NA())</f>
        <v>#N/A</v>
      </c>
      <c r="C95" s="22" t="e">
        <f>IF(ISNUMBER(#REF!),#REF!,NA())</f>
        <v>#N/A</v>
      </c>
      <c r="E95" s="325">
        <f>XS_Designer!E96</f>
        <v>92</v>
      </c>
      <c r="F95" s="46" t="e">
        <f>IF(XS_Designer!F96&lt;&gt;"",XS_Designer!F96,NA())</f>
        <v>#N/A</v>
      </c>
      <c r="G95" s="46" t="e">
        <f>IF(XS_Designer!G96&lt;&gt;"",XS_Designer!G96,NA())</f>
        <v>#N/A</v>
      </c>
      <c r="L95">
        <f t="shared" si="0"/>
        <v>92</v>
      </c>
      <c r="M95" s="54" t="e">
        <f t="shared" si="1"/>
        <v>#N/A</v>
      </c>
      <c r="N95" s="54" t="e">
        <f t="shared" si="2"/>
        <v>#N/A</v>
      </c>
      <c r="O95" s="54"/>
      <c r="P95" s="2" t="e">
        <f t="shared" si="21"/>
        <v>#N/A</v>
      </c>
      <c r="Q95" s="2" t="e">
        <f t="shared" si="3"/>
        <v>#N/A</v>
      </c>
      <c r="R95" s="2" t="e">
        <f t="shared" si="4"/>
        <v>#N/A</v>
      </c>
      <c r="T95" s="2" t="e">
        <f t="shared" si="5"/>
        <v>#N/A</v>
      </c>
      <c r="U95" s="128" t="e">
        <f>IF((SUMPRODUCT(COUNTIF($Q$4:$Q95,"INSERT"))=0),Q95,NA())</f>
        <v>#N/A</v>
      </c>
      <c r="V95" s="128" t="e">
        <f>IF((SUMPRODUCT(COUNTIF($Q$4:$Q95,"INSERT"))=0),R95,NA())</f>
        <v>#N/A</v>
      </c>
      <c r="W95" s="27" t="e">
        <f t="shared" si="6"/>
        <v>#N/A</v>
      </c>
      <c r="X95" s="27" t="e">
        <f t="shared" si="7"/>
        <v>#N/A</v>
      </c>
      <c r="Y95" s="196">
        <f t="shared" si="8"/>
        <v>0</v>
      </c>
      <c r="AA95" s="2" t="e">
        <f t="shared" si="9"/>
        <v>#N/A</v>
      </c>
      <c r="AB95" s="128" t="e">
        <f t="shared" si="10"/>
        <v>#N/A</v>
      </c>
      <c r="AC95" s="128" t="e">
        <f t="shared" si="10"/>
        <v>#N/A</v>
      </c>
      <c r="AD95" s="27" t="e">
        <f t="shared" si="11"/>
        <v>#N/A</v>
      </c>
      <c r="AE95" s="27" t="e">
        <f t="shared" si="12"/>
        <v>#N/A</v>
      </c>
      <c r="AF95" s="196">
        <f t="shared" si="13"/>
        <v>0</v>
      </c>
      <c r="AH95" s="2">
        <v>92</v>
      </c>
      <c r="AI95" s="2" t="e">
        <f t="shared" si="14"/>
        <v>#N/A</v>
      </c>
      <c r="AJ95" s="2" t="e">
        <f t="shared" si="15"/>
        <v>#N/A</v>
      </c>
      <c r="AL95" s="2" t="e">
        <f t="shared" si="16"/>
        <v>#N/A</v>
      </c>
      <c r="AM95" s="2" t="e">
        <f t="shared" si="17"/>
        <v>#N/A</v>
      </c>
      <c r="AN95" s="2" t="e">
        <f t="shared" si="17"/>
        <v>#N/A</v>
      </c>
      <c r="AP95" s="2">
        <v>92</v>
      </c>
      <c r="AQ95" t="e">
        <f t="shared" si="18"/>
        <v>#N/A</v>
      </c>
      <c r="AR95" t="e">
        <f t="shared" si="19"/>
        <v>#N/A</v>
      </c>
      <c r="AT95" s="2">
        <v>92</v>
      </c>
      <c r="AU95" t="str">
        <f t="shared" si="20"/>
        <v>Station (ft)</v>
      </c>
      <c r="AV95" t="str">
        <f t="shared" si="20"/>
        <v>Elevation (ft)</v>
      </c>
    </row>
    <row r="96" spans="1:48">
      <c r="A96" s="22" t="e">
        <f>#REF!</f>
        <v>#REF!</v>
      </c>
      <c r="B96" s="22" t="e">
        <f>IF(ISNUMBER(#REF!),#REF!,NA())</f>
        <v>#N/A</v>
      </c>
      <c r="C96" s="22" t="e">
        <f>IF(ISNUMBER(#REF!),#REF!,NA())</f>
        <v>#N/A</v>
      </c>
      <c r="E96" s="325">
        <f>XS_Designer!E97</f>
        <v>93</v>
      </c>
      <c r="F96" s="46" t="e">
        <f>IF(XS_Designer!F97&lt;&gt;"",XS_Designer!F97,NA())</f>
        <v>#N/A</v>
      </c>
      <c r="G96" s="46" t="e">
        <f>IF(XS_Designer!G97&lt;&gt;"",XS_Designer!G97,NA())</f>
        <v>#N/A</v>
      </c>
      <c r="L96">
        <f t="shared" si="0"/>
        <v>93</v>
      </c>
      <c r="M96" s="54" t="e">
        <f t="shared" si="1"/>
        <v>#N/A</v>
      </c>
      <c r="N96" s="54" t="e">
        <f t="shared" si="2"/>
        <v>#N/A</v>
      </c>
      <c r="O96" s="54"/>
      <c r="P96" s="2" t="e">
        <f t="shared" si="21"/>
        <v>#N/A</v>
      </c>
      <c r="Q96" s="2" t="e">
        <f t="shared" si="3"/>
        <v>#N/A</v>
      </c>
      <c r="R96" s="2" t="e">
        <f t="shared" si="4"/>
        <v>#N/A</v>
      </c>
      <c r="T96" s="2" t="e">
        <f t="shared" si="5"/>
        <v>#N/A</v>
      </c>
      <c r="U96" s="128" t="e">
        <f>IF((SUMPRODUCT(COUNTIF($Q$4:$Q96,"INSERT"))=0),Q96,NA())</f>
        <v>#N/A</v>
      </c>
      <c r="V96" s="128" t="e">
        <f>IF((SUMPRODUCT(COUNTIF($Q$4:$Q96,"INSERT"))=0),R96,NA())</f>
        <v>#N/A</v>
      </c>
      <c r="W96" s="27" t="e">
        <f t="shared" si="6"/>
        <v>#N/A</v>
      </c>
      <c r="X96" s="27" t="e">
        <f t="shared" si="7"/>
        <v>#N/A</v>
      </c>
      <c r="Y96" s="196">
        <f t="shared" si="8"/>
        <v>0</v>
      </c>
      <c r="AA96" s="2" t="e">
        <f t="shared" si="9"/>
        <v>#N/A</v>
      </c>
      <c r="AB96" s="128" t="e">
        <f t="shared" si="10"/>
        <v>#N/A</v>
      </c>
      <c r="AC96" s="128" t="e">
        <f t="shared" si="10"/>
        <v>#N/A</v>
      </c>
      <c r="AD96" s="27" t="e">
        <f t="shared" si="11"/>
        <v>#N/A</v>
      </c>
      <c r="AE96" s="27" t="e">
        <f t="shared" si="12"/>
        <v>#N/A</v>
      </c>
      <c r="AF96" s="196">
        <f t="shared" si="13"/>
        <v>0</v>
      </c>
      <c r="AH96" s="2">
        <v>93</v>
      </c>
      <c r="AI96" s="2" t="e">
        <f t="shared" si="14"/>
        <v>#N/A</v>
      </c>
      <c r="AJ96" s="2" t="e">
        <f t="shared" si="15"/>
        <v>#N/A</v>
      </c>
      <c r="AL96" s="2" t="e">
        <f t="shared" si="16"/>
        <v>#N/A</v>
      </c>
      <c r="AM96" s="2" t="e">
        <f t="shared" si="17"/>
        <v>#N/A</v>
      </c>
      <c r="AN96" s="2" t="e">
        <f t="shared" si="17"/>
        <v>#N/A</v>
      </c>
      <c r="AP96" s="2">
        <v>93</v>
      </c>
      <c r="AQ96" t="e">
        <f t="shared" si="18"/>
        <v>#N/A</v>
      </c>
      <c r="AR96" t="e">
        <f t="shared" si="19"/>
        <v>#N/A</v>
      </c>
      <c r="AT96" s="2">
        <v>93</v>
      </c>
      <c r="AU96" t="str">
        <f t="shared" si="20"/>
        <v>Station (ft)</v>
      </c>
      <c r="AV96" t="str">
        <f t="shared" si="20"/>
        <v>Elevation (ft)</v>
      </c>
    </row>
    <row r="97" spans="1:48">
      <c r="A97" s="22" t="e">
        <f>#REF!</f>
        <v>#REF!</v>
      </c>
      <c r="B97" s="22" t="e">
        <f>IF(ISNUMBER(#REF!),#REF!,NA())</f>
        <v>#N/A</v>
      </c>
      <c r="C97" s="22" t="e">
        <f>IF(ISNUMBER(#REF!),#REF!,NA())</f>
        <v>#N/A</v>
      </c>
      <c r="E97" s="325">
        <f>XS_Designer!E98</f>
        <v>94</v>
      </c>
      <c r="F97" s="46" t="e">
        <f>IF(XS_Designer!F98&lt;&gt;"",XS_Designer!F98,NA())</f>
        <v>#N/A</v>
      </c>
      <c r="G97" s="46" t="e">
        <f>IF(XS_Designer!G98&lt;&gt;"",XS_Designer!G98,NA())</f>
        <v>#N/A</v>
      </c>
      <c r="L97">
        <f t="shared" si="0"/>
        <v>94</v>
      </c>
      <c r="M97" s="54" t="e">
        <f t="shared" si="1"/>
        <v>#N/A</v>
      </c>
      <c r="N97" s="54" t="e">
        <f t="shared" si="2"/>
        <v>#N/A</v>
      </c>
      <c r="O97" s="54"/>
      <c r="P97" s="2" t="e">
        <f t="shared" si="21"/>
        <v>#N/A</v>
      </c>
      <c r="Q97" s="2" t="e">
        <f t="shared" si="3"/>
        <v>#N/A</v>
      </c>
      <c r="R97" s="2" t="e">
        <f t="shared" si="4"/>
        <v>#N/A</v>
      </c>
      <c r="T97" s="2" t="e">
        <f t="shared" si="5"/>
        <v>#N/A</v>
      </c>
      <c r="U97" s="128" t="e">
        <f>IF((SUMPRODUCT(COUNTIF($Q$4:$Q97,"INSERT"))=0),Q97,NA())</f>
        <v>#N/A</v>
      </c>
      <c r="V97" s="128" t="e">
        <f>IF((SUMPRODUCT(COUNTIF($Q$4:$Q97,"INSERT"))=0),R97,NA())</f>
        <v>#N/A</v>
      </c>
      <c r="W97" s="27" t="e">
        <f t="shared" si="6"/>
        <v>#N/A</v>
      </c>
      <c r="X97" s="27" t="e">
        <f t="shared" si="7"/>
        <v>#N/A</v>
      </c>
      <c r="Y97" s="196">
        <f t="shared" si="8"/>
        <v>0</v>
      </c>
      <c r="AA97" s="2" t="e">
        <f t="shared" si="9"/>
        <v>#N/A</v>
      </c>
      <c r="AB97" s="128" t="e">
        <f t="shared" si="10"/>
        <v>#N/A</v>
      </c>
      <c r="AC97" s="128" t="e">
        <f t="shared" si="10"/>
        <v>#N/A</v>
      </c>
      <c r="AD97" s="27" t="e">
        <f t="shared" si="11"/>
        <v>#N/A</v>
      </c>
      <c r="AE97" s="27" t="e">
        <f t="shared" si="12"/>
        <v>#N/A</v>
      </c>
      <c r="AF97" s="196">
        <f t="shared" si="13"/>
        <v>0</v>
      </c>
      <c r="AH97" s="2">
        <v>94</v>
      </c>
      <c r="AI97" s="2" t="e">
        <f t="shared" si="14"/>
        <v>#N/A</v>
      </c>
      <c r="AJ97" s="2" t="e">
        <f t="shared" si="15"/>
        <v>#N/A</v>
      </c>
      <c r="AL97" s="2" t="e">
        <f t="shared" si="16"/>
        <v>#N/A</v>
      </c>
      <c r="AM97" s="2" t="e">
        <f t="shared" si="17"/>
        <v>#N/A</v>
      </c>
      <c r="AN97" s="2" t="e">
        <f t="shared" si="17"/>
        <v>#N/A</v>
      </c>
      <c r="AP97" s="2">
        <v>94</v>
      </c>
      <c r="AQ97" t="e">
        <f t="shared" si="18"/>
        <v>#N/A</v>
      </c>
      <c r="AR97" t="e">
        <f t="shared" si="19"/>
        <v>#N/A</v>
      </c>
      <c r="AT97" s="2">
        <v>94</v>
      </c>
      <c r="AU97" t="str">
        <f t="shared" si="20"/>
        <v>Station (ft)</v>
      </c>
      <c r="AV97" t="str">
        <f t="shared" si="20"/>
        <v>Elevation (ft)</v>
      </c>
    </row>
    <row r="98" spans="1:48">
      <c r="A98" s="22" t="e">
        <f>#REF!</f>
        <v>#REF!</v>
      </c>
      <c r="B98" s="22" t="e">
        <f>IF(ISNUMBER(#REF!),#REF!,NA())</f>
        <v>#N/A</v>
      </c>
      <c r="C98" s="22" t="e">
        <f>IF(ISNUMBER(#REF!),#REF!,NA())</f>
        <v>#N/A</v>
      </c>
      <c r="E98" s="325">
        <f>XS_Designer!E99</f>
        <v>95</v>
      </c>
      <c r="F98" s="46" t="e">
        <f>IF(XS_Designer!F99&lt;&gt;"",XS_Designer!F99,NA())</f>
        <v>#N/A</v>
      </c>
      <c r="G98" s="46" t="e">
        <f>IF(XS_Designer!G99&lt;&gt;"",XS_Designer!G99,NA())</f>
        <v>#N/A</v>
      </c>
      <c r="L98">
        <f t="shared" si="0"/>
        <v>95</v>
      </c>
      <c r="M98" s="54" t="e">
        <f t="shared" si="1"/>
        <v>#N/A</v>
      </c>
      <c r="N98" s="54" t="e">
        <f t="shared" si="2"/>
        <v>#N/A</v>
      </c>
      <c r="O98" s="54"/>
      <c r="P98" s="2" t="e">
        <f t="shared" si="21"/>
        <v>#N/A</v>
      </c>
      <c r="Q98" s="2" t="e">
        <f t="shared" si="3"/>
        <v>#N/A</v>
      </c>
      <c r="R98" s="2" t="e">
        <f t="shared" si="4"/>
        <v>#N/A</v>
      </c>
      <c r="T98" s="2" t="e">
        <f t="shared" si="5"/>
        <v>#N/A</v>
      </c>
      <c r="U98" s="128" t="e">
        <f>IF((SUMPRODUCT(COUNTIF($Q$4:$Q98,"INSERT"))=0),Q98,NA())</f>
        <v>#N/A</v>
      </c>
      <c r="V98" s="128" t="e">
        <f>IF((SUMPRODUCT(COUNTIF($Q$4:$Q98,"INSERT"))=0),R98,NA())</f>
        <v>#N/A</v>
      </c>
      <c r="W98" s="27" t="e">
        <f t="shared" si="6"/>
        <v>#N/A</v>
      </c>
      <c r="X98" s="27" t="e">
        <f t="shared" si="7"/>
        <v>#N/A</v>
      </c>
      <c r="Y98" s="196">
        <f t="shared" si="8"/>
        <v>0</v>
      </c>
      <c r="AA98" s="2" t="e">
        <f t="shared" si="9"/>
        <v>#N/A</v>
      </c>
      <c r="AB98" s="128" t="e">
        <f t="shared" si="10"/>
        <v>#N/A</v>
      </c>
      <c r="AC98" s="128" t="e">
        <f t="shared" si="10"/>
        <v>#N/A</v>
      </c>
      <c r="AD98" s="27" t="e">
        <f t="shared" si="11"/>
        <v>#N/A</v>
      </c>
      <c r="AE98" s="27" t="e">
        <f t="shared" si="12"/>
        <v>#N/A</v>
      </c>
      <c r="AF98" s="196">
        <f t="shared" si="13"/>
        <v>0</v>
      </c>
      <c r="AH98" s="2">
        <v>95</v>
      </c>
      <c r="AI98" s="2" t="e">
        <f t="shared" si="14"/>
        <v>#N/A</v>
      </c>
      <c r="AJ98" s="2" t="e">
        <f t="shared" si="15"/>
        <v>#N/A</v>
      </c>
      <c r="AL98" s="2" t="e">
        <f t="shared" si="16"/>
        <v>#N/A</v>
      </c>
      <c r="AM98" s="2" t="e">
        <f t="shared" si="17"/>
        <v>#N/A</v>
      </c>
      <c r="AN98" s="2" t="e">
        <f t="shared" si="17"/>
        <v>#N/A</v>
      </c>
      <c r="AP98" s="2">
        <v>95</v>
      </c>
      <c r="AQ98" t="e">
        <f t="shared" si="18"/>
        <v>#N/A</v>
      </c>
      <c r="AR98" t="e">
        <f t="shared" si="19"/>
        <v>#N/A</v>
      </c>
      <c r="AT98" s="2">
        <v>95</v>
      </c>
      <c r="AU98" t="str">
        <f t="shared" si="20"/>
        <v>Station (ft)</v>
      </c>
      <c r="AV98" t="str">
        <f t="shared" si="20"/>
        <v>Elevation (ft)</v>
      </c>
    </row>
    <row r="99" spans="1:48">
      <c r="A99" s="22" t="e">
        <f>#REF!</f>
        <v>#REF!</v>
      </c>
      <c r="B99" s="22" t="e">
        <f>IF(ISNUMBER(#REF!),#REF!,NA())</f>
        <v>#N/A</v>
      </c>
      <c r="C99" s="22" t="e">
        <f>IF(ISNUMBER(#REF!),#REF!,NA())</f>
        <v>#N/A</v>
      </c>
      <c r="E99" s="325">
        <f>XS_Designer!E100</f>
        <v>96</v>
      </c>
      <c r="F99" s="46" t="e">
        <f>IF(XS_Designer!F100&lt;&gt;"",XS_Designer!F100,NA())</f>
        <v>#N/A</v>
      </c>
      <c r="G99" s="46" t="e">
        <f>IF(XS_Designer!G100&lt;&gt;"",XS_Designer!G100,NA())</f>
        <v>#N/A</v>
      </c>
      <c r="L99">
        <f t="shared" si="0"/>
        <v>96</v>
      </c>
      <c r="M99" s="54" t="e">
        <f t="shared" si="1"/>
        <v>#N/A</v>
      </c>
      <c r="N99" s="54" t="e">
        <f t="shared" si="2"/>
        <v>#N/A</v>
      </c>
      <c r="O99" s="54"/>
      <c r="P99" s="2" t="e">
        <f t="shared" si="21"/>
        <v>#N/A</v>
      </c>
      <c r="Q99" s="2" t="e">
        <f t="shared" si="3"/>
        <v>#N/A</v>
      </c>
      <c r="R99" s="2" t="e">
        <f t="shared" si="4"/>
        <v>#N/A</v>
      </c>
      <c r="T99" s="2" t="e">
        <f t="shared" si="5"/>
        <v>#N/A</v>
      </c>
      <c r="U99" s="128" t="e">
        <f>IF((SUMPRODUCT(COUNTIF($Q$4:$Q99,"INSERT"))=0),Q99,NA())</f>
        <v>#N/A</v>
      </c>
      <c r="V99" s="128" t="e">
        <f>IF((SUMPRODUCT(COUNTIF($Q$4:$Q99,"INSERT"))=0),R99,NA())</f>
        <v>#N/A</v>
      </c>
      <c r="W99" s="27" t="e">
        <f t="shared" si="6"/>
        <v>#N/A</v>
      </c>
      <c r="X99" s="27" t="e">
        <f t="shared" si="7"/>
        <v>#N/A</v>
      </c>
      <c r="Y99" s="196">
        <f t="shared" si="8"/>
        <v>0</v>
      </c>
      <c r="AA99" s="2" t="e">
        <f t="shared" si="9"/>
        <v>#N/A</v>
      </c>
      <c r="AB99" s="128" t="e">
        <f t="shared" si="10"/>
        <v>#N/A</v>
      </c>
      <c r="AC99" s="128" t="e">
        <f t="shared" si="10"/>
        <v>#N/A</v>
      </c>
      <c r="AD99" s="27" t="e">
        <f t="shared" si="11"/>
        <v>#N/A</v>
      </c>
      <c r="AE99" s="27" t="e">
        <f t="shared" si="12"/>
        <v>#N/A</v>
      </c>
      <c r="AF99" s="196">
        <f t="shared" si="13"/>
        <v>0</v>
      </c>
      <c r="AH99" s="2">
        <v>96</v>
      </c>
      <c r="AI99" s="2" t="e">
        <f t="shared" si="14"/>
        <v>#N/A</v>
      </c>
      <c r="AJ99" s="2" t="e">
        <f t="shared" si="15"/>
        <v>#N/A</v>
      </c>
      <c r="AL99" s="2" t="e">
        <f t="shared" si="16"/>
        <v>#N/A</v>
      </c>
      <c r="AM99" s="2" t="e">
        <f t="shared" si="17"/>
        <v>#N/A</v>
      </c>
      <c r="AN99" s="2" t="e">
        <f t="shared" si="17"/>
        <v>#N/A</v>
      </c>
      <c r="AP99" s="2">
        <v>96</v>
      </c>
      <c r="AQ99" t="e">
        <f t="shared" si="18"/>
        <v>#N/A</v>
      </c>
      <c r="AR99" t="e">
        <f t="shared" si="19"/>
        <v>#N/A</v>
      </c>
      <c r="AT99" s="2">
        <v>96</v>
      </c>
      <c r="AU99" t="str">
        <f t="shared" si="20"/>
        <v>Station (ft)</v>
      </c>
      <c r="AV99" t="str">
        <f t="shared" si="20"/>
        <v>Elevation (ft)</v>
      </c>
    </row>
    <row r="100" spans="1:48">
      <c r="A100" s="22" t="e">
        <f>#REF!</f>
        <v>#REF!</v>
      </c>
      <c r="B100" s="22" t="e">
        <f>IF(ISNUMBER(#REF!),#REF!,NA())</f>
        <v>#N/A</v>
      </c>
      <c r="C100" s="22" t="e">
        <f>IF(ISNUMBER(#REF!),#REF!,NA())</f>
        <v>#N/A</v>
      </c>
      <c r="E100" s="325">
        <f>XS_Designer!E101</f>
        <v>97</v>
      </c>
      <c r="F100" s="46" t="e">
        <f>IF(XS_Designer!F101&lt;&gt;"",XS_Designer!F101,NA())</f>
        <v>#N/A</v>
      </c>
      <c r="G100" s="46" t="e">
        <f>IF(XS_Designer!G101&lt;&gt;"",XS_Designer!G101,NA())</f>
        <v>#N/A</v>
      </c>
      <c r="L100">
        <f t="shared" si="0"/>
        <v>97</v>
      </c>
      <c r="M100" s="54" t="e">
        <f t="shared" si="1"/>
        <v>#N/A</v>
      </c>
      <c r="N100" s="54" t="e">
        <f t="shared" si="2"/>
        <v>#N/A</v>
      </c>
      <c r="O100" s="54"/>
      <c r="P100" s="2" t="e">
        <f t="shared" si="21"/>
        <v>#N/A</v>
      </c>
      <c r="Q100" s="2" t="e">
        <f t="shared" si="3"/>
        <v>#N/A</v>
      </c>
      <c r="R100" s="2" t="e">
        <f t="shared" si="4"/>
        <v>#N/A</v>
      </c>
      <c r="T100" s="2" t="e">
        <f t="shared" si="5"/>
        <v>#N/A</v>
      </c>
      <c r="U100" s="128" t="e">
        <f>IF((SUMPRODUCT(COUNTIF($Q$4:$Q100,"INSERT"))=0),Q100,NA())</f>
        <v>#N/A</v>
      </c>
      <c r="V100" s="128" t="e">
        <f>IF((SUMPRODUCT(COUNTIF($Q$4:$Q100,"INSERT"))=0),R100,NA())</f>
        <v>#N/A</v>
      </c>
      <c r="W100" s="27" t="e">
        <f t="shared" si="6"/>
        <v>#N/A</v>
      </c>
      <c r="X100" s="27" t="e">
        <f t="shared" si="7"/>
        <v>#N/A</v>
      </c>
      <c r="Y100" s="196">
        <f t="shared" si="8"/>
        <v>0</v>
      </c>
      <c r="AA100" s="2" t="e">
        <f t="shared" si="9"/>
        <v>#N/A</v>
      </c>
      <c r="AB100" s="128" t="e">
        <f t="shared" si="10"/>
        <v>#N/A</v>
      </c>
      <c r="AC100" s="128" t="e">
        <f t="shared" si="10"/>
        <v>#N/A</v>
      </c>
      <c r="AD100" s="27" t="e">
        <f t="shared" si="11"/>
        <v>#N/A</v>
      </c>
      <c r="AE100" s="27" t="e">
        <f t="shared" si="12"/>
        <v>#N/A</v>
      </c>
      <c r="AF100" s="196">
        <f t="shared" si="13"/>
        <v>0</v>
      </c>
      <c r="AH100" s="2">
        <v>97</v>
      </c>
      <c r="AI100" s="2" t="e">
        <f t="shared" si="14"/>
        <v>#N/A</v>
      </c>
      <c r="AJ100" s="2" t="e">
        <f t="shared" si="15"/>
        <v>#N/A</v>
      </c>
      <c r="AL100" s="2" t="e">
        <f t="shared" si="16"/>
        <v>#N/A</v>
      </c>
      <c r="AM100" s="2" t="e">
        <f t="shared" si="17"/>
        <v>#N/A</v>
      </c>
      <c r="AN100" s="2" t="e">
        <f t="shared" si="17"/>
        <v>#N/A</v>
      </c>
      <c r="AP100" s="2">
        <v>97</v>
      </c>
      <c r="AQ100" t="e">
        <f t="shared" si="18"/>
        <v>#N/A</v>
      </c>
      <c r="AR100" t="e">
        <f t="shared" si="19"/>
        <v>#N/A</v>
      </c>
      <c r="AT100" s="2">
        <v>97</v>
      </c>
      <c r="AU100" t="str">
        <f t="shared" si="20"/>
        <v>Station (ft)</v>
      </c>
      <c r="AV100" t="str">
        <f t="shared" si="20"/>
        <v>Elevation (ft)</v>
      </c>
    </row>
    <row r="101" spans="1:48">
      <c r="A101" s="22" t="e">
        <f>#REF!</f>
        <v>#REF!</v>
      </c>
      <c r="B101" s="22" t="e">
        <f>IF(ISNUMBER(#REF!),#REF!,NA())</f>
        <v>#N/A</v>
      </c>
      <c r="C101" s="22" t="e">
        <f>IF(ISNUMBER(#REF!),#REF!,NA())</f>
        <v>#N/A</v>
      </c>
      <c r="E101" s="325">
        <f>XS_Designer!E102</f>
        <v>98</v>
      </c>
      <c r="F101" s="46" t="e">
        <f>IF(XS_Designer!F102&lt;&gt;"",XS_Designer!F102,NA())</f>
        <v>#N/A</v>
      </c>
      <c r="G101" s="46" t="e">
        <f>IF(XS_Designer!G102&lt;&gt;"",XS_Designer!G102,NA())</f>
        <v>#N/A</v>
      </c>
      <c r="L101">
        <f t="shared" si="0"/>
        <v>98</v>
      </c>
      <c r="M101" s="54" t="e">
        <f t="shared" si="1"/>
        <v>#N/A</v>
      </c>
      <c r="N101" s="54" t="e">
        <f t="shared" si="2"/>
        <v>#N/A</v>
      </c>
      <c r="O101" s="54"/>
      <c r="P101" s="2" t="e">
        <f t="shared" si="21"/>
        <v>#N/A</v>
      </c>
      <c r="Q101" s="2" t="e">
        <f t="shared" si="3"/>
        <v>#N/A</v>
      </c>
      <c r="R101" s="2" t="e">
        <f t="shared" si="4"/>
        <v>#N/A</v>
      </c>
      <c r="T101" s="2" t="e">
        <f t="shared" si="5"/>
        <v>#N/A</v>
      </c>
      <c r="U101" s="128" t="e">
        <f>IF((SUMPRODUCT(COUNTIF($Q$4:$Q101,"INSERT"))=0),Q101,NA())</f>
        <v>#N/A</v>
      </c>
      <c r="V101" s="128" t="e">
        <f>IF((SUMPRODUCT(COUNTIF($Q$4:$Q101,"INSERT"))=0),R101,NA())</f>
        <v>#N/A</v>
      </c>
      <c r="W101" s="27" t="e">
        <f t="shared" si="6"/>
        <v>#N/A</v>
      </c>
      <c r="X101" s="27" t="e">
        <f t="shared" si="7"/>
        <v>#N/A</v>
      </c>
      <c r="Y101" s="196">
        <f t="shared" si="8"/>
        <v>0</v>
      </c>
      <c r="AA101" s="2" t="e">
        <f t="shared" si="9"/>
        <v>#N/A</v>
      </c>
      <c r="AB101" s="128" t="e">
        <f t="shared" si="10"/>
        <v>#N/A</v>
      </c>
      <c r="AC101" s="128" t="e">
        <f t="shared" si="10"/>
        <v>#N/A</v>
      </c>
      <c r="AD101" s="27" t="e">
        <f t="shared" si="11"/>
        <v>#N/A</v>
      </c>
      <c r="AE101" s="27" t="e">
        <f t="shared" si="12"/>
        <v>#N/A</v>
      </c>
      <c r="AF101" s="196">
        <f t="shared" si="13"/>
        <v>0</v>
      </c>
      <c r="AH101" s="2">
        <v>98</v>
      </c>
      <c r="AI101" s="2" t="e">
        <f t="shared" si="14"/>
        <v>#N/A</v>
      </c>
      <c r="AJ101" s="2" t="e">
        <f t="shared" si="15"/>
        <v>#N/A</v>
      </c>
      <c r="AL101" s="2" t="e">
        <f t="shared" si="16"/>
        <v>#N/A</v>
      </c>
      <c r="AM101" s="2" t="e">
        <f t="shared" si="17"/>
        <v>#N/A</v>
      </c>
      <c r="AN101" s="2" t="e">
        <f t="shared" si="17"/>
        <v>#N/A</v>
      </c>
      <c r="AP101" s="2">
        <v>98</v>
      </c>
      <c r="AQ101" t="e">
        <f t="shared" si="18"/>
        <v>#N/A</v>
      </c>
      <c r="AR101" t="e">
        <f t="shared" si="19"/>
        <v>#N/A</v>
      </c>
      <c r="AT101" s="2">
        <v>98</v>
      </c>
      <c r="AU101" t="str">
        <f t="shared" si="20"/>
        <v>Station (ft)</v>
      </c>
      <c r="AV101" t="str">
        <f t="shared" si="20"/>
        <v>Elevation (ft)</v>
      </c>
    </row>
    <row r="102" spans="1:48">
      <c r="A102" s="22" t="e">
        <f>#REF!</f>
        <v>#REF!</v>
      </c>
      <c r="B102" s="22" t="e">
        <f>IF(ISNUMBER(#REF!),#REF!,NA())</f>
        <v>#N/A</v>
      </c>
      <c r="C102" s="22" t="e">
        <f>IF(ISNUMBER(#REF!),#REF!,NA())</f>
        <v>#N/A</v>
      </c>
      <c r="E102" s="325">
        <f>XS_Designer!E103</f>
        <v>99</v>
      </c>
      <c r="F102" s="46" t="e">
        <f>IF(XS_Designer!F103&lt;&gt;"",XS_Designer!F103,NA())</f>
        <v>#N/A</v>
      </c>
      <c r="G102" s="46" t="e">
        <f>IF(XS_Designer!G103&lt;&gt;"",XS_Designer!G103,NA())</f>
        <v>#N/A</v>
      </c>
      <c r="L102">
        <f t="shared" si="0"/>
        <v>99</v>
      </c>
      <c r="M102" s="54" t="e">
        <f t="shared" si="1"/>
        <v>#N/A</v>
      </c>
      <c r="N102" s="54" t="e">
        <f t="shared" si="2"/>
        <v>#N/A</v>
      </c>
      <c r="O102" s="54"/>
      <c r="P102" s="2" t="e">
        <f t="shared" si="21"/>
        <v>#N/A</v>
      </c>
      <c r="Q102" s="2" t="e">
        <f t="shared" si="3"/>
        <v>#N/A</v>
      </c>
      <c r="R102" s="2" t="e">
        <f t="shared" si="4"/>
        <v>#N/A</v>
      </c>
      <c r="T102" s="2" t="e">
        <f t="shared" si="5"/>
        <v>#N/A</v>
      </c>
      <c r="U102" s="128" t="e">
        <f>IF((SUMPRODUCT(COUNTIF($Q$4:$Q102,"INSERT"))=0),Q102,NA())</f>
        <v>#N/A</v>
      </c>
      <c r="V102" s="128" t="e">
        <f>IF((SUMPRODUCT(COUNTIF($Q$4:$Q102,"INSERT"))=0),R102,NA())</f>
        <v>#N/A</v>
      </c>
      <c r="W102" s="27" t="e">
        <f t="shared" si="6"/>
        <v>#N/A</v>
      </c>
      <c r="X102" s="27" t="e">
        <f t="shared" si="7"/>
        <v>#N/A</v>
      </c>
      <c r="Y102" s="196">
        <f t="shared" si="8"/>
        <v>0</v>
      </c>
      <c r="AA102" s="2" t="e">
        <f t="shared" si="9"/>
        <v>#N/A</v>
      </c>
      <c r="AB102" s="128" t="e">
        <f t="shared" si="10"/>
        <v>#N/A</v>
      </c>
      <c r="AC102" s="128" t="e">
        <f t="shared" si="10"/>
        <v>#N/A</v>
      </c>
      <c r="AD102" s="27" t="e">
        <f t="shared" si="11"/>
        <v>#N/A</v>
      </c>
      <c r="AE102" s="27" t="e">
        <f t="shared" si="12"/>
        <v>#N/A</v>
      </c>
      <c r="AF102" s="196">
        <f t="shared" si="13"/>
        <v>0</v>
      </c>
      <c r="AH102" s="2">
        <v>99</v>
      </c>
      <c r="AI102" s="2" t="e">
        <f t="shared" si="14"/>
        <v>#N/A</v>
      </c>
      <c r="AJ102" s="2" t="e">
        <f t="shared" si="15"/>
        <v>#N/A</v>
      </c>
      <c r="AL102" s="2" t="e">
        <f t="shared" si="16"/>
        <v>#N/A</v>
      </c>
      <c r="AM102" s="2" t="e">
        <f t="shared" si="17"/>
        <v>#N/A</v>
      </c>
      <c r="AN102" s="2" t="e">
        <f t="shared" si="17"/>
        <v>#N/A</v>
      </c>
      <c r="AP102" s="2">
        <v>99</v>
      </c>
      <c r="AQ102" t="e">
        <f t="shared" si="18"/>
        <v>#N/A</v>
      </c>
      <c r="AR102" t="e">
        <f t="shared" si="19"/>
        <v>#N/A</v>
      </c>
      <c r="AT102" s="2">
        <v>99</v>
      </c>
      <c r="AU102" t="str">
        <f t="shared" si="20"/>
        <v>Station (ft)</v>
      </c>
      <c r="AV102" t="str">
        <f t="shared" si="20"/>
        <v>Elevation (ft)</v>
      </c>
    </row>
    <row r="103" spans="1:48">
      <c r="A103" s="22" t="e">
        <f>#REF!</f>
        <v>#REF!</v>
      </c>
      <c r="B103" s="22" t="e">
        <f>IF(ISNUMBER(#REF!),#REF!,NA())</f>
        <v>#N/A</v>
      </c>
      <c r="C103" s="22" t="e">
        <f>IF(ISNUMBER(#REF!),#REF!,NA())</f>
        <v>#N/A</v>
      </c>
      <c r="E103" s="325">
        <f>XS_Designer!E104</f>
        <v>100</v>
      </c>
      <c r="F103" s="46" t="e">
        <f>IF(XS_Designer!F104&lt;&gt;"",XS_Designer!F104,NA())</f>
        <v>#N/A</v>
      </c>
      <c r="G103" s="46" t="e">
        <f>IF(XS_Designer!G104&lt;&gt;"",XS_Designer!G104,NA())</f>
        <v>#N/A</v>
      </c>
      <c r="L103">
        <f t="shared" si="0"/>
        <v>100</v>
      </c>
      <c r="M103" s="54" t="e">
        <f t="shared" si="1"/>
        <v>#N/A</v>
      </c>
      <c r="N103" s="54" t="e">
        <f t="shared" si="2"/>
        <v>#N/A</v>
      </c>
      <c r="O103" s="54"/>
      <c r="P103" s="2" t="e">
        <f t="shared" si="21"/>
        <v>#N/A</v>
      </c>
      <c r="Q103" s="2" t="e">
        <f t="shared" si="3"/>
        <v>#N/A</v>
      </c>
      <c r="R103" s="2" t="e">
        <f t="shared" si="4"/>
        <v>#N/A</v>
      </c>
      <c r="T103" s="2" t="e">
        <f t="shared" si="5"/>
        <v>#N/A</v>
      </c>
      <c r="U103" s="128" t="e">
        <f>IF((SUMPRODUCT(COUNTIF($Q$4:$Q103,"INSERT"))=0),Q103,NA())</f>
        <v>#N/A</v>
      </c>
      <c r="V103" s="128" t="e">
        <f>IF((SUMPRODUCT(COUNTIF($Q$4:$Q103,"INSERT"))=0),R103,NA())</f>
        <v>#N/A</v>
      </c>
      <c r="W103" s="27" t="e">
        <f t="shared" si="6"/>
        <v>#N/A</v>
      </c>
      <c r="X103" s="27" t="e">
        <f t="shared" si="7"/>
        <v>#N/A</v>
      </c>
      <c r="Y103" s="196">
        <f t="shared" si="8"/>
        <v>0</v>
      </c>
      <c r="AA103" s="2" t="e">
        <f t="shared" si="9"/>
        <v>#N/A</v>
      </c>
      <c r="AB103" s="128" t="e">
        <f t="shared" si="10"/>
        <v>#N/A</v>
      </c>
      <c r="AC103" s="128" t="e">
        <f t="shared" si="10"/>
        <v>#N/A</v>
      </c>
      <c r="AD103" s="27" t="e">
        <f t="shared" si="11"/>
        <v>#N/A</v>
      </c>
      <c r="AE103" s="27" t="e">
        <f t="shared" si="12"/>
        <v>#N/A</v>
      </c>
      <c r="AF103" s="196">
        <f t="shared" si="13"/>
        <v>0</v>
      </c>
      <c r="AH103" s="2">
        <v>100</v>
      </c>
      <c r="AI103" s="2" t="e">
        <f t="shared" si="14"/>
        <v>#N/A</v>
      </c>
      <c r="AJ103" s="2" t="e">
        <f t="shared" si="15"/>
        <v>#N/A</v>
      </c>
      <c r="AL103" s="2" t="e">
        <f t="shared" si="16"/>
        <v>#N/A</v>
      </c>
      <c r="AM103" s="2" t="e">
        <f t="shared" si="17"/>
        <v>#N/A</v>
      </c>
      <c r="AN103" s="2" t="e">
        <f t="shared" si="17"/>
        <v>#N/A</v>
      </c>
      <c r="AP103" s="2">
        <v>100</v>
      </c>
      <c r="AQ103" t="e">
        <f t="shared" si="18"/>
        <v>#N/A</v>
      </c>
      <c r="AR103" t="e">
        <f t="shared" si="19"/>
        <v>#N/A</v>
      </c>
      <c r="AT103" s="2">
        <v>100</v>
      </c>
      <c r="AU103" t="str">
        <f t="shared" si="20"/>
        <v>Station (ft)</v>
      </c>
      <c r="AV103" t="str">
        <f t="shared" si="20"/>
        <v>Elevation (ft)</v>
      </c>
    </row>
  </sheetData>
  <mergeCells count="9">
    <mergeCell ref="AT1:AV1"/>
    <mergeCell ref="A2:C2"/>
    <mergeCell ref="E2:G2"/>
    <mergeCell ref="L2:N2"/>
    <mergeCell ref="T2:U2"/>
    <mergeCell ref="AA2:AB2"/>
    <mergeCell ref="AH2:AJ2"/>
    <mergeCell ref="AP2:AR2"/>
    <mergeCell ref="AT2:AV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BR297"/>
  <sheetViews>
    <sheetView zoomScale="85" workbookViewId="0">
      <selection activeCell="C22" sqref="C22:M22"/>
    </sheetView>
  </sheetViews>
  <sheetFormatPr defaultRowHeight="12.75"/>
  <cols>
    <col min="2" max="2" width="10.42578125" customWidth="1"/>
    <col min="3" max="3" width="18.28515625" customWidth="1"/>
    <col min="4" max="4" width="14.85546875" customWidth="1"/>
    <col min="5" max="5" width="14.140625" customWidth="1"/>
    <col min="6" max="6" width="16.5703125" customWidth="1"/>
    <col min="7" max="7" width="11.140625" customWidth="1"/>
    <col min="8" max="8" width="11" customWidth="1"/>
    <col min="10" max="10" width="21.5703125" customWidth="1"/>
    <col min="11" max="11" width="13.42578125" customWidth="1"/>
    <col min="15" max="15" width="18.85546875" customWidth="1"/>
    <col min="16" max="16" width="16.5703125" customWidth="1"/>
    <col min="23" max="23" width="7.28515625" customWidth="1"/>
    <col min="26" max="26" width="10" customWidth="1"/>
  </cols>
  <sheetData>
    <row r="1" spans="2:21" ht="15" customHeight="1">
      <c r="B1" s="541" t="s">
        <v>330</v>
      </c>
      <c r="C1" s="541"/>
      <c r="D1" s="541"/>
      <c r="E1" s="541"/>
      <c r="F1" s="541"/>
      <c r="G1" s="541"/>
      <c r="H1" s="541"/>
      <c r="I1" s="541"/>
      <c r="J1" s="541"/>
      <c r="K1" s="541"/>
      <c r="L1" s="541"/>
      <c r="M1" s="541"/>
      <c r="N1" s="315"/>
      <c r="O1" s="1"/>
      <c r="P1" s="1"/>
      <c r="Q1" s="1"/>
      <c r="R1" s="1"/>
      <c r="S1" s="1"/>
      <c r="T1" s="1"/>
      <c r="U1" s="1"/>
    </row>
    <row r="2" spans="2:21" ht="15" customHeight="1">
      <c r="B2" s="541"/>
      <c r="C2" s="541"/>
      <c r="D2" s="541"/>
      <c r="E2" s="541"/>
      <c r="F2" s="541"/>
      <c r="G2" s="541"/>
      <c r="H2" s="541"/>
      <c r="I2" s="541"/>
      <c r="J2" s="541"/>
      <c r="K2" s="541"/>
      <c r="L2" s="541"/>
      <c r="M2" s="541"/>
      <c r="N2" s="315"/>
      <c r="O2" s="1"/>
      <c r="P2" s="1"/>
      <c r="Q2" s="1"/>
      <c r="R2" s="1"/>
      <c r="S2" s="1"/>
      <c r="T2" s="1"/>
      <c r="U2" s="1"/>
    </row>
    <row r="3" spans="2:21" ht="30.75" customHeight="1">
      <c r="B3" s="1"/>
      <c r="C3" s="252"/>
      <c r="D3" s="60" t="s">
        <v>89</v>
      </c>
      <c r="E3" s="60" t="s">
        <v>220</v>
      </c>
      <c r="F3" s="60" t="s">
        <v>326</v>
      </c>
      <c r="G3" s="60" t="s">
        <v>949</v>
      </c>
      <c r="H3" s="60" t="s">
        <v>408</v>
      </c>
      <c r="I3" s="11"/>
      <c r="J3" s="60" t="s">
        <v>14</v>
      </c>
      <c r="K3" s="60" t="s">
        <v>282</v>
      </c>
      <c r="L3" s="60" t="s">
        <v>325</v>
      </c>
      <c r="M3" s="11"/>
      <c r="N3" s="1"/>
      <c r="O3" s="254" t="s">
        <v>331</v>
      </c>
      <c r="P3" s="1"/>
      <c r="Q3" s="1"/>
      <c r="R3" s="1"/>
      <c r="S3" s="1"/>
      <c r="T3" s="1"/>
      <c r="U3" s="1"/>
    </row>
    <row r="4" spans="2:21" ht="15">
      <c r="B4" s="1"/>
      <c r="C4" s="52"/>
      <c r="D4" s="17">
        <v>2</v>
      </c>
      <c r="E4" s="17">
        <v>0.1</v>
      </c>
      <c r="F4" s="17">
        <v>6</v>
      </c>
      <c r="G4" s="17">
        <v>1E-3</v>
      </c>
      <c r="H4" s="17">
        <v>1E-3</v>
      </c>
      <c r="I4" s="11"/>
      <c r="J4" s="42">
        <v>40</v>
      </c>
      <c r="K4" s="116">
        <f>J4/D4</f>
        <v>20</v>
      </c>
      <c r="L4" s="116" t="str">
        <f>IF(K4&lt;20,"Use R","D is OK")</f>
        <v>D is OK</v>
      </c>
      <c r="M4" s="11"/>
      <c r="N4" s="1"/>
      <c r="O4" s="1"/>
      <c r="P4" s="1"/>
      <c r="Q4" s="1"/>
      <c r="R4" s="1"/>
      <c r="S4" s="1"/>
      <c r="T4" s="1"/>
      <c r="U4" s="1"/>
    </row>
    <row r="5" spans="2:21" ht="15">
      <c r="B5" s="1"/>
      <c r="C5" s="52"/>
      <c r="D5" s="21"/>
      <c r="E5" s="21"/>
      <c r="F5" s="21"/>
      <c r="G5" s="21"/>
      <c r="H5" s="21"/>
      <c r="I5" s="11"/>
      <c r="J5" s="11"/>
      <c r="K5" s="11"/>
      <c r="L5" s="11"/>
      <c r="M5" s="11"/>
      <c r="N5" s="1"/>
      <c r="O5" s="1"/>
      <c r="P5" s="1"/>
      <c r="Q5" s="1"/>
      <c r="R5" s="1"/>
      <c r="S5" s="1"/>
      <c r="T5" s="1"/>
      <c r="U5" s="1"/>
    </row>
    <row r="6" spans="2:21" ht="15">
      <c r="B6" s="1"/>
      <c r="N6" s="1"/>
      <c r="O6" s="1"/>
      <c r="P6" s="1"/>
      <c r="Q6" s="1"/>
      <c r="R6" s="1"/>
      <c r="S6" s="1"/>
      <c r="T6" s="1"/>
      <c r="U6" s="1"/>
    </row>
    <row r="7" spans="2:21" ht="15">
      <c r="B7" s="1"/>
      <c r="N7" s="1"/>
      <c r="O7" s="1"/>
      <c r="P7" s="1"/>
      <c r="Q7" s="1"/>
      <c r="R7" s="1"/>
      <c r="S7" s="1"/>
      <c r="T7" s="1"/>
      <c r="U7" s="1"/>
    </row>
    <row r="8" spans="2:21" ht="15">
      <c r="B8" s="1"/>
      <c r="C8" s="412" t="s">
        <v>91</v>
      </c>
      <c r="D8" s="412"/>
      <c r="E8" s="412"/>
      <c r="F8" s="412"/>
      <c r="G8" s="412"/>
      <c r="H8" s="412"/>
      <c r="I8" s="412"/>
      <c r="J8" s="412"/>
      <c r="K8" s="412"/>
      <c r="L8" s="412"/>
      <c r="M8" s="412"/>
      <c r="N8" s="1"/>
      <c r="O8" s="1"/>
      <c r="P8" s="1"/>
      <c r="Q8" s="1"/>
      <c r="R8" s="1"/>
      <c r="S8" s="1"/>
      <c r="T8" s="1"/>
      <c r="U8" s="1"/>
    </row>
    <row r="9" spans="2:21" ht="15">
      <c r="B9" s="1"/>
      <c r="C9" s="28">
        <f>$D$4</f>
        <v>2</v>
      </c>
      <c r="D9" s="28">
        <f t="shared" ref="D9:M9" si="0">C9+$E$4</f>
        <v>2.1</v>
      </c>
      <c r="E9" s="28">
        <f t="shared" si="0"/>
        <v>2.2000000000000002</v>
      </c>
      <c r="F9" s="28">
        <f t="shared" si="0"/>
        <v>2.3000000000000003</v>
      </c>
      <c r="G9" s="28">
        <f t="shared" si="0"/>
        <v>2.4000000000000004</v>
      </c>
      <c r="H9" s="28">
        <f t="shared" si="0"/>
        <v>2.5000000000000004</v>
      </c>
      <c r="I9" s="28">
        <f t="shared" si="0"/>
        <v>2.6000000000000005</v>
      </c>
      <c r="J9" s="28">
        <f t="shared" si="0"/>
        <v>2.7000000000000006</v>
      </c>
      <c r="K9" s="28">
        <f t="shared" si="0"/>
        <v>2.8000000000000007</v>
      </c>
      <c r="L9" s="28">
        <f t="shared" si="0"/>
        <v>2.9000000000000008</v>
      </c>
      <c r="M9" s="28">
        <f t="shared" si="0"/>
        <v>3.0000000000000009</v>
      </c>
      <c r="N9" s="1"/>
      <c r="O9" s="1"/>
      <c r="P9" s="1"/>
      <c r="Q9" s="1"/>
      <c r="R9" s="1"/>
      <c r="S9" s="1"/>
      <c r="T9" s="1"/>
      <c r="U9" s="1"/>
    </row>
    <row r="10" spans="2:21" ht="15">
      <c r="B10" s="1"/>
      <c r="C10" s="52"/>
      <c r="D10" s="21"/>
      <c r="E10" s="21"/>
      <c r="F10" s="21"/>
      <c r="G10" s="21"/>
      <c r="H10" s="21"/>
      <c r="I10" s="11"/>
      <c r="J10" s="11"/>
      <c r="K10" s="11"/>
      <c r="L10" s="11"/>
      <c r="M10" s="11"/>
      <c r="N10" s="1"/>
      <c r="O10" s="1"/>
      <c r="P10" s="1"/>
      <c r="Q10" s="1"/>
      <c r="R10" s="1"/>
      <c r="S10" s="1"/>
      <c r="T10" s="1"/>
      <c r="U10" s="1"/>
    </row>
    <row r="11" spans="2:21" ht="15">
      <c r="B11" s="1"/>
      <c r="C11" s="412" t="s">
        <v>226</v>
      </c>
      <c r="D11" s="412"/>
      <c r="E11" s="412"/>
      <c r="F11" s="412"/>
      <c r="G11" s="412"/>
      <c r="H11" s="412"/>
      <c r="I11" s="412"/>
      <c r="J11" s="412"/>
      <c r="K11" s="412"/>
      <c r="L11" s="412"/>
      <c r="M11" s="412"/>
      <c r="N11" s="1"/>
      <c r="O11" s="1"/>
      <c r="P11" s="1"/>
      <c r="Q11" s="1"/>
      <c r="R11" s="1"/>
      <c r="S11" s="1"/>
      <c r="T11" s="1"/>
      <c r="U11" s="1"/>
    </row>
    <row r="12" spans="2:21" ht="15">
      <c r="B12" s="1"/>
      <c r="C12" s="186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"/>
      <c r="O12" s="1"/>
      <c r="P12" s="1"/>
      <c r="Q12" s="1"/>
      <c r="R12" s="1"/>
      <c r="S12" s="1"/>
      <c r="T12" s="1"/>
      <c r="U12" s="1"/>
    </row>
    <row r="13" spans="2:21" ht="15">
      <c r="B13" s="1"/>
      <c r="F13" s="21"/>
      <c r="G13" s="21"/>
      <c r="H13" s="21"/>
      <c r="I13" s="11"/>
      <c r="J13" s="11"/>
      <c r="K13" s="11"/>
      <c r="L13" s="11"/>
      <c r="M13" s="11"/>
      <c r="N13" s="1"/>
      <c r="O13" s="1"/>
      <c r="P13" s="1"/>
      <c r="Q13" s="1"/>
      <c r="R13" s="1"/>
      <c r="S13" s="1"/>
      <c r="T13" s="1"/>
      <c r="U13" s="1"/>
    </row>
    <row r="14" spans="2:21" ht="15">
      <c r="B14" s="1"/>
      <c r="C14" s="412" t="s">
        <v>896</v>
      </c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1"/>
      <c r="O14" s="1"/>
      <c r="P14" s="1"/>
      <c r="Q14" s="1"/>
      <c r="R14" s="1"/>
      <c r="S14" s="1"/>
      <c r="T14" s="1"/>
      <c r="U14" s="1"/>
    </row>
    <row r="15" spans="2:21" ht="15">
      <c r="B15" s="1"/>
      <c r="C15" s="186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"/>
      <c r="O15" s="1"/>
      <c r="P15" s="1"/>
      <c r="Q15" s="1"/>
      <c r="R15" s="1"/>
      <c r="S15" s="1"/>
      <c r="T15" s="1"/>
      <c r="U15" s="1"/>
    </row>
    <row r="16" spans="2:21" ht="15">
      <c r="B16" s="1"/>
      <c r="F16" s="21"/>
      <c r="G16" s="21"/>
      <c r="H16" s="21"/>
      <c r="I16" s="11"/>
      <c r="J16" s="11"/>
      <c r="K16" s="11"/>
      <c r="L16" s="11"/>
      <c r="M16" s="11"/>
      <c r="N16" s="1"/>
      <c r="O16" s="1"/>
      <c r="P16" s="1"/>
      <c r="Q16" s="1"/>
      <c r="R16" s="1"/>
      <c r="S16" s="1"/>
      <c r="T16" s="1"/>
      <c r="U16" s="1"/>
    </row>
    <row r="17" spans="2:21" ht="15">
      <c r="B17" s="1"/>
      <c r="C17" s="412" t="s">
        <v>92</v>
      </c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1"/>
      <c r="O17" s="1"/>
      <c r="P17" s="1"/>
      <c r="Q17" s="1"/>
      <c r="R17" s="1"/>
      <c r="S17" s="1"/>
      <c r="T17" s="1"/>
      <c r="U17" s="1"/>
    </row>
    <row r="18" spans="2:21" ht="15">
      <c r="B18" s="1"/>
      <c r="C18" s="28">
        <f t="shared" ref="C18:M18" si="1">IF($C$22="Wide Channel (Flow Depth)",C9,C12/C15)</f>
        <v>2</v>
      </c>
      <c r="D18" s="28">
        <f t="shared" si="1"/>
        <v>2.1</v>
      </c>
      <c r="E18" s="28">
        <f t="shared" si="1"/>
        <v>2.2000000000000002</v>
      </c>
      <c r="F18" s="28">
        <f t="shared" si="1"/>
        <v>2.3000000000000003</v>
      </c>
      <c r="G18" s="28">
        <f t="shared" si="1"/>
        <v>2.4000000000000004</v>
      </c>
      <c r="H18" s="28">
        <f t="shared" si="1"/>
        <v>2.5000000000000004</v>
      </c>
      <c r="I18" s="28">
        <f t="shared" si="1"/>
        <v>2.6000000000000005</v>
      </c>
      <c r="J18" s="28">
        <f t="shared" si="1"/>
        <v>2.7000000000000006</v>
      </c>
      <c r="K18" s="28">
        <f t="shared" si="1"/>
        <v>2.8000000000000007</v>
      </c>
      <c r="L18" s="28">
        <f t="shared" si="1"/>
        <v>2.9000000000000008</v>
      </c>
      <c r="M18" s="28">
        <f t="shared" si="1"/>
        <v>3.0000000000000009</v>
      </c>
      <c r="N18" s="1"/>
      <c r="O18" s="1"/>
      <c r="P18" s="1"/>
      <c r="Q18" s="1"/>
      <c r="R18" s="1"/>
      <c r="S18" s="1"/>
      <c r="T18" s="1"/>
      <c r="U18" s="1"/>
    </row>
    <row r="19" spans="2:21" ht="15">
      <c r="B19" s="1"/>
      <c r="C19" s="2"/>
      <c r="D19" s="2"/>
      <c r="E19" s="2"/>
      <c r="F19" s="21"/>
      <c r="G19" s="21"/>
      <c r="H19" s="21"/>
      <c r="I19" s="11"/>
      <c r="J19" s="11"/>
      <c r="K19" s="11"/>
      <c r="L19" s="11"/>
      <c r="M19" s="11"/>
      <c r="N19" s="1"/>
      <c r="O19" s="1"/>
      <c r="P19" s="1"/>
      <c r="Q19" s="1"/>
      <c r="R19" s="1"/>
      <c r="S19" s="1"/>
      <c r="T19" s="1"/>
      <c r="U19" s="1"/>
    </row>
    <row r="20" spans="2:21" ht="15">
      <c r="B20" s="1"/>
      <c r="F20" s="21"/>
      <c r="G20" s="21"/>
      <c r="H20" s="21"/>
      <c r="I20" s="11"/>
      <c r="J20" s="11"/>
      <c r="K20" s="11"/>
      <c r="L20" s="11"/>
      <c r="M20" s="11"/>
      <c r="N20" s="1"/>
      <c r="O20" s="1"/>
      <c r="P20" s="1"/>
      <c r="Q20" s="1"/>
      <c r="R20" s="1"/>
      <c r="S20" s="1"/>
      <c r="T20" s="1"/>
      <c r="U20" s="1"/>
    </row>
    <row r="21" spans="2:21" ht="20.25">
      <c r="B21" s="1"/>
      <c r="C21" s="542" t="s">
        <v>963</v>
      </c>
      <c r="D21" s="543"/>
      <c r="E21" s="543"/>
      <c r="F21" s="543"/>
      <c r="G21" s="543"/>
      <c r="H21" s="543"/>
      <c r="I21" s="543"/>
      <c r="J21" s="543"/>
      <c r="K21" s="543"/>
      <c r="L21" s="543"/>
      <c r="M21" s="544"/>
      <c r="N21" s="1"/>
      <c r="O21" s="1"/>
      <c r="P21" s="1"/>
      <c r="Q21" s="1"/>
      <c r="R21" s="1"/>
      <c r="S21" s="1"/>
      <c r="T21" s="1"/>
      <c r="U21" s="1"/>
    </row>
    <row r="22" spans="2:21" ht="15.75">
      <c r="B22" s="1"/>
      <c r="C22" s="545" t="s">
        <v>895</v>
      </c>
      <c r="D22" s="546"/>
      <c r="E22" s="546"/>
      <c r="F22" s="546"/>
      <c r="G22" s="546"/>
      <c r="H22" s="546"/>
      <c r="I22" s="546"/>
      <c r="J22" s="546"/>
      <c r="K22" s="546"/>
      <c r="L22" s="546"/>
      <c r="M22" s="547"/>
      <c r="N22" s="1"/>
      <c r="O22" s="1"/>
      <c r="P22" s="1"/>
      <c r="Q22" s="1"/>
      <c r="R22" s="1"/>
      <c r="S22" s="1"/>
      <c r="T22" s="1"/>
      <c r="U22" s="1"/>
    </row>
    <row r="23" spans="2:21" ht="15">
      <c r="B23" s="1"/>
      <c r="F23" s="21"/>
      <c r="G23" s="21"/>
      <c r="H23" s="21"/>
      <c r="I23" s="11"/>
      <c r="J23" s="11"/>
      <c r="K23" s="11"/>
      <c r="L23" s="11"/>
      <c r="M23" s="11"/>
      <c r="N23" s="1"/>
      <c r="O23" s="1"/>
      <c r="P23" s="1"/>
      <c r="Q23" s="1"/>
      <c r="R23" s="1"/>
      <c r="S23" s="1"/>
      <c r="T23" s="1"/>
      <c r="U23" s="1"/>
    </row>
    <row r="24" spans="2:21" ht="15">
      <c r="B24" s="1"/>
      <c r="F24" s="21"/>
      <c r="G24" s="21"/>
      <c r="H24" s="21"/>
      <c r="I24" s="11"/>
      <c r="J24" s="11"/>
      <c r="K24" s="11"/>
      <c r="L24" s="11"/>
      <c r="M24" s="11"/>
      <c r="N24" s="1"/>
      <c r="O24" s="1"/>
      <c r="P24" s="1"/>
      <c r="Q24" s="1"/>
      <c r="R24" s="1"/>
      <c r="S24" s="1"/>
      <c r="T24" s="1"/>
      <c r="U24" s="1"/>
    </row>
    <row r="25" spans="2:21" ht="15">
      <c r="B25" s="1"/>
      <c r="F25" s="21"/>
      <c r="G25" s="21"/>
      <c r="H25" s="21"/>
      <c r="I25" s="11"/>
      <c r="J25" s="11"/>
      <c r="K25" s="11"/>
      <c r="L25" s="11"/>
      <c r="M25" s="11"/>
      <c r="N25" s="1"/>
      <c r="O25" s="1"/>
      <c r="P25" s="1"/>
      <c r="Q25" s="1"/>
      <c r="R25" s="1"/>
      <c r="S25" s="1"/>
      <c r="T25" s="1"/>
      <c r="U25" s="1"/>
    </row>
    <row r="26" spans="2:21" ht="15">
      <c r="B26" s="1"/>
      <c r="F26" s="21"/>
      <c r="G26" s="21"/>
      <c r="H26" s="21"/>
      <c r="I26" s="11"/>
      <c r="J26" s="11"/>
      <c r="K26" s="11"/>
      <c r="L26" s="11"/>
      <c r="M26" s="11"/>
      <c r="N26" s="1"/>
      <c r="O26" s="1"/>
      <c r="P26" s="1"/>
      <c r="Q26" s="1"/>
      <c r="R26" s="1"/>
      <c r="S26" s="1"/>
      <c r="T26" s="1"/>
      <c r="U26" s="1"/>
    </row>
    <row r="27" spans="2:21" ht="15">
      <c r="B27" s="1"/>
      <c r="C27" s="458" t="s">
        <v>476</v>
      </c>
      <c r="D27" s="459"/>
      <c r="E27" s="459"/>
      <c r="F27" s="459"/>
      <c r="G27" s="459"/>
      <c r="H27" s="459"/>
      <c r="I27" s="459"/>
      <c r="J27" s="459"/>
      <c r="K27" s="459"/>
      <c r="L27" s="496"/>
      <c r="M27" s="11"/>
      <c r="N27" s="1"/>
      <c r="O27" s="1"/>
      <c r="P27" s="1"/>
      <c r="Q27" s="1"/>
      <c r="R27" s="1"/>
      <c r="S27" s="1"/>
      <c r="T27" s="1"/>
      <c r="U27" s="1"/>
    </row>
    <row r="28" spans="2:21" ht="15">
      <c r="B28" s="1"/>
      <c r="C28" s="58" t="s">
        <v>16</v>
      </c>
      <c r="D28" s="31" t="s">
        <v>957</v>
      </c>
      <c r="E28" s="31" t="s">
        <v>221</v>
      </c>
      <c r="F28" s="31" t="s">
        <v>227</v>
      </c>
      <c r="G28" s="458" t="s">
        <v>901</v>
      </c>
      <c r="H28" s="459"/>
      <c r="I28" s="459"/>
      <c r="J28" s="459"/>
      <c r="K28" s="459"/>
      <c r="L28" s="496"/>
      <c r="M28" s="11"/>
      <c r="N28" s="1"/>
      <c r="O28" s="1"/>
      <c r="P28" s="1"/>
      <c r="Q28" s="1"/>
      <c r="R28" s="1"/>
      <c r="S28" s="1"/>
      <c r="T28" s="1"/>
      <c r="U28" s="1"/>
    </row>
    <row r="29" spans="2:21" ht="15">
      <c r="B29" s="1"/>
      <c r="C29" s="31" t="s">
        <v>228</v>
      </c>
      <c r="D29" s="31"/>
      <c r="E29" s="31"/>
      <c r="F29" s="31" t="s">
        <v>902</v>
      </c>
      <c r="G29" s="458" t="s">
        <v>777</v>
      </c>
      <c r="H29" s="459"/>
      <c r="I29" s="459"/>
      <c r="J29" s="459"/>
      <c r="K29" s="459"/>
      <c r="L29" s="496"/>
      <c r="M29" s="11"/>
      <c r="N29" s="1"/>
      <c r="O29" s="1"/>
      <c r="P29" s="1"/>
      <c r="Q29" s="1"/>
      <c r="R29" s="1"/>
      <c r="S29" s="1"/>
      <c r="T29" s="1"/>
      <c r="U29" s="1"/>
    </row>
    <row r="30" spans="2:21" ht="15">
      <c r="B30" s="1"/>
      <c r="C30" s="31" t="s">
        <v>486</v>
      </c>
      <c r="D30" s="31"/>
      <c r="E30" s="31"/>
      <c r="F30" s="31" t="s">
        <v>778</v>
      </c>
      <c r="G30" s="458" t="s">
        <v>419</v>
      </c>
      <c r="H30" s="459"/>
      <c r="I30" s="459"/>
      <c r="J30" s="459"/>
      <c r="K30" s="459"/>
      <c r="L30" s="496"/>
      <c r="M30" s="11"/>
      <c r="N30" s="1"/>
      <c r="O30" s="1"/>
      <c r="P30" s="1"/>
      <c r="Q30" s="1"/>
      <c r="R30" s="1"/>
      <c r="S30" s="1"/>
      <c r="T30" s="1"/>
      <c r="U30" s="1"/>
    </row>
    <row r="31" spans="2:21" ht="15">
      <c r="B31" s="1"/>
      <c r="C31" s="31" t="s">
        <v>418</v>
      </c>
      <c r="D31" s="31"/>
      <c r="E31" s="31"/>
      <c r="F31" s="31" t="s">
        <v>169</v>
      </c>
      <c r="G31" s="458" t="s">
        <v>420</v>
      </c>
      <c r="H31" s="459"/>
      <c r="I31" s="459"/>
      <c r="J31" s="459"/>
      <c r="K31" s="459"/>
      <c r="L31" s="496"/>
      <c r="M31" s="11"/>
      <c r="N31" s="1"/>
      <c r="O31" s="1"/>
      <c r="P31" s="1"/>
      <c r="Q31" s="1"/>
      <c r="R31" s="1"/>
      <c r="S31" s="1"/>
      <c r="T31" s="1"/>
      <c r="U31" s="1"/>
    </row>
    <row r="32" spans="2:21" ht="15">
      <c r="B32" s="1"/>
      <c r="C32" s="31" t="s">
        <v>766</v>
      </c>
      <c r="D32" s="31"/>
      <c r="E32" s="31"/>
      <c r="F32" s="31" t="s">
        <v>773</v>
      </c>
      <c r="G32" s="458" t="s">
        <v>485</v>
      </c>
      <c r="H32" s="459"/>
      <c r="I32" s="459"/>
      <c r="J32" s="459"/>
      <c r="K32" s="459"/>
      <c r="L32" s="496"/>
      <c r="M32" s="11"/>
      <c r="N32" s="1"/>
      <c r="O32" s="1"/>
      <c r="P32" s="1"/>
      <c r="Q32" s="1"/>
      <c r="R32" s="1"/>
      <c r="S32" s="1"/>
      <c r="T32" s="1"/>
      <c r="U32" s="1"/>
    </row>
    <row r="33" spans="1:22" ht="15">
      <c r="B33" s="1"/>
      <c r="C33" s="31" t="s">
        <v>725</v>
      </c>
      <c r="D33" s="31"/>
      <c r="E33" s="31"/>
      <c r="F33" s="31" t="s">
        <v>773</v>
      </c>
      <c r="G33" s="458" t="s">
        <v>421</v>
      </c>
      <c r="H33" s="459"/>
      <c r="I33" s="459"/>
      <c r="J33" s="459"/>
      <c r="K33" s="496"/>
      <c r="L33" s="5"/>
      <c r="M33" s="11"/>
      <c r="N33" s="1"/>
      <c r="O33" s="1"/>
      <c r="P33" s="1"/>
      <c r="Q33" s="1"/>
      <c r="R33" s="1"/>
      <c r="S33" s="1"/>
      <c r="T33" s="1"/>
      <c r="U33" s="1"/>
    </row>
    <row r="34" spans="1:22" ht="15">
      <c r="B34" s="1"/>
      <c r="G34" s="21"/>
      <c r="H34" s="21"/>
      <c r="I34" s="11"/>
      <c r="J34" s="11"/>
      <c r="K34" s="11"/>
      <c r="L34" s="11"/>
      <c r="M34" s="11"/>
      <c r="N34" s="1"/>
      <c r="O34" s="1"/>
      <c r="P34" s="1"/>
      <c r="Q34" s="1"/>
      <c r="R34" s="1"/>
      <c r="S34" s="1"/>
      <c r="T34" s="1"/>
      <c r="U34" s="1"/>
    </row>
    <row r="35" spans="1:22" ht="15">
      <c r="B35" s="1"/>
      <c r="C35" s="52"/>
      <c r="D35" s="21"/>
      <c r="E35" s="21"/>
      <c r="F35" s="21"/>
      <c r="G35" s="21"/>
      <c r="H35" s="21"/>
      <c r="I35" s="11"/>
      <c r="J35" s="11"/>
      <c r="K35" s="11"/>
      <c r="L35" s="11"/>
      <c r="M35" s="11"/>
      <c r="N35" s="1"/>
      <c r="O35" s="1"/>
      <c r="P35" s="1"/>
      <c r="Q35" s="1"/>
      <c r="R35" s="1"/>
      <c r="S35" s="1"/>
      <c r="T35" s="1"/>
      <c r="U35" s="1"/>
    </row>
    <row r="36" spans="1:22" ht="15">
      <c r="B36" s="1"/>
      <c r="C36" s="52"/>
      <c r="D36" s="21"/>
      <c r="E36" s="21"/>
      <c r="F36" s="21"/>
      <c r="G36" s="21"/>
      <c r="H36" s="21"/>
      <c r="I36" s="11"/>
      <c r="J36" s="11"/>
      <c r="K36" s="11"/>
      <c r="L36" s="11"/>
      <c r="M36" s="11"/>
      <c r="N36" s="1"/>
      <c r="O36" s="1"/>
      <c r="P36" s="1"/>
      <c r="Q36" s="1"/>
      <c r="R36" s="1"/>
      <c r="S36" s="1"/>
      <c r="T36" s="1"/>
      <c r="U36" s="1"/>
    </row>
    <row r="37" spans="1:22" ht="15">
      <c r="B37" s="1"/>
      <c r="C37" s="52"/>
      <c r="D37" s="21"/>
      <c r="E37" s="21"/>
      <c r="F37" s="21"/>
      <c r="G37" s="21"/>
      <c r="H37" s="21"/>
      <c r="I37" s="11"/>
      <c r="J37" s="11"/>
      <c r="K37" s="11"/>
      <c r="L37" s="11"/>
      <c r="M37" s="11"/>
      <c r="N37" s="1"/>
      <c r="O37" s="1"/>
      <c r="P37" s="1"/>
      <c r="Q37" s="1"/>
      <c r="R37" s="1"/>
      <c r="S37" s="1"/>
      <c r="T37" s="1"/>
      <c r="U37" s="1"/>
    </row>
    <row r="38" spans="1:22" ht="15">
      <c r="B38" s="1"/>
      <c r="C38" s="52"/>
      <c r="D38" s="21"/>
      <c r="E38" s="21"/>
      <c r="F38" s="21"/>
      <c r="G38" s="21"/>
      <c r="H38" s="21"/>
      <c r="I38" s="11"/>
      <c r="J38" s="11"/>
      <c r="K38" s="11"/>
      <c r="L38" s="11"/>
      <c r="M38" s="11"/>
      <c r="N38" s="1"/>
      <c r="O38" s="1"/>
      <c r="P38" s="1"/>
      <c r="Q38" s="1"/>
      <c r="R38" s="1"/>
      <c r="S38" s="1"/>
      <c r="T38" s="1"/>
      <c r="U38" s="1"/>
    </row>
    <row r="39" spans="1:22" ht="15">
      <c r="B39" s="1"/>
      <c r="C39" s="1"/>
      <c r="D39" s="21"/>
      <c r="E39" s="21"/>
      <c r="F39" s="21"/>
      <c r="G39" s="21"/>
      <c r="H39" s="21"/>
      <c r="I39" s="11"/>
      <c r="J39" s="11"/>
      <c r="K39" s="11"/>
      <c r="L39" s="11"/>
      <c r="M39" s="11"/>
      <c r="N39" s="1"/>
      <c r="O39" s="1"/>
      <c r="P39" s="1"/>
      <c r="Q39" s="1"/>
      <c r="R39" s="1"/>
      <c r="S39" s="1"/>
      <c r="T39" s="1"/>
      <c r="U39" s="1"/>
    </row>
    <row r="40" spans="1:22" ht="15">
      <c r="B40" s="1"/>
      <c r="E40" s="21"/>
      <c r="F40" s="21"/>
      <c r="G40" s="21"/>
      <c r="H40" s="21"/>
      <c r="I40" s="11"/>
      <c r="J40" s="11"/>
      <c r="K40" s="11"/>
      <c r="L40" s="11"/>
      <c r="M40" s="11"/>
      <c r="N40" s="1"/>
      <c r="O40" s="1"/>
      <c r="P40" s="1"/>
      <c r="Q40" s="1"/>
      <c r="R40" s="1"/>
      <c r="S40" s="1"/>
      <c r="T40" s="1"/>
      <c r="U40" s="1"/>
    </row>
    <row r="41" spans="1:22" ht="21">
      <c r="B41" s="1"/>
      <c r="C41" s="492" t="s">
        <v>673</v>
      </c>
      <c r="D41" s="492"/>
      <c r="E41" s="492"/>
      <c r="F41" s="492"/>
      <c r="G41" s="492"/>
      <c r="H41" s="492"/>
      <c r="I41" s="492"/>
      <c r="J41" s="492"/>
      <c r="K41" s="492"/>
      <c r="L41" s="492"/>
      <c r="M41" s="492"/>
      <c r="N41" s="1"/>
      <c r="O41" s="1"/>
      <c r="P41" s="1"/>
      <c r="Q41" s="1"/>
      <c r="R41" s="1"/>
      <c r="S41" s="1"/>
      <c r="T41" s="1"/>
      <c r="U41" s="1"/>
    </row>
    <row r="42" spans="1:22" ht="21.75" thickBot="1">
      <c r="B42" s="1"/>
      <c r="C42" s="535" t="s">
        <v>415</v>
      </c>
      <c r="D42" s="536"/>
      <c r="E42" s="536"/>
      <c r="F42" s="536"/>
      <c r="G42" s="536"/>
      <c r="H42" s="536"/>
      <c r="I42" s="536"/>
      <c r="J42" s="536"/>
      <c r="K42" s="536"/>
      <c r="L42" s="536"/>
      <c r="M42" s="537"/>
      <c r="N42" s="1"/>
      <c r="O42" s="1"/>
      <c r="P42" s="1"/>
      <c r="Q42" s="1"/>
      <c r="R42" s="1"/>
      <c r="S42" s="1"/>
      <c r="T42" s="1"/>
      <c r="U42" s="1"/>
    </row>
    <row r="43" spans="1:22" ht="15.75">
      <c r="B43" s="1"/>
      <c r="C43" s="538" t="str">
        <f>IF(O54="PSR","Using the Pavement to Subpavement Ratio Equation","Using the Surface Materials Ratio Equation")</f>
        <v>Using the Surface Materials Ratio Equation</v>
      </c>
      <c r="D43" s="539"/>
      <c r="E43" s="539"/>
      <c r="F43" s="539"/>
      <c r="G43" s="539"/>
      <c r="H43" s="539"/>
      <c r="I43" s="539"/>
      <c r="J43" s="539"/>
      <c r="K43" s="539"/>
      <c r="L43" s="539"/>
      <c r="M43" s="540"/>
      <c r="N43" s="1"/>
      <c r="O43" s="447" t="s">
        <v>961</v>
      </c>
      <c r="P43" s="448"/>
      <c r="Q43" s="448"/>
      <c r="R43" s="448"/>
      <c r="S43" s="448"/>
      <c r="T43" s="448"/>
      <c r="U43" s="448"/>
      <c r="V43" s="449"/>
    </row>
    <row r="44" spans="1:22" ht="15.75">
      <c r="B44" s="1"/>
      <c r="N44" s="1"/>
      <c r="O44" s="217" t="s">
        <v>837</v>
      </c>
      <c r="P44" s="65" t="s">
        <v>222</v>
      </c>
      <c r="Q44" s="436" t="s">
        <v>223</v>
      </c>
      <c r="R44" s="434"/>
      <c r="S44" s="434"/>
      <c r="T44" s="434"/>
      <c r="U44" s="434"/>
      <c r="V44" s="437"/>
    </row>
    <row r="45" spans="1:22" ht="18.75">
      <c r="A45" s="380" t="s">
        <v>285</v>
      </c>
      <c r="B45" s="382"/>
      <c r="C45" s="3">
        <f t="shared" ref="C45:M45" si="2">C18</f>
        <v>2</v>
      </c>
      <c r="D45" s="3">
        <f t="shared" si="2"/>
        <v>2.1</v>
      </c>
      <c r="E45" s="3">
        <f t="shared" si="2"/>
        <v>2.2000000000000002</v>
      </c>
      <c r="F45" s="3">
        <f t="shared" si="2"/>
        <v>2.3000000000000003</v>
      </c>
      <c r="G45" s="3">
        <f t="shared" si="2"/>
        <v>2.4000000000000004</v>
      </c>
      <c r="H45" s="3">
        <f t="shared" si="2"/>
        <v>2.5000000000000004</v>
      </c>
      <c r="I45" s="3">
        <f t="shared" si="2"/>
        <v>2.6000000000000005</v>
      </c>
      <c r="J45" s="3">
        <f t="shared" si="2"/>
        <v>2.7000000000000006</v>
      </c>
      <c r="K45" s="3">
        <f t="shared" si="2"/>
        <v>2.8000000000000007</v>
      </c>
      <c r="L45" s="3">
        <f t="shared" si="2"/>
        <v>2.9000000000000008</v>
      </c>
      <c r="M45" s="3">
        <f t="shared" si="2"/>
        <v>3.0000000000000009</v>
      </c>
      <c r="N45" s="1"/>
      <c r="O45" s="223">
        <f>XS_Designer!S89</f>
        <v>100</v>
      </c>
      <c r="P45" s="65" t="s">
        <v>539</v>
      </c>
      <c r="Q45" s="438" t="s">
        <v>664</v>
      </c>
      <c r="R45" s="439"/>
      <c r="S45" s="439"/>
      <c r="T45" s="439"/>
      <c r="U45" s="439"/>
      <c r="V45" s="440"/>
    </row>
    <row r="46" spans="1:22" ht="18.75">
      <c r="A46" s="380" t="s">
        <v>721</v>
      </c>
      <c r="B46" s="382"/>
      <c r="C46" s="3">
        <f t="shared" ref="C46:M46" si="3">C$12</f>
        <v>0</v>
      </c>
      <c r="D46" s="3">
        <f t="shared" si="3"/>
        <v>0</v>
      </c>
      <c r="E46" s="3">
        <f t="shared" si="3"/>
        <v>0</v>
      </c>
      <c r="F46" s="3">
        <f t="shared" si="3"/>
        <v>0</v>
      </c>
      <c r="G46" s="3">
        <f t="shared" si="3"/>
        <v>0</v>
      </c>
      <c r="H46" s="3">
        <f t="shared" si="3"/>
        <v>0</v>
      </c>
      <c r="I46" s="3">
        <f t="shared" si="3"/>
        <v>0</v>
      </c>
      <c r="J46" s="3">
        <f t="shared" si="3"/>
        <v>0</v>
      </c>
      <c r="K46" s="3">
        <f t="shared" si="3"/>
        <v>0</v>
      </c>
      <c r="L46" s="3">
        <f t="shared" si="3"/>
        <v>0</v>
      </c>
      <c r="M46" s="3">
        <f t="shared" si="3"/>
        <v>0</v>
      </c>
      <c r="N46" s="1"/>
      <c r="O46" s="83">
        <f>XS_Designer!S90</f>
        <v>80</v>
      </c>
      <c r="P46" s="65" t="s">
        <v>413</v>
      </c>
      <c r="Q46" s="438" t="s">
        <v>774</v>
      </c>
      <c r="R46" s="439"/>
      <c r="S46" s="439"/>
      <c r="T46" s="439"/>
      <c r="U46" s="439"/>
      <c r="V46" s="440"/>
    </row>
    <row r="47" spans="1:22" ht="15.75">
      <c r="A47" s="389" t="s">
        <v>84</v>
      </c>
      <c r="B47" s="391"/>
      <c r="C47" s="6">
        <f t="shared" ref="C47:M47" si="4">C$9</f>
        <v>2</v>
      </c>
      <c r="D47" s="6">
        <f t="shared" si="4"/>
        <v>2.1</v>
      </c>
      <c r="E47" s="6">
        <f t="shared" si="4"/>
        <v>2.2000000000000002</v>
      </c>
      <c r="F47" s="6">
        <f t="shared" si="4"/>
        <v>2.3000000000000003</v>
      </c>
      <c r="G47" s="6">
        <f t="shared" si="4"/>
        <v>2.4000000000000004</v>
      </c>
      <c r="H47" s="6">
        <f t="shared" si="4"/>
        <v>2.5000000000000004</v>
      </c>
      <c r="I47" s="6">
        <f t="shared" si="4"/>
        <v>2.6000000000000005</v>
      </c>
      <c r="J47" s="6">
        <f t="shared" si="4"/>
        <v>2.7000000000000006</v>
      </c>
      <c r="K47" s="6">
        <f t="shared" si="4"/>
        <v>2.8000000000000007</v>
      </c>
      <c r="L47" s="6">
        <f t="shared" si="4"/>
        <v>2.9000000000000008</v>
      </c>
      <c r="M47" s="6">
        <f t="shared" si="4"/>
        <v>3.0000000000000009</v>
      </c>
      <c r="N47" s="1"/>
      <c r="O47" s="199">
        <f>O45/O46</f>
        <v>1.25</v>
      </c>
      <c r="P47" s="65" t="s">
        <v>540</v>
      </c>
      <c r="Q47" s="438" t="s">
        <v>17</v>
      </c>
      <c r="R47" s="439"/>
      <c r="S47" s="439"/>
      <c r="T47" s="439"/>
      <c r="U47" s="439"/>
      <c r="V47" s="440"/>
    </row>
    <row r="48" spans="1:22" ht="15.75" customHeight="1">
      <c r="A48" s="450" t="s">
        <v>949</v>
      </c>
      <c r="B48" s="30">
        <f>$G$4</f>
        <v>1E-3</v>
      </c>
      <c r="C48" s="9">
        <f t="shared" ref="C48:M67" si="5">(($B48*C$45)/(1.65*$O$55))*12</f>
        <v>0.7005024834194693</v>
      </c>
      <c r="D48" s="9">
        <f t="shared" si="5"/>
        <v>0.73552760759044289</v>
      </c>
      <c r="E48" s="9">
        <f t="shared" si="5"/>
        <v>0.77055273176141625</v>
      </c>
      <c r="F48" s="9">
        <f t="shared" si="5"/>
        <v>0.80557785593238995</v>
      </c>
      <c r="G48" s="9">
        <f t="shared" si="5"/>
        <v>0.84060298010336321</v>
      </c>
      <c r="H48" s="9">
        <f t="shared" si="5"/>
        <v>0.8756281042743369</v>
      </c>
      <c r="I48" s="9">
        <f t="shared" si="5"/>
        <v>0.91065322844531038</v>
      </c>
      <c r="J48" s="9">
        <f t="shared" si="5"/>
        <v>0.94567835261628386</v>
      </c>
      <c r="K48" s="9">
        <f t="shared" si="5"/>
        <v>0.98070347678725733</v>
      </c>
      <c r="L48" s="9">
        <f t="shared" si="5"/>
        <v>1.0157286009582309</v>
      </c>
      <c r="M48" s="9">
        <f t="shared" si="5"/>
        <v>1.0507537251292045</v>
      </c>
      <c r="N48" s="1"/>
      <c r="O48" s="441"/>
      <c r="P48" s="442"/>
      <c r="Q48" s="442"/>
      <c r="R48" s="442"/>
      <c r="S48" s="442"/>
      <c r="T48" s="442"/>
      <c r="U48" s="442"/>
      <c r="V48" s="443"/>
    </row>
    <row r="49" spans="1:24" ht="17.25">
      <c r="A49" s="451"/>
      <c r="B49" s="30">
        <f t="shared" ref="B49:B67" si="6">B48+$H$4</f>
        <v>2E-3</v>
      </c>
      <c r="C49" s="9">
        <f t="shared" si="5"/>
        <v>1.4010049668389386</v>
      </c>
      <c r="D49" s="9">
        <f t="shared" si="5"/>
        <v>1.4710552151808858</v>
      </c>
      <c r="E49" s="9">
        <f t="shared" si="5"/>
        <v>1.5411054635228325</v>
      </c>
      <c r="F49" s="9">
        <f t="shared" si="5"/>
        <v>1.6111557118647799</v>
      </c>
      <c r="G49" s="9">
        <f t="shared" si="5"/>
        <v>1.6812059602067264</v>
      </c>
      <c r="H49" s="9">
        <f t="shared" si="5"/>
        <v>1.7512562085486738</v>
      </c>
      <c r="I49" s="9">
        <f t="shared" si="5"/>
        <v>1.8213064568906208</v>
      </c>
      <c r="J49" s="9">
        <f t="shared" si="5"/>
        <v>1.8913567052325677</v>
      </c>
      <c r="K49" s="9">
        <f t="shared" si="5"/>
        <v>1.9614069535745147</v>
      </c>
      <c r="L49" s="9">
        <f t="shared" si="5"/>
        <v>2.0314572019164618</v>
      </c>
      <c r="M49" s="9">
        <f t="shared" si="5"/>
        <v>2.101507450258409</v>
      </c>
      <c r="N49" s="1"/>
      <c r="O49" s="83">
        <f>XS_Designer!S93</f>
        <v>200</v>
      </c>
      <c r="P49" s="65" t="s">
        <v>414</v>
      </c>
      <c r="Q49" s="438" t="s">
        <v>960</v>
      </c>
      <c r="R49" s="439"/>
      <c r="S49" s="439"/>
      <c r="T49" s="439"/>
      <c r="U49" s="439"/>
      <c r="V49" s="440"/>
      <c r="X49" s="344"/>
    </row>
    <row r="50" spans="1:24" ht="15.75">
      <c r="A50" s="451"/>
      <c r="B50" s="30">
        <f t="shared" si="6"/>
        <v>3.0000000000000001E-3</v>
      </c>
      <c r="C50" s="9">
        <f t="shared" si="5"/>
        <v>2.1015074502584081</v>
      </c>
      <c r="D50" s="9">
        <f t="shared" si="5"/>
        <v>2.2065828227713284</v>
      </c>
      <c r="E50" s="9">
        <f t="shared" si="5"/>
        <v>2.3116581952842492</v>
      </c>
      <c r="F50" s="9">
        <f t="shared" si="5"/>
        <v>2.4167335677971695</v>
      </c>
      <c r="G50" s="9">
        <f t="shared" si="5"/>
        <v>2.5218089403100903</v>
      </c>
      <c r="H50" s="9">
        <f t="shared" si="5"/>
        <v>2.6268843128230106</v>
      </c>
      <c r="I50" s="9">
        <f t="shared" si="5"/>
        <v>2.7319596853359309</v>
      </c>
      <c r="J50" s="9">
        <f t="shared" si="5"/>
        <v>2.8370350578488517</v>
      </c>
      <c r="K50" s="9">
        <f t="shared" si="5"/>
        <v>2.9421104303617724</v>
      </c>
      <c r="L50" s="9">
        <f t="shared" si="5"/>
        <v>3.0471858028746928</v>
      </c>
      <c r="M50" s="9">
        <f t="shared" si="5"/>
        <v>3.1522611753876131</v>
      </c>
      <c r="N50" s="1"/>
      <c r="O50" s="83">
        <f>O49/O45</f>
        <v>2</v>
      </c>
      <c r="P50" s="65" t="s">
        <v>841</v>
      </c>
      <c r="Q50" s="438" t="s">
        <v>842</v>
      </c>
      <c r="R50" s="439"/>
      <c r="S50" s="439"/>
      <c r="T50" s="439"/>
      <c r="U50" s="439"/>
      <c r="V50" s="440"/>
      <c r="X50" s="344"/>
    </row>
    <row r="51" spans="1:24" ht="15.75">
      <c r="A51" s="451"/>
      <c r="B51" s="30">
        <f t="shared" si="6"/>
        <v>4.0000000000000001E-3</v>
      </c>
      <c r="C51" s="9">
        <f t="shared" si="5"/>
        <v>2.8020099336778772</v>
      </c>
      <c r="D51" s="9">
        <f t="shared" si="5"/>
        <v>2.9421104303617716</v>
      </c>
      <c r="E51" s="9">
        <f t="shared" si="5"/>
        <v>3.082210927045665</v>
      </c>
      <c r="F51" s="9">
        <f t="shared" si="5"/>
        <v>3.2223114237295598</v>
      </c>
      <c r="G51" s="9">
        <f t="shared" si="5"/>
        <v>3.3624119204134528</v>
      </c>
      <c r="H51" s="9">
        <f t="shared" si="5"/>
        <v>3.5025124170973476</v>
      </c>
      <c r="I51" s="9">
        <f t="shared" si="5"/>
        <v>3.6426129137812415</v>
      </c>
      <c r="J51" s="9">
        <f t="shared" si="5"/>
        <v>3.7827134104651354</v>
      </c>
      <c r="K51" s="9">
        <f t="shared" si="5"/>
        <v>3.9228139071490293</v>
      </c>
      <c r="L51" s="9">
        <f t="shared" si="5"/>
        <v>4.0629144038329237</v>
      </c>
      <c r="M51" s="9">
        <f t="shared" si="5"/>
        <v>4.203014900516818</v>
      </c>
      <c r="N51" s="1"/>
      <c r="O51" s="430"/>
      <c r="P51" s="431"/>
      <c r="Q51" s="431"/>
      <c r="R51" s="431"/>
      <c r="S51" s="431"/>
      <c r="T51" s="431"/>
      <c r="U51" s="431"/>
      <c r="V51" s="432"/>
      <c r="X51" s="344"/>
    </row>
    <row r="52" spans="1:24" ht="15.75">
      <c r="A52" s="451"/>
      <c r="B52" s="30">
        <f t="shared" si="6"/>
        <v>5.0000000000000001E-3</v>
      </c>
      <c r="C52" s="9">
        <f t="shared" si="5"/>
        <v>3.5025124170973472</v>
      </c>
      <c r="D52" s="9">
        <f t="shared" si="5"/>
        <v>3.6776380379522147</v>
      </c>
      <c r="E52" s="9">
        <f t="shared" si="5"/>
        <v>3.8527636588070817</v>
      </c>
      <c r="F52" s="9">
        <f t="shared" si="5"/>
        <v>4.0278892796619497</v>
      </c>
      <c r="G52" s="9">
        <f t="shared" si="5"/>
        <v>4.2030149005168171</v>
      </c>
      <c r="H52" s="9">
        <f t="shared" si="5"/>
        <v>4.3781405213716837</v>
      </c>
      <c r="I52" s="9">
        <f t="shared" si="5"/>
        <v>4.5532661422265521</v>
      </c>
      <c r="J52" s="9">
        <f t="shared" si="5"/>
        <v>4.7283917630814196</v>
      </c>
      <c r="K52" s="9">
        <f t="shared" si="5"/>
        <v>4.9035173839362862</v>
      </c>
      <c r="L52" s="9">
        <f t="shared" si="5"/>
        <v>5.0786430047911546</v>
      </c>
      <c r="M52" s="9">
        <f t="shared" si="5"/>
        <v>5.2537686256460221</v>
      </c>
      <c r="N52" s="1"/>
      <c r="O52" s="433" t="s">
        <v>663</v>
      </c>
      <c r="P52" s="434"/>
      <c r="Q52" s="434"/>
      <c r="R52" s="435"/>
      <c r="S52" s="436" t="s">
        <v>412</v>
      </c>
      <c r="T52" s="434"/>
      <c r="U52" s="434"/>
      <c r="V52" s="437"/>
      <c r="X52" s="344"/>
    </row>
    <row r="53" spans="1:24" ht="15.75">
      <c r="A53" s="451"/>
      <c r="B53" s="30">
        <f t="shared" si="6"/>
        <v>6.0000000000000001E-3</v>
      </c>
      <c r="C53" s="9">
        <f t="shared" si="5"/>
        <v>4.2030149005168163</v>
      </c>
      <c r="D53" s="9">
        <f t="shared" si="5"/>
        <v>4.4131656455426569</v>
      </c>
      <c r="E53" s="9">
        <f t="shared" si="5"/>
        <v>4.6233163905684984</v>
      </c>
      <c r="F53" s="9">
        <f t="shared" si="5"/>
        <v>4.833467135594339</v>
      </c>
      <c r="G53" s="9">
        <f t="shared" si="5"/>
        <v>5.0436178806201806</v>
      </c>
      <c r="H53" s="9">
        <f t="shared" si="5"/>
        <v>5.2537686256460212</v>
      </c>
      <c r="I53" s="9">
        <f t="shared" si="5"/>
        <v>5.4639193706718618</v>
      </c>
      <c r="J53" s="9">
        <f t="shared" si="5"/>
        <v>5.6740701156977034</v>
      </c>
      <c r="K53" s="9">
        <f t="shared" si="5"/>
        <v>5.8842208607235449</v>
      </c>
      <c r="L53" s="9">
        <f t="shared" si="5"/>
        <v>6.0943716057493855</v>
      </c>
      <c r="M53" s="9">
        <f t="shared" si="5"/>
        <v>6.3045223507752262</v>
      </c>
      <c r="N53" s="1"/>
      <c r="O53" s="421" t="s">
        <v>536</v>
      </c>
      <c r="P53" s="422"/>
      <c r="Q53" s="422"/>
      <c r="R53" s="423"/>
      <c r="S53" s="424" t="s">
        <v>284</v>
      </c>
      <c r="T53" s="422"/>
      <c r="U53" s="422"/>
      <c r="V53" s="425"/>
      <c r="X53" s="344"/>
    </row>
    <row r="54" spans="1:24" ht="18.75" customHeight="1">
      <c r="A54" s="451"/>
      <c r="B54" s="30">
        <f t="shared" si="6"/>
        <v>7.0000000000000001E-3</v>
      </c>
      <c r="C54" s="9">
        <f t="shared" si="5"/>
        <v>4.9035173839362862</v>
      </c>
      <c r="D54" s="9">
        <f t="shared" si="5"/>
        <v>5.1486932531331</v>
      </c>
      <c r="E54" s="9">
        <f t="shared" si="5"/>
        <v>5.3938691223299147</v>
      </c>
      <c r="F54" s="9">
        <f t="shared" si="5"/>
        <v>5.6390449915267293</v>
      </c>
      <c r="G54" s="9">
        <f t="shared" si="5"/>
        <v>5.8842208607235431</v>
      </c>
      <c r="H54" s="9">
        <f t="shared" si="5"/>
        <v>6.1293967299203587</v>
      </c>
      <c r="I54" s="9">
        <f t="shared" si="5"/>
        <v>6.3745725991171733</v>
      </c>
      <c r="J54" s="9">
        <f t="shared" si="5"/>
        <v>6.6197484683139862</v>
      </c>
      <c r="K54" s="9">
        <f t="shared" si="5"/>
        <v>6.8649243375108027</v>
      </c>
      <c r="L54" s="9">
        <f t="shared" si="5"/>
        <v>7.1101002067076156</v>
      </c>
      <c r="M54" s="9">
        <f t="shared" si="5"/>
        <v>7.3552760759044311</v>
      </c>
      <c r="N54" s="1"/>
      <c r="O54" s="83" t="str">
        <f>IF(AND(O47&lt;7,O47&gt;3),"PSR",IF(AND(O50&lt;3,O50&gt;1.3),"SMR",NA()))</f>
        <v>SMR</v>
      </c>
      <c r="P54" s="65" t="s">
        <v>16</v>
      </c>
      <c r="Q54" s="426" t="s">
        <v>894</v>
      </c>
      <c r="R54" s="427"/>
      <c r="S54" s="427"/>
      <c r="T54" s="427"/>
      <c r="U54" s="427"/>
      <c r="V54" s="428"/>
    </row>
    <row r="55" spans="1:24" ht="18" thickBot="1">
      <c r="A55" s="451"/>
      <c r="B55" s="30">
        <f t="shared" si="6"/>
        <v>8.0000000000000002E-3</v>
      </c>
      <c r="C55" s="9">
        <f t="shared" si="5"/>
        <v>5.6040198673557544</v>
      </c>
      <c r="D55" s="9">
        <f t="shared" si="5"/>
        <v>5.8842208607235431</v>
      </c>
      <c r="E55" s="9">
        <f t="shared" si="5"/>
        <v>6.16442185409133</v>
      </c>
      <c r="F55" s="9">
        <f t="shared" si="5"/>
        <v>6.4446228474591196</v>
      </c>
      <c r="G55" s="9">
        <f t="shared" si="5"/>
        <v>6.7248238408269057</v>
      </c>
      <c r="H55" s="9">
        <f t="shared" si="5"/>
        <v>7.0050248341946952</v>
      </c>
      <c r="I55" s="9">
        <f t="shared" si="5"/>
        <v>7.285225827562483</v>
      </c>
      <c r="J55" s="9">
        <f t="shared" si="5"/>
        <v>7.5654268209302709</v>
      </c>
      <c r="K55" s="9">
        <f t="shared" si="5"/>
        <v>7.8456278142980587</v>
      </c>
      <c r="L55" s="9">
        <f t="shared" si="5"/>
        <v>8.1258288076658474</v>
      </c>
      <c r="M55" s="9">
        <f t="shared" si="5"/>
        <v>8.4060298010336361</v>
      </c>
      <c r="N55" s="1"/>
      <c r="O55" s="206">
        <f>IF(O54="PSR",0.0834*(O45/O46)^-0.872,0.0384*(O49/O45)^-0.887)</f>
        <v>2.0764315458885463E-2</v>
      </c>
      <c r="P55" s="161" t="s">
        <v>838</v>
      </c>
      <c r="Q55" s="444" t="s">
        <v>893</v>
      </c>
      <c r="R55" s="445"/>
      <c r="S55" s="445"/>
      <c r="T55" s="445"/>
      <c r="U55" s="445"/>
      <c r="V55" s="446"/>
    </row>
    <row r="56" spans="1:24" ht="16.5" thickBot="1">
      <c r="A56" s="451"/>
      <c r="B56" s="30">
        <f t="shared" si="6"/>
        <v>9.0000000000000011E-3</v>
      </c>
      <c r="C56" s="9">
        <f t="shared" si="5"/>
        <v>6.3045223507752262</v>
      </c>
      <c r="D56" s="9">
        <f t="shared" si="5"/>
        <v>6.6197484683139862</v>
      </c>
      <c r="E56" s="9">
        <f t="shared" si="5"/>
        <v>6.934974585852749</v>
      </c>
      <c r="F56" s="9">
        <f t="shared" si="5"/>
        <v>7.2502007033915081</v>
      </c>
      <c r="G56" s="9">
        <f t="shared" si="5"/>
        <v>7.5654268209302709</v>
      </c>
      <c r="H56" s="9">
        <f t="shared" si="5"/>
        <v>7.8806529384690336</v>
      </c>
      <c r="I56" s="9">
        <f t="shared" si="5"/>
        <v>8.1958790560077937</v>
      </c>
      <c r="J56" s="9">
        <f t="shared" si="5"/>
        <v>8.5111051735465573</v>
      </c>
      <c r="K56" s="9">
        <f t="shared" si="5"/>
        <v>8.8263312910853173</v>
      </c>
      <c r="L56" s="9">
        <f t="shared" si="5"/>
        <v>9.1415574086240774</v>
      </c>
      <c r="M56" s="9">
        <f t="shared" si="5"/>
        <v>9.456783526162841</v>
      </c>
      <c r="N56" s="1"/>
      <c r="O56" s="221"/>
      <c r="P56" s="221"/>
      <c r="Q56" s="534"/>
      <c r="R56" s="534"/>
      <c r="S56" s="534"/>
      <c r="T56" s="534"/>
      <c r="U56" s="534"/>
      <c r="V56" s="534"/>
    </row>
    <row r="57" spans="1:24" ht="15.75">
      <c r="A57" s="451"/>
      <c r="B57" s="30">
        <f t="shared" si="6"/>
        <v>1.0000000000000002E-2</v>
      </c>
      <c r="C57" s="9">
        <f t="shared" si="5"/>
        <v>7.0050248341946952</v>
      </c>
      <c r="D57" s="9">
        <f t="shared" si="5"/>
        <v>7.3552760759044311</v>
      </c>
      <c r="E57" s="9">
        <f t="shared" si="5"/>
        <v>7.7055273176141643</v>
      </c>
      <c r="F57" s="9">
        <f t="shared" si="5"/>
        <v>8.0557785593239011</v>
      </c>
      <c r="G57" s="9">
        <f t="shared" si="5"/>
        <v>8.4060298010336361</v>
      </c>
      <c r="H57" s="9">
        <f t="shared" si="5"/>
        <v>8.7562810427433693</v>
      </c>
      <c r="I57" s="9">
        <f t="shared" si="5"/>
        <v>9.106532284453106</v>
      </c>
      <c r="J57" s="9">
        <f t="shared" si="5"/>
        <v>9.456783526162841</v>
      </c>
      <c r="K57" s="9">
        <f t="shared" si="5"/>
        <v>9.8070347678725742</v>
      </c>
      <c r="L57" s="9">
        <f t="shared" si="5"/>
        <v>10.157286009582311</v>
      </c>
      <c r="M57" s="9">
        <f t="shared" si="5"/>
        <v>10.507537251292046</v>
      </c>
      <c r="N57" s="1"/>
      <c r="O57" s="525" t="s">
        <v>537</v>
      </c>
      <c r="P57" s="526"/>
      <c r="Q57" s="526"/>
      <c r="R57" s="526"/>
      <c r="S57" s="526"/>
      <c r="T57" s="526"/>
      <c r="U57" s="526"/>
      <c r="V57" s="527"/>
    </row>
    <row r="58" spans="1:24" ht="15">
      <c r="A58" s="451"/>
      <c r="B58" s="30">
        <f t="shared" si="6"/>
        <v>1.1000000000000003E-2</v>
      </c>
      <c r="C58" s="9">
        <f t="shared" si="5"/>
        <v>7.7055273176141643</v>
      </c>
      <c r="D58" s="9">
        <f t="shared" si="5"/>
        <v>8.0908036834948724</v>
      </c>
      <c r="E58" s="9">
        <f t="shared" si="5"/>
        <v>8.4760800493755823</v>
      </c>
      <c r="F58" s="9">
        <f t="shared" si="5"/>
        <v>8.8613564152562905</v>
      </c>
      <c r="G58" s="9">
        <f t="shared" si="5"/>
        <v>9.2466327811369986</v>
      </c>
      <c r="H58" s="9">
        <f t="shared" si="5"/>
        <v>9.6319091470177085</v>
      </c>
      <c r="I58" s="9">
        <f t="shared" si="5"/>
        <v>10.017185512898418</v>
      </c>
      <c r="J58" s="9">
        <f t="shared" si="5"/>
        <v>10.402461878779125</v>
      </c>
      <c r="K58" s="9">
        <f t="shared" si="5"/>
        <v>10.787738244659833</v>
      </c>
      <c r="L58" s="9">
        <f t="shared" si="5"/>
        <v>11.173014610540543</v>
      </c>
      <c r="M58" s="9">
        <f t="shared" si="5"/>
        <v>11.558290976421251</v>
      </c>
      <c r="N58" s="1"/>
      <c r="O58" s="528" t="s">
        <v>477</v>
      </c>
      <c r="P58" s="529"/>
      <c r="Q58" s="529"/>
      <c r="R58" s="529"/>
      <c r="S58" s="529"/>
      <c r="T58" s="529"/>
      <c r="U58" s="529"/>
      <c r="V58" s="530"/>
    </row>
    <row r="59" spans="1:24" ht="17.25" customHeight="1">
      <c r="A59" s="451"/>
      <c r="B59" s="30">
        <f t="shared" si="6"/>
        <v>1.2000000000000004E-2</v>
      </c>
      <c r="C59" s="9">
        <f t="shared" si="5"/>
        <v>8.4060298010336361</v>
      </c>
      <c r="D59" s="9">
        <f t="shared" si="5"/>
        <v>8.8263312910853173</v>
      </c>
      <c r="E59" s="9">
        <f t="shared" si="5"/>
        <v>9.2466327811369986</v>
      </c>
      <c r="F59" s="9">
        <f t="shared" si="5"/>
        <v>9.6669342711886816</v>
      </c>
      <c r="G59" s="9">
        <f t="shared" si="5"/>
        <v>10.087235761240365</v>
      </c>
      <c r="H59" s="9">
        <f t="shared" si="5"/>
        <v>10.507537251292046</v>
      </c>
      <c r="I59" s="9">
        <f t="shared" si="5"/>
        <v>10.927838741343727</v>
      </c>
      <c r="J59" s="9">
        <f t="shared" si="5"/>
        <v>11.34814023139541</v>
      </c>
      <c r="K59" s="9">
        <f t="shared" si="5"/>
        <v>11.768441721447092</v>
      </c>
      <c r="L59" s="9">
        <f t="shared" si="5"/>
        <v>12.188743211498775</v>
      </c>
      <c r="M59" s="9">
        <f t="shared" si="5"/>
        <v>12.609044701550456</v>
      </c>
      <c r="N59" s="1"/>
      <c r="O59" s="531" t="s">
        <v>327</v>
      </c>
      <c r="P59" s="532"/>
      <c r="Q59" s="532"/>
      <c r="R59" s="532"/>
      <c r="S59" s="532"/>
      <c r="T59" s="532"/>
      <c r="U59" s="532"/>
      <c r="V59" s="533"/>
    </row>
    <row r="60" spans="1:24" ht="18.75" customHeight="1">
      <c r="A60" s="451"/>
      <c r="B60" s="30">
        <f t="shared" si="6"/>
        <v>1.3000000000000005E-2</v>
      </c>
      <c r="C60" s="9">
        <f t="shared" si="5"/>
        <v>9.106532284453106</v>
      </c>
      <c r="D60" s="9">
        <f t="shared" si="5"/>
        <v>9.5618588986757622</v>
      </c>
      <c r="E60" s="9">
        <f t="shared" si="5"/>
        <v>10.017185512898417</v>
      </c>
      <c r="F60" s="9">
        <f t="shared" si="5"/>
        <v>10.472512127121073</v>
      </c>
      <c r="G60" s="9">
        <f t="shared" si="5"/>
        <v>10.927838741343727</v>
      </c>
      <c r="H60" s="9">
        <f t="shared" si="5"/>
        <v>11.383165355566382</v>
      </c>
      <c r="I60" s="9">
        <f t="shared" si="5"/>
        <v>11.838491969789038</v>
      </c>
      <c r="J60" s="9">
        <f t="shared" si="5"/>
        <v>12.293818584011696</v>
      </c>
      <c r="K60" s="9">
        <f t="shared" si="5"/>
        <v>12.749145198234348</v>
      </c>
      <c r="L60" s="9">
        <f t="shared" si="5"/>
        <v>13.204471812457005</v>
      </c>
      <c r="M60" s="9">
        <f t="shared" si="5"/>
        <v>13.659798426679661</v>
      </c>
      <c r="N60" s="1"/>
      <c r="O60" s="204" t="s">
        <v>837</v>
      </c>
      <c r="P60" s="201" t="s">
        <v>222</v>
      </c>
      <c r="Q60" s="436" t="s">
        <v>223</v>
      </c>
      <c r="R60" s="434"/>
      <c r="S60" s="434"/>
      <c r="T60" s="434"/>
      <c r="U60" s="434"/>
      <c r="V60" s="437"/>
    </row>
    <row r="61" spans="1:24" ht="17.25">
      <c r="A61" s="451"/>
      <c r="B61" s="30">
        <f t="shared" si="6"/>
        <v>1.4000000000000005E-2</v>
      </c>
      <c r="C61" s="9">
        <f t="shared" si="5"/>
        <v>9.8070347678725742</v>
      </c>
      <c r="D61" s="9">
        <f t="shared" si="5"/>
        <v>10.297386506266204</v>
      </c>
      <c r="E61" s="9">
        <f t="shared" si="5"/>
        <v>10.787738244659833</v>
      </c>
      <c r="F61" s="9">
        <f t="shared" si="5"/>
        <v>11.278089983053462</v>
      </c>
      <c r="G61" s="9">
        <f t="shared" si="5"/>
        <v>11.768441721447092</v>
      </c>
      <c r="H61" s="9">
        <f t="shared" si="5"/>
        <v>12.258793459840721</v>
      </c>
      <c r="I61" s="9">
        <f t="shared" si="5"/>
        <v>12.749145198234348</v>
      </c>
      <c r="J61" s="9">
        <f t="shared" si="5"/>
        <v>13.23949693662798</v>
      </c>
      <c r="K61" s="9">
        <f t="shared" si="5"/>
        <v>13.729848675021607</v>
      </c>
      <c r="L61" s="9">
        <f t="shared" si="5"/>
        <v>14.220200413415238</v>
      </c>
      <c r="M61" s="9">
        <f t="shared" si="5"/>
        <v>14.710552151808866</v>
      </c>
      <c r="N61" s="1"/>
      <c r="O61" s="117">
        <f>O55</f>
        <v>2.0764315458885463E-2</v>
      </c>
      <c r="P61" s="175" t="s">
        <v>838</v>
      </c>
      <c r="Q61" s="438" t="s">
        <v>893</v>
      </c>
      <c r="R61" s="439"/>
      <c r="S61" s="439"/>
      <c r="T61" s="439"/>
      <c r="U61" s="439"/>
      <c r="V61" s="440"/>
    </row>
    <row r="62" spans="1:24" ht="17.25">
      <c r="A62" s="451"/>
      <c r="B62" s="30">
        <f t="shared" si="6"/>
        <v>1.5000000000000006E-2</v>
      </c>
      <c r="C62" s="9">
        <f t="shared" si="5"/>
        <v>10.507537251292046</v>
      </c>
      <c r="D62" s="9">
        <f t="shared" si="5"/>
        <v>11.032914113856648</v>
      </c>
      <c r="E62" s="9">
        <f t="shared" si="5"/>
        <v>11.558290976421251</v>
      </c>
      <c r="F62" s="9">
        <f t="shared" si="5"/>
        <v>12.083667838985852</v>
      </c>
      <c r="G62" s="9">
        <f t="shared" si="5"/>
        <v>12.609044701550454</v>
      </c>
      <c r="H62" s="9">
        <f t="shared" si="5"/>
        <v>13.134421564115057</v>
      </c>
      <c r="I62" s="9">
        <f t="shared" si="5"/>
        <v>13.659798426679661</v>
      </c>
      <c r="J62" s="9">
        <f t="shared" si="5"/>
        <v>14.185175289244263</v>
      </c>
      <c r="K62" s="9">
        <f t="shared" si="5"/>
        <v>14.710552151808866</v>
      </c>
      <c r="L62" s="9">
        <f t="shared" si="5"/>
        <v>15.235929014373468</v>
      </c>
      <c r="M62" s="9">
        <f t="shared" si="5"/>
        <v>15.761305876938071</v>
      </c>
      <c r="N62" s="1"/>
      <c r="O62" s="294">
        <f>CONVERT(O49,"mm","ft")</f>
        <v>0.65616797900262469</v>
      </c>
      <c r="P62" s="65" t="s">
        <v>409</v>
      </c>
      <c r="Q62" s="438" t="s">
        <v>478</v>
      </c>
      <c r="R62" s="439"/>
      <c r="S62" s="439"/>
      <c r="T62" s="439"/>
      <c r="U62" s="439"/>
      <c r="V62" s="440"/>
    </row>
    <row r="63" spans="1:24" ht="17.25">
      <c r="A63" s="451"/>
      <c r="B63" s="30">
        <f t="shared" si="6"/>
        <v>1.6000000000000007E-2</v>
      </c>
      <c r="C63" s="9">
        <f t="shared" si="5"/>
        <v>11.208039734711516</v>
      </c>
      <c r="D63" s="9">
        <f t="shared" si="5"/>
        <v>11.768441721447092</v>
      </c>
      <c r="E63" s="9">
        <f t="shared" si="5"/>
        <v>12.328843708182667</v>
      </c>
      <c r="F63" s="9">
        <f t="shared" si="5"/>
        <v>12.889245694918245</v>
      </c>
      <c r="G63" s="9">
        <f t="shared" si="5"/>
        <v>13.44964768165382</v>
      </c>
      <c r="H63" s="9">
        <f t="shared" si="5"/>
        <v>14.010049668389399</v>
      </c>
      <c r="I63" s="9">
        <f t="shared" si="5"/>
        <v>14.570451655124971</v>
      </c>
      <c r="J63" s="9">
        <f t="shared" si="5"/>
        <v>15.130853641860551</v>
      </c>
      <c r="K63" s="9">
        <f t="shared" si="5"/>
        <v>15.691255628596124</v>
      </c>
      <c r="L63" s="9">
        <f t="shared" si="5"/>
        <v>16.251657615331702</v>
      </c>
      <c r="M63" s="9">
        <f t="shared" si="5"/>
        <v>16.812059602067276</v>
      </c>
      <c r="N63" s="1"/>
      <c r="O63" s="245">
        <v>0.01</v>
      </c>
      <c r="P63" s="65" t="s">
        <v>958</v>
      </c>
      <c r="Q63" s="438" t="s">
        <v>90</v>
      </c>
      <c r="R63" s="439"/>
      <c r="S63" s="439"/>
      <c r="T63" s="439"/>
      <c r="U63" s="439"/>
      <c r="V63" s="440"/>
    </row>
    <row r="64" spans="1:24" ht="17.25">
      <c r="A64" s="451"/>
      <c r="B64" s="30">
        <f t="shared" si="6"/>
        <v>1.7000000000000008E-2</v>
      </c>
      <c r="C64" s="9">
        <f t="shared" si="5"/>
        <v>11.908542218130984</v>
      </c>
      <c r="D64" s="9">
        <f t="shared" si="5"/>
        <v>12.503969329037535</v>
      </c>
      <c r="E64" s="9">
        <f t="shared" si="5"/>
        <v>13.099396439944087</v>
      </c>
      <c r="F64" s="9">
        <f t="shared" si="5"/>
        <v>13.694823550850636</v>
      </c>
      <c r="G64" s="9">
        <f t="shared" si="5"/>
        <v>14.290250661757185</v>
      </c>
      <c r="H64" s="9">
        <f t="shared" si="5"/>
        <v>14.885677772663735</v>
      </c>
      <c r="I64" s="9">
        <f t="shared" si="5"/>
        <v>15.481104883570284</v>
      </c>
      <c r="J64" s="9">
        <f t="shared" si="5"/>
        <v>16.076531994476831</v>
      </c>
      <c r="K64" s="9">
        <f t="shared" si="5"/>
        <v>16.671959105383383</v>
      </c>
      <c r="L64" s="9">
        <f t="shared" si="5"/>
        <v>17.267386216289932</v>
      </c>
      <c r="M64" s="9">
        <f t="shared" si="5"/>
        <v>17.862813327196481</v>
      </c>
      <c r="N64" s="1"/>
      <c r="O64" s="117">
        <f>(O61*1.65*O62)/O63</f>
        <v>2.248105020154922</v>
      </c>
      <c r="P64" s="65" t="s">
        <v>224</v>
      </c>
      <c r="Q64" s="522" t="s">
        <v>328</v>
      </c>
      <c r="R64" s="523"/>
      <c r="S64" s="523"/>
      <c r="T64" s="523"/>
      <c r="U64" s="523"/>
      <c r="V64" s="524"/>
    </row>
    <row r="65" spans="1:22" ht="17.25">
      <c r="A65" s="451"/>
      <c r="B65" s="30">
        <f t="shared" si="6"/>
        <v>1.8000000000000009E-2</v>
      </c>
      <c r="C65" s="9">
        <f t="shared" si="5"/>
        <v>12.609044701550454</v>
      </c>
      <c r="D65" s="9">
        <f t="shared" si="5"/>
        <v>13.23949693662798</v>
      </c>
      <c r="E65" s="9">
        <f t="shared" si="5"/>
        <v>13.869949171705503</v>
      </c>
      <c r="F65" s="9">
        <f t="shared" si="5"/>
        <v>14.500401406783025</v>
      </c>
      <c r="G65" s="9">
        <f t="shared" si="5"/>
        <v>15.130853641860551</v>
      </c>
      <c r="H65" s="9">
        <f t="shared" si="5"/>
        <v>15.761305876938071</v>
      </c>
      <c r="I65" s="9">
        <f t="shared" si="5"/>
        <v>16.391758112015594</v>
      </c>
      <c r="J65" s="9">
        <f t="shared" si="5"/>
        <v>17.022210347093118</v>
      </c>
      <c r="K65" s="9">
        <f t="shared" si="5"/>
        <v>17.652662582170642</v>
      </c>
      <c r="L65" s="9">
        <f t="shared" si="5"/>
        <v>18.283114817248165</v>
      </c>
      <c r="M65" s="9">
        <f t="shared" si="5"/>
        <v>18.913567052325686</v>
      </c>
      <c r="N65" s="1"/>
      <c r="O65" s="224">
        <v>2</v>
      </c>
      <c r="P65" s="65" t="s">
        <v>661</v>
      </c>
      <c r="Q65" s="522" t="s">
        <v>283</v>
      </c>
      <c r="R65" s="523"/>
      <c r="S65" s="523"/>
      <c r="T65" s="523"/>
      <c r="U65" s="523"/>
      <c r="V65" s="524"/>
    </row>
    <row r="66" spans="1:22" ht="17.25">
      <c r="A66" s="451"/>
      <c r="B66" s="30">
        <f t="shared" si="6"/>
        <v>1.900000000000001E-2</v>
      </c>
      <c r="C66" s="9">
        <f t="shared" si="5"/>
        <v>13.309547184969926</v>
      </c>
      <c r="D66" s="9">
        <f t="shared" si="5"/>
        <v>13.975024544218423</v>
      </c>
      <c r="E66" s="9">
        <f t="shared" si="5"/>
        <v>14.640501903466918</v>
      </c>
      <c r="F66" s="9">
        <f t="shared" si="5"/>
        <v>15.305979262715415</v>
      </c>
      <c r="G66" s="9">
        <f t="shared" si="5"/>
        <v>15.971456621963913</v>
      </c>
      <c r="H66" s="9">
        <f t="shared" si="5"/>
        <v>16.636933981212412</v>
      </c>
      <c r="I66" s="9">
        <f t="shared" si="5"/>
        <v>17.302411340460907</v>
      </c>
      <c r="J66" s="9">
        <f t="shared" si="5"/>
        <v>17.967888699709405</v>
      </c>
      <c r="K66" s="9">
        <f t="shared" si="5"/>
        <v>18.633366058957897</v>
      </c>
      <c r="L66" s="9">
        <f t="shared" si="5"/>
        <v>19.298843418206395</v>
      </c>
      <c r="M66" s="9">
        <f t="shared" si="5"/>
        <v>19.964320777454891</v>
      </c>
      <c r="N66" s="1"/>
      <c r="O66" s="218">
        <f>O65/O64</f>
        <v>0.88963815394272616</v>
      </c>
      <c r="P66" s="65" t="s">
        <v>599</v>
      </c>
      <c r="Q66" s="438" t="s">
        <v>15</v>
      </c>
      <c r="R66" s="439"/>
      <c r="S66" s="439"/>
      <c r="T66" s="439"/>
      <c r="U66" s="439"/>
      <c r="V66" s="440"/>
    </row>
    <row r="67" spans="1:22" ht="15.75" customHeight="1" thickBot="1">
      <c r="A67" s="452"/>
      <c r="B67" s="30">
        <f t="shared" si="6"/>
        <v>2.0000000000000011E-2</v>
      </c>
      <c r="C67" s="9">
        <f t="shared" si="5"/>
        <v>14.010049668389396</v>
      </c>
      <c r="D67" s="9">
        <f t="shared" si="5"/>
        <v>14.710552151808864</v>
      </c>
      <c r="E67" s="9">
        <f t="shared" si="5"/>
        <v>15.411054635228336</v>
      </c>
      <c r="F67" s="9">
        <f t="shared" si="5"/>
        <v>16.111557118647806</v>
      </c>
      <c r="G67" s="9">
        <f t="shared" si="5"/>
        <v>16.812059602067276</v>
      </c>
      <c r="H67" s="9">
        <f t="shared" si="5"/>
        <v>17.512562085486749</v>
      </c>
      <c r="I67" s="9">
        <f t="shared" si="5"/>
        <v>18.213064568906219</v>
      </c>
      <c r="J67" s="9">
        <f t="shared" si="5"/>
        <v>18.913567052325686</v>
      </c>
      <c r="K67" s="9">
        <f t="shared" si="5"/>
        <v>19.614069535745159</v>
      </c>
      <c r="L67" s="9">
        <f t="shared" si="5"/>
        <v>20.314572019164629</v>
      </c>
      <c r="M67" s="9">
        <f t="shared" si="5"/>
        <v>21.015074502584099</v>
      </c>
      <c r="N67" s="1"/>
      <c r="O67" s="519" t="s">
        <v>225</v>
      </c>
      <c r="P67" s="520"/>
      <c r="Q67" s="520"/>
      <c r="R67" s="520"/>
      <c r="S67" s="520"/>
      <c r="T67" s="520"/>
      <c r="U67" s="520"/>
      <c r="V67" s="521"/>
    </row>
    <row r="68" spans="1:22" ht="16.5" customHeight="1" thickBot="1">
      <c r="B68" s="1"/>
      <c r="M68" s="11"/>
      <c r="N68" s="1"/>
      <c r="P68" s="75"/>
      <c r="Q68" s="75"/>
      <c r="R68" s="75"/>
      <c r="S68" s="75"/>
      <c r="T68" s="75"/>
      <c r="U68" s="75"/>
      <c r="V68" s="75"/>
    </row>
    <row r="69" spans="1:22" ht="15.75">
      <c r="B69" s="1"/>
      <c r="M69" s="11"/>
      <c r="N69" s="1"/>
      <c r="O69" s="525" t="s">
        <v>662</v>
      </c>
      <c r="P69" s="526"/>
      <c r="Q69" s="526"/>
      <c r="R69" s="526"/>
      <c r="S69" s="526"/>
      <c r="T69" s="526"/>
      <c r="U69" s="526"/>
      <c r="V69" s="527"/>
    </row>
    <row r="70" spans="1:22" ht="15">
      <c r="B70" s="1"/>
      <c r="M70" s="11"/>
      <c r="N70" s="1"/>
      <c r="O70" s="528" t="s">
        <v>959</v>
      </c>
      <c r="P70" s="529"/>
      <c r="Q70" s="529"/>
      <c r="R70" s="529"/>
      <c r="S70" s="529"/>
      <c r="T70" s="529"/>
      <c r="U70" s="529"/>
      <c r="V70" s="530"/>
    </row>
    <row r="71" spans="1:22" ht="17.25" customHeight="1">
      <c r="B71" s="1"/>
      <c r="M71" s="11"/>
      <c r="N71" s="1"/>
      <c r="O71" s="531" t="s">
        <v>327</v>
      </c>
      <c r="P71" s="532"/>
      <c r="Q71" s="532"/>
      <c r="R71" s="532"/>
      <c r="S71" s="532"/>
      <c r="T71" s="532"/>
      <c r="U71" s="532"/>
      <c r="V71" s="533"/>
    </row>
    <row r="72" spans="1:22" ht="18.75" customHeight="1">
      <c r="B72" s="1"/>
      <c r="M72" s="11"/>
      <c r="N72" s="1"/>
      <c r="O72" s="204" t="s">
        <v>837</v>
      </c>
      <c r="P72" s="201" t="s">
        <v>222</v>
      </c>
      <c r="Q72" s="436" t="s">
        <v>223</v>
      </c>
      <c r="R72" s="434"/>
      <c r="S72" s="434"/>
      <c r="T72" s="434"/>
      <c r="U72" s="434"/>
      <c r="V72" s="437"/>
    </row>
    <row r="73" spans="1:22" ht="17.25">
      <c r="B73" s="1"/>
      <c r="M73" s="11"/>
      <c r="N73" s="1"/>
      <c r="O73" s="117">
        <f>O55</f>
        <v>2.0764315458885463E-2</v>
      </c>
      <c r="P73" s="175" t="s">
        <v>838</v>
      </c>
      <c r="Q73" s="438" t="s">
        <v>893</v>
      </c>
      <c r="R73" s="439"/>
      <c r="S73" s="439"/>
      <c r="T73" s="439"/>
      <c r="U73" s="439"/>
      <c r="V73" s="440"/>
    </row>
    <row r="74" spans="1:22" ht="17.25">
      <c r="B74" s="1"/>
      <c r="M74" s="11"/>
      <c r="N74" s="1"/>
      <c r="O74" s="117">
        <f>CONVERT(O49,"mm","ft")</f>
        <v>0.65616797900262469</v>
      </c>
      <c r="P74" s="65" t="s">
        <v>409</v>
      </c>
      <c r="Q74" s="438" t="s">
        <v>478</v>
      </c>
      <c r="R74" s="439"/>
      <c r="S74" s="439"/>
      <c r="T74" s="439"/>
      <c r="U74" s="439"/>
      <c r="V74" s="440"/>
    </row>
    <row r="75" spans="1:22" ht="17.25">
      <c r="B75" s="1"/>
      <c r="M75" s="11"/>
      <c r="N75" s="1"/>
      <c r="O75" s="200">
        <v>2</v>
      </c>
      <c r="P75" s="65" t="s">
        <v>661</v>
      </c>
      <c r="Q75" s="438" t="s">
        <v>283</v>
      </c>
      <c r="R75" s="439"/>
      <c r="S75" s="439"/>
      <c r="T75" s="439"/>
      <c r="U75" s="439"/>
      <c r="V75" s="440"/>
    </row>
    <row r="76" spans="1:22" ht="15.75">
      <c r="B76" s="1"/>
      <c r="M76" s="11"/>
      <c r="N76" s="1"/>
      <c r="O76" s="117">
        <f>(O73*1.65*O74)/O75</f>
        <v>1.124052510077461E-2</v>
      </c>
      <c r="P76" s="65" t="s">
        <v>720</v>
      </c>
      <c r="Q76" s="438" t="s">
        <v>665</v>
      </c>
      <c r="R76" s="439"/>
      <c r="S76" s="439"/>
      <c r="T76" s="439"/>
      <c r="U76" s="439"/>
      <c r="V76" s="440"/>
    </row>
    <row r="77" spans="1:22" ht="17.25">
      <c r="B77" s="1"/>
      <c r="M77" s="11"/>
      <c r="N77" s="1"/>
      <c r="O77" s="218">
        <f>O63/O76</f>
        <v>0.88963815394272616</v>
      </c>
      <c r="P77" s="65" t="s">
        <v>479</v>
      </c>
      <c r="Q77" s="438" t="s">
        <v>839</v>
      </c>
      <c r="R77" s="439"/>
      <c r="S77" s="439"/>
      <c r="T77" s="439"/>
      <c r="U77" s="439"/>
      <c r="V77" s="440"/>
    </row>
    <row r="78" spans="1:22" ht="15.75" thickBot="1">
      <c r="B78" s="1"/>
      <c r="M78" s="11"/>
      <c r="N78" s="1"/>
      <c r="O78" s="519" t="s">
        <v>225</v>
      </c>
      <c r="P78" s="520"/>
      <c r="Q78" s="520"/>
      <c r="R78" s="520"/>
      <c r="S78" s="520"/>
      <c r="T78" s="520"/>
      <c r="U78" s="520"/>
      <c r="V78" s="521"/>
    </row>
    <row r="79" spans="1:22" ht="15.75" customHeight="1" thickBot="1">
      <c r="B79" s="1"/>
      <c r="M79" s="11"/>
      <c r="N79" s="1"/>
      <c r="O79" s="485"/>
      <c r="P79" s="485"/>
      <c r="Q79" s="485"/>
      <c r="R79" s="485"/>
      <c r="S79" s="485"/>
      <c r="T79" s="485"/>
      <c r="U79" s="485"/>
      <c r="V79" s="485"/>
    </row>
    <row r="80" spans="1:22" ht="15.75">
      <c r="B80" s="1"/>
      <c r="M80" s="11"/>
      <c r="N80" s="1"/>
      <c r="O80" s="447" t="s">
        <v>167</v>
      </c>
      <c r="P80" s="448"/>
      <c r="Q80" s="448"/>
      <c r="R80" s="448"/>
      <c r="S80" s="448"/>
      <c r="T80" s="448"/>
      <c r="U80" s="448"/>
      <c r="V80" s="449"/>
    </row>
    <row r="81" spans="1:70" ht="15.75">
      <c r="B81" s="1"/>
      <c r="M81" s="11"/>
      <c r="N81" s="1"/>
      <c r="O81" s="83">
        <f>O49</f>
        <v>200</v>
      </c>
      <c r="P81" s="504" t="s">
        <v>840</v>
      </c>
      <c r="Q81" s="505"/>
      <c r="R81" s="505"/>
      <c r="S81" s="505"/>
      <c r="T81" s="505"/>
      <c r="U81" s="505"/>
      <c r="V81" s="506"/>
    </row>
    <row r="82" spans="1:70" ht="15.75">
      <c r="B82" s="1"/>
      <c r="M82" s="11"/>
      <c r="N82" s="1"/>
      <c r="O82" s="136">
        <v>2.1</v>
      </c>
      <c r="P82" s="504" t="s">
        <v>101</v>
      </c>
      <c r="Q82" s="505"/>
      <c r="R82" s="505"/>
      <c r="S82" s="505"/>
      <c r="T82" s="505"/>
      <c r="U82" s="505"/>
      <c r="V82" s="506"/>
    </row>
    <row r="83" spans="1:70" ht="16.5">
      <c r="B83" s="1"/>
      <c r="M83" s="11"/>
      <c r="N83" s="1"/>
      <c r="O83" s="200">
        <f>62.4*O82*O63</f>
        <v>1.3104</v>
      </c>
      <c r="P83" s="504" t="s">
        <v>410</v>
      </c>
      <c r="Q83" s="505"/>
      <c r="R83" s="505"/>
      <c r="S83" s="505"/>
      <c r="T83" s="505"/>
      <c r="U83" s="505"/>
      <c r="V83" s="506"/>
    </row>
    <row r="84" spans="1:70" ht="15" customHeight="1">
      <c r="B84" s="1"/>
      <c r="M84" s="11"/>
      <c r="N84" s="1"/>
      <c r="O84" s="507">
        <f>77.966*O83^1.042</f>
        <v>103.33325291536313</v>
      </c>
      <c r="P84" s="509" t="s">
        <v>411</v>
      </c>
      <c r="Q84" s="510"/>
      <c r="R84" s="510"/>
      <c r="S84" s="510"/>
      <c r="T84" s="510"/>
      <c r="U84" s="510"/>
      <c r="V84" s="511"/>
    </row>
    <row r="85" spans="1:70" ht="15" customHeight="1">
      <c r="B85" s="1"/>
      <c r="M85" s="11"/>
      <c r="N85" s="1"/>
      <c r="O85" s="508"/>
      <c r="P85" s="512"/>
      <c r="Q85" s="513"/>
      <c r="R85" s="513"/>
      <c r="S85" s="513"/>
      <c r="T85" s="513"/>
      <c r="U85" s="513"/>
      <c r="V85" s="514"/>
    </row>
    <row r="86" spans="1:70" ht="15" customHeight="1">
      <c r="B86" s="1"/>
      <c r="C86" s="52"/>
      <c r="D86" s="21"/>
      <c r="E86" s="242"/>
      <c r="M86" s="11"/>
      <c r="N86" s="1"/>
      <c r="O86" s="507">
        <f>152.02*O83^0.7355</f>
        <v>185.46043973705369</v>
      </c>
      <c r="P86" s="509" t="s">
        <v>538</v>
      </c>
      <c r="Q86" s="510"/>
      <c r="R86" s="510"/>
      <c r="S86" s="510"/>
      <c r="T86" s="510"/>
      <c r="U86" s="510"/>
      <c r="V86" s="511"/>
    </row>
    <row r="87" spans="1:70" ht="15.75" customHeight="1" thickBot="1">
      <c r="B87" s="1"/>
      <c r="C87" s="1"/>
      <c r="D87" s="21"/>
      <c r="E87" s="52"/>
      <c r="M87" s="11"/>
      <c r="N87" s="1"/>
      <c r="O87" s="515"/>
      <c r="P87" s="516"/>
      <c r="Q87" s="517"/>
      <c r="R87" s="517"/>
      <c r="S87" s="517"/>
      <c r="T87" s="517"/>
      <c r="U87" s="517"/>
      <c r="V87" s="518"/>
    </row>
    <row r="88" spans="1:70" ht="15">
      <c r="B88" s="1"/>
      <c r="M88" s="11"/>
    </row>
    <row r="89" spans="1:70" ht="15">
      <c r="B89" s="1"/>
      <c r="M89" s="11"/>
    </row>
    <row r="90" spans="1:70" ht="21">
      <c r="B90" s="1"/>
      <c r="C90" s="492" t="s">
        <v>417</v>
      </c>
      <c r="D90" s="492"/>
      <c r="E90" s="492"/>
      <c r="F90" s="492"/>
      <c r="G90" s="492"/>
      <c r="H90" s="492"/>
      <c r="I90" s="492"/>
      <c r="J90" s="492"/>
      <c r="K90" s="492"/>
      <c r="L90" s="492"/>
      <c r="M90" s="492"/>
    </row>
    <row r="91" spans="1:70" ht="18.75" customHeight="1">
      <c r="B91" s="1"/>
      <c r="C91" s="493" t="s">
        <v>286</v>
      </c>
      <c r="D91" s="494"/>
      <c r="E91" s="494"/>
      <c r="F91" s="494"/>
      <c r="G91" s="494"/>
      <c r="H91" s="494"/>
      <c r="I91" s="494"/>
      <c r="J91" s="494"/>
      <c r="K91" s="494"/>
      <c r="L91" s="494"/>
      <c r="M91" s="495"/>
    </row>
    <row r="92" spans="1:70" ht="18.75">
      <c r="C92" s="380" t="s">
        <v>722</v>
      </c>
      <c r="D92" s="382"/>
      <c r="E92" s="55"/>
      <c r="F92" s="55"/>
      <c r="G92" s="55"/>
      <c r="H92" s="55"/>
      <c r="I92" s="55"/>
      <c r="J92" s="55"/>
      <c r="K92" s="55"/>
      <c r="L92" s="55"/>
      <c r="M92" s="55"/>
      <c r="N92" s="1"/>
      <c r="O92" s="458" t="s">
        <v>168</v>
      </c>
      <c r="P92" s="459"/>
      <c r="Q92" s="459"/>
      <c r="R92" s="459"/>
      <c r="S92" s="459"/>
      <c r="T92" s="496"/>
      <c r="U92" s="1"/>
      <c r="V92" s="41" t="s">
        <v>480</v>
      </c>
      <c r="W92" s="41"/>
      <c r="X92" s="41"/>
      <c r="Y92" s="41"/>
      <c r="Z92" s="41"/>
      <c r="AA92" s="41"/>
    </row>
    <row r="93" spans="1:70" ht="15">
      <c r="C93" s="497">
        <v>0.06</v>
      </c>
      <c r="D93" s="498"/>
      <c r="E93" s="140"/>
      <c r="F93" s="55" t="s">
        <v>23</v>
      </c>
      <c r="N93" s="1"/>
      <c r="O93" s="22"/>
      <c r="P93" s="31"/>
      <c r="Q93" s="31"/>
      <c r="R93" s="31"/>
      <c r="S93" s="31"/>
      <c r="T93" s="31" t="s">
        <v>416</v>
      </c>
      <c r="U93" s="1"/>
      <c r="V93" s="41"/>
      <c r="W93" s="41"/>
      <c r="X93" s="41"/>
      <c r="Y93" s="41"/>
      <c r="Z93" s="41"/>
      <c r="AA93" s="41"/>
    </row>
    <row r="94" spans="1:70" ht="18.75" customHeight="1"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  <c r="N94" s="1"/>
      <c r="O94" s="22"/>
      <c r="P94" s="31"/>
      <c r="Q94" s="31" t="s">
        <v>773</v>
      </c>
      <c r="R94" s="31" t="s">
        <v>481</v>
      </c>
      <c r="S94" s="31" t="s">
        <v>482</v>
      </c>
      <c r="T94" s="31" t="s">
        <v>94</v>
      </c>
      <c r="U94" s="1"/>
      <c r="V94" s="41"/>
      <c r="W94" s="41" t="s">
        <v>18</v>
      </c>
      <c r="X94" s="41"/>
      <c r="Y94" s="41"/>
      <c r="Z94" s="41"/>
      <c r="AA94" s="41"/>
      <c r="BG94" s="342" t="s">
        <v>487</v>
      </c>
      <c r="BH94" s="151"/>
      <c r="BI94" s="151"/>
      <c r="BJ94" s="151"/>
      <c r="BK94" s="177"/>
      <c r="BL94" s="499" t="s">
        <v>669</v>
      </c>
      <c r="BM94" s="499"/>
      <c r="BN94" s="499" t="s">
        <v>97</v>
      </c>
      <c r="BO94" s="499" t="s">
        <v>25</v>
      </c>
      <c r="BP94" s="499"/>
      <c r="BQ94" s="177"/>
      <c r="BR94" s="263"/>
    </row>
    <row r="95" spans="1:70" ht="15" customHeight="1">
      <c r="A95" s="380" t="s">
        <v>721</v>
      </c>
      <c r="B95" s="382"/>
      <c r="C95" s="3">
        <f t="shared" ref="C95:M95" si="7">C$12</f>
        <v>0</v>
      </c>
      <c r="D95" s="3">
        <f t="shared" si="7"/>
        <v>0</v>
      </c>
      <c r="E95" s="3">
        <f t="shared" si="7"/>
        <v>0</v>
      </c>
      <c r="F95" s="3">
        <f t="shared" si="7"/>
        <v>0</v>
      </c>
      <c r="G95" s="3">
        <f t="shared" si="7"/>
        <v>0</v>
      </c>
      <c r="H95" s="3">
        <f t="shared" si="7"/>
        <v>0</v>
      </c>
      <c r="I95" s="3">
        <f t="shared" si="7"/>
        <v>0</v>
      </c>
      <c r="J95" s="3">
        <f t="shared" si="7"/>
        <v>0</v>
      </c>
      <c r="K95" s="3">
        <f t="shared" si="7"/>
        <v>0</v>
      </c>
      <c r="L95" s="3">
        <f t="shared" si="7"/>
        <v>0</v>
      </c>
      <c r="M95" s="3">
        <f t="shared" si="7"/>
        <v>0</v>
      </c>
      <c r="N95" s="1"/>
      <c r="O95" s="22" t="s">
        <v>897</v>
      </c>
      <c r="P95" s="31"/>
      <c r="Q95" s="31" t="s">
        <v>600</v>
      </c>
      <c r="R95" s="31" t="s">
        <v>95</v>
      </c>
      <c r="S95" s="31" t="s">
        <v>898</v>
      </c>
      <c r="T95" s="31" t="s">
        <v>96</v>
      </c>
      <c r="U95" s="1"/>
      <c r="V95" s="41"/>
      <c r="W95" s="41" t="s">
        <v>775</v>
      </c>
      <c r="X95" s="41"/>
      <c r="Y95" s="41"/>
      <c r="Z95" s="41"/>
      <c r="AA95" s="41"/>
      <c r="BG95" s="269"/>
      <c r="BH95" s="138"/>
      <c r="BI95" s="138"/>
      <c r="BJ95" s="138"/>
      <c r="BK95" s="172"/>
      <c r="BL95" s="500"/>
      <c r="BM95" s="500"/>
      <c r="BN95" s="500"/>
      <c r="BO95" s="500"/>
      <c r="BP95" s="500"/>
      <c r="BQ95" s="172"/>
      <c r="BR95" s="336"/>
    </row>
    <row r="96" spans="1:70" ht="18.75">
      <c r="A96" s="389" t="s">
        <v>84</v>
      </c>
      <c r="B96" s="391"/>
      <c r="C96" s="6">
        <f t="shared" ref="C96:M96" si="8">C$9</f>
        <v>2</v>
      </c>
      <c r="D96" s="6">
        <f t="shared" si="8"/>
        <v>2.1</v>
      </c>
      <c r="E96" s="6">
        <f t="shared" si="8"/>
        <v>2.2000000000000002</v>
      </c>
      <c r="F96" s="6">
        <f t="shared" si="8"/>
        <v>2.3000000000000003</v>
      </c>
      <c r="G96" s="6">
        <f t="shared" si="8"/>
        <v>2.4000000000000004</v>
      </c>
      <c r="H96" s="6">
        <f t="shared" si="8"/>
        <v>2.5000000000000004</v>
      </c>
      <c r="I96" s="6">
        <f t="shared" si="8"/>
        <v>2.6000000000000005</v>
      </c>
      <c r="J96" s="6">
        <f t="shared" si="8"/>
        <v>2.7000000000000006</v>
      </c>
      <c r="K96" s="6">
        <f t="shared" si="8"/>
        <v>2.8000000000000007</v>
      </c>
      <c r="L96" s="6">
        <f t="shared" si="8"/>
        <v>2.9000000000000008</v>
      </c>
      <c r="M96" s="6">
        <f t="shared" si="8"/>
        <v>3.0000000000000009</v>
      </c>
      <c r="N96" s="1"/>
      <c r="O96" s="58" t="s">
        <v>601</v>
      </c>
      <c r="P96" s="31"/>
      <c r="Q96" s="28">
        <f>(1.94*32.2*S96*R96)/((5.15-1.94)*32.2*T96/304.8)</f>
        <v>5.5262803738317746E-2</v>
      </c>
      <c r="R96" s="17">
        <v>0.01</v>
      </c>
      <c r="S96" s="17">
        <v>3</v>
      </c>
      <c r="T96" s="17">
        <v>100</v>
      </c>
      <c r="U96" s="1"/>
      <c r="V96" s="41"/>
      <c r="W96" s="41" t="s">
        <v>542</v>
      </c>
      <c r="X96" s="41"/>
      <c r="Y96" s="41"/>
      <c r="Z96" s="41"/>
      <c r="AA96" s="41"/>
      <c r="BG96" s="351"/>
      <c r="BH96" s="20"/>
      <c r="BI96" s="20"/>
      <c r="BJ96" s="57" t="s">
        <v>482</v>
      </c>
      <c r="BK96" s="61" t="s">
        <v>779</v>
      </c>
      <c r="BL96" s="279">
        <v>1</v>
      </c>
      <c r="BM96" s="72" t="s">
        <v>98</v>
      </c>
      <c r="BN96" s="61">
        <v>3.28</v>
      </c>
      <c r="BO96" s="106">
        <f t="shared" ref="BO96:BO98" si="9">BL96*BN96</f>
        <v>3.28</v>
      </c>
      <c r="BP96" s="20" t="s">
        <v>543</v>
      </c>
      <c r="BQ96" s="20"/>
      <c r="BR96" s="340"/>
    </row>
    <row r="97" spans="1:70" ht="17.25" customHeight="1">
      <c r="A97" s="450" t="s">
        <v>949</v>
      </c>
      <c r="B97" s="30">
        <f>$G$4</f>
        <v>1E-3</v>
      </c>
      <c r="C97" s="9">
        <f t="shared" ref="C97:M116" si="10">(($B97*C$96)/(1.65*$C$93))*12</f>
        <v>0.24242424242424243</v>
      </c>
      <c r="D97" s="9">
        <f t="shared" si="10"/>
        <v>0.25454545454545463</v>
      </c>
      <c r="E97" s="9">
        <f t="shared" si="10"/>
        <v>0.26666666666666672</v>
      </c>
      <c r="F97" s="9">
        <f t="shared" si="10"/>
        <v>0.27878787878787886</v>
      </c>
      <c r="G97" s="9">
        <f t="shared" si="10"/>
        <v>0.29090909090909095</v>
      </c>
      <c r="H97" s="9">
        <f t="shared" si="10"/>
        <v>0.30303030303030309</v>
      </c>
      <c r="I97" s="9">
        <f t="shared" si="10"/>
        <v>0.31515151515151529</v>
      </c>
      <c r="J97" s="9">
        <f t="shared" si="10"/>
        <v>0.32727272727272738</v>
      </c>
      <c r="K97" s="9">
        <f t="shared" si="10"/>
        <v>0.33939393939393953</v>
      </c>
      <c r="L97" s="9">
        <f t="shared" si="10"/>
        <v>0.35151515151515161</v>
      </c>
      <c r="M97" s="9">
        <f t="shared" si="10"/>
        <v>0.36363636363636376</v>
      </c>
      <c r="N97" s="1"/>
      <c r="O97" s="22"/>
      <c r="P97" s="22"/>
      <c r="Q97" s="22"/>
      <c r="R97" s="31"/>
      <c r="S97" s="31"/>
      <c r="T97" s="31"/>
      <c r="U97" s="1"/>
      <c r="V97" s="41"/>
      <c r="W97" s="41" t="s">
        <v>962</v>
      </c>
      <c r="X97" s="41"/>
      <c r="Y97" s="41"/>
      <c r="Z97" s="41"/>
      <c r="AA97" s="41"/>
      <c r="BG97" s="351"/>
      <c r="BH97" s="20"/>
      <c r="BI97" s="20"/>
      <c r="BJ97" s="57" t="s">
        <v>481</v>
      </c>
      <c r="BK97" s="61" t="s">
        <v>399</v>
      </c>
      <c r="BL97" s="306">
        <v>5.0000000000000001E-3</v>
      </c>
      <c r="BM97" s="72" t="s">
        <v>780</v>
      </c>
      <c r="BN97" s="61">
        <v>1</v>
      </c>
      <c r="BO97" s="57">
        <f t="shared" si="9"/>
        <v>5.0000000000000001E-3</v>
      </c>
      <c r="BP97" s="20" t="s">
        <v>20</v>
      </c>
      <c r="BQ97" s="20"/>
      <c r="BR97" s="340"/>
    </row>
    <row r="98" spans="1:70" ht="18">
      <c r="A98" s="451"/>
      <c r="B98" s="30">
        <f t="shared" ref="B98:B116" si="11">B97+$H$4</f>
        <v>2E-3</v>
      </c>
      <c r="C98" s="9">
        <f t="shared" si="10"/>
        <v>0.48484848484848486</v>
      </c>
      <c r="D98" s="9">
        <f t="shared" si="10"/>
        <v>0.50909090909090926</v>
      </c>
      <c r="E98" s="9">
        <f t="shared" si="10"/>
        <v>0.53333333333333344</v>
      </c>
      <c r="F98" s="9">
        <f t="shared" si="10"/>
        <v>0.55757575757575772</v>
      </c>
      <c r="G98" s="9">
        <f t="shared" si="10"/>
        <v>0.5818181818181819</v>
      </c>
      <c r="H98" s="9">
        <f t="shared" si="10"/>
        <v>0.60606060606060619</v>
      </c>
      <c r="I98" s="9">
        <f t="shared" si="10"/>
        <v>0.63030303030303059</v>
      </c>
      <c r="J98" s="9">
        <f t="shared" si="10"/>
        <v>0.65454545454545476</v>
      </c>
      <c r="K98" s="9">
        <f t="shared" si="10"/>
        <v>0.67878787878787905</v>
      </c>
      <c r="L98" s="9">
        <f t="shared" si="10"/>
        <v>0.70303030303030323</v>
      </c>
      <c r="M98" s="9">
        <f t="shared" si="10"/>
        <v>0.72727272727272751</v>
      </c>
      <c r="N98" s="1"/>
      <c r="O98" s="235" t="s">
        <v>667</v>
      </c>
      <c r="P98" s="22"/>
      <c r="Q98" s="307"/>
      <c r="R98" s="28" t="e">
        <f>((5.15-1.94)*32.2*Q98*(T98/304.9))/(62.4*S98)</f>
        <v>#DIV/0!</v>
      </c>
      <c r="S98" s="17"/>
      <c r="T98" s="17"/>
      <c r="U98" s="1"/>
      <c r="V98" s="41"/>
      <c r="W98" s="41" t="s">
        <v>19</v>
      </c>
      <c r="X98" s="41"/>
      <c r="Y98" s="41"/>
      <c r="Z98" s="41"/>
      <c r="AA98" s="41"/>
      <c r="BG98" s="351"/>
      <c r="BH98" s="20"/>
      <c r="BI98" s="20"/>
      <c r="BJ98" s="57" t="s">
        <v>670</v>
      </c>
      <c r="BK98" s="61" t="s">
        <v>726</v>
      </c>
      <c r="BL98" s="306">
        <v>3.2000000000000001E-2</v>
      </c>
      <c r="BM98" s="72" t="s">
        <v>98</v>
      </c>
      <c r="BN98" s="61">
        <v>1000</v>
      </c>
      <c r="BO98" s="215">
        <f t="shared" si="9"/>
        <v>32</v>
      </c>
      <c r="BP98" s="72" t="s">
        <v>21</v>
      </c>
      <c r="BQ98" s="20"/>
      <c r="BR98" s="340"/>
    </row>
    <row r="99" spans="1:70" ht="15">
      <c r="A99" s="451"/>
      <c r="B99" s="30">
        <f t="shared" si="11"/>
        <v>3.0000000000000001E-3</v>
      </c>
      <c r="C99" s="9">
        <f t="shared" si="10"/>
        <v>0.7272727272727274</v>
      </c>
      <c r="D99" s="9">
        <f t="shared" si="10"/>
        <v>0.76363636363636367</v>
      </c>
      <c r="E99" s="9">
        <f t="shared" si="10"/>
        <v>0.80000000000000016</v>
      </c>
      <c r="F99" s="9">
        <f t="shared" si="10"/>
        <v>0.83636363636363664</v>
      </c>
      <c r="G99" s="9">
        <f t="shared" si="10"/>
        <v>0.87272727272727302</v>
      </c>
      <c r="H99" s="9">
        <f t="shared" si="10"/>
        <v>0.90909090909090928</v>
      </c>
      <c r="I99" s="9">
        <f t="shared" si="10"/>
        <v>0.94545454545454577</v>
      </c>
      <c r="J99" s="9">
        <f t="shared" si="10"/>
        <v>0.98181818181818215</v>
      </c>
      <c r="K99" s="9">
        <f t="shared" si="10"/>
        <v>1.0181818181818185</v>
      </c>
      <c r="L99" s="9">
        <f t="shared" si="10"/>
        <v>1.0545454545454551</v>
      </c>
      <c r="M99" s="9">
        <f t="shared" si="10"/>
        <v>1.0909090909090913</v>
      </c>
      <c r="N99" s="1"/>
      <c r="O99" s="58"/>
      <c r="P99" s="31"/>
      <c r="Q99" s="31"/>
      <c r="R99" s="31"/>
      <c r="S99" s="31"/>
      <c r="T99" s="31"/>
      <c r="U99" s="1"/>
      <c r="V99" s="41"/>
      <c r="W99" s="155" t="s">
        <v>666</v>
      </c>
      <c r="X99" s="41"/>
      <c r="Y99" s="41"/>
      <c r="Z99" s="41"/>
      <c r="AA99" s="41"/>
      <c r="BG99" s="351"/>
      <c r="BH99" s="20"/>
      <c r="BI99" s="20"/>
      <c r="BJ99" s="20"/>
      <c r="BK99" s="20"/>
      <c r="BL99" s="20"/>
      <c r="BM99" s="20"/>
      <c r="BN99" s="20"/>
      <c r="BO99" s="20"/>
      <c r="BP99" s="20"/>
      <c r="BQ99" s="20"/>
      <c r="BR99" s="340"/>
    </row>
    <row r="100" spans="1:70" ht="15">
      <c r="A100" s="451"/>
      <c r="B100" s="30">
        <f t="shared" si="11"/>
        <v>4.0000000000000001E-3</v>
      </c>
      <c r="C100" s="9">
        <f t="shared" si="10"/>
        <v>0.96969696969696972</v>
      </c>
      <c r="D100" s="9">
        <f t="shared" si="10"/>
        <v>1.0181818181818185</v>
      </c>
      <c r="E100" s="9">
        <f t="shared" si="10"/>
        <v>1.0666666666666669</v>
      </c>
      <c r="F100" s="9">
        <f t="shared" si="10"/>
        <v>1.1151515151515154</v>
      </c>
      <c r="G100" s="9">
        <f t="shared" si="10"/>
        <v>1.1636363636363638</v>
      </c>
      <c r="H100" s="9">
        <f t="shared" si="10"/>
        <v>1.2121212121212124</v>
      </c>
      <c r="I100" s="9">
        <f t="shared" si="10"/>
        <v>1.2606060606060612</v>
      </c>
      <c r="J100" s="9">
        <f t="shared" si="10"/>
        <v>1.3090909090909095</v>
      </c>
      <c r="K100" s="9">
        <f t="shared" si="10"/>
        <v>1.3575757575757581</v>
      </c>
      <c r="L100" s="9">
        <f t="shared" si="10"/>
        <v>1.4060606060606065</v>
      </c>
      <c r="M100" s="9">
        <f t="shared" si="10"/>
        <v>1.454545454545455</v>
      </c>
      <c r="N100" s="1"/>
      <c r="O100" s="58" t="s">
        <v>668</v>
      </c>
      <c r="P100" s="31"/>
      <c r="Q100" s="17"/>
      <c r="R100" s="17"/>
      <c r="S100" s="28" t="e">
        <f>((5.15-1.94)*32.2*Q100*(T100/304.9))/(62.4*R100)</f>
        <v>#DIV/0!</v>
      </c>
      <c r="T100" s="17"/>
      <c r="U100" s="1"/>
      <c r="V100" s="41"/>
      <c r="W100" s="41" t="s">
        <v>93</v>
      </c>
      <c r="X100" s="41"/>
      <c r="Y100" s="41"/>
      <c r="Z100" s="41"/>
      <c r="AA100" s="41"/>
      <c r="BG100" s="351"/>
      <c r="BH100" s="20"/>
      <c r="BI100" s="20"/>
      <c r="BJ100" s="57" t="s">
        <v>671</v>
      </c>
      <c r="BK100" s="61" t="s">
        <v>545</v>
      </c>
      <c r="BL100" s="284">
        <v>9.81</v>
      </c>
      <c r="BM100" s="72" t="s">
        <v>964</v>
      </c>
      <c r="BN100" s="61">
        <v>3.28</v>
      </c>
      <c r="BO100" s="106">
        <f t="shared" ref="BO100:BO102" si="12">BL100*BN100</f>
        <v>32.1768</v>
      </c>
      <c r="BP100" s="20" t="s">
        <v>546</v>
      </c>
      <c r="BQ100" s="20"/>
      <c r="BR100" s="340"/>
    </row>
    <row r="101" spans="1:70" ht="15.75">
      <c r="A101" s="451"/>
      <c r="B101" s="30">
        <f t="shared" si="11"/>
        <v>5.0000000000000001E-3</v>
      </c>
      <c r="C101" s="9">
        <f t="shared" si="10"/>
        <v>1.2121212121212124</v>
      </c>
      <c r="D101" s="9">
        <f t="shared" si="10"/>
        <v>1.2727272727272729</v>
      </c>
      <c r="E101" s="9">
        <f t="shared" si="10"/>
        <v>1.3333333333333335</v>
      </c>
      <c r="F101" s="9">
        <f t="shared" si="10"/>
        <v>1.3939393939393943</v>
      </c>
      <c r="G101" s="9">
        <f t="shared" si="10"/>
        <v>1.454545454545455</v>
      </c>
      <c r="H101" s="9">
        <f t="shared" si="10"/>
        <v>1.5151515151515156</v>
      </c>
      <c r="I101" s="9">
        <f t="shared" si="10"/>
        <v>1.5757575757575761</v>
      </c>
      <c r="J101" s="9">
        <f t="shared" si="10"/>
        <v>1.6363636363636369</v>
      </c>
      <c r="K101" s="9">
        <f t="shared" si="10"/>
        <v>1.6969696969696977</v>
      </c>
      <c r="L101" s="9">
        <f t="shared" si="10"/>
        <v>1.7575757575757582</v>
      </c>
      <c r="M101" s="9">
        <f t="shared" si="10"/>
        <v>1.8181818181818188</v>
      </c>
      <c r="N101" s="1"/>
      <c r="O101" s="58"/>
      <c r="P101" s="31"/>
      <c r="Q101" s="31"/>
      <c r="R101" s="31"/>
      <c r="S101" s="31"/>
      <c r="T101" s="31"/>
      <c r="U101" s="1"/>
      <c r="V101" s="41"/>
      <c r="W101" s="41"/>
      <c r="X101" s="41"/>
      <c r="Y101" s="41"/>
      <c r="Z101" s="41"/>
      <c r="AA101" s="41"/>
      <c r="BG101" s="351"/>
      <c r="BH101" s="20"/>
      <c r="BI101" s="20"/>
      <c r="BJ101" s="57" t="s">
        <v>99</v>
      </c>
      <c r="BK101" s="216" t="s">
        <v>229</v>
      </c>
      <c r="BL101" s="284">
        <v>1000</v>
      </c>
      <c r="BM101" s="72" t="s">
        <v>781</v>
      </c>
      <c r="BN101" s="276">
        <f t="shared" ref="BN101:BN102" si="13">1/14.59/3.28^3</f>
        <v>1.9423307107314883E-3</v>
      </c>
      <c r="BO101" s="243">
        <f t="shared" si="12"/>
        <v>1.9423307107314884</v>
      </c>
      <c r="BP101" s="20" t="s">
        <v>782</v>
      </c>
      <c r="BQ101" s="20"/>
      <c r="BR101" s="340"/>
    </row>
    <row r="102" spans="1:70" ht="15.75">
      <c r="A102" s="451"/>
      <c r="B102" s="30">
        <f t="shared" si="11"/>
        <v>6.0000000000000001E-3</v>
      </c>
      <c r="C102" s="9">
        <f t="shared" si="10"/>
        <v>1.4545454545454548</v>
      </c>
      <c r="D102" s="9">
        <f t="shared" si="10"/>
        <v>1.5272727272727273</v>
      </c>
      <c r="E102" s="9">
        <f t="shared" si="10"/>
        <v>1.6000000000000003</v>
      </c>
      <c r="F102" s="9">
        <f t="shared" si="10"/>
        <v>1.6727272727272733</v>
      </c>
      <c r="G102" s="9">
        <f t="shared" si="10"/>
        <v>1.745454545454546</v>
      </c>
      <c r="H102" s="9">
        <f t="shared" si="10"/>
        <v>1.8181818181818186</v>
      </c>
      <c r="I102" s="9">
        <f t="shared" si="10"/>
        <v>1.8909090909090915</v>
      </c>
      <c r="J102" s="9">
        <f t="shared" si="10"/>
        <v>1.9636363636363643</v>
      </c>
      <c r="K102" s="9">
        <f t="shared" si="10"/>
        <v>2.036363636363637</v>
      </c>
      <c r="L102" s="9">
        <f t="shared" si="10"/>
        <v>2.1090909090909102</v>
      </c>
      <c r="M102" s="9">
        <f t="shared" si="10"/>
        <v>2.1818181818181825</v>
      </c>
      <c r="N102" s="1"/>
      <c r="O102" s="58" t="s">
        <v>483</v>
      </c>
      <c r="P102" s="31"/>
      <c r="Q102" s="17"/>
      <c r="R102" s="17"/>
      <c r="S102" s="17"/>
      <c r="T102" s="28" t="e">
        <f>62.4*S102*R102/((5.15-1.94)*32.2*Q102)*25.4*12</f>
        <v>#DIV/0!</v>
      </c>
      <c r="U102" s="1"/>
      <c r="V102" s="155" t="s">
        <v>843</v>
      </c>
      <c r="W102" s="41"/>
      <c r="X102" s="41"/>
      <c r="Y102" s="41"/>
      <c r="Z102" s="41"/>
      <c r="AA102" s="41"/>
      <c r="BG102" s="351"/>
      <c r="BH102" s="20"/>
      <c r="BI102" s="20"/>
      <c r="BJ102" s="57" t="s">
        <v>100</v>
      </c>
      <c r="BK102" s="216" t="s">
        <v>783</v>
      </c>
      <c r="BL102" s="280">
        <v>2650</v>
      </c>
      <c r="BM102" s="72" t="s">
        <v>781</v>
      </c>
      <c r="BN102" s="276">
        <f t="shared" si="13"/>
        <v>1.9423307107314883E-3</v>
      </c>
      <c r="BO102" s="146">
        <f t="shared" si="12"/>
        <v>5.1471763834384445</v>
      </c>
      <c r="BP102" s="20" t="s">
        <v>782</v>
      </c>
      <c r="BQ102" s="20"/>
      <c r="BR102" s="340"/>
    </row>
    <row r="103" spans="1:70" ht="15">
      <c r="A103" s="451"/>
      <c r="B103" s="30">
        <f t="shared" si="11"/>
        <v>7.0000000000000001E-3</v>
      </c>
      <c r="C103" s="9">
        <f t="shared" si="10"/>
        <v>1.6969696969696972</v>
      </c>
      <c r="D103" s="9">
        <f t="shared" si="10"/>
        <v>1.7818181818181822</v>
      </c>
      <c r="E103" s="9">
        <f t="shared" si="10"/>
        <v>1.8666666666666671</v>
      </c>
      <c r="F103" s="9">
        <f t="shared" si="10"/>
        <v>1.9515151515151521</v>
      </c>
      <c r="G103" s="9">
        <f t="shared" si="10"/>
        <v>2.036363636363637</v>
      </c>
      <c r="H103" s="9">
        <f t="shared" si="10"/>
        <v>2.121212121212122</v>
      </c>
      <c r="I103" s="9">
        <f t="shared" si="10"/>
        <v>2.2060606060606069</v>
      </c>
      <c r="J103" s="9">
        <f t="shared" si="10"/>
        <v>2.2909090909090919</v>
      </c>
      <c r="K103" s="9">
        <f t="shared" si="10"/>
        <v>2.3757575757575768</v>
      </c>
      <c r="L103" s="9">
        <f t="shared" si="10"/>
        <v>2.4606060606060614</v>
      </c>
      <c r="M103" s="9">
        <f t="shared" si="10"/>
        <v>2.5454545454545467</v>
      </c>
      <c r="N103" s="1"/>
      <c r="U103" s="1"/>
      <c r="V103" s="155" t="s">
        <v>541</v>
      </c>
      <c r="W103" s="41"/>
      <c r="X103" s="41"/>
      <c r="Y103" s="41"/>
      <c r="Z103" s="41"/>
      <c r="AA103" s="41"/>
      <c r="BG103" s="351"/>
      <c r="BH103" s="20"/>
      <c r="BI103" s="20"/>
      <c r="BJ103" s="20"/>
      <c r="BK103" s="20"/>
      <c r="BL103" s="20"/>
      <c r="BM103" s="20"/>
      <c r="BN103" s="20"/>
      <c r="BO103" s="20"/>
      <c r="BP103" s="20"/>
      <c r="BQ103" s="20"/>
      <c r="BR103" s="340"/>
    </row>
    <row r="104" spans="1:70" ht="15">
      <c r="A104" s="451"/>
      <c r="B104" s="30">
        <f t="shared" si="11"/>
        <v>8.0000000000000002E-3</v>
      </c>
      <c r="C104" s="9">
        <f t="shared" si="10"/>
        <v>1.9393939393939394</v>
      </c>
      <c r="D104" s="9">
        <f t="shared" si="10"/>
        <v>2.036363636363637</v>
      </c>
      <c r="E104" s="9">
        <f t="shared" si="10"/>
        <v>2.1333333333333337</v>
      </c>
      <c r="F104" s="9">
        <f t="shared" si="10"/>
        <v>2.2303030303030309</v>
      </c>
      <c r="G104" s="9">
        <f t="shared" si="10"/>
        <v>2.3272727272727276</v>
      </c>
      <c r="H104" s="9">
        <f t="shared" si="10"/>
        <v>2.4242424242424248</v>
      </c>
      <c r="I104" s="9">
        <f t="shared" si="10"/>
        <v>2.5212121212121223</v>
      </c>
      <c r="J104" s="9">
        <f t="shared" si="10"/>
        <v>2.6181818181818191</v>
      </c>
      <c r="K104" s="9">
        <f t="shared" si="10"/>
        <v>2.7151515151515162</v>
      </c>
      <c r="L104" s="9">
        <f t="shared" si="10"/>
        <v>2.8121212121212129</v>
      </c>
      <c r="M104" s="9">
        <f t="shared" si="10"/>
        <v>2.9090909090909101</v>
      </c>
      <c r="N104" s="1"/>
      <c r="U104" s="1"/>
      <c r="BG104" s="351"/>
      <c r="BH104" s="20"/>
      <c r="BI104" s="20"/>
      <c r="BJ104" s="57" t="s">
        <v>547</v>
      </c>
      <c r="BK104" s="139" t="s">
        <v>422</v>
      </c>
      <c r="BL104" s="57">
        <f>BL100*BL101</f>
        <v>9810</v>
      </c>
      <c r="BM104" s="72" t="s">
        <v>423</v>
      </c>
      <c r="BN104" s="61"/>
      <c r="BO104" s="106">
        <f>BO100*BO101</f>
        <v>62.497986813064955</v>
      </c>
      <c r="BP104" s="20" t="s">
        <v>230</v>
      </c>
      <c r="BQ104" s="20"/>
      <c r="BR104" s="340"/>
    </row>
    <row r="105" spans="1:70" ht="15.75">
      <c r="A105" s="451"/>
      <c r="B105" s="30">
        <f t="shared" si="11"/>
        <v>9.0000000000000011E-3</v>
      </c>
      <c r="C105" s="9">
        <f t="shared" si="10"/>
        <v>2.1818181818181821</v>
      </c>
      <c r="D105" s="9">
        <f t="shared" si="10"/>
        <v>2.2909090909090919</v>
      </c>
      <c r="E105" s="9">
        <f t="shared" si="10"/>
        <v>2.4000000000000008</v>
      </c>
      <c r="F105" s="9">
        <f t="shared" si="10"/>
        <v>2.5090909090909097</v>
      </c>
      <c r="G105" s="9">
        <f t="shared" si="10"/>
        <v>2.6181818181818191</v>
      </c>
      <c r="H105" s="9">
        <f t="shared" si="10"/>
        <v>2.7272727272727284</v>
      </c>
      <c r="I105" s="9">
        <f t="shared" si="10"/>
        <v>2.8363636363636378</v>
      </c>
      <c r="J105" s="9">
        <f t="shared" si="10"/>
        <v>2.9454545454545467</v>
      </c>
      <c r="K105" s="9">
        <f t="shared" si="10"/>
        <v>3.0545454545454565</v>
      </c>
      <c r="L105" s="9">
        <f t="shared" si="10"/>
        <v>3.1636363636363649</v>
      </c>
      <c r="M105" s="9">
        <f t="shared" si="10"/>
        <v>3.2727272727272743</v>
      </c>
      <c r="N105" s="1"/>
      <c r="O105" s="501" t="s">
        <v>776</v>
      </c>
      <c r="P105" s="502"/>
      <c r="Q105" s="503"/>
      <c r="U105" s="1"/>
      <c r="BG105" s="351"/>
      <c r="BH105" s="20"/>
      <c r="BI105" s="20"/>
      <c r="BJ105" s="20"/>
      <c r="BK105" s="20"/>
      <c r="BL105" s="20">
        <f>BL104/9.81</f>
        <v>1000</v>
      </c>
      <c r="BM105" s="72" t="s">
        <v>170</v>
      </c>
      <c r="BN105" s="20"/>
      <c r="BO105" s="20"/>
      <c r="BP105" s="20"/>
      <c r="BQ105" s="20"/>
      <c r="BR105" s="340"/>
    </row>
    <row r="106" spans="1:70" ht="15">
      <c r="A106" s="451"/>
      <c r="B106" s="30">
        <f t="shared" si="11"/>
        <v>1.0000000000000002E-2</v>
      </c>
      <c r="C106" s="9">
        <f t="shared" si="10"/>
        <v>2.4242424242424248</v>
      </c>
      <c r="D106" s="9">
        <f t="shared" si="10"/>
        <v>2.5454545454545463</v>
      </c>
      <c r="E106" s="9">
        <f t="shared" si="10"/>
        <v>2.6666666666666674</v>
      </c>
      <c r="F106" s="9">
        <f t="shared" si="10"/>
        <v>2.787878787878789</v>
      </c>
      <c r="G106" s="9">
        <f t="shared" si="10"/>
        <v>2.9090909090909101</v>
      </c>
      <c r="H106" s="9">
        <f t="shared" si="10"/>
        <v>3.0303030303030321</v>
      </c>
      <c r="I106" s="9">
        <f t="shared" si="10"/>
        <v>3.1515151515151532</v>
      </c>
      <c r="J106" s="9">
        <f t="shared" si="10"/>
        <v>3.2727272727272743</v>
      </c>
      <c r="K106" s="9">
        <f t="shared" si="10"/>
        <v>3.3939393939393958</v>
      </c>
      <c r="L106" s="9">
        <f t="shared" si="10"/>
        <v>3.5151515151515174</v>
      </c>
      <c r="M106" s="9">
        <f t="shared" si="10"/>
        <v>3.6363636363636385</v>
      </c>
      <c r="N106" s="1"/>
      <c r="O106" s="297" t="s">
        <v>544</v>
      </c>
      <c r="P106" s="191">
        <v>3.28</v>
      </c>
      <c r="Q106" s="318" t="s">
        <v>543</v>
      </c>
      <c r="U106" s="1"/>
      <c r="BG106" s="351"/>
      <c r="BH106" s="20"/>
      <c r="BI106" s="20"/>
      <c r="BJ106" s="57"/>
      <c r="BK106" s="139"/>
      <c r="BL106" s="213"/>
      <c r="BM106" s="72"/>
      <c r="BN106" s="61"/>
      <c r="BO106" s="213"/>
      <c r="BP106" s="20"/>
      <c r="BQ106" s="20"/>
      <c r="BR106" s="340"/>
    </row>
    <row r="107" spans="1:70" ht="15">
      <c r="A107" s="451"/>
      <c r="B107" s="30">
        <f t="shared" si="11"/>
        <v>1.1000000000000003E-2</v>
      </c>
      <c r="C107" s="9">
        <f t="shared" si="10"/>
        <v>2.6666666666666674</v>
      </c>
      <c r="D107" s="9">
        <f t="shared" si="10"/>
        <v>2.8000000000000012</v>
      </c>
      <c r="E107" s="9">
        <f t="shared" si="10"/>
        <v>2.9333333333333349</v>
      </c>
      <c r="F107" s="9">
        <f t="shared" si="10"/>
        <v>3.0666666666666682</v>
      </c>
      <c r="G107" s="9">
        <f t="shared" si="10"/>
        <v>3.2000000000000011</v>
      </c>
      <c r="H107" s="9">
        <f t="shared" si="10"/>
        <v>3.3333333333333348</v>
      </c>
      <c r="I107" s="9">
        <f t="shared" si="10"/>
        <v>3.466666666666669</v>
      </c>
      <c r="J107" s="9">
        <f t="shared" si="10"/>
        <v>3.6000000000000019</v>
      </c>
      <c r="K107" s="9">
        <f t="shared" si="10"/>
        <v>3.7333333333333352</v>
      </c>
      <c r="L107" s="9">
        <f t="shared" si="10"/>
        <v>3.8666666666666698</v>
      </c>
      <c r="M107" s="9">
        <f t="shared" si="10"/>
        <v>4.0000000000000027</v>
      </c>
      <c r="N107" s="1"/>
      <c r="O107" s="297" t="s">
        <v>484</v>
      </c>
      <c r="P107" s="191">
        <v>5.0000000000000001E-3</v>
      </c>
      <c r="Q107" s="318" t="s">
        <v>20</v>
      </c>
      <c r="U107" s="1"/>
      <c r="V107" s="380" t="s">
        <v>287</v>
      </c>
      <c r="W107" s="381"/>
      <c r="X107" s="382"/>
      <c r="Y107" s="380" t="s">
        <v>722</v>
      </c>
      <c r="Z107" s="382"/>
      <c r="BG107" s="351"/>
      <c r="BH107" s="20"/>
      <c r="BI107" s="20"/>
      <c r="BJ107" s="57" t="s">
        <v>785</v>
      </c>
      <c r="BK107" s="216" t="s">
        <v>903</v>
      </c>
      <c r="BL107" s="106">
        <f>BL101*BL100*BL96*BL97</f>
        <v>49.050000000000004</v>
      </c>
      <c r="BM107" s="72" t="s">
        <v>904</v>
      </c>
      <c r="BN107" s="305"/>
      <c r="BO107" s="333">
        <f>BO104*BO96*BO97</f>
        <v>1.0249669837342652</v>
      </c>
      <c r="BP107" s="20" t="s">
        <v>727</v>
      </c>
      <c r="BQ107" s="20"/>
      <c r="BR107" s="340"/>
    </row>
    <row r="108" spans="1:70" ht="15.75">
      <c r="A108" s="451"/>
      <c r="B108" s="30">
        <f t="shared" si="11"/>
        <v>1.2000000000000004E-2</v>
      </c>
      <c r="C108" s="9">
        <f t="shared" si="10"/>
        <v>2.9090909090909101</v>
      </c>
      <c r="D108" s="9">
        <f t="shared" si="10"/>
        <v>3.0545454545454565</v>
      </c>
      <c r="E108" s="9">
        <f t="shared" si="10"/>
        <v>3.2000000000000011</v>
      </c>
      <c r="F108" s="9">
        <f t="shared" si="10"/>
        <v>3.3454545454545475</v>
      </c>
      <c r="G108" s="9">
        <f t="shared" si="10"/>
        <v>3.490909090909093</v>
      </c>
      <c r="H108" s="9">
        <f t="shared" si="10"/>
        <v>3.6363636363636385</v>
      </c>
      <c r="I108" s="9">
        <f t="shared" si="10"/>
        <v>3.781818181818184</v>
      </c>
      <c r="J108" s="9">
        <f t="shared" si="10"/>
        <v>3.9272727272727299</v>
      </c>
      <c r="K108" s="9">
        <f t="shared" si="10"/>
        <v>4.0727272727272759</v>
      </c>
      <c r="L108" s="9">
        <f t="shared" si="10"/>
        <v>4.2181818181818205</v>
      </c>
      <c r="M108" s="9">
        <f t="shared" si="10"/>
        <v>4.3636363636363669</v>
      </c>
      <c r="N108" s="1"/>
      <c r="O108" s="297" t="s">
        <v>723</v>
      </c>
      <c r="P108" s="191">
        <v>32</v>
      </c>
      <c r="Q108" s="318" t="s">
        <v>21</v>
      </c>
      <c r="U108" s="1"/>
      <c r="V108" s="380" t="s">
        <v>24</v>
      </c>
      <c r="W108" s="381"/>
      <c r="X108" s="382"/>
      <c r="Y108" s="380">
        <v>0.06</v>
      </c>
      <c r="Z108" s="382"/>
      <c r="BG108" s="351"/>
      <c r="BH108" s="20"/>
      <c r="BI108" s="20"/>
      <c r="BJ108" s="57"/>
      <c r="BK108" s="216"/>
      <c r="BL108" s="106">
        <f>BL105*BL96*BL97</f>
        <v>5</v>
      </c>
      <c r="BM108" s="72" t="s">
        <v>672</v>
      </c>
      <c r="BN108" s="61"/>
      <c r="BO108" s="215"/>
      <c r="BP108" s="20"/>
      <c r="BQ108" s="20"/>
      <c r="BR108" s="340"/>
    </row>
    <row r="109" spans="1:70" ht="15">
      <c r="A109" s="451"/>
      <c r="B109" s="30">
        <f t="shared" si="11"/>
        <v>1.3000000000000005E-2</v>
      </c>
      <c r="C109" s="9">
        <f t="shared" si="10"/>
        <v>3.1515151515151532</v>
      </c>
      <c r="D109" s="9">
        <f t="shared" si="10"/>
        <v>3.3090909090909113</v>
      </c>
      <c r="E109" s="9">
        <f t="shared" si="10"/>
        <v>3.4666666666666686</v>
      </c>
      <c r="F109" s="9">
        <f t="shared" si="10"/>
        <v>3.6242424242424263</v>
      </c>
      <c r="G109" s="9">
        <f t="shared" si="10"/>
        <v>3.781818181818184</v>
      </c>
      <c r="H109" s="9">
        <f t="shared" si="10"/>
        <v>3.9393939393939412</v>
      </c>
      <c r="I109" s="9">
        <f t="shared" si="10"/>
        <v>4.0969696969696994</v>
      </c>
      <c r="J109" s="9">
        <f t="shared" si="10"/>
        <v>4.2545454545454575</v>
      </c>
      <c r="K109" s="9">
        <f t="shared" si="10"/>
        <v>4.4121212121212157</v>
      </c>
      <c r="L109" s="9">
        <f t="shared" si="10"/>
        <v>4.5696969696969729</v>
      </c>
      <c r="M109" s="9">
        <f t="shared" si="10"/>
        <v>4.7272727272727311</v>
      </c>
      <c r="N109" s="1"/>
      <c r="O109" s="297" t="s">
        <v>724</v>
      </c>
      <c r="P109" s="192">
        <f>(1.94*32.2*P106*P107)/((5.15-1.94)*32.2*P108/304.8)</f>
        <v>9.4407289719626142E-2</v>
      </c>
      <c r="Q109" s="318"/>
      <c r="U109" s="1"/>
      <c r="V109" s="380" t="s">
        <v>276</v>
      </c>
      <c r="W109" s="381"/>
      <c r="X109" s="382"/>
      <c r="Y109" s="380">
        <v>4.4999999999999998E-2</v>
      </c>
      <c r="Z109" s="382"/>
      <c r="BG109" s="351"/>
      <c r="BH109" s="20"/>
      <c r="BI109" s="20"/>
      <c r="BJ109" s="20"/>
      <c r="BK109" s="20"/>
      <c r="BL109" s="20"/>
      <c r="BM109" s="20"/>
      <c r="BN109" s="20"/>
      <c r="BO109" s="20"/>
      <c r="BP109" s="20"/>
      <c r="BQ109" s="20"/>
      <c r="BR109" s="340"/>
    </row>
    <row r="110" spans="1:70" ht="15.75">
      <c r="A110" s="451"/>
      <c r="B110" s="30">
        <f t="shared" si="11"/>
        <v>1.4000000000000005E-2</v>
      </c>
      <c r="C110" s="9">
        <f t="shared" si="10"/>
        <v>3.3939393939393958</v>
      </c>
      <c r="D110" s="9">
        <f t="shared" si="10"/>
        <v>3.5636363636363653</v>
      </c>
      <c r="E110" s="9">
        <f t="shared" si="10"/>
        <v>3.7333333333333352</v>
      </c>
      <c r="F110" s="9">
        <f t="shared" si="10"/>
        <v>3.9030303030303051</v>
      </c>
      <c r="G110" s="9">
        <f t="shared" si="10"/>
        <v>4.0727272727272759</v>
      </c>
      <c r="H110" s="9">
        <f t="shared" si="10"/>
        <v>4.2424242424242449</v>
      </c>
      <c r="I110" s="9">
        <f t="shared" si="10"/>
        <v>4.4121212121212157</v>
      </c>
      <c r="J110" s="9">
        <f t="shared" si="10"/>
        <v>4.5818181818181847</v>
      </c>
      <c r="K110" s="9">
        <f t="shared" si="10"/>
        <v>4.7515151515151555</v>
      </c>
      <c r="L110" s="9">
        <f t="shared" si="10"/>
        <v>4.9212121212121254</v>
      </c>
      <c r="M110" s="9">
        <f t="shared" si="10"/>
        <v>5.0909090909090953</v>
      </c>
      <c r="N110" s="1"/>
      <c r="O110" s="297" t="s">
        <v>899</v>
      </c>
      <c r="P110" s="191">
        <v>1.67</v>
      </c>
      <c r="Q110" s="318" t="s">
        <v>543</v>
      </c>
      <c r="U110" s="1"/>
      <c r="BG110" s="351"/>
      <c r="BH110" s="20"/>
      <c r="BI110" s="20"/>
      <c r="BJ110" s="57" t="s">
        <v>724</v>
      </c>
      <c r="BK110" s="139" t="s">
        <v>329</v>
      </c>
      <c r="BL110" s="147">
        <f>BL107/((BL102-BL101)*BL100*BL98)</f>
        <v>9.469696969696971E-2</v>
      </c>
      <c r="BM110" s="72" t="s">
        <v>784</v>
      </c>
      <c r="BN110" s="147"/>
      <c r="BO110" s="147">
        <f>BO107/((BO102-BO101)*BO100*BO98/304.8)</f>
        <v>9.4672727272727256E-2</v>
      </c>
      <c r="BP110" s="72" t="s">
        <v>784</v>
      </c>
      <c r="BQ110" s="20"/>
      <c r="BR110" s="340"/>
    </row>
    <row r="111" spans="1:70" ht="15">
      <c r="A111" s="451"/>
      <c r="B111" s="30">
        <f t="shared" si="11"/>
        <v>1.5000000000000006E-2</v>
      </c>
      <c r="C111" s="9">
        <f t="shared" si="10"/>
        <v>3.6363636363636385</v>
      </c>
      <c r="D111" s="9">
        <f t="shared" si="10"/>
        <v>3.8181818181818201</v>
      </c>
      <c r="E111" s="9">
        <f t="shared" si="10"/>
        <v>4.0000000000000027</v>
      </c>
      <c r="F111" s="9">
        <f t="shared" si="10"/>
        <v>4.1818181818181843</v>
      </c>
      <c r="G111" s="9">
        <f t="shared" si="10"/>
        <v>4.3636363636363669</v>
      </c>
      <c r="H111" s="9">
        <f t="shared" si="10"/>
        <v>4.5454545454545485</v>
      </c>
      <c r="I111" s="9">
        <f t="shared" si="10"/>
        <v>4.7272727272727311</v>
      </c>
      <c r="J111" s="9">
        <f t="shared" si="10"/>
        <v>4.9090909090909136</v>
      </c>
      <c r="K111" s="9">
        <f t="shared" si="10"/>
        <v>5.0909090909090953</v>
      </c>
      <c r="L111" s="9">
        <f t="shared" si="10"/>
        <v>5.2727272727272769</v>
      </c>
      <c r="M111" s="9">
        <f t="shared" si="10"/>
        <v>5.4545454545454586</v>
      </c>
      <c r="N111" s="1"/>
      <c r="O111" s="297" t="s">
        <v>22</v>
      </c>
      <c r="P111" s="191">
        <v>51</v>
      </c>
      <c r="Q111" s="318" t="s">
        <v>21</v>
      </c>
      <c r="U111" s="1"/>
      <c r="V111" t="s">
        <v>845</v>
      </c>
      <c r="BG111" s="351"/>
      <c r="BH111" s="20"/>
      <c r="BI111" s="20"/>
      <c r="BJ111" s="20"/>
      <c r="BK111" s="20"/>
      <c r="BL111" s="20"/>
      <c r="BM111" s="20"/>
      <c r="BN111" s="20"/>
      <c r="BO111" s="20"/>
      <c r="BP111" s="20"/>
      <c r="BQ111" s="20"/>
      <c r="BR111" s="340"/>
    </row>
    <row r="112" spans="1:70" ht="15.75">
      <c r="A112" s="451"/>
      <c r="B112" s="30">
        <f t="shared" si="11"/>
        <v>1.6000000000000007E-2</v>
      </c>
      <c r="C112" s="9">
        <f t="shared" si="10"/>
        <v>3.8787878787878811</v>
      </c>
      <c r="D112" s="9">
        <f t="shared" si="10"/>
        <v>4.0727272727272759</v>
      </c>
      <c r="E112" s="9">
        <f t="shared" si="10"/>
        <v>4.2666666666666693</v>
      </c>
      <c r="F112" s="9">
        <f t="shared" si="10"/>
        <v>4.4606060606060636</v>
      </c>
      <c r="G112" s="9">
        <f t="shared" si="10"/>
        <v>4.6545454545454579</v>
      </c>
      <c r="H112" s="9">
        <f t="shared" si="10"/>
        <v>4.8484848484848522</v>
      </c>
      <c r="I112" s="9">
        <f t="shared" si="10"/>
        <v>5.0424242424242465</v>
      </c>
      <c r="J112" s="9">
        <f t="shared" si="10"/>
        <v>5.2363636363636408</v>
      </c>
      <c r="K112" s="9">
        <f t="shared" si="10"/>
        <v>5.4303030303030351</v>
      </c>
      <c r="L112" s="9">
        <f t="shared" si="10"/>
        <v>5.6242424242424285</v>
      </c>
      <c r="M112" s="9">
        <f t="shared" si="10"/>
        <v>5.8181818181818228</v>
      </c>
      <c r="N112" s="1"/>
      <c r="O112" s="297" t="s">
        <v>844</v>
      </c>
      <c r="P112" s="192">
        <f>((5.15-1.94)*32.2*P109*(P111/304.9))/(62.4*P110)</f>
        <v>1.5663114579932649E-2</v>
      </c>
      <c r="Q112" s="318" t="s">
        <v>20</v>
      </c>
      <c r="U112" s="1"/>
      <c r="BG112" s="351"/>
      <c r="BH112" s="20"/>
      <c r="BI112" s="20"/>
      <c r="BJ112" s="57" t="s">
        <v>548</v>
      </c>
      <c r="BK112" s="61" t="s">
        <v>549</v>
      </c>
      <c r="BL112" s="146">
        <f>BL107/((BL102-BL101)*BL100*0.06)</f>
        <v>5.0505050505050511E-2</v>
      </c>
      <c r="BM112" s="72" t="s">
        <v>98</v>
      </c>
      <c r="BN112" s="20"/>
      <c r="BO112" s="146">
        <f>BO107/((BO102-BO101)*BO100*0.06)</f>
        <v>0.16565656565656564</v>
      </c>
      <c r="BP112" s="20" t="s">
        <v>543</v>
      </c>
      <c r="BQ112" s="20"/>
      <c r="BR112" s="340"/>
    </row>
    <row r="113" spans="1:70" ht="15">
      <c r="A113" s="451"/>
      <c r="B113" s="30">
        <f t="shared" si="11"/>
        <v>1.7000000000000008E-2</v>
      </c>
      <c r="C113" s="9">
        <f t="shared" si="10"/>
        <v>4.1212121212121238</v>
      </c>
      <c r="D113" s="9">
        <f t="shared" si="10"/>
        <v>4.3272727272727298</v>
      </c>
      <c r="E113" s="9">
        <f t="shared" si="10"/>
        <v>4.5333333333333368</v>
      </c>
      <c r="F113" s="9">
        <f t="shared" si="10"/>
        <v>4.7393939393939428</v>
      </c>
      <c r="G113" s="9">
        <f t="shared" si="10"/>
        <v>4.9454545454545489</v>
      </c>
      <c r="H113" s="9">
        <f t="shared" si="10"/>
        <v>5.1515151515151558</v>
      </c>
      <c r="I113" s="9">
        <f t="shared" si="10"/>
        <v>5.3575757575757619</v>
      </c>
      <c r="J113" s="9">
        <f t="shared" si="10"/>
        <v>5.5636363636363679</v>
      </c>
      <c r="K113" s="9">
        <f t="shared" si="10"/>
        <v>5.7696969696969749</v>
      </c>
      <c r="L113" s="9">
        <f t="shared" si="10"/>
        <v>5.9757575757575809</v>
      </c>
      <c r="M113" s="9">
        <f t="shared" si="10"/>
        <v>6.181818181818187</v>
      </c>
      <c r="N113" s="1"/>
      <c r="U113" s="1"/>
      <c r="BG113" s="290"/>
      <c r="BH113" s="49"/>
      <c r="BI113" s="49"/>
      <c r="BJ113" s="49"/>
      <c r="BK113" s="49"/>
      <c r="BL113" s="49"/>
      <c r="BM113" s="49"/>
      <c r="BN113" s="49"/>
      <c r="BO113" s="49"/>
      <c r="BP113" s="49"/>
      <c r="BQ113" s="49"/>
      <c r="BR113" s="310"/>
    </row>
    <row r="114" spans="1:70" ht="15">
      <c r="A114" s="451"/>
      <c r="B114" s="30">
        <f t="shared" si="11"/>
        <v>1.8000000000000009E-2</v>
      </c>
      <c r="C114" s="9">
        <f t="shared" si="10"/>
        <v>4.3636363636363669</v>
      </c>
      <c r="D114" s="9">
        <f t="shared" si="10"/>
        <v>4.5818181818181847</v>
      </c>
      <c r="E114" s="9">
        <f t="shared" si="10"/>
        <v>4.8000000000000034</v>
      </c>
      <c r="F114" s="9">
        <f t="shared" si="10"/>
        <v>5.0181818181818221</v>
      </c>
      <c r="G114" s="9">
        <f t="shared" si="10"/>
        <v>5.2363636363636408</v>
      </c>
      <c r="H114" s="9">
        <f t="shared" si="10"/>
        <v>5.4545454545454586</v>
      </c>
      <c r="I114" s="9">
        <f t="shared" si="10"/>
        <v>5.6727272727272782</v>
      </c>
      <c r="J114" s="9">
        <f t="shared" si="10"/>
        <v>5.890909090909096</v>
      </c>
      <c r="K114" s="9">
        <f t="shared" si="10"/>
        <v>6.1090909090909138</v>
      </c>
      <c r="L114" s="9">
        <f t="shared" si="10"/>
        <v>6.3272727272727316</v>
      </c>
      <c r="M114" s="9">
        <f t="shared" si="10"/>
        <v>6.5454545454545521</v>
      </c>
      <c r="N114" s="1"/>
      <c r="U114" s="1"/>
    </row>
    <row r="115" spans="1:70" ht="15">
      <c r="A115" s="451"/>
      <c r="B115" s="30">
        <f t="shared" si="11"/>
        <v>1.900000000000001E-2</v>
      </c>
      <c r="C115" s="9">
        <f t="shared" si="10"/>
        <v>4.6060606060606091</v>
      </c>
      <c r="D115" s="9">
        <f t="shared" si="10"/>
        <v>4.8363636363636404</v>
      </c>
      <c r="E115" s="9">
        <f t="shared" si="10"/>
        <v>5.06666666666667</v>
      </c>
      <c r="F115" s="9">
        <f t="shared" si="10"/>
        <v>5.2969696969697013</v>
      </c>
      <c r="G115" s="9">
        <f t="shared" si="10"/>
        <v>5.5272727272727318</v>
      </c>
      <c r="H115" s="9">
        <f t="shared" si="10"/>
        <v>5.7575757575757631</v>
      </c>
      <c r="I115" s="9">
        <f t="shared" si="10"/>
        <v>5.9878787878787927</v>
      </c>
      <c r="J115" s="9">
        <f t="shared" si="10"/>
        <v>6.218181818181824</v>
      </c>
      <c r="K115" s="9">
        <f t="shared" si="10"/>
        <v>6.4484848484848545</v>
      </c>
      <c r="L115" s="9">
        <f t="shared" si="10"/>
        <v>6.6787878787878849</v>
      </c>
      <c r="M115" s="9">
        <f t="shared" si="10"/>
        <v>6.9090909090909154</v>
      </c>
      <c r="N115" s="1"/>
      <c r="U115" s="1"/>
    </row>
    <row r="116" spans="1:70" ht="15">
      <c r="A116" s="452"/>
      <c r="B116" s="30">
        <f t="shared" si="11"/>
        <v>2.0000000000000011E-2</v>
      </c>
      <c r="C116" s="9">
        <f t="shared" si="10"/>
        <v>4.8484848484848513</v>
      </c>
      <c r="D116" s="9">
        <f t="shared" si="10"/>
        <v>5.0909090909090944</v>
      </c>
      <c r="E116" s="9">
        <f t="shared" si="10"/>
        <v>5.3333333333333375</v>
      </c>
      <c r="F116" s="9">
        <f t="shared" si="10"/>
        <v>5.5757575757575797</v>
      </c>
      <c r="G116" s="9">
        <f t="shared" si="10"/>
        <v>5.8181818181818228</v>
      </c>
      <c r="H116" s="9">
        <f t="shared" si="10"/>
        <v>6.0606060606060659</v>
      </c>
      <c r="I116" s="9">
        <f t="shared" si="10"/>
        <v>6.303030303030309</v>
      </c>
      <c r="J116" s="9">
        <f t="shared" si="10"/>
        <v>6.5454545454545521</v>
      </c>
      <c r="K116" s="9">
        <f t="shared" si="10"/>
        <v>6.7878787878787943</v>
      </c>
      <c r="L116" s="9">
        <f t="shared" si="10"/>
        <v>7.0303030303030365</v>
      </c>
      <c r="M116" s="9">
        <f t="shared" si="10"/>
        <v>7.2727272727272796</v>
      </c>
      <c r="N116" s="1"/>
      <c r="U116" s="1"/>
    </row>
    <row r="117" spans="1:70" ht="15">
      <c r="B117" s="1"/>
      <c r="C117" s="52"/>
      <c r="D117" s="21"/>
      <c r="E117" s="21"/>
      <c r="F117" s="21"/>
      <c r="G117" s="21"/>
      <c r="H117" s="21"/>
      <c r="I117" s="11"/>
      <c r="J117" s="11"/>
      <c r="K117" s="11"/>
      <c r="L117" s="11"/>
      <c r="M117" s="11"/>
      <c r="N117" s="1"/>
      <c r="O117" s="41"/>
      <c r="P117" s="41"/>
      <c r="Q117" s="41"/>
      <c r="R117" s="41"/>
      <c r="S117" s="41"/>
      <c r="T117" s="41"/>
      <c r="U117" s="1"/>
    </row>
    <row r="118" spans="1:70" ht="15">
      <c r="B118" s="1"/>
      <c r="C118" s="1"/>
      <c r="D118" s="1"/>
      <c r="E118" s="1"/>
      <c r="F118" s="1"/>
      <c r="G118" s="1"/>
      <c r="H118" s="1"/>
      <c r="I118" s="1"/>
      <c r="J118" s="11"/>
      <c r="K118" s="11"/>
      <c r="M118" s="1"/>
      <c r="N118" s="1"/>
      <c r="U118" s="1"/>
    </row>
    <row r="119" spans="1:70" ht="21">
      <c r="B119" s="1"/>
      <c r="C119" s="492" t="s">
        <v>535</v>
      </c>
      <c r="D119" s="492"/>
      <c r="E119" s="492"/>
      <c r="F119" s="492"/>
      <c r="G119" s="492"/>
      <c r="H119" s="492"/>
      <c r="I119" s="492"/>
      <c r="J119" s="492"/>
      <c r="K119" s="492"/>
      <c r="L119" s="492"/>
      <c r="M119" s="492"/>
      <c r="N119" s="1"/>
      <c r="O119" s="1"/>
      <c r="P119" s="1"/>
      <c r="Q119" s="1"/>
      <c r="R119" s="1"/>
      <c r="S119" s="1"/>
      <c r="T119" s="1"/>
      <c r="U119" s="1"/>
    </row>
    <row r="120" spans="1:70" ht="18.75">
      <c r="B120" s="1"/>
      <c r="C120" s="493" t="s">
        <v>286</v>
      </c>
      <c r="D120" s="494"/>
      <c r="E120" s="494"/>
      <c r="F120" s="494"/>
      <c r="G120" s="494"/>
      <c r="H120" s="494"/>
      <c r="I120" s="494"/>
      <c r="J120" s="494"/>
      <c r="K120" s="494"/>
      <c r="L120" s="494"/>
      <c r="M120" s="495"/>
      <c r="N120" s="1"/>
      <c r="O120" s="1"/>
      <c r="P120" s="1"/>
      <c r="Q120" s="1"/>
      <c r="R120" s="1"/>
      <c r="S120" s="1"/>
      <c r="T120" s="1"/>
      <c r="U120" s="1"/>
    </row>
    <row r="121" spans="1:70" ht="15">
      <c r="A121" s="380" t="s">
        <v>721</v>
      </c>
      <c r="B121" s="382"/>
      <c r="C121" s="3">
        <f t="shared" ref="C121:M121" si="14">C$12</f>
        <v>0</v>
      </c>
      <c r="D121" s="3">
        <f t="shared" si="14"/>
        <v>0</v>
      </c>
      <c r="E121" s="3">
        <f t="shared" si="14"/>
        <v>0</v>
      </c>
      <c r="F121" s="3">
        <f t="shared" si="14"/>
        <v>0</v>
      </c>
      <c r="G121" s="3">
        <f t="shared" si="14"/>
        <v>0</v>
      </c>
      <c r="H121" s="3">
        <f t="shared" si="14"/>
        <v>0</v>
      </c>
      <c r="I121" s="3">
        <f t="shared" si="14"/>
        <v>0</v>
      </c>
      <c r="J121" s="3">
        <f t="shared" si="14"/>
        <v>0</v>
      </c>
      <c r="K121" s="3">
        <f t="shared" si="14"/>
        <v>0</v>
      </c>
      <c r="L121" s="3">
        <f t="shared" si="14"/>
        <v>0</v>
      </c>
      <c r="M121" s="3">
        <f t="shared" si="14"/>
        <v>0</v>
      </c>
      <c r="N121" s="1"/>
      <c r="O121" s="1"/>
      <c r="P121" s="1"/>
      <c r="Q121" s="1"/>
      <c r="R121" s="1"/>
      <c r="S121" s="1"/>
      <c r="T121" s="1"/>
      <c r="U121" s="1"/>
    </row>
    <row r="122" spans="1:70" ht="15">
      <c r="A122" s="389" t="s">
        <v>84</v>
      </c>
      <c r="B122" s="391"/>
      <c r="C122" s="6">
        <f t="shared" ref="C122:M122" si="15">C$9</f>
        <v>2</v>
      </c>
      <c r="D122" s="6">
        <f t="shared" si="15"/>
        <v>2.1</v>
      </c>
      <c r="E122" s="6">
        <f t="shared" si="15"/>
        <v>2.2000000000000002</v>
      </c>
      <c r="F122" s="6">
        <f t="shared" si="15"/>
        <v>2.3000000000000003</v>
      </c>
      <c r="G122" s="6">
        <f t="shared" si="15"/>
        <v>2.4000000000000004</v>
      </c>
      <c r="H122" s="6">
        <f t="shared" si="15"/>
        <v>2.5000000000000004</v>
      </c>
      <c r="I122" s="6">
        <f t="shared" si="15"/>
        <v>2.6000000000000005</v>
      </c>
      <c r="J122" s="6">
        <f t="shared" si="15"/>
        <v>2.7000000000000006</v>
      </c>
      <c r="K122" s="6">
        <f t="shared" si="15"/>
        <v>2.8000000000000007</v>
      </c>
      <c r="L122" s="6">
        <f t="shared" si="15"/>
        <v>2.9000000000000008</v>
      </c>
      <c r="M122" s="6">
        <f t="shared" si="15"/>
        <v>3.0000000000000009</v>
      </c>
      <c r="N122" s="1"/>
      <c r="O122" s="1"/>
      <c r="P122" s="1"/>
      <c r="Q122" s="1"/>
      <c r="R122" s="1"/>
      <c r="S122" s="1"/>
      <c r="T122" s="1"/>
      <c r="U122" s="1"/>
    </row>
    <row r="123" spans="1:70" ht="15" customHeight="1">
      <c r="A123" s="450" t="s">
        <v>949</v>
      </c>
      <c r="B123" s="1">
        <f>$G$4</f>
        <v>1E-3</v>
      </c>
      <c r="C123" s="9">
        <f t="shared" ref="C123:M142" si="16">((77.966*((62.4*$B123*(C$122))^1.042)))*0.0393701</f>
        <v>0.3510163689506493</v>
      </c>
      <c r="D123" s="9">
        <f t="shared" si="16"/>
        <v>0.36932322481499086</v>
      </c>
      <c r="E123" s="9">
        <f t="shared" si="16"/>
        <v>0.38766674461522449</v>
      </c>
      <c r="F123" s="9">
        <f t="shared" si="16"/>
        <v>0.40604532914926056</v>
      </c>
      <c r="G123" s="9">
        <f t="shared" si="16"/>
        <v>0.42445751561628547</v>
      </c>
      <c r="H123" s="9">
        <f t="shared" si="16"/>
        <v>0.44290196076948535</v>
      </c>
      <c r="I123" s="9">
        <f t="shared" si="16"/>
        <v>0.46137742674221371</v>
      </c>
      <c r="J123" s="9">
        <f t="shared" si="16"/>
        <v>0.47988276903653776</v>
      </c>
      <c r="K123" s="9">
        <f t="shared" si="16"/>
        <v>0.4984169262761573</v>
      </c>
      <c r="L123" s="9">
        <f t="shared" si="16"/>
        <v>0.51697891141059871</v>
      </c>
      <c r="M123" s="9">
        <f t="shared" si="16"/>
        <v>0.53556780412205751</v>
      </c>
      <c r="N123" s="1"/>
      <c r="O123" s="1"/>
      <c r="P123" s="1"/>
      <c r="Q123" s="1"/>
      <c r="R123" s="1"/>
      <c r="S123" s="1"/>
      <c r="T123" s="1"/>
      <c r="U123" s="1"/>
    </row>
    <row r="124" spans="1:70" ht="15">
      <c r="A124" s="451"/>
      <c r="B124" s="1">
        <f t="shared" ref="B124:B142" si="17">B123+$H$4</f>
        <v>2E-3</v>
      </c>
      <c r="C124" s="9">
        <f t="shared" si="16"/>
        <v>0.7227708435523007</v>
      </c>
      <c r="D124" s="9">
        <f t="shared" si="16"/>
        <v>0.76046612738027697</v>
      </c>
      <c r="E124" s="9">
        <f t="shared" si="16"/>
        <v>0.7982369051914886</v>
      </c>
      <c r="F124" s="9">
        <f t="shared" si="16"/>
        <v>0.83607988410062928</v>
      </c>
      <c r="G124" s="9">
        <f t="shared" si="16"/>
        <v>0.87399205208355557</v>
      </c>
      <c r="H124" s="9">
        <f t="shared" si="16"/>
        <v>0.91197064328739363</v>
      </c>
      <c r="I124" s="9">
        <f t="shared" si="16"/>
        <v>0.9500131088454834</v>
      </c>
      <c r="J124" s="9">
        <f t="shared" si="16"/>
        <v>0.98811709214482935</v>
      </c>
      <c r="K124" s="9">
        <f t="shared" si="16"/>
        <v>1.0262804077265426</v>
      </c>
      <c r="L124" s="9">
        <f t="shared" si="16"/>
        <v>1.0645010231745697</v>
      </c>
      <c r="M124" s="9">
        <f t="shared" si="16"/>
        <v>1.1027770434807718</v>
      </c>
      <c r="N124" s="1"/>
      <c r="O124" s="1"/>
      <c r="P124" s="1"/>
      <c r="Q124" s="1"/>
      <c r="R124" s="1"/>
      <c r="S124" s="1"/>
      <c r="T124" s="1"/>
      <c r="U124" s="1"/>
    </row>
    <row r="125" spans="1:70" ht="15">
      <c r="A125" s="451"/>
      <c r="B125" s="1">
        <f t="shared" si="17"/>
        <v>3.0000000000000001E-3</v>
      </c>
      <c r="C125" s="9">
        <f t="shared" si="16"/>
        <v>1.1027770434807713</v>
      </c>
      <c r="D125" s="9">
        <f t="shared" si="16"/>
        <v>1.1602911145363735</v>
      </c>
      <c r="E125" s="9">
        <f t="shared" si="16"/>
        <v>1.2179203715217559</v>
      </c>
      <c r="F125" s="9">
        <f t="shared" si="16"/>
        <v>1.2756597902742048</v>
      </c>
      <c r="G125" s="9">
        <f t="shared" si="16"/>
        <v>1.3335047751585911</v>
      </c>
      <c r="H125" s="9">
        <f t="shared" si="16"/>
        <v>1.3914511061388093</v>
      </c>
      <c r="I125" s="9">
        <f t="shared" si="16"/>
        <v>1.4494948942483026</v>
      </c>
      <c r="J125" s="9">
        <f t="shared" si="16"/>
        <v>1.5076325438540492</v>
      </c>
      <c r="K125" s="9">
        <f t="shared" si="16"/>
        <v>1.5658607204636388</v>
      </c>
      <c r="L125" s="9">
        <f t="shared" si="16"/>
        <v>1.6241763230917639</v>
      </c>
      <c r="M125" s="9">
        <f t="shared" si="16"/>
        <v>1.6825764604050357</v>
      </c>
      <c r="N125" s="1"/>
      <c r="O125" s="1"/>
      <c r="P125" s="1"/>
      <c r="Q125" s="1"/>
      <c r="R125" s="1"/>
      <c r="S125" s="1"/>
      <c r="T125" s="1"/>
      <c r="U125" s="1"/>
    </row>
    <row r="126" spans="1:70" ht="15">
      <c r="A126" s="451"/>
      <c r="B126" s="1">
        <f t="shared" si="17"/>
        <v>4.0000000000000001E-3</v>
      </c>
      <c r="C126" s="9">
        <f t="shared" si="16"/>
        <v>1.4882431091489923</v>
      </c>
      <c r="D126" s="9">
        <f t="shared" si="16"/>
        <v>1.5658607204636383</v>
      </c>
      <c r="E126" s="9">
        <f t="shared" si="16"/>
        <v>1.6436337799418821</v>
      </c>
      <c r="F126" s="9">
        <f t="shared" si="16"/>
        <v>1.7215555072688971</v>
      </c>
      <c r="G126" s="9">
        <f t="shared" si="16"/>
        <v>1.7996197004455083</v>
      </c>
      <c r="H126" s="9">
        <f t="shared" si="16"/>
        <v>1.8778206643589188</v>
      </c>
      <c r="I126" s="9">
        <f t="shared" si="16"/>
        <v>1.9561531506883398</v>
      </c>
      <c r="J126" s="9">
        <f t="shared" si="16"/>
        <v>2.0346123069786928</v>
      </c>
      <c r="K126" s="9">
        <f t="shared" si="16"/>
        <v>2.1131936331949226</v>
      </c>
      <c r="L126" s="9">
        <f t="shared" si="16"/>
        <v>2.1918929444294437</v>
      </c>
      <c r="M126" s="9">
        <f t="shared" si="16"/>
        <v>2.2707063387085809</v>
      </c>
      <c r="N126" s="1"/>
      <c r="O126" s="1"/>
      <c r="P126" s="1"/>
      <c r="Q126" s="1"/>
      <c r="R126" s="1"/>
      <c r="S126" s="1"/>
      <c r="T126" s="1"/>
      <c r="U126" s="1"/>
    </row>
    <row r="127" spans="1:70" ht="15">
      <c r="A127" s="451"/>
      <c r="B127" s="1">
        <f t="shared" si="17"/>
        <v>5.0000000000000001E-3</v>
      </c>
      <c r="C127" s="9">
        <f t="shared" si="16"/>
        <v>1.8778206643589181</v>
      </c>
      <c r="D127" s="9">
        <f t="shared" si="16"/>
        <v>1.9757562459509372</v>
      </c>
      <c r="E127" s="9">
        <f t="shared" si="16"/>
        <v>2.0738879673886879</v>
      </c>
      <c r="F127" s="9">
        <f t="shared" si="16"/>
        <v>2.17220727347362</v>
      </c>
      <c r="G127" s="9">
        <f t="shared" si="16"/>
        <v>2.2707063387085809</v>
      </c>
      <c r="H127" s="9">
        <f t="shared" si="16"/>
        <v>2.3693779771704966</v>
      </c>
      <c r="I127" s="9">
        <f t="shared" si="16"/>
        <v>2.4682155666850965</v>
      </c>
      <c r="J127" s="9">
        <f t="shared" si="16"/>
        <v>2.5672129845696237</v>
      </c>
      <c r="K127" s="9">
        <f t="shared" si="16"/>
        <v>2.666364552814374</v>
      </c>
      <c r="L127" s="9">
        <f t="shared" si="16"/>
        <v>2.7656649910280624</v>
      </c>
      <c r="M127" s="9">
        <f t="shared" si="16"/>
        <v>2.8651093758169557</v>
      </c>
      <c r="N127" s="1"/>
      <c r="O127" s="1"/>
      <c r="P127" s="1"/>
      <c r="Q127" s="1"/>
      <c r="R127" s="1"/>
      <c r="S127" s="1"/>
      <c r="T127" s="1"/>
      <c r="U127" s="1"/>
    </row>
    <row r="128" spans="1:70" ht="15">
      <c r="A128" s="451"/>
      <c r="B128" s="1">
        <f t="shared" si="17"/>
        <v>6.0000000000000001E-3</v>
      </c>
      <c r="C128" s="9">
        <f t="shared" si="16"/>
        <v>2.27070633870858</v>
      </c>
      <c r="D128" s="9">
        <f t="shared" si="16"/>
        <v>2.389132421735007</v>
      </c>
      <c r="E128" s="9">
        <f t="shared" si="16"/>
        <v>2.5077956818249469</v>
      </c>
      <c r="F128" s="9">
        <f t="shared" si="16"/>
        <v>2.626685773824601</v>
      </c>
      <c r="G128" s="9">
        <f t="shared" si="16"/>
        <v>2.7457932349528194</v>
      </c>
      <c r="H128" s="9">
        <f t="shared" si="16"/>
        <v>2.8651093758169557</v>
      </c>
      <c r="I128" s="9">
        <f t="shared" si="16"/>
        <v>2.9846261887231007</v>
      </c>
      <c r="J128" s="9">
        <f t="shared" si="16"/>
        <v>3.1043362699746146</v>
      </c>
      <c r="K128" s="9">
        <f t="shared" si="16"/>
        <v>3.2242327535843072</v>
      </c>
      <c r="L128" s="9">
        <f t="shared" si="16"/>
        <v>3.3443092543748349</v>
      </c>
      <c r="M128" s="9">
        <f t="shared" si="16"/>
        <v>3.4645598188589597</v>
      </c>
      <c r="N128" s="1"/>
      <c r="O128" s="1"/>
      <c r="P128" s="1"/>
      <c r="Q128" s="1"/>
      <c r="R128" s="1"/>
      <c r="S128" s="1"/>
      <c r="T128" s="1"/>
      <c r="U128" s="1"/>
    </row>
    <row r="129" spans="1:21" ht="15">
      <c r="A129" s="451"/>
      <c r="B129" s="1">
        <f t="shared" si="17"/>
        <v>7.0000000000000001E-3</v>
      </c>
      <c r="C129" s="9">
        <f t="shared" si="16"/>
        <v>2.6663645528143736</v>
      </c>
      <c r="D129" s="9">
        <f t="shared" si="16"/>
        <v>2.8054257359041701</v>
      </c>
      <c r="E129" s="9">
        <f t="shared" si="16"/>
        <v>2.9447654228692195</v>
      </c>
      <c r="F129" s="9">
        <f t="shared" si="16"/>
        <v>3.08437146596901</v>
      </c>
      <c r="G129" s="9">
        <f t="shared" si="16"/>
        <v>3.2242327535843063</v>
      </c>
      <c r="H129" s="9">
        <f t="shared" si="16"/>
        <v>3.364339082243113</v>
      </c>
      <c r="I129" s="9">
        <f t="shared" si="16"/>
        <v>3.5046810489544638</v>
      </c>
      <c r="J129" s="9">
        <f t="shared" si="16"/>
        <v>3.6452499599678974</v>
      </c>
      <c r="K129" s="9">
        <f t="shared" si="16"/>
        <v>3.7860377529353442</v>
      </c>
      <c r="L129" s="9">
        <f t="shared" si="16"/>
        <v>3.9270369300970813</v>
      </c>
      <c r="M129" s="9">
        <f t="shared" si="16"/>
        <v>4.0682405006031388</v>
      </c>
      <c r="N129" s="1"/>
      <c r="O129" s="1"/>
      <c r="P129" s="1"/>
      <c r="Q129" s="1"/>
      <c r="R129" s="1"/>
      <c r="S129" s="1"/>
      <c r="T129" s="1"/>
      <c r="U129" s="1"/>
    </row>
    <row r="130" spans="1:21" ht="15">
      <c r="A130" s="451"/>
      <c r="B130" s="1">
        <f t="shared" si="17"/>
        <v>8.0000000000000002E-3</v>
      </c>
      <c r="C130" s="9">
        <f t="shared" si="16"/>
        <v>3.0644118695266496</v>
      </c>
      <c r="D130" s="9">
        <f t="shared" si="16"/>
        <v>3.2242327535843058</v>
      </c>
      <c r="E130" s="9">
        <f t="shared" si="16"/>
        <v>3.3843737178726028</v>
      </c>
      <c r="F130" s="9">
        <f t="shared" si="16"/>
        <v>3.5448208011797555</v>
      </c>
      <c r="G130" s="9">
        <f t="shared" si="16"/>
        <v>3.7055612330922671</v>
      </c>
      <c r="H130" s="9">
        <f t="shared" si="16"/>
        <v>3.8665832869163301</v>
      </c>
      <c r="I130" s="9">
        <f t="shared" si="16"/>
        <v>4.0278761559386993</v>
      </c>
      <c r="J130" s="9">
        <f t="shared" si="16"/>
        <v>4.1894298485653616</v>
      </c>
      <c r="K130" s="9">
        <f t="shared" si="16"/>
        <v>4.3512350988633841</v>
      </c>
      <c r="L130" s="9">
        <f t="shared" si="16"/>
        <v>4.5132832897725583</v>
      </c>
      <c r="M130" s="9">
        <f t="shared" si="16"/>
        <v>4.6755663868162767</v>
      </c>
      <c r="N130" s="1"/>
      <c r="O130" s="1"/>
      <c r="P130" s="1"/>
      <c r="Q130" s="1"/>
      <c r="R130" s="1"/>
      <c r="S130" s="1"/>
      <c r="T130" s="1"/>
      <c r="U130" s="1"/>
    </row>
    <row r="131" spans="1:21" ht="15">
      <c r="A131" s="451"/>
      <c r="B131" s="1">
        <f t="shared" si="17"/>
        <v>9.0000000000000011E-3</v>
      </c>
      <c r="C131" s="9">
        <f t="shared" si="16"/>
        <v>3.4645598188589593</v>
      </c>
      <c r="D131" s="9">
        <f t="shared" si="16"/>
        <v>3.6452499599678969</v>
      </c>
      <c r="E131" s="9">
        <f t="shared" si="16"/>
        <v>3.8263019770755919</v>
      </c>
      <c r="F131" s="9">
        <f t="shared" si="16"/>
        <v>4.0077000859286747</v>
      </c>
      <c r="G131" s="9">
        <f t="shared" si="16"/>
        <v>4.1894298485653625</v>
      </c>
      <c r="H131" s="9">
        <f t="shared" si="16"/>
        <v>4.3714780070314641</v>
      </c>
      <c r="I131" s="9">
        <f t="shared" si="16"/>
        <v>4.5538323434835357</v>
      </c>
      <c r="J131" s="9">
        <f t="shared" si="16"/>
        <v>4.7364815616348412</v>
      </c>
      <c r="K131" s="9">
        <f t="shared" si="16"/>
        <v>4.9194151856158559</v>
      </c>
      <c r="L131" s="9">
        <f t="shared" si="16"/>
        <v>5.1026234731589506</v>
      </c>
      <c r="M131" s="9">
        <f t="shared" si="16"/>
        <v>5.2860973406533036</v>
      </c>
      <c r="N131" s="1"/>
      <c r="O131" s="1"/>
      <c r="P131" s="1"/>
      <c r="Q131" s="1"/>
      <c r="R131" s="1"/>
      <c r="S131" s="1"/>
      <c r="T131" s="1"/>
      <c r="U131" s="1"/>
    </row>
    <row r="132" spans="1:21" ht="15">
      <c r="A132" s="451"/>
      <c r="B132" s="1">
        <f t="shared" si="17"/>
        <v>1.0000000000000002E-2</v>
      </c>
      <c r="C132" s="9">
        <f t="shared" si="16"/>
        <v>3.8665832869163301</v>
      </c>
      <c r="D132" s="9">
        <f t="shared" si="16"/>
        <v>4.0682405006031388</v>
      </c>
      <c r="E132" s="9">
        <f t="shared" si="16"/>
        <v>4.2703015819562262</v>
      </c>
      <c r="F132" s="9">
        <f t="shared" si="16"/>
        <v>4.4727489151359334</v>
      </c>
      <c r="G132" s="9">
        <f t="shared" si="16"/>
        <v>4.6755663868162776</v>
      </c>
      <c r="H132" s="9">
        <f t="shared" si="16"/>
        <v>4.8787392006055788</v>
      </c>
      <c r="I132" s="9">
        <f t="shared" si="16"/>
        <v>5.0822537209161309</v>
      </c>
      <c r="J132" s="9">
        <f t="shared" si="16"/>
        <v>5.2860973406533036</v>
      </c>
      <c r="K132" s="9">
        <f t="shared" si="16"/>
        <v>5.4902583683399264</v>
      </c>
      <c r="L132" s="9">
        <f t="shared" si="16"/>
        <v>5.6947259312270342</v>
      </c>
      <c r="M132" s="9">
        <f t="shared" si="16"/>
        <v>5.8994898916522329</v>
      </c>
      <c r="N132" s="1"/>
      <c r="O132" s="77"/>
      <c r="P132" s="77"/>
      <c r="Q132" s="77"/>
      <c r="R132" s="77"/>
      <c r="S132" s="77"/>
      <c r="T132" s="77"/>
      <c r="U132" s="77"/>
    </row>
    <row r="133" spans="1:21" ht="15">
      <c r="A133" s="451"/>
      <c r="B133" s="1">
        <f t="shared" si="17"/>
        <v>1.1000000000000003E-2</v>
      </c>
      <c r="C133" s="9">
        <f t="shared" si="16"/>
        <v>4.2703015819562262</v>
      </c>
      <c r="D133" s="9">
        <f t="shared" si="16"/>
        <v>4.4930142599770413</v>
      </c>
      <c r="E133" s="9">
        <f t="shared" si="16"/>
        <v>4.7161729743576712</v>
      </c>
      <c r="F133" s="9">
        <f t="shared" si="16"/>
        <v>4.9397582699506657</v>
      </c>
      <c r="G133" s="9">
        <f t="shared" si="16"/>
        <v>5.1637523510029482</v>
      </c>
      <c r="H133" s="9">
        <f t="shared" si="16"/>
        <v>5.3881388761996893</v>
      </c>
      <c r="I133" s="9">
        <f t="shared" si="16"/>
        <v>5.6129027862320822</v>
      </c>
      <c r="J133" s="9">
        <f t="shared" si="16"/>
        <v>5.8380301576715707</v>
      </c>
      <c r="K133" s="9">
        <f t="shared" si="16"/>
        <v>6.0635080783086543</v>
      </c>
      <c r="L133" s="9">
        <f t="shared" si="16"/>
        <v>6.2893245401472129</v>
      </c>
      <c r="M133" s="9">
        <f t="shared" si="16"/>
        <v>6.515468347029671</v>
      </c>
      <c r="N133" s="1"/>
      <c r="O133" s="77"/>
      <c r="P133" s="77"/>
      <c r="Q133" s="77"/>
      <c r="R133" s="77"/>
      <c r="S133" s="77"/>
      <c r="T133" s="77"/>
      <c r="U133" s="77"/>
    </row>
    <row r="134" spans="1:21" ht="15">
      <c r="A134" s="451"/>
      <c r="B134" s="1">
        <f t="shared" si="17"/>
        <v>1.2000000000000004E-2</v>
      </c>
      <c r="C134" s="9">
        <f t="shared" si="16"/>
        <v>4.6755663868162776</v>
      </c>
      <c r="D134" s="9">
        <f t="shared" si="16"/>
        <v>4.919415185615855</v>
      </c>
      <c r="E134" s="9">
        <f t="shared" si="16"/>
        <v>5.1637523510029482</v>
      </c>
      <c r="F134" s="9">
        <f t="shared" si="16"/>
        <v>5.4085565814765468</v>
      </c>
      <c r="G134" s="9">
        <f t="shared" si="16"/>
        <v>5.6538083924116638</v>
      </c>
      <c r="H134" s="9">
        <f t="shared" si="16"/>
        <v>5.8994898916522338</v>
      </c>
      <c r="I134" s="9">
        <f t="shared" si="16"/>
        <v>6.1455845907145488</v>
      </c>
      <c r="J134" s="9">
        <f t="shared" si="16"/>
        <v>6.3920772447936995</v>
      </c>
      <c r="K134" s="9">
        <f t="shared" si="16"/>
        <v>6.6389537162716303</v>
      </c>
      <c r="L134" s="9">
        <f t="shared" si="16"/>
        <v>6.8862008575563145</v>
      </c>
      <c r="M134" s="9">
        <f t="shared" si="16"/>
        <v>7.1338064099402576</v>
      </c>
      <c r="N134" s="1"/>
      <c r="O134" s="77"/>
      <c r="P134" s="77"/>
      <c r="Q134" s="77"/>
      <c r="R134" s="77"/>
      <c r="S134" s="77"/>
      <c r="T134" s="77"/>
      <c r="U134" s="77"/>
    </row>
    <row r="135" spans="1:21" ht="15">
      <c r="A135" s="451"/>
      <c r="B135" s="1">
        <f t="shared" si="17"/>
        <v>1.3000000000000005E-2</v>
      </c>
      <c r="C135" s="9">
        <f t="shared" si="16"/>
        <v>5.0822537209161309</v>
      </c>
      <c r="D135" s="9">
        <f t="shared" si="16"/>
        <v>5.3473128308743485</v>
      </c>
      <c r="E135" s="9">
        <f t="shared" si="16"/>
        <v>5.6129027862320822</v>
      </c>
      <c r="F135" s="9">
        <f t="shared" si="16"/>
        <v>5.8790004326538323</v>
      </c>
      <c r="G135" s="9">
        <f t="shared" si="16"/>
        <v>6.1455845907145488</v>
      </c>
      <c r="H135" s="9">
        <f t="shared" si="16"/>
        <v>6.4126358119732982</v>
      </c>
      <c r="I135" s="9">
        <f t="shared" si="16"/>
        <v>6.6801361737548888</v>
      </c>
      <c r="J135" s="9">
        <f t="shared" si="16"/>
        <v>6.9480691052398518</v>
      </c>
      <c r="K135" s="9">
        <f t="shared" si="16"/>
        <v>7.2164192391002571</v>
      </c>
      <c r="L135" s="9">
        <f t="shared" si="16"/>
        <v>7.4851722841480459</v>
      </c>
      <c r="M135" s="9">
        <f t="shared" si="16"/>
        <v>7.7543149153961233</v>
      </c>
      <c r="N135" s="1"/>
      <c r="O135" s="77"/>
      <c r="P135" s="77"/>
      <c r="Q135" s="77"/>
      <c r="R135" s="77"/>
      <c r="S135" s="77"/>
      <c r="T135" s="77"/>
      <c r="U135" s="77"/>
    </row>
    <row r="136" spans="1:21" ht="15">
      <c r="A136" s="451"/>
      <c r="B136" s="1">
        <f t="shared" si="17"/>
        <v>1.4000000000000005E-2</v>
      </c>
      <c r="C136" s="9">
        <f t="shared" si="16"/>
        <v>5.4902583683399264</v>
      </c>
      <c r="D136" s="9">
        <f t="shared" si="16"/>
        <v>5.7765964924213264</v>
      </c>
      <c r="E136" s="9">
        <f t="shared" si="16"/>
        <v>6.0635080783086543</v>
      </c>
      <c r="F136" s="9">
        <f t="shared" si="16"/>
        <v>6.350968112830353</v>
      </c>
      <c r="G136" s="9">
        <f t="shared" si="16"/>
        <v>6.6389537162716303</v>
      </c>
      <c r="H136" s="9">
        <f t="shared" si="16"/>
        <v>6.9274438788656667</v>
      </c>
      <c r="I136" s="9">
        <f t="shared" si="16"/>
        <v>7.2164192391002571</v>
      </c>
      <c r="J136" s="9">
        <f t="shared" si="16"/>
        <v>7.5058618958462517</v>
      </c>
      <c r="K136" s="9">
        <f t="shared" si="16"/>
        <v>7.7957552480826386</v>
      </c>
      <c r="L136" s="9">
        <f t="shared" si="16"/>
        <v>8.0860838573210767</v>
      </c>
      <c r="M136" s="9">
        <f t="shared" si="16"/>
        <v>8.3768333288410481</v>
      </c>
      <c r="N136" s="1"/>
      <c r="O136" s="77"/>
      <c r="P136" s="77"/>
      <c r="Q136" s="77"/>
      <c r="R136" s="77"/>
      <c r="S136" s="77"/>
      <c r="T136" s="77"/>
      <c r="U136" s="77"/>
    </row>
    <row r="137" spans="1:21" ht="15">
      <c r="A137" s="451"/>
      <c r="B137" s="1">
        <f t="shared" si="17"/>
        <v>1.5000000000000006E-2</v>
      </c>
      <c r="C137" s="9">
        <f t="shared" si="16"/>
        <v>5.8994898916522329</v>
      </c>
      <c r="D137" s="9">
        <f t="shared" si="16"/>
        <v>6.2071710161607054</v>
      </c>
      <c r="E137" s="9">
        <f t="shared" si="16"/>
        <v>6.515468347029671</v>
      </c>
      <c r="F137" s="9">
        <f t="shared" si="16"/>
        <v>6.824355006661964</v>
      </c>
      <c r="G137" s="9">
        <f t="shared" si="16"/>
        <v>7.1338064099402576</v>
      </c>
      <c r="H137" s="9">
        <f t="shared" si="16"/>
        <v>7.4437999810769178</v>
      </c>
      <c r="I137" s="9">
        <f t="shared" si="16"/>
        <v>7.7543149153961233</v>
      </c>
      <c r="J137" s="9">
        <f t="shared" si="16"/>
        <v>8.0653319774587704</v>
      </c>
      <c r="K137" s="9">
        <f t="shared" si="16"/>
        <v>8.3768333288410481</v>
      </c>
      <c r="L137" s="9">
        <f t="shared" si="16"/>
        <v>8.6888023803043772</v>
      </c>
      <c r="M137" s="9">
        <f t="shared" si="16"/>
        <v>9.0012236641781183</v>
      </c>
      <c r="N137" s="1"/>
      <c r="O137" s="77"/>
      <c r="P137" s="77"/>
      <c r="Q137" s="77"/>
      <c r="R137" s="77"/>
      <c r="S137" s="77"/>
      <c r="T137" s="77"/>
      <c r="U137" s="77"/>
    </row>
    <row r="138" spans="1:21" ht="15">
      <c r="A138" s="451"/>
      <c r="B138" s="1">
        <f t="shared" si="17"/>
        <v>1.6000000000000007E-2</v>
      </c>
      <c r="C138" s="9">
        <f t="shared" si="16"/>
        <v>6.3098697036571973</v>
      </c>
      <c r="D138" s="9">
        <f t="shared" si="16"/>
        <v>6.6389537162716294</v>
      </c>
      <c r="E138" s="9">
        <f t="shared" si="16"/>
        <v>6.9686967997407763</v>
      </c>
      <c r="F138" s="9">
        <f t="shared" si="16"/>
        <v>7.2990702068103506</v>
      </c>
      <c r="G138" s="9">
        <f t="shared" si="16"/>
        <v>7.6300476421752021</v>
      </c>
      <c r="H138" s="9">
        <f t="shared" si="16"/>
        <v>7.9616049596326786</v>
      </c>
      <c r="I138" s="9">
        <f t="shared" si="16"/>
        <v>8.2937199072938768</v>
      </c>
      <c r="J138" s="9">
        <f t="shared" si="16"/>
        <v>8.6263719116657267</v>
      </c>
      <c r="K138" s="9">
        <f t="shared" si="16"/>
        <v>8.9595418934494955</v>
      </c>
      <c r="L138" s="9">
        <f t="shared" si="16"/>
        <v>9.2932121094274134</v>
      </c>
      <c r="M138" s="9">
        <f t="shared" si="16"/>
        <v>9.6273660159680503</v>
      </c>
      <c r="N138" s="1"/>
      <c r="O138" s="1"/>
      <c r="P138" s="1"/>
      <c r="Q138" s="1"/>
      <c r="R138" s="1"/>
      <c r="S138" s="1"/>
      <c r="T138" s="1"/>
      <c r="U138" s="1"/>
    </row>
    <row r="139" spans="1:21" ht="15">
      <c r="A139" s="451"/>
      <c r="B139" s="1">
        <f t="shared" si="17"/>
        <v>1.7000000000000008E-2</v>
      </c>
      <c r="C139" s="9">
        <f t="shared" si="16"/>
        <v>6.7213288672620797</v>
      </c>
      <c r="D139" s="9">
        <f t="shared" si="16"/>
        <v>7.0718720603263998</v>
      </c>
      <c r="E139" s="9">
        <f t="shared" si="16"/>
        <v>7.4231173014787846</v>
      </c>
      <c r="F139" s="9">
        <f t="shared" si="16"/>
        <v>7.7750339688903827</v>
      </c>
      <c r="G139" s="9">
        <f t="shared" si="16"/>
        <v>8.1275940525702026</v>
      </c>
      <c r="H139" s="9">
        <f t="shared" si="16"/>
        <v>8.4807718317701859</v>
      </c>
      <c r="I139" s="9">
        <f t="shared" si="16"/>
        <v>8.8345436035819933</v>
      </c>
      <c r="J139" s="9">
        <f t="shared" si="16"/>
        <v>9.1888874529393245</v>
      </c>
      <c r="K139" s="9">
        <f t="shared" si="16"/>
        <v>9.5437830564048802</v>
      </c>
      <c r="L139" s="9">
        <f t="shared" si="16"/>
        <v>9.8992115137465717</v>
      </c>
      <c r="M139" s="9">
        <f t="shared" si="16"/>
        <v>10.255155202542271</v>
      </c>
      <c r="N139" s="1"/>
      <c r="O139" s="1"/>
      <c r="P139" s="1"/>
      <c r="Q139" s="1"/>
      <c r="R139" s="1"/>
      <c r="S139" s="1"/>
      <c r="T139" s="1"/>
      <c r="U139" s="1"/>
    </row>
    <row r="140" spans="1:21" ht="15">
      <c r="A140" s="451"/>
      <c r="B140" s="1">
        <f t="shared" si="17"/>
        <v>1.8000000000000009E-2</v>
      </c>
      <c r="C140" s="9">
        <f t="shared" si="16"/>
        <v>7.1338064099402576</v>
      </c>
      <c r="D140" s="9">
        <f t="shared" si="16"/>
        <v>7.50586189584625</v>
      </c>
      <c r="E140" s="9">
        <f t="shared" si="16"/>
        <v>7.8786625134441497</v>
      </c>
      <c r="F140" s="9">
        <f t="shared" si="16"/>
        <v>8.2521757616908946</v>
      </c>
      <c r="G140" s="9">
        <f t="shared" si="16"/>
        <v>8.6263719116657267</v>
      </c>
      <c r="H140" s="9">
        <f t="shared" si="16"/>
        <v>9.0012236641781183</v>
      </c>
      <c r="I140" s="9">
        <f t="shared" si="16"/>
        <v>9.3767058617089525</v>
      </c>
      <c r="J140" s="9">
        <f t="shared" si="16"/>
        <v>9.7527952442982517</v>
      </c>
      <c r="K140" s="9">
        <f t="shared" si="16"/>
        <v>10.129470241290845</v>
      </c>
      <c r="L140" s="9">
        <f t="shared" si="16"/>
        <v>10.506710792576678</v>
      </c>
      <c r="M140" s="9">
        <f t="shared" si="16"/>
        <v>10.884498194272869</v>
      </c>
      <c r="N140" s="1"/>
      <c r="O140" s="1"/>
      <c r="P140" s="1"/>
      <c r="Q140" s="1"/>
      <c r="R140" s="1"/>
      <c r="S140" s="1"/>
      <c r="T140" s="1"/>
      <c r="U140" s="1"/>
    </row>
    <row r="141" spans="1:21" ht="15">
      <c r="A141" s="451"/>
      <c r="B141" s="1">
        <f t="shared" si="17"/>
        <v>1.900000000000001E-2</v>
      </c>
      <c r="C141" s="9">
        <f t="shared" si="16"/>
        <v>7.5472480103594535</v>
      </c>
      <c r="D141" s="9">
        <f t="shared" si="16"/>
        <v>7.9408660684321628</v>
      </c>
      <c r="E141" s="9">
        <f t="shared" si="16"/>
        <v>8.3352724424972067</v>
      </c>
      <c r="F141" s="9">
        <f t="shared" si="16"/>
        <v>8.7304327479051551</v>
      </c>
      <c r="G141" s="9">
        <f t="shared" si="16"/>
        <v>9.1263155327879257</v>
      </c>
      <c r="H141" s="9">
        <f t="shared" si="16"/>
        <v>9.5228919158233332</v>
      </c>
      <c r="I141" s="9">
        <f t="shared" si="16"/>
        <v>9.9201352814817092</v>
      </c>
      <c r="J141" s="9">
        <f t="shared" si="16"/>
        <v>10.318021021766073</v>
      </c>
      <c r="K141" s="9">
        <f t="shared" si="16"/>
        <v>10.716526315888331</v>
      </c>
      <c r="L141" s="9">
        <f t="shared" si="16"/>
        <v>11.115629941149557</v>
      </c>
      <c r="M141" s="9">
        <f t="shared" si="16"/>
        <v>11.515312109678476</v>
      </c>
      <c r="N141" s="1"/>
      <c r="O141" s="1"/>
      <c r="P141" s="1"/>
      <c r="Q141" s="1"/>
      <c r="R141" s="1"/>
      <c r="S141" s="1"/>
      <c r="T141" s="1"/>
      <c r="U141" s="1"/>
    </row>
    <row r="142" spans="1:21" ht="15">
      <c r="A142" s="452"/>
      <c r="B142" s="1">
        <f t="shared" si="17"/>
        <v>2.0000000000000011E-2</v>
      </c>
      <c r="C142" s="9">
        <f t="shared" si="16"/>
        <v>7.9616049596326786</v>
      </c>
      <c r="D142" s="9">
        <f t="shared" si="16"/>
        <v>8.3768333288410446</v>
      </c>
      <c r="E142" s="9">
        <f t="shared" si="16"/>
        <v>8.7928932939510904</v>
      </c>
      <c r="F142" s="9">
        <f t="shared" si="16"/>
        <v>9.20974858253674</v>
      </c>
      <c r="G142" s="9">
        <f t="shared" si="16"/>
        <v>9.6273660159680503</v>
      </c>
      <c r="H142" s="9">
        <f t="shared" si="16"/>
        <v>10.045715127288362</v>
      </c>
      <c r="I142" s="9">
        <f t="shared" si="16"/>
        <v>10.464767839729474</v>
      </c>
      <c r="J142" s="9">
        <f t="shared" si="16"/>
        <v>10.884498194272867</v>
      </c>
      <c r="K142" s="9">
        <f t="shared" si="16"/>
        <v>11.304882117229786</v>
      </c>
      <c r="L142" s="9">
        <f t="shared" si="16"/>
        <v>11.725897220738462</v>
      </c>
      <c r="M142" s="9">
        <f t="shared" si="16"/>
        <v>12.147522630539331</v>
      </c>
      <c r="N142" s="1"/>
      <c r="O142" s="1"/>
      <c r="P142" s="1"/>
      <c r="Q142" s="1"/>
      <c r="R142" s="1"/>
      <c r="S142" s="1"/>
      <c r="T142" s="1"/>
      <c r="U142" s="1"/>
    </row>
    <row r="143" spans="1:21" ht="15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</row>
    <row r="144" spans="1:21" ht="15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</row>
    <row r="145" spans="1:21" ht="21">
      <c r="B145" s="1"/>
      <c r="C145" s="492" t="s">
        <v>467</v>
      </c>
      <c r="D145" s="492"/>
      <c r="E145" s="492"/>
      <c r="F145" s="492"/>
      <c r="G145" s="492"/>
      <c r="H145" s="492"/>
      <c r="I145" s="492"/>
      <c r="J145" s="492"/>
      <c r="K145" s="492"/>
      <c r="L145" s="492"/>
      <c r="M145" s="492"/>
      <c r="N145" s="1"/>
      <c r="O145" s="1"/>
      <c r="P145" s="1"/>
      <c r="Q145" s="1"/>
      <c r="R145" s="1"/>
      <c r="S145" s="1"/>
      <c r="T145" s="1"/>
      <c r="U145" s="1"/>
    </row>
    <row r="146" spans="1:21" ht="18.75">
      <c r="B146" s="1"/>
      <c r="C146" s="493" t="s">
        <v>286</v>
      </c>
      <c r="D146" s="494"/>
      <c r="E146" s="494"/>
      <c r="F146" s="494"/>
      <c r="G146" s="494"/>
      <c r="H146" s="494"/>
      <c r="I146" s="494"/>
      <c r="J146" s="494"/>
      <c r="K146" s="494"/>
      <c r="L146" s="494"/>
      <c r="M146" s="495"/>
      <c r="N146" s="1"/>
      <c r="O146" s="1"/>
      <c r="P146" s="1"/>
      <c r="Q146" s="1"/>
      <c r="R146" s="1"/>
      <c r="S146" s="1"/>
      <c r="T146" s="1"/>
      <c r="U146" s="1"/>
    </row>
    <row r="147" spans="1:21" ht="15">
      <c r="A147" s="380" t="s">
        <v>721</v>
      </c>
      <c r="B147" s="382"/>
      <c r="C147" s="3">
        <f t="shared" ref="C147:M147" si="18">C$12</f>
        <v>0</v>
      </c>
      <c r="D147" s="3">
        <f t="shared" si="18"/>
        <v>0</v>
      </c>
      <c r="E147" s="3">
        <f t="shared" si="18"/>
        <v>0</v>
      </c>
      <c r="F147" s="3">
        <f t="shared" si="18"/>
        <v>0</v>
      </c>
      <c r="G147" s="3">
        <f t="shared" si="18"/>
        <v>0</v>
      </c>
      <c r="H147" s="3">
        <f t="shared" si="18"/>
        <v>0</v>
      </c>
      <c r="I147" s="3">
        <f t="shared" si="18"/>
        <v>0</v>
      </c>
      <c r="J147" s="3">
        <f t="shared" si="18"/>
        <v>0</v>
      </c>
      <c r="K147" s="3">
        <f t="shared" si="18"/>
        <v>0</v>
      </c>
      <c r="L147" s="3">
        <f t="shared" si="18"/>
        <v>0</v>
      </c>
      <c r="M147" s="3">
        <f t="shared" si="18"/>
        <v>0</v>
      </c>
      <c r="N147" s="1"/>
      <c r="O147" s="1"/>
      <c r="P147" s="1"/>
      <c r="Q147" s="1"/>
      <c r="R147" s="1"/>
      <c r="S147" s="1"/>
      <c r="T147" s="1"/>
      <c r="U147" s="1"/>
    </row>
    <row r="148" spans="1:21" ht="15">
      <c r="A148" s="389" t="s">
        <v>84</v>
      </c>
      <c r="B148" s="391"/>
      <c r="C148" s="6">
        <f t="shared" ref="C148:M148" si="19">C$9</f>
        <v>2</v>
      </c>
      <c r="D148" s="6">
        <f t="shared" si="19"/>
        <v>2.1</v>
      </c>
      <c r="E148" s="6">
        <f t="shared" si="19"/>
        <v>2.2000000000000002</v>
      </c>
      <c r="F148" s="6">
        <f t="shared" si="19"/>
        <v>2.3000000000000003</v>
      </c>
      <c r="G148" s="6">
        <f t="shared" si="19"/>
        <v>2.4000000000000004</v>
      </c>
      <c r="H148" s="6">
        <f t="shared" si="19"/>
        <v>2.5000000000000004</v>
      </c>
      <c r="I148" s="6">
        <f t="shared" si="19"/>
        <v>2.6000000000000005</v>
      </c>
      <c r="J148" s="6">
        <f t="shared" si="19"/>
        <v>2.7000000000000006</v>
      </c>
      <c r="K148" s="6">
        <f t="shared" si="19"/>
        <v>2.8000000000000007</v>
      </c>
      <c r="L148" s="6">
        <f t="shared" si="19"/>
        <v>2.9000000000000008</v>
      </c>
      <c r="M148" s="6">
        <f t="shared" si="19"/>
        <v>3.0000000000000009</v>
      </c>
      <c r="N148" s="1"/>
      <c r="O148" s="1"/>
      <c r="P148" s="1"/>
      <c r="Q148" s="1"/>
      <c r="R148" s="1"/>
      <c r="S148" s="1"/>
      <c r="T148" s="1"/>
      <c r="U148" s="1"/>
    </row>
    <row r="149" spans="1:21" ht="15" customHeight="1">
      <c r="A149" s="450" t="s">
        <v>949</v>
      </c>
      <c r="B149" s="1">
        <f>$G$4</f>
        <v>1E-3</v>
      </c>
      <c r="C149" s="9">
        <f>((152.02*((62.4*$B149*(C$148))^0.7355)))*0.0393701</f>
        <v>1.2951887802245201</v>
      </c>
      <c r="D149" s="9">
        <f t="shared" ref="D149:M168" si="20">((152.02*((62.4*$B149*(D$122))^0.7355)))*0.0393701</f>
        <v>1.3425108462463893</v>
      </c>
      <c r="E149" s="9">
        <f t="shared" si="20"/>
        <v>1.389240365349204</v>
      </c>
      <c r="F149" s="9">
        <f t="shared" si="20"/>
        <v>1.4354112153485441</v>
      </c>
      <c r="G149" s="9">
        <f t="shared" si="20"/>
        <v>1.4810539545512471</v>
      </c>
      <c r="H149" s="9">
        <f t="shared" si="20"/>
        <v>1.526196271315627</v>
      </c>
      <c r="I149" s="9">
        <f t="shared" si="20"/>
        <v>1.5708633572281765</v>
      </c>
      <c r="J149" s="9">
        <f t="shared" si="20"/>
        <v>1.6150782193075537</v>
      </c>
      <c r="K149" s="9">
        <f t="shared" si="20"/>
        <v>1.6588619430826812</v>
      </c>
      <c r="L149" s="9">
        <f t="shared" si="20"/>
        <v>1.7022339157497666</v>
      </c>
      <c r="M149" s="9">
        <f t="shared" si="20"/>
        <v>1.7452120166309206</v>
      </c>
      <c r="N149" s="1"/>
      <c r="O149" s="1"/>
      <c r="P149" s="1"/>
      <c r="Q149" s="1"/>
      <c r="R149" s="1"/>
      <c r="S149" s="1"/>
      <c r="T149" s="1"/>
      <c r="U149" s="1"/>
    </row>
    <row r="150" spans="1:21" ht="15">
      <c r="A150" s="451"/>
      <c r="B150" s="1">
        <f t="shared" ref="B150:B168" si="21">B149+$H$4</f>
        <v>2E-3</v>
      </c>
      <c r="C150" s="9">
        <f t="shared" ref="C150:C168" si="22">((152.02*((62.4*$B150*(C$122))^0.7355)))*0.0393701</f>
        <v>2.1564561694932367</v>
      </c>
      <c r="D150" s="9">
        <f t="shared" si="20"/>
        <v>2.2352461982397305</v>
      </c>
      <c r="E150" s="9">
        <f t="shared" si="20"/>
        <v>2.3130496515318817</v>
      </c>
      <c r="F150" s="9">
        <f t="shared" si="20"/>
        <v>2.3899229350655484</v>
      </c>
      <c r="G150" s="9">
        <f t="shared" si="20"/>
        <v>2.4659169276394945</v>
      </c>
      <c r="H150" s="9">
        <f t="shared" si="20"/>
        <v>2.5410777296616436</v>
      </c>
      <c r="I150" s="9">
        <f t="shared" si="20"/>
        <v>2.6154472844787451</v>
      </c>
      <c r="J150" s="9">
        <f t="shared" si="20"/>
        <v>2.6890638981880124</v>
      </c>
      <c r="K150" s="9">
        <f t="shared" si="20"/>
        <v>2.76196267765543</v>
      </c>
      <c r="L150" s="9">
        <f t="shared" si="20"/>
        <v>2.8341759020664816</v>
      </c>
      <c r="M150" s="9">
        <f t="shared" si="20"/>
        <v>2.9057333400348684</v>
      </c>
      <c r="N150" s="1"/>
      <c r="O150" s="1"/>
      <c r="P150" s="1"/>
      <c r="Q150" s="1"/>
      <c r="R150" s="1"/>
      <c r="S150" s="1"/>
      <c r="T150" s="1"/>
      <c r="U150" s="1"/>
    </row>
    <row r="151" spans="1:21" ht="15">
      <c r="A151" s="451"/>
      <c r="B151" s="1">
        <f t="shared" si="21"/>
        <v>3.0000000000000001E-3</v>
      </c>
      <c r="C151" s="9">
        <f t="shared" si="22"/>
        <v>2.9057333400348684</v>
      </c>
      <c r="D151" s="9">
        <f t="shared" si="20"/>
        <v>3.0118995661932195</v>
      </c>
      <c r="E151" s="9">
        <f t="shared" si="20"/>
        <v>3.1167364237185815</v>
      </c>
      <c r="F151" s="9">
        <f t="shared" si="20"/>
        <v>3.2203199168967536</v>
      </c>
      <c r="G151" s="9">
        <f t="shared" si="20"/>
        <v>3.322718602753822</v>
      </c>
      <c r="H151" s="9">
        <f t="shared" si="20"/>
        <v>3.423994599636635</v>
      </c>
      <c r="I151" s="9">
        <f t="shared" si="20"/>
        <v>3.524204424428198</v>
      </c>
      <c r="J151" s="9">
        <f t="shared" si="20"/>
        <v>3.6233996929718453</v>
      </c>
      <c r="K151" s="9">
        <f t="shared" si="20"/>
        <v>3.7216277102823492</v>
      </c>
      <c r="L151" s="9">
        <f t="shared" si="20"/>
        <v>3.81893197119479</v>
      </c>
      <c r="M151" s="9">
        <f t="shared" si="20"/>
        <v>3.9153525876551196</v>
      </c>
      <c r="N151" s="1"/>
      <c r="O151" s="1"/>
      <c r="P151" s="1"/>
      <c r="Q151" s="1"/>
      <c r="R151" s="1"/>
      <c r="S151" s="1"/>
      <c r="T151" s="1"/>
      <c r="U151" s="1"/>
    </row>
    <row r="152" spans="1:21" ht="15">
      <c r="A152" s="451"/>
      <c r="B152" s="1">
        <f t="shared" si="21"/>
        <v>4.0000000000000001E-3</v>
      </c>
      <c r="C152" s="9">
        <f t="shared" si="22"/>
        <v>3.5904443290030019</v>
      </c>
      <c r="D152" s="9">
        <f t="shared" si="20"/>
        <v>3.7216277102823478</v>
      </c>
      <c r="E152" s="9">
        <f t="shared" si="20"/>
        <v>3.8511684686810228</v>
      </c>
      <c r="F152" s="9">
        <f t="shared" si="20"/>
        <v>3.9791605182389587</v>
      </c>
      <c r="G152" s="9">
        <f t="shared" si="20"/>
        <v>4.1056885708538839</v>
      </c>
      <c r="H152" s="9">
        <f t="shared" si="20"/>
        <v>4.23082938252508</v>
      </c>
      <c r="I152" s="9">
        <f t="shared" si="20"/>
        <v>4.3546527878513697</v>
      </c>
      <c r="J152" s="9">
        <f t="shared" si="20"/>
        <v>4.4772225655041931</v>
      </c>
      <c r="K152" s="9">
        <f t="shared" si="20"/>
        <v>4.5985971675168731</v>
      </c>
      <c r="L152" s="9">
        <f t="shared" si="20"/>
        <v>4.7188303379070744</v>
      </c>
      <c r="M152" s="9">
        <f t="shared" si="20"/>
        <v>4.8379716406546995</v>
      </c>
      <c r="N152" s="1"/>
      <c r="O152" s="1"/>
      <c r="P152" s="1"/>
      <c r="Q152" s="1"/>
      <c r="R152" s="1"/>
      <c r="S152" s="1"/>
      <c r="T152" s="1"/>
      <c r="U152" s="1"/>
    </row>
    <row r="153" spans="1:21" ht="15">
      <c r="A153" s="451"/>
      <c r="B153" s="1">
        <f t="shared" si="21"/>
        <v>5.0000000000000001E-3</v>
      </c>
      <c r="C153" s="9">
        <f t="shared" si="22"/>
        <v>4.23082938252508</v>
      </c>
      <c r="D153" s="9">
        <f t="shared" si="20"/>
        <v>4.3854103906561175</v>
      </c>
      <c r="E153" s="9">
        <f t="shared" si="20"/>
        <v>4.5380558007076024</v>
      </c>
      <c r="F153" s="9">
        <f t="shared" si="20"/>
        <v>4.6888762770550771</v>
      </c>
      <c r="G153" s="9">
        <f t="shared" si="20"/>
        <v>4.8379716406546995</v>
      </c>
      <c r="H153" s="9">
        <f t="shared" si="20"/>
        <v>4.9854323375647542</v>
      </c>
      <c r="I153" s="9">
        <f t="shared" si="20"/>
        <v>5.1313406579547962</v>
      </c>
      <c r="J153" s="9">
        <f t="shared" si="20"/>
        <v>5.2757717559429169</v>
      </c>
      <c r="K153" s="9">
        <f t="shared" si="20"/>
        <v>5.4187945089597092</v>
      </c>
      <c r="L153" s="9">
        <f t="shared" si="20"/>
        <v>5.560472246707076</v>
      </c>
      <c r="M153" s="9">
        <f t="shared" si="20"/>
        <v>5.7008633733053093</v>
      </c>
      <c r="N153" s="1"/>
      <c r="O153" s="1"/>
      <c r="P153" s="1"/>
      <c r="Q153" s="1"/>
      <c r="R153" s="1"/>
      <c r="S153" s="1"/>
      <c r="T153" s="1"/>
      <c r="U153" s="1"/>
    </row>
    <row r="154" spans="1:21" ht="15">
      <c r="A154" s="451"/>
      <c r="B154" s="1">
        <f t="shared" si="21"/>
        <v>6.0000000000000001E-3</v>
      </c>
      <c r="C154" s="9">
        <f t="shared" si="22"/>
        <v>4.8379716406546995</v>
      </c>
      <c r="D154" s="9">
        <f t="shared" si="20"/>
        <v>5.0147356899474236</v>
      </c>
      <c r="E154" s="9">
        <f t="shared" si="20"/>
        <v>5.1892863744906137</v>
      </c>
      <c r="F154" s="9">
        <f t="shared" si="20"/>
        <v>5.3617502394748442</v>
      </c>
      <c r="G154" s="9">
        <f t="shared" si="20"/>
        <v>5.5322414305938681</v>
      </c>
      <c r="H154" s="9">
        <f t="shared" si="20"/>
        <v>5.7008633733053085</v>
      </c>
      <c r="I154" s="9">
        <f t="shared" si="20"/>
        <v>5.8677101667728531</v>
      </c>
      <c r="J154" s="9">
        <f t="shared" si="20"/>
        <v>6.0328677500545789</v>
      </c>
      <c r="K154" s="9">
        <f t="shared" si="20"/>
        <v>6.1964148847893359</v>
      </c>
      <c r="L154" s="9">
        <f t="shared" si="20"/>
        <v>6.3584239887643088</v>
      </c>
      <c r="M154" s="9">
        <f t="shared" si="20"/>
        <v>6.5189618473428661</v>
      </c>
      <c r="N154" s="1"/>
      <c r="O154" s="1"/>
      <c r="P154" s="1"/>
      <c r="Q154" s="1"/>
      <c r="R154" s="1"/>
      <c r="S154" s="1"/>
      <c r="T154" s="1"/>
      <c r="U154" s="1"/>
    </row>
    <row r="155" spans="1:21" ht="15">
      <c r="A155" s="451"/>
      <c r="B155" s="1">
        <f t="shared" si="21"/>
        <v>7.0000000000000001E-3</v>
      </c>
      <c r="C155" s="9">
        <f t="shared" si="22"/>
        <v>5.4187945089597083</v>
      </c>
      <c r="D155" s="9">
        <f t="shared" si="20"/>
        <v>5.6167799728760039</v>
      </c>
      <c r="E155" s="9">
        <f t="shared" si="20"/>
        <v>5.8122863464540435</v>
      </c>
      <c r="F155" s="9">
        <f t="shared" si="20"/>
        <v>6.0054553672720399</v>
      </c>
      <c r="G155" s="9">
        <f t="shared" si="20"/>
        <v>6.1964148847893341</v>
      </c>
      <c r="H155" s="9">
        <f t="shared" si="20"/>
        <v>6.3852807412107708</v>
      </c>
      <c r="I155" s="9">
        <f t="shared" si="20"/>
        <v>6.5721583327786943</v>
      </c>
      <c r="J155" s="9">
        <f t="shared" si="20"/>
        <v>6.75714391596805</v>
      </c>
      <c r="K155" s="9">
        <f t="shared" si="20"/>
        <v>6.9403257081492162</v>
      </c>
      <c r="L155" s="9">
        <f t="shared" si="20"/>
        <v>7.1217848212295625</v>
      </c>
      <c r="M155" s="9">
        <f t="shared" si="20"/>
        <v>7.3015960584917794</v>
      </c>
      <c r="N155" s="1"/>
      <c r="O155" s="1"/>
      <c r="P155" s="1"/>
      <c r="Q155" s="1"/>
      <c r="R155" s="1"/>
      <c r="S155" s="1"/>
      <c r="T155" s="1"/>
      <c r="U155" s="1"/>
    </row>
    <row r="156" spans="1:21" ht="15">
      <c r="A156" s="451"/>
      <c r="B156" s="1">
        <f t="shared" si="21"/>
        <v>8.0000000000000002E-3</v>
      </c>
      <c r="C156" s="9">
        <f t="shared" si="22"/>
        <v>5.9779979125192435</v>
      </c>
      <c r="D156" s="9">
        <f t="shared" si="20"/>
        <v>6.1964148847893341</v>
      </c>
      <c r="E156" s="9">
        <f t="shared" si="20"/>
        <v>6.4120969320050527</v>
      </c>
      <c r="F156" s="9">
        <f t="shared" si="20"/>
        <v>6.625200418639217</v>
      </c>
      <c r="G156" s="9">
        <f t="shared" si="20"/>
        <v>6.8358663878333923</v>
      </c>
      <c r="H156" s="9">
        <f t="shared" si="20"/>
        <v>7.0442226363618596</v>
      </c>
      <c r="I156" s="9">
        <f t="shared" si="20"/>
        <v>7.2503854370442831</v>
      </c>
      <c r="J156" s="9">
        <f t="shared" si="20"/>
        <v>7.4544609797362327</v>
      </c>
      <c r="K156" s="9">
        <f t="shared" si="20"/>
        <v>7.65654658557715</v>
      </c>
      <c r="L156" s="9">
        <f t="shared" si="20"/>
        <v>7.8567317369808976</v>
      </c>
      <c r="M156" s="9">
        <f t="shared" si="20"/>
        <v>8.0550989567054554</v>
      </c>
      <c r="N156" s="1"/>
      <c r="O156" s="1"/>
      <c r="P156" s="1"/>
      <c r="Q156" s="1"/>
      <c r="R156" s="1"/>
      <c r="S156" s="1"/>
      <c r="T156" s="1"/>
      <c r="U156" s="1"/>
    </row>
    <row r="157" spans="1:21" ht="15">
      <c r="A157" s="451"/>
      <c r="B157" s="1">
        <f t="shared" si="21"/>
        <v>9.0000000000000011E-3</v>
      </c>
      <c r="C157" s="9">
        <f t="shared" si="22"/>
        <v>6.5189618473428652</v>
      </c>
      <c r="D157" s="9">
        <f t="shared" si="20"/>
        <v>6.7571439159680473</v>
      </c>
      <c r="E157" s="9">
        <f t="shared" si="20"/>
        <v>6.9923435693522604</v>
      </c>
      <c r="F157" s="9">
        <f t="shared" si="20"/>
        <v>7.2247313217792959</v>
      </c>
      <c r="G157" s="9">
        <f t="shared" si="20"/>
        <v>7.4544609797362344</v>
      </c>
      <c r="H157" s="9">
        <f t="shared" si="20"/>
        <v>7.6816719046460697</v>
      </c>
      <c r="I157" s="9">
        <f t="shared" si="20"/>
        <v>7.9064908911457987</v>
      </c>
      <c r="J157" s="9">
        <f t="shared" si="20"/>
        <v>8.129033738475762</v>
      </c>
      <c r="K157" s="9">
        <f t="shared" si="20"/>
        <v>8.3494065746079418</v>
      </c>
      <c r="L157" s="9">
        <f t="shared" si="20"/>
        <v>8.5677069794429155</v>
      </c>
      <c r="M157" s="9">
        <f t="shared" si="20"/>
        <v>8.7840249434287738</v>
      </c>
      <c r="N157" s="1"/>
      <c r="O157" s="1"/>
      <c r="P157" s="1"/>
      <c r="Q157" s="1"/>
      <c r="R157" s="1"/>
      <c r="S157" s="1"/>
      <c r="T157" s="1"/>
      <c r="U157" s="1"/>
    </row>
    <row r="158" spans="1:21" ht="15">
      <c r="A158" s="451"/>
      <c r="B158" s="1">
        <f t="shared" si="21"/>
        <v>1.0000000000000002E-2</v>
      </c>
      <c r="C158" s="9">
        <f t="shared" si="22"/>
        <v>7.0442226363618596</v>
      </c>
      <c r="D158" s="9">
        <f t="shared" si="20"/>
        <v>7.3015960584917767</v>
      </c>
      <c r="E158" s="9">
        <f t="shared" si="20"/>
        <v>7.5557467593597156</v>
      </c>
      <c r="F158" s="9">
        <f t="shared" si="20"/>
        <v>7.806858992318559</v>
      </c>
      <c r="G158" s="9">
        <f t="shared" si="20"/>
        <v>8.0550989567054554</v>
      </c>
      <c r="H158" s="9">
        <f t="shared" si="20"/>
        <v>8.3006172428925371</v>
      </c>
      <c r="I158" s="9">
        <f t="shared" si="20"/>
        <v>8.5435508619059402</v>
      </c>
      <c r="J158" s="9">
        <f t="shared" si="20"/>
        <v>8.7840249434287738</v>
      </c>
      <c r="K158" s="9">
        <f t="shared" si="20"/>
        <v>9.0221541666200835</v>
      </c>
      <c r="L158" s="9">
        <f t="shared" si="20"/>
        <v>9.2580439738126632</v>
      </c>
      <c r="M158" s="9">
        <f t="shared" si="20"/>
        <v>9.4917916063719776</v>
      </c>
      <c r="N158" s="1"/>
      <c r="O158" s="1"/>
      <c r="P158" s="1"/>
      <c r="Q158" s="1"/>
      <c r="R158" s="1"/>
      <c r="S158" s="1"/>
      <c r="T158" s="1"/>
      <c r="U158" s="1"/>
    </row>
    <row r="159" spans="1:21" ht="15">
      <c r="A159" s="451"/>
      <c r="B159" s="1">
        <f t="shared" si="21"/>
        <v>1.1000000000000003E-2</v>
      </c>
      <c r="C159" s="9">
        <f t="shared" si="22"/>
        <v>7.5557467593597156</v>
      </c>
      <c r="D159" s="9">
        <f t="shared" si="20"/>
        <v>7.8318096410416898</v>
      </c>
      <c r="E159" s="9">
        <f t="shared" si="20"/>
        <v>8.1044157799447181</v>
      </c>
      <c r="F159" s="9">
        <f t="shared" si="20"/>
        <v>8.3737628091854486</v>
      </c>
      <c r="G159" s="9">
        <f t="shared" si="20"/>
        <v>8.6400289968521928</v>
      </c>
      <c r="H159" s="9">
        <f t="shared" si="20"/>
        <v>8.9033758686057656</v>
      </c>
      <c r="I159" s="9">
        <f t="shared" si="20"/>
        <v>9.1639503846815469</v>
      </c>
      <c r="J159" s="9">
        <f t="shared" si="20"/>
        <v>9.4218867611948465</v>
      </c>
      <c r="K159" s="9">
        <f t="shared" si="20"/>
        <v>9.6773080048604001</v>
      </c>
      <c r="L159" s="9">
        <f t="shared" si="20"/>
        <v>9.9303272148241888</v>
      </c>
      <c r="M159" s="9">
        <f t="shared" si="20"/>
        <v>10.181048693742436</v>
      </c>
      <c r="N159" s="1"/>
      <c r="O159" s="1"/>
      <c r="P159" s="1"/>
      <c r="Q159" s="1"/>
      <c r="R159" s="1"/>
      <c r="S159" s="1"/>
      <c r="T159" s="1"/>
      <c r="U159" s="1"/>
    </row>
    <row r="160" spans="1:21" ht="15">
      <c r="A160" s="451"/>
      <c r="B160" s="1">
        <f t="shared" si="21"/>
        <v>1.2000000000000004E-2</v>
      </c>
      <c r="C160" s="9">
        <f t="shared" si="22"/>
        <v>8.0550989567054554</v>
      </c>
      <c r="D160" s="9">
        <f t="shared" si="20"/>
        <v>8.3494065746079418</v>
      </c>
      <c r="E160" s="9">
        <f t="shared" si="20"/>
        <v>8.6400289968521928</v>
      </c>
      <c r="F160" s="9">
        <f t="shared" si="20"/>
        <v>8.9271769179416722</v>
      </c>
      <c r="G160" s="9">
        <f t="shared" si="20"/>
        <v>9.2110403875349949</v>
      </c>
      <c r="H160" s="9">
        <f t="shared" si="20"/>
        <v>9.4917916063719776</v>
      </c>
      <c r="I160" s="9">
        <f t="shared" si="20"/>
        <v>9.7695872471517564</v>
      </c>
      <c r="J160" s="9">
        <f t="shared" si="20"/>
        <v>10.044570396206469</v>
      </c>
      <c r="K160" s="9">
        <f t="shared" si="20"/>
        <v>10.316872189648942</v>
      </c>
      <c r="L160" s="9">
        <f t="shared" si="20"/>
        <v>10.586613201241351</v>
      </c>
      <c r="M160" s="9">
        <f t="shared" si="20"/>
        <v>10.853904626904374</v>
      </c>
      <c r="N160" s="1"/>
      <c r="O160" s="1"/>
      <c r="P160" s="1"/>
      <c r="Q160" s="1"/>
      <c r="R160" s="1"/>
      <c r="S160" s="1"/>
      <c r="T160" s="1"/>
      <c r="U160" s="1"/>
    </row>
    <row r="161" spans="1:21" ht="15">
      <c r="A161" s="451"/>
      <c r="B161" s="1">
        <f t="shared" si="21"/>
        <v>1.3000000000000005E-2</v>
      </c>
      <c r="C161" s="9">
        <f t="shared" si="22"/>
        <v>8.5435508619059402</v>
      </c>
      <c r="D161" s="9">
        <f t="shared" si="20"/>
        <v>8.8557049541288713</v>
      </c>
      <c r="E161" s="9">
        <f t="shared" si="20"/>
        <v>9.1639503846815469</v>
      </c>
      <c r="F161" s="9">
        <f t="shared" si="20"/>
        <v>9.4685106243389754</v>
      </c>
      <c r="G161" s="9">
        <f t="shared" si="20"/>
        <v>9.7695872471517564</v>
      </c>
      <c r="H161" s="9">
        <f t="shared" si="20"/>
        <v>10.067362895913853</v>
      </c>
      <c r="I161" s="9">
        <f t="shared" si="20"/>
        <v>10.362003743776073</v>
      </c>
      <c r="J161" s="9">
        <f t="shared" si="20"/>
        <v>10.653661553660617</v>
      </c>
      <c r="K161" s="9">
        <f t="shared" si="20"/>
        <v>10.942475413622867</v>
      </c>
      <c r="L161" s="9">
        <f t="shared" si="20"/>
        <v>11.228573208878787</v>
      </c>
      <c r="M161" s="9">
        <f t="shared" si="20"/>
        <v>11.512072878141375</v>
      </c>
      <c r="N161" s="1"/>
      <c r="O161" s="1"/>
      <c r="P161" s="1"/>
      <c r="Q161" s="1"/>
      <c r="R161" s="1"/>
      <c r="S161" s="1"/>
      <c r="T161" s="1"/>
      <c r="U161" s="1"/>
    </row>
    <row r="162" spans="1:21" ht="15">
      <c r="A162" s="451"/>
      <c r="B162" s="1">
        <f t="shared" si="21"/>
        <v>1.4000000000000005E-2</v>
      </c>
      <c r="C162" s="9">
        <f t="shared" si="22"/>
        <v>9.0221541666200835</v>
      </c>
      <c r="D162" s="9">
        <f t="shared" si="20"/>
        <v>9.3517948967214259</v>
      </c>
      <c r="E162" s="9">
        <f t="shared" si="20"/>
        <v>9.6773080048604001</v>
      </c>
      <c r="F162" s="9">
        <f t="shared" si="20"/>
        <v>9.9989294804770505</v>
      </c>
      <c r="G162" s="9">
        <f t="shared" si="20"/>
        <v>10.316872189648942</v>
      </c>
      <c r="H162" s="9">
        <f t="shared" si="20"/>
        <v>10.631329006682231</v>
      </c>
      <c r="I162" s="9">
        <f t="shared" si="20"/>
        <v>10.942475413622867</v>
      </c>
      <c r="J162" s="9">
        <f t="shared" si="20"/>
        <v>11.250471675038009</v>
      </c>
      <c r="K162" s="9">
        <f t="shared" si="20"/>
        <v>11.555464670591467</v>
      </c>
      <c r="L162" s="9">
        <f t="shared" si="20"/>
        <v>11.857589449532997</v>
      </c>
      <c r="M162" s="9">
        <f t="shared" si="20"/>
        <v>12.156970557413734</v>
      </c>
      <c r="N162" s="1"/>
      <c r="O162" s="1"/>
      <c r="P162" s="1"/>
      <c r="Q162" s="1"/>
      <c r="R162" s="1"/>
      <c r="S162" s="1"/>
      <c r="T162" s="1"/>
      <c r="U162" s="1"/>
    </row>
    <row r="163" spans="1:21" ht="15">
      <c r="A163" s="451"/>
      <c r="B163" s="1">
        <f t="shared" si="21"/>
        <v>1.5000000000000006E-2</v>
      </c>
      <c r="C163" s="9">
        <f t="shared" si="22"/>
        <v>9.4917916063719776</v>
      </c>
      <c r="D163" s="9">
        <f t="shared" si="20"/>
        <v>9.8385913902495794</v>
      </c>
      <c r="E163" s="9">
        <f t="shared" si="20"/>
        <v>10.181048693742436</v>
      </c>
      <c r="F163" s="9">
        <f t="shared" si="20"/>
        <v>10.519411790438525</v>
      </c>
      <c r="G163" s="9">
        <f t="shared" si="20"/>
        <v>10.853904626904374</v>
      </c>
      <c r="H163" s="9">
        <f t="shared" si="20"/>
        <v>11.184730117287364</v>
      </c>
      <c r="I163" s="9">
        <f t="shared" si="20"/>
        <v>11.512072878141375</v>
      </c>
      <c r="J163" s="9">
        <f t="shared" si="20"/>
        <v>11.836101516413843</v>
      </c>
      <c r="K163" s="9">
        <f t="shared" si="20"/>
        <v>12.156970557413734</v>
      </c>
      <c r="L163" s="9">
        <f t="shared" si="20"/>
        <v>12.474822080217905</v>
      </c>
      <c r="M163" s="9">
        <f t="shared" si="20"/>
        <v>12.789787113447138</v>
      </c>
      <c r="N163" s="1"/>
      <c r="O163" s="1"/>
      <c r="P163" s="1"/>
      <c r="Q163" s="1"/>
      <c r="R163" s="1"/>
      <c r="S163" s="1"/>
      <c r="T163" s="1"/>
      <c r="U163" s="1"/>
    </row>
    <row r="164" spans="1:21" ht="15">
      <c r="A164" s="451"/>
      <c r="B164" s="1">
        <f t="shared" si="21"/>
        <v>1.6000000000000007E-2</v>
      </c>
      <c r="C164" s="9">
        <f t="shared" si="22"/>
        <v>9.953213521070742</v>
      </c>
      <c r="D164" s="9">
        <f t="shared" si="20"/>
        <v>10.316872189648942</v>
      </c>
      <c r="E164" s="9">
        <f t="shared" si="20"/>
        <v>10.675977278010379</v>
      </c>
      <c r="F164" s="9">
        <f t="shared" si="20"/>
        <v>11.030789129000238</v>
      </c>
      <c r="G164" s="9">
        <f t="shared" si="20"/>
        <v>11.381542575839317</v>
      </c>
      <c r="H164" s="9">
        <f t="shared" si="20"/>
        <v>11.728450396885906</v>
      </c>
      <c r="I164" s="9">
        <f t="shared" si="20"/>
        <v>12.071706183408818</v>
      </c>
      <c r="J164" s="9">
        <f t="shared" si="20"/>
        <v>12.411486738799708</v>
      </c>
      <c r="K164" s="9">
        <f t="shared" si="20"/>
        <v>12.747954100264868</v>
      </c>
      <c r="L164" s="9">
        <f t="shared" si="20"/>
        <v>13.081257253733135</v>
      </c>
      <c r="M164" s="9">
        <f t="shared" si="20"/>
        <v>13.411533597484421</v>
      </c>
      <c r="N164" s="1"/>
      <c r="O164" s="1"/>
      <c r="P164" s="1"/>
      <c r="Q164" s="1"/>
      <c r="R164" s="1"/>
      <c r="S164" s="1"/>
      <c r="T164" s="1"/>
      <c r="U164" s="1"/>
    </row>
    <row r="165" spans="1:21" ht="15">
      <c r="A165" s="451"/>
      <c r="B165" s="1">
        <f t="shared" si="21"/>
        <v>1.7000000000000008E-2</v>
      </c>
      <c r="C165" s="9">
        <f t="shared" si="22"/>
        <v>10.407064717795372</v>
      </c>
      <c r="D165" s="9">
        <f t="shared" si="20"/>
        <v>10.787305661192057</v>
      </c>
      <c r="E165" s="9">
        <f t="shared" si="20"/>
        <v>11.162785388132052</v>
      </c>
      <c r="F165" s="9">
        <f t="shared" si="20"/>
        <v>11.533776112693038</v>
      </c>
      <c r="G165" s="9">
        <f t="shared" si="20"/>
        <v>11.900523376128756</v>
      </c>
      <c r="H165" s="9">
        <f t="shared" si="20"/>
        <v>12.263249659162705</v>
      </c>
      <c r="I165" s="9">
        <f t="shared" si="20"/>
        <v>12.62215738052719</v>
      </c>
      <c r="J165" s="9">
        <f t="shared" si="20"/>
        <v>12.977431405576043</v>
      </c>
      <c r="K165" s="9">
        <f t="shared" si="20"/>
        <v>13.329241160162427</v>
      </c>
      <c r="L165" s="9">
        <f t="shared" si="20"/>
        <v>13.677742423743918</v>
      </c>
      <c r="M165" s="9">
        <f t="shared" si="20"/>
        <v>14.023078859750234</v>
      </c>
      <c r="N165" s="1"/>
      <c r="O165" s="1"/>
      <c r="P165" s="1"/>
      <c r="Q165" s="1"/>
      <c r="R165" s="1"/>
      <c r="S165" s="1"/>
      <c r="T165" s="1"/>
      <c r="U165" s="1"/>
    </row>
    <row r="166" spans="1:21" ht="15">
      <c r="A166" s="451"/>
      <c r="B166" s="1">
        <f t="shared" si="21"/>
        <v>1.8000000000000009E-2</v>
      </c>
      <c r="C166" s="9">
        <f t="shared" si="22"/>
        <v>10.853904626904374</v>
      </c>
      <c r="D166" s="9">
        <f t="shared" si="20"/>
        <v>11.250471675038009</v>
      </c>
      <c r="E166" s="9">
        <f t="shared" si="20"/>
        <v>11.642073078128556</v>
      </c>
      <c r="F166" s="9">
        <f t="shared" si="20"/>
        <v>12.028992738094319</v>
      </c>
      <c r="G166" s="9">
        <f t="shared" si="20"/>
        <v>12.411486738799713</v>
      </c>
      <c r="H166" s="9">
        <f t="shared" si="20"/>
        <v>12.789787113447138</v>
      </c>
      <c r="I166" s="9">
        <f t="shared" si="20"/>
        <v>13.164104971861967</v>
      </c>
      <c r="J166" s="9">
        <f t="shared" si="20"/>
        <v>13.534633116815558</v>
      </c>
      <c r="K166" s="9">
        <f t="shared" si="20"/>
        <v>13.901548248664968</v>
      </c>
      <c r="L166" s="9">
        <f t="shared" si="20"/>
        <v>14.265012835447173</v>
      </c>
      <c r="M166" s="9">
        <f t="shared" si="20"/>
        <v>14.625176708954982</v>
      </c>
      <c r="N166" s="1"/>
      <c r="O166" s="1"/>
      <c r="P166" s="1"/>
      <c r="Q166" s="1"/>
      <c r="R166" s="1"/>
      <c r="S166" s="1"/>
      <c r="T166" s="1"/>
      <c r="U166" s="1"/>
    </row>
    <row r="167" spans="1:21" ht="15">
      <c r="A167" s="451"/>
      <c r="B167" s="1">
        <f t="shared" si="21"/>
        <v>1.900000000000001E-2</v>
      </c>
      <c r="C167" s="9">
        <f t="shared" si="22"/>
        <v>11.294222705064785</v>
      </c>
      <c r="D167" s="9">
        <f t="shared" si="20"/>
        <v>11.70687757103893</v>
      </c>
      <c r="E167" s="9">
        <f t="shared" si="20"/>
        <v>12.114365347111452</v>
      </c>
      <c r="F167" s="9">
        <f t="shared" si="20"/>
        <v>12.516981452451933</v>
      </c>
      <c r="G167" s="9">
        <f t="shared" si="20"/>
        <v>12.914992359661277</v>
      </c>
      <c r="H167" s="9">
        <f t="shared" si="20"/>
        <v>13.308639514998044</v>
      </c>
      <c r="I167" s="9">
        <f t="shared" si="20"/>
        <v>13.698142592530221</v>
      </c>
      <c r="J167" s="9">
        <f t="shared" si="20"/>
        <v>14.083702216596487</v>
      </c>
      <c r="K167" s="9">
        <f t="shared" si="20"/>
        <v>14.46550225588312</v>
      </c>
      <c r="L167" s="9">
        <f t="shared" si="20"/>
        <v>14.843711769383642</v>
      </c>
      <c r="M167" s="9">
        <f t="shared" si="20"/>
        <v>15.2184866672239</v>
      </c>
      <c r="N167" s="1"/>
      <c r="O167" s="1"/>
      <c r="P167" s="1"/>
      <c r="Q167" s="1"/>
      <c r="R167" s="1"/>
      <c r="S167" s="1"/>
      <c r="T167" s="1"/>
      <c r="U167" s="1"/>
    </row>
    <row r="168" spans="1:21" ht="15">
      <c r="A168" s="452"/>
      <c r="B168" s="1">
        <f t="shared" si="21"/>
        <v>2.0000000000000011E-2</v>
      </c>
      <c r="C168" s="9">
        <f t="shared" si="22"/>
        <v>11.728450396885906</v>
      </c>
      <c r="D168" s="9">
        <f t="shared" si="20"/>
        <v>12.156970557413734</v>
      </c>
      <c r="E168" s="9">
        <f t="shared" si="20"/>
        <v>12.580124969523983</v>
      </c>
      <c r="F168" s="9">
        <f t="shared" si="20"/>
        <v>12.998220410333349</v>
      </c>
      <c r="G168" s="9">
        <f t="shared" si="20"/>
        <v>13.411533597484421</v>
      </c>
      <c r="H168" s="9">
        <f t="shared" si="20"/>
        <v>13.820315260092521</v>
      </c>
      <c r="I168" s="9">
        <f t="shared" si="20"/>
        <v>14.224793518009459</v>
      </c>
      <c r="J168" s="9">
        <f t="shared" si="20"/>
        <v>14.625176708954978</v>
      </c>
      <c r="K168" s="9">
        <f t="shared" si="20"/>
        <v>15.021655770793762</v>
      </c>
      <c r="L168" s="9">
        <f t="shared" si="20"/>
        <v>15.41440626231117</v>
      </c>
      <c r="M168" s="9">
        <f t="shared" si="20"/>
        <v>15.803590087891861</v>
      </c>
      <c r="N168" s="1"/>
      <c r="O168" s="1"/>
      <c r="P168" s="1"/>
      <c r="Q168" s="1"/>
      <c r="R168" s="1"/>
      <c r="S168" s="1"/>
      <c r="T168" s="1"/>
      <c r="U168" s="1"/>
    </row>
    <row r="169" spans="1:21" ht="15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</row>
    <row r="170" spans="1:21" ht="15">
      <c r="B170" s="1"/>
      <c r="C170" s="1"/>
      <c r="D170" s="1"/>
      <c r="E170" s="1"/>
      <c r="F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</row>
    <row r="171" spans="1:21" ht="21">
      <c r="B171" s="1"/>
      <c r="C171" s="492" t="s">
        <v>766</v>
      </c>
      <c r="D171" s="492"/>
      <c r="E171" s="492"/>
      <c r="F171" s="492"/>
      <c r="G171" s="492"/>
      <c r="H171" s="492"/>
      <c r="I171" s="492"/>
      <c r="J171" s="492"/>
      <c r="K171" s="492"/>
      <c r="L171" s="492"/>
      <c r="M171" s="492"/>
      <c r="N171" s="1"/>
      <c r="O171" s="1"/>
      <c r="P171" s="1"/>
      <c r="Q171" s="1"/>
      <c r="R171" s="1"/>
      <c r="S171" s="1"/>
      <c r="T171" s="1"/>
      <c r="U171" s="1"/>
    </row>
    <row r="172" spans="1:21" ht="18.75">
      <c r="B172" s="1"/>
      <c r="C172" s="493" t="s">
        <v>286</v>
      </c>
      <c r="D172" s="494"/>
      <c r="E172" s="494"/>
      <c r="F172" s="494"/>
      <c r="G172" s="494"/>
      <c r="H172" s="494"/>
      <c r="I172" s="494"/>
      <c r="J172" s="494"/>
      <c r="K172" s="494"/>
      <c r="L172" s="494"/>
      <c r="M172" s="495"/>
      <c r="N172" s="1"/>
      <c r="O172" s="1"/>
      <c r="P172" s="1"/>
      <c r="Q172" s="1"/>
      <c r="R172" s="1"/>
      <c r="S172" s="1"/>
      <c r="T172" s="1"/>
      <c r="U172" s="1"/>
    </row>
    <row r="173" spans="1:21" ht="15">
      <c r="A173" s="380" t="s">
        <v>721</v>
      </c>
      <c r="B173" s="382"/>
      <c r="C173" s="3">
        <f t="shared" ref="C173:M173" si="23">C$12</f>
        <v>0</v>
      </c>
      <c r="D173" s="3">
        <f t="shared" si="23"/>
        <v>0</v>
      </c>
      <c r="E173" s="3">
        <f t="shared" si="23"/>
        <v>0</v>
      </c>
      <c r="F173" s="3">
        <f t="shared" si="23"/>
        <v>0</v>
      </c>
      <c r="G173" s="3">
        <f t="shared" si="23"/>
        <v>0</v>
      </c>
      <c r="H173" s="3">
        <f t="shared" si="23"/>
        <v>0</v>
      </c>
      <c r="I173" s="3">
        <f t="shared" si="23"/>
        <v>0</v>
      </c>
      <c r="J173" s="3">
        <f t="shared" si="23"/>
        <v>0</v>
      </c>
      <c r="K173" s="3">
        <f t="shared" si="23"/>
        <v>0</v>
      </c>
      <c r="L173" s="3">
        <f t="shared" si="23"/>
        <v>0</v>
      </c>
      <c r="M173" s="3">
        <f t="shared" si="23"/>
        <v>0</v>
      </c>
      <c r="N173" s="1"/>
      <c r="O173" s="1"/>
      <c r="P173" s="1"/>
      <c r="Q173" s="1"/>
      <c r="R173" s="1"/>
      <c r="S173" s="1"/>
      <c r="T173" s="1"/>
      <c r="U173" s="1"/>
    </row>
    <row r="174" spans="1:21" ht="15">
      <c r="A174" s="389" t="s">
        <v>84</v>
      </c>
      <c r="B174" s="391"/>
      <c r="C174" s="6">
        <f t="shared" ref="C174:M174" si="24">C$9</f>
        <v>2</v>
      </c>
      <c r="D174" s="6">
        <f t="shared" si="24"/>
        <v>2.1</v>
      </c>
      <c r="E174" s="6">
        <f t="shared" si="24"/>
        <v>2.2000000000000002</v>
      </c>
      <c r="F174" s="6">
        <f t="shared" si="24"/>
        <v>2.3000000000000003</v>
      </c>
      <c r="G174" s="6">
        <f t="shared" si="24"/>
        <v>2.4000000000000004</v>
      </c>
      <c r="H174" s="6">
        <f t="shared" si="24"/>
        <v>2.5000000000000004</v>
      </c>
      <c r="I174" s="6">
        <f t="shared" si="24"/>
        <v>2.6000000000000005</v>
      </c>
      <c r="J174" s="6">
        <f t="shared" si="24"/>
        <v>2.7000000000000006</v>
      </c>
      <c r="K174" s="6">
        <f t="shared" si="24"/>
        <v>2.8000000000000007</v>
      </c>
      <c r="L174" s="6">
        <f t="shared" si="24"/>
        <v>2.9000000000000008</v>
      </c>
      <c r="M174" s="6">
        <f t="shared" si="24"/>
        <v>3.0000000000000009</v>
      </c>
      <c r="N174" s="1"/>
      <c r="O174" s="1"/>
      <c r="P174" s="1"/>
      <c r="Q174" s="1"/>
      <c r="R174" s="1"/>
      <c r="S174" s="1"/>
      <c r="T174" s="1"/>
      <c r="U174" s="1"/>
    </row>
    <row r="175" spans="1:21" ht="15" customHeight="1">
      <c r="A175" s="450" t="s">
        <v>949</v>
      </c>
      <c r="B175" s="1">
        <f>$G$4</f>
        <v>1E-3</v>
      </c>
      <c r="C175" s="9">
        <f t="shared" ref="C175:M194" si="25">LININTERP((62.4*$B175*(C$174)),$T$178:$T$188,$R$178:$R$188)</f>
        <v>0.65318024369230765</v>
      </c>
      <c r="D175" s="9">
        <f t="shared" si="25"/>
        <v>0.68341648049230763</v>
      </c>
      <c r="E175" s="9">
        <f t="shared" si="25"/>
        <v>0.71365271729230773</v>
      </c>
      <c r="F175" s="9">
        <f t="shared" si="25"/>
        <v>0.74388895409230771</v>
      </c>
      <c r="G175" s="9">
        <f t="shared" si="25"/>
        <v>0.77412519089230769</v>
      </c>
      <c r="H175" s="9">
        <f t="shared" si="25"/>
        <v>0.80436142769230778</v>
      </c>
      <c r="I175" s="9">
        <f t="shared" si="25"/>
        <v>0.83459766449230777</v>
      </c>
      <c r="J175" s="9">
        <f t="shared" si="25"/>
        <v>0.86483390129230775</v>
      </c>
      <c r="K175" s="9">
        <f t="shared" si="25"/>
        <v>0.89507013809230784</v>
      </c>
      <c r="L175" s="9">
        <f t="shared" si="25"/>
        <v>0.92530637489230783</v>
      </c>
      <c r="M175" s="9">
        <f t="shared" si="25"/>
        <v>0.95554261169230781</v>
      </c>
      <c r="N175" s="1"/>
      <c r="O175" s="1"/>
      <c r="P175" s="1"/>
      <c r="Q175" s="1"/>
      <c r="R175" s="1"/>
      <c r="S175" s="1"/>
      <c r="T175" s="1"/>
      <c r="U175" s="1"/>
    </row>
    <row r="176" spans="1:21" ht="15">
      <c r="A176" s="451"/>
      <c r="B176" s="1">
        <f t="shared" ref="B176:B194" si="26">B175+$H$4</f>
        <v>2E-3</v>
      </c>
      <c r="C176" s="9">
        <f t="shared" si="25"/>
        <v>1.2579049796923076</v>
      </c>
      <c r="D176" s="9">
        <f t="shared" si="25"/>
        <v>1.3123221857103446</v>
      </c>
      <c r="E176" s="9">
        <f t="shared" si="25"/>
        <v>1.3665388861793104</v>
      </c>
      <c r="F176" s="9">
        <f t="shared" si="25"/>
        <v>1.4207555866482759</v>
      </c>
      <c r="G176" s="9">
        <f t="shared" si="25"/>
        <v>1.4749722871172413</v>
      </c>
      <c r="H176" s="9">
        <f t="shared" si="25"/>
        <v>1.529188987586207</v>
      </c>
      <c r="I176" s="9">
        <f t="shared" si="25"/>
        <v>1.5834056880551726</v>
      </c>
      <c r="J176" s="9">
        <f t="shared" si="25"/>
        <v>1.6376223885241381</v>
      </c>
      <c r="K176" s="9">
        <f t="shared" si="25"/>
        <v>1.6918390889931036</v>
      </c>
      <c r="L176" s="9">
        <f t="shared" si="25"/>
        <v>1.7460557894620692</v>
      </c>
      <c r="M176" s="9">
        <f t="shared" si="25"/>
        <v>1.8002724899310345</v>
      </c>
      <c r="N176" s="1"/>
      <c r="O176" s="1"/>
      <c r="P176" s="1"/>
      <c r="Q176" s="1"/>
      <c r="R176" s="1"/>
      <c r="S176" s="1"/>
      <c r="T176" s="1"/>
      <c r="U176" s="1"/>
    </row>
    <row r="177" spans="1:22" ht="15">
      <c r="A177" s="451"/>
      <c r="B177" s="1">
        <f t="shared" si="26"/>
        <v>3.0000000000000001E-3</v>
      </c>
      <c r="C177" s="9">
        <f t="shared" si="25"/>
        <v>1.8002724899310345</v>
      </c>
      <c r="D177" s="9">
        <f t="shared" si="25"/>
        <v>1.8815975406344827</v>
      </c>
      <c r="E177" s="9">
        <f t="shared" si="25"/>
        <v>1.9629225913379309</v>
      </c>
      <c r="F177" s="9">
        <f t="shared" si="25"/>
        <v>2.0442476420413795</v>
      </c>
      <c r="G177" s="9">
        <f t="shared" si="25"/>
        <v>2.1255726927448277</v>
      </c>
      <c r="H177" s="9">
        <f t="shared" si="25"/>
        <v>2.2068977434482759</v>
      </c>
      <c r="I177" s="9">
        <f t="shared" si="25"/>
        <v>2.2882227941517241</v>
      </c>
      <c r="J177" s="9">
        <f t="shared" si="25"/>
        <v>2.3695478448551723</v>
      </c>
      <c r="K177" s="9">
        <f t="shared" si="25"/>
        <v>2.4508728955586214</v>
      </c>
      <c r="L177" s="9">
        <f t="shared" si="25"/>
        <v>2.5319858861559323</v>
      </c>
      <c r="M177" s="9">
        <f t="shared" si="25"/>
        <v>2.6119325461694922</v>
      </c>
      <c r="N177" s="1"/>
      <c r="O177" s="5" t="s">
        <v>79</v>
      </c>
      <c r="P177" s="5" t="s">
        <v>212</v>
      </c>
      <c r="Q177" s="5" t="s">
        <v>212</v>
      </c>
      <c r="R177" s="5" t="s">
        <v>83</v>
      </c>
      <c r="S177" s="5" t="s">
        <v>827</v>
      </c>
      <c r="T177" s="5" t="s">
        <v>835</v>
      </c>
      <c r="U177" s="1"/>
      <c r="V177" s="181" t="s">
        <v>919</v>
      </c>
    </row>
    <row r="178" spans="1:22" ht="15">
      <c r="A178" s="451"/>
      <c r="B178" s="1">
        <f t="shared" si="26"/>
        <v>4.0000000000000001E-3</v>
      </c>
      <c r="C178" s="9">
        <f t="shared" si="25"/>
        <v>2.3424394946206895</v>
      </c>
      <c r="D178" s="9">
        <f t="shared" si="25"/>
        <v>2.4508728955586205</v>
      </c>
      <c r="E178" s="9">
        <f t="shared" si="25"/>
        <v>2.5586347728271188</v>
      </c>
      <c r="F178" s="9">
        <f t="shared" si="25"/>
        <v>2.6652303195118643</v>
      </c>
      <c r="G178" s="9">
        <f t="shared" si="25"/>
        <v>2.7718258661966102</v>
      </c>
      <c r="H178" s="9">
        <f t="shared" si="25"/>
        <v>2.8784214128813561</v>
      </c>
      <c r="I178" s="9">
        <f t="shared" si="25"/>
        <v>2.985016959566102</v>
      </c>
      <c r="J178" s="9">
        <f t="shared" si="25"/>
        <v>3.0916125062508475</v>
      </c>
      <c r="K178" s="9">
        <f t="shared" si="25"/>
        <v>3.1982080529355938</v>
      </c>
      <c r="L178" s="9">
        <f t="shared" si="25"/>
        <v>3.3048035996203398</v>
      </c>
      <c r="M178" s="9">
        <f t="shared" si="25"/>
        <v>3.4113991463050852</v>
      </c>
      <c r="N178" s="1"/>
      <c r="O178" s="5" t="s">
        <v>954</v>
      </c>
      <c r="P178" s="5">
        <v>2</v>
      </c>
      <c r="Q178" s="5">
        <v>4</v>
      </c>
      <c r="R178" s="6">
        <f t="shared" ref="R178:R188" si="27">Q178*0.0393701</f>
        <v>0.15748039999999999</v>
      </c>
      <c r="S178" s="5">
        <v>3.9E-2</v>
      </c>
      <c r="T178" s="5">
        <v>2.5999999999999999E-2</v>
      </c>
      <c r="U178" s="1"/>
      <c r="V178">
        <f t="shared" ref="V178:V188" si="28">CONVERT(AVERAGE(P178,Q178),"mm","in")</f>
        <v>0.11811023622047245</v>
      </c>
    </row>
    <row r="179" spans="1:22" ht="15">
      <c r="A179" s="451"/>
      <c r="B179" s="1">
        <f t="shared" si="26"/>
        <v>5.0000000000000001E-3</v>
      </c>
      <c r="C179" s="9">
        <f t="shared" si="25"/>
        <v>2.8784214128813557</v>
      </c>
      <c r="D179" s="9">
        <f t="shared" si="25"/>
        <v>3.0116658462372881</v>
      </c>
      <c r="E179" s="9">
        <f t="shared" si="25"/>
        <v>3.14491027959322</v>
      </c>
      <c r="F179" s="9">
        <f t="shared" si="25"/>
        <v>3.2781547129491528</v>
      </c>
      <c r="G179" s="9">
        <f t="shared" si="25"/>
        <v>3.4113991463050852</v>
      </c>
      <c r="H179" s="9">
        <f t="shared" si="25"/>
        <v>3.5446435796610176</v>
      </c>
      <c r="I179" s="9">
        <f t="shared" si="25"/>
        <v>3.6778880130169496</v>
      </c>
      <c r="J179" s="9">
        <f t="shared" si="25"/>
        <v>3.811132446372882</v>
      </c>
      <c r="K179" s="9">
        <f t="shared" si="25"/>
        <v>3.9443768797288148</v>
      </c>
      <c r="L179" s="9">
        <f t="shared" si="25"/>
        <v>4.0776213130847472</v>
      </c>
      <c r="M179" s="9">
        <f t="shared" si="25"/>
        <v>4.2108657464406791</v>
      </c>
      <c r="N179" s="1"/>
      <c r="O179" s="5" t="s">
        <v>649</v>
      </c>
      <c r="P179" s="5">
        <v>4</v>
      </c>
      <c r="Q179" s="5">
        <v>8</v>
      </c>
      <c r="R179" s="6">
        <f t="shared" si="27"/>
        <v>0.31496079999999999</v>
      </c>
      <c r="S179" s="5">
        <v>4.2000000000000003E-2</v>
      </c>
      <c r="T179" s="5">
        <v>5.7000000000000002E-2</v>
      </c>
      <c r="U179" s="1"/>
      <c r="V179">
        <f t="shared" si="28"/>
        <v>0.23622047244094491</v>
      </c>
    </row>
    <row r="180" spans="1:22" ht="15">
      <c r="A180" s="451"/>
      <c r="B180" s="1">
        <f t="shared" si="26"/>
        <v>6.0000000000000001E-3</v>
      </c>
      <c r="C180" s="9">
        <f t="shared" si="25"/>
        <v>3.4113991463050848</v>
      </c>
      <c r="D180" s="9">
        <f t="shared" si="25"/>
        <v>3.5712924663322037</v>
      </c>
      <c r="E180" s="9">
        <f t="shared" si="25"/>
        <v>3.7311857863593225</v>
      </c>
      <c r="F180" s="9">
        <f t="shared" si="25"/>
        <v>3.8910791063864414</v>
      </c>
      <c r="G180" s="9">
        <f t="shared" si="25"/>
        <v>4.0509724264135603</v>
      </c>
      <c r="H180" s="9">
        <f t="shared" si="25"/>
        <v>4.2108657464406782</v>
      </c>
      <c r="I180" s="9">
        <f t="shared" si="25"/>
        <v>4.3707590664677971</v>
      </c>
      <c r="J180" s="9">
        <f t="shared" si="25"/>
        <v>4.530652386494916</v>
      </c>
      <c r="K180" s="9">
        <f t="shared" si="25"/>
        <v>4.6905457065220357</v>
      </c>
      <c r="L180" s="9">
        <f t="shared" si="25"/>
        <v>4.8504390265491537</v>
      </c>
      <c r="M180" s="9">
        <f t="shared" si="25"/>
        <v>5.0103323465762735</v>
      </c>
      <c r="N180" s="1"/>
      <c r="O180" s="5" t="s">
        <v>955</v>
      </c>
      <c r="P180" s="5">
        <v>8</v>
      </c>
      <c r="Q180" s="5">
        <v>16</v>
      </c>
      <c r="R180" s="6">
        <f t="shared" si="27"/>
        <v>0.62992159999999997</v>
      </c>
      <c r="S180" s="5">
        <v>4.3999999999999997E-2</v>
      </c>
      <c r="T180" s="5">
        <v>0.12</v>
      </c>
      <c r="U180" s="1"/>
      <c r="V180">
        <f t="shared" si="28"/>
        <v>0.47244094488188981</v>
      </c>
    </row>
    <row r="181" spans="1:22" ht="15">
      <c r="A181" s="451"/>
      <c r="B181" s="1">
        <f t="shared" si="26"/>
        <v>7.0000000000000001E-3</v>
      </c>
      <c r="C181" s="9">
        <f t="shared" si="25"/>
        <v>3.9443768797288139</v>
      </c>
      <c r="D181" s="9">
        <f t="shared" si="25"/>
        <v>4.1309190864271192</v>
      </c>
      <c r="E181" s="9">
        <f t="shared" si="25"/>
        <v>4.3174612931254241</v>
      </c>
      <c r="F181" s="9">
        <f t="shared" si="25"/>
        <v>4.5040034998237299</v>
      </c>
      <c r="G181" s="9">
        <f t="shared" si="25"/>
        <v>4.6905457065220348</v>
      </c>
      <c r="H181" s="9">
        <f t="shared" si="25"/>
        <v>4.8770879132203397</v>
      </c>
      <c r="I181" s="9">
        <f t="shared" si="25"/>
        <v>5.0630286987636373</v>
      </c>
      <c r="J181" s="9">
        <f t="shared" si="25"/>
        <v>5.244945892072729</v>
      </c>
      <c r="K181" s="9">
        <f t="shared" si="25"/>
        <v>5.4268630853818198</v>
      </c>
      <c r="L181" s="9">
        <f t="shared" si="25"/>
        <v>5.6087802786909116</v>
      </c>
      <c r="M181" s="9">
        <f t="shared" si="25"/>
        <v>5.7906974720000024</v>
      </c>
      <c r="N181" s="1"/>
      <c r="O181" s="5" t="s">
        <v>319</v>
      </c>
      <c r="P181" s="5">
        <v>16</v>
      </c>
      <c r="Q181" s="5">
        <v>32</v>
      </c>
      <c r="R181" s="6">
        <f t="shared" si="27"/>
        <v>1.2598431999999999</v>
      </c>
      <c r="S181" s="5">
        <v>4.7E-2</v>
      </c>
      <c r="T181" s="5">
        <v>0.25</v>
      </c>
      <c r="U181" s="1"/>
      <c r="V181">
        <f t="shared" si="28"/>
        <v>0.94488188976377963</v>
      </c>
    </row>
    <row r="182" spans="1:22" ht="15">
      <c r="A182" s="451"/>
      <c r="B182" s="1">
        <f t="shared" si="26"/>
        <v>8.0000000000000002E-3</v>
      </c>
      <c r="C182" s="9">
        <f t="shared" si="25"/>
        <v>4.4773546131525421</v>
      </c>
      <c r="D182" s="9">
        <f t="shared" si="25"/>
        <v>4.690545706522034</v>
      </c>
      <c r="E182" s="9">
        <f t="shared" si="25"/>
        <v>4.9037367998915258</v>
      </c>
      <c r="F182" s="9">
        <f t="shared" si="25"/>
        <v>5.1150050397090912</v>
      </c>
      <c r="G182" s="9">
        <f t="shared" si="25"/>
        <v>5.3229104034909094</v>
      </c>
      <c r="H182" s="9">
        <f t="shared" si="25"/>
        <v>5.5308157672727285</v>
      </c>
      <c r="I182" s="9">
        <f t="shared" si="25"/>
        <v>5.7387211310545467</v>
      </c>
      <c r="J182" s="9">
        <f t="shared" si="25"/>
        <v>5.9466264948363641</v>
      </c>
      <c r="K182" s="9">
        <f t="shared" si="25"/>
        <v>6.1545318586181832</v>
      </c>
      <c r="L182" s="9">
        <f t="shared" si="25"/>
        <v>6.3624372224000014</v>
      </c>
      <c r="M182" s="9">
        <f t="shared" si="25"/>
        <v>6.5703425861818197</v>
      </c>
      <c r="N182" s="1"/>
      <c r="O182" s="5" t="s">
        <v>713</v>
      </c>
      <c r="P182" s="5">
        <v>32</v>
      </c>
      <c r="Q182" s="5">
        <v>64</v>
      </c>
      <c r="R182" s="6">
        <f t="shared" si="27"/>
        <v>2.5196863999999999</v>
      </c>
      <c r="S182" s="5">
        <v>0.05</v>
      </c>
      <c r="T182" s="5">
        <v>0.54</v>
      </c>
      <c r="U182" s="1"/>
      <c r="V182">
        <f t="shared" si="28"/>
        <v>1.8897637795275593</v>
      </c>
    </row>
    <row r="183" spans="1:22" ht="15">
      <c r="A183" s="451"/>
      <c r="B183" s="1">
        <f t="shared" si="26"/>
        <v>9.0000000000000011E-3</v>
      </c>
      <c r="C183" s="9">
        <f t="shared" si="25"/>
        <v>5.0103323465762717</v>
      </c>
      <c r="D183" s="9">
        <f t="shared" si="25"/>
        <v>5.2449458920727281</v>
      </c>
      <c r="E183" s="9">
        <f t="shared" si="25"/>
        <v>5.4788394263272746</v>
      </c>
      <c r="F183" s="9">
        <f t="shared" si="25"/>
        <v>5.7127329605818202</v>
      </c>
      <c r="G183" s="9">
        <f t="shared" si="25"/>
        <v>5.9466264948363659</v>
      </c>
      <c r="H183" s="9">
        <f t="shared" si="25"/>
        <v>6.1805200290909115</v>
      </c>
      <c r="I183" s="9">
        <f t="shared" si="25"/>
        <v>6.4144135633454571</v>
      </c>
      <c r="J183" s="9">
        <f t="shared" si="25"/>
        <v>6.6483070976000027</v>
      </c>
      <c r="K183" s="9">
        <f t="shared" si="25"/>
        <v>6.8822006318545483</v>
      </c>
      <c r="L183" s="9">
        <f t="shared" si="25"/>
        <v>7.116094166109094</v>
      </c>
      <c r="M183" s="9">
        <f t="shared" si="25"/>
        <v>7.3499877003636396</v>
      </c>
      <c r="N183" s="1"/>
      <c r="O183" s="5" t="s">
        <v>465</v>
      </c>
      <c r="P183" s="5">
        <v>64</v>
      </c>
      <c r="Q183" s="5">
        <v>128</v>
      </c>
      <c r="R183" s="6">
        <f t="shared" si="27"/>
        <v>5.0393727999999998</v>
      </c>
      <c r="S183" s="5">
        <v>5.1999999999999998E-2</v>
      </c>
      <c r="T183" s="5">
        <v>1.1299999999999999</v>
      </c>
      <c r="U183" s="1"/>
      <c r="V183">
        <f t="shared" si="28"/>
        <v>3.7795275590551185</v>
      </c>
    </row>
    <row r="184" spans="1:22" ht="15">
      <c r="A184" s="451"/>
      <c r="B184" s="1">
        <f t="shared" si="26"/>
        <v>1.0000000000000002E-2</v>
      </c>
      <c r="C184" s="9">
        <f t="shared" si="25"/>
        <v>5.5308157672727285</v>
      </c>
      <c r="D184" s="9">
        <f t="shared" si="25"/>
        <v>5.7906974720000015</v>
      </c>
      <c r="E184" s="9">
        <f t="shared" si="25"/>
        <v>6.0505791767272736</v>
      </c>
      <c r="F184" s="9">
        <f t="shared" si="25"/>
        <v>6.3104608814545475</v>
      </c>
      <c r="G184" s="9">
        <f t="shared" si="25"/>
        <v>6.5703425861818205</v>
      </c>
      <c r="H184" s="9">
        <f t="shared" si="25"/>
        <v>6.8302242909090927</v>
      </c>
      <c r="I184" s="9">
        <f t="shared" si="25"/>
        <v>7.0901059956363657</v>
      </c>
      <c r="J184" s="9">
        <f t="shared" si="25"/>
        <v>7.3499877003636396</v>
      </c>
      <c r="K184" s="9">
        <f t="shared" si="25"/>
        <v>7.6098694050909126</v>
      </c>
      <c r="L184" s="9">
        <f t="shared" si="25"/>
        <v>7.8697511098181856</v>
      </c>
      <c r="M184" s="9">
        <f t="shared" si="25"/>
        <v>8.1296328145454577</v>
      </c>
      <c r="N184" s="1"/>
      <c r="O184" s="5" t="s">
        <v>158</v>
      </c>
      <c r="P184" s="5">
        <v>128</v>
      </c>
      <c r="Q184" s="5">
        <v>256</v>
      </c>
      <c r="R184" s="6">
        <f t="shared" si="27"/>
        <v>10.0787456</v>
      </c>
      <c r="S184" s="5">
        <v>5.3999999999999999E-2</v>
      </c>
      <c r="T184" s="5">
        <v>2.34</v>
      </c>
      <c r="U184" s="1"/>
      <c r="V184">
        <f t="shared" si="28"/>
        <v>7.559055118110237</v>
      </c>
    </row>
    <row r="185" spans="1:22" ht="15">
      <c r="A185" s="451"/>
      <c r="B185" s="1">
        <f t="shared" si="26"/>
        <v>1.1000000000000003E-2</v>
      </c>
      <c r="C185" s="9">
        <f t="shared" si="25"/>
        <v>6.0505791767272736</v>
      </c>
      <c r="D185" s="9">
        <f t="shared" si="25"/>
        <v>6.336449051927274</v>
      </c>
      <c r="E185" s="9">
        <f t="shared" si="25"/>
        <v>6.6223189271272744</v>
      </c>
      <c r="F185" s="9">
        <f t="shared" si="25"/>
        <v>6.9081888023272748</v>
      </c>
      <c r="G185" s="9">
        <f t="shared" si="25"/>
        <v>7.1940586775272752</v>
      </c>
      <c r="H185" s="9">
        <f t="shared" si="25"/>
        <v>7.4799285527272756</v>
      </c>
      <c r="I185" s="9">
        <f t="shared" si="25"/>
        <v>7.765798427927276</v>
      </c>
      <c r="J185" s="9">
        <f t="shared" si="25"/>
        <v>8.0516683031272755</v>
      </c>
      <c r="K185" s="9">
        <f t="shared" si="25"/>
        <v>8.3375381783272751</v>
      </c>
      <c r="L185" s="9">
        <f t="shared" si="25"/>
        <v>8.6234080535272764</v>
      </c>
      <c r="M185" s="9">
        <f t="shared" si="25"/>
        <v>8.9092779287272776</v>
      </c>
      <c r="N185" s="1"/>
      <c r="O185" s="5" t="s">
        <v>210</v>
      </c>
      <c r="P185" s="5">
        <v>256</v>
      </c>
      <c r="Q185" s="5">
        <v>512</v>
      </c>
      <c r="R185" s="6">
        <f t="shared" si="27"/>
        <v>20.157491199999999</v>
      </c>
      <c r="S185" s="5">
        <v>5.3999999999999999E-2</v>
      </c>
      <c r="T185" s="5">
        <v>4.67</v>
      </c>
      <c r="U185" s="1"/>
      <c r="V185">
        <f t="shared" si="28"/>
        <v>15.118110236220474</v>
      </c>
    </row>
    <row r="186" spans="1:22" ht="15">
      <c r="A186" s="451"/>
      <c r="B186" s="1">
        <f t="shared" si="26"/>
        <v>1.2000000000000004E-2</v>
      </c>
      <c r="C186" s="9">
        <f t="shared" si="25"/>
        <v>6.5703425861818205</v>
      </c>
      <c r="D186" s="9">
        <f t="shared" si="25"/>
        <v>6.8822006318545483</v>
      </c>
      <c r="E186" s="9">
        <f t="shared" si="25"/>
        <v>7.1940586775272752</v>
      </c>
      <c r="F186" s="9">
        <f t="shared" si="25"/>
        <v>7.505916723200003</v>
      </c>
      <c r="G186" s="9">
        <f t="shared" si="25"/>
        <v>7.8177747688727308</v>
      </c>
      <c r="H186" s="9">
        <f t="shared" si="25"/>
        <v>8.1296328145454595</v>
      </c>
      <c r="I186" s="9">
        <f t="shared" si="25"/>
        <v>8.4414908602181864</v>
      </c>
      <c r="J186" s="9">
        <f t="shared" si="25"/>
        <v>8.7533489058909151</v>
      </c>
      <c r="K186" s="9">
        <f t="shared" si="25"/>
        <v>9.065206951563642</v>
      </c>
      <c r="L186" s="9">
        <f t="shared" si="25"/>
        <v>9.3770649972363707</v>
      </c>
      <c r="M186" s="9">
        <f t="shared" si="25"/>
        <v>9.6889230429090958</v>
      </c>
      <c r="N186" s="1"/>
      <c r="O186" s="5" t="s">
        <v>650</v>
      </c>
      <c r="P186" s="5">
        <v>512</v>
      </c>
      <c r="Q186" s="5">
        <v>1024</v>
      </c>
      <c r="R186" s="6">
        <f t="shared" si="27"/>
        <v>40.314982399999998</v>
      </c>
      <c r="S186" s="5">
        <v>5.3999999999999999E-2</v>
      </c>
      <c r="T186" s="5">
        <v>9.34</v>
      </c>
      <c r="U186" s="1"/>
      <c r="V186">
        <f t="shared" si="28"/>
        <v>30.236220472440948</v>
      </c>
    </row>
    <row r="187" spans="1:22" ht="15">
      <c r="A187" s="451"/>
      <c r="B187" s="1">
        <f t="shared" si="26"/>
        <v>1.3000000000000005E-2</v>
      </c>
      <c r="C187" s="9">
        <f t="shared" si="25"/>
        <v>7.0901059956363657</v>
      </c>
      <c r="D187" s="9">
        <f t="shared" si="25"/>
        <v>7.4279522117818209</v>
      </c>
      <c r="E187" s="9">
        <f t="shared" si="25"/>
        <v>7.765798427927276</v>
      </c>
      <c r="F187" s="9">
        <f t="shared" si="25"/>
        <v>8.1036446440727303</v>
      </c>
      <c r="G187" s="9">
        <f t="shared" si="25"/>
        <v>8.4414908602181846</v>
      </c>
      <c r="H187" s="9">
        <f t="shared" si="25"/>
        <v>8.7793370763636407</v>
      </c>
      <c r="I187" s="9">
        <f t="shared" si="25"/>
        <v>9.1171832925090968</v>
      </c>
      <c r="J187" s="9">
        <f t="shared" si="25"/>
        <v>9.4550295086545511</v>
      </c>
      <c r="K187" s="9">
        <f t="shared" si="25"/>
        <v>9.7928757248000053</v>
      </c>
      <c r="L187" s="9">
        <f t="shared" si="25"/>
        <v>10.132729610767388</v>
      </c>
      <c r="M187" s="9">
        <f t="shared" si="25"/>
        <v>10.483625680755372</v>
      </c>
      <c r="N187" s="1"/>
      <c r="O187" s="5" t="s">
        <v>886</v>
      </c>
      <c r="P187" s="5">
        <v>1024</v>
      </c>
      <c r="Q187" s="5">
        <v>2048</v>
      </c>
      <c r="R187" s="6">
        <f t="shared" si="27"/>
        <v>80.629964799999996</v>
      </c>
      <c r="S187" s="5">
        <v>5.3999999999999999E-2</v>
      </c>
      <c r="T187" s="5">
        <v>18.68</v>
      </c>
      <c r="U187" s="1"/>
      <c r="V187">
        <f t="shared" si="28"/>
        <v>60.472440944881896</v>
      </c>
    </row>
    <row r="188" spans="1:22" ht="15">
      <c r="A188" s="451"/>
      <c r="B188" s="1">
        <f t="shared" si="26"/>
        <v>1.4000000000000005E-2</v>
      </c>
      <c r="C188" s="9">
        <f t="shared" si="25"/>
        <v>7.6098694050909126</v>
      </c>
      <c r="D188" s="9">
        <f t="shared" si="25"/>
        <v>7.9737037917090952</v>
      </c>
      <c r="E188" s="9">
        <f t="shared" si="25"/>
        <v>8.3375381783272768</v>
      </c>
      <c r="F188" s="9">
        <f t="shared" si="25"/>
        <v>8.7013725649454603</v>
      </c>
      <c r="G188" s="9">
        <f t="shared" si="25"/>
        <v>9.065206951563642</v>
      </c>
      <c r="H188" s="9">
        <f t="shared" si="25"/>
        <v>9.4290413381818254</v>
      </c>
      <c r="I188" s="9">
        <f t="shared" si="25"/>
        <v>9.7928757248000053</v>
      </c>
      <c r="J188" s="9">
        <f t="shared" si="25"/>
        <v>10.15972161615108</v>
      </c>
      <c r="K188" s="9">
        <f t="shared" si="25"/>
        <v>10.537609691522754</v>
      </c>
      <c r="L188" s="9">
        <f t="shared" si="25"/>
        <v>10.915497766894429</v>
      </c>
      <c r="M188" s="9">
        <f t="shared" si="25"/>
        <v>11.293385842266103</v>
      </c>
      <c r="N188" s="1"/>
      <c r="O188" s="5" t="s">
        <v>211</v>
      </c>
      <c r="P188" s="5">
        <v>2048</v>
      </c>
      <c r="Q188" s="5"/>
      <c r="R188" s="6">
        <f t="shared" si="27"/>
        <v>0</v>
      </c>
      <c r="S188" s="5">
        <v>5.3999999999999999E-2</v>
      </c>
      <c r="T188" s="5">
        <v>37.369999999999997</v>
      </c>
      <c r="U188" s="1"/>
      <c r="V188">
        <f t="shared" si="28"/>
        <v>80.629921259842519</v>
      </c>
    </row>
    <row r="189" spans="1:22" ht="15">
      <c r="A189" s="451"/>
      <c r="B189" s="1">
        <f t="shared" si="26"/>
        <v>1.5000000000000006E-2</v>
      </c>
      <c r="C189" s="9">
        <f t="shared" si="25"/>
        <v>8.1296328145454577</v>
      </c>
      <c r="D189" s="9">
        <f t="shared" si="25"/>
        <v>8.5194553716363668</v>
      </c>
      <c r="E189" s="9">
        <f t="shared" si="25"/>
        <v>8.9092779287272776</v>
      </c>
      <c r="F189" s="9">
        <f t="shared" si="25"/>
        <v>9.2991004858181867</v>
      </c>
      <c r="G189" s="9">
        <f t="shared" si="25"/>
        <v>9.6889230429090958</v>
      </c>
      <c r="H189" s="9">
        <f t="shared" si="25"/>
        <v>10.078745600000005</v>
      </c>
      <c r="I189" s="9">
        <f t="shared" si="25"/>
        <v>10.483625680755372</v>
      </c>
      <c r="J189" s="9">
        <f t="shared" si="25"/>
        <v>10.888505761510736</v>
      </c>
      <c r="K189" s="9">
        <f t="shared" si="25"/>
        <v>11.293385842266103</v>
      </c>
      <c r="L189" s="9">
        <f t="shared" si="25"/>
        <v>11.698265923021467</v>
      </c>
      <c r="M189" s="9">
        <f t="shared" si="25"/>
        <v>12.103146003776832</v>
      </c>
      <c r="N189" s="1"/>
      <c r="O189" s="1"/>
      <c r="P189" s="1"/>
      <c r="Q189" s="1"/>
      <c r="R189" s="1"/>
      <c r="S189" s="1"/>
      <c r="T189" s="1"/>
      <c r="U189" s="1"/>
    </row>
    <row r="190" spans="1:22" ht="15">
      <c r="A190" s="451"/>
      <c r="B190" s="1">
        <f t="shared" si="26"/>
        <v>1.6000000000000007E-2</v>
      </c>
      <c r="C190" s="9">
        <f t="shared" si="25"/>
        <v>8.6493962240000037</v>
      </c>
      <c r="D190" s="9">
        <f t="shared" si="25"/>
        <v>9.0652069515636384</v>
      </c>
      <c r="E190" s="9">
        <f t="shared" si="25"/>
        <v>9.4810176791272767</v>
      </c>
      <c r="F190" s="9">
        <f t="shared" si="25"/>
        <v>9.8968284066909131</v>
      </c>
      <c r="G190" s="9">
        <f t="shared" si="25"/>
        <v>10.321673648453226</v>
      </c>
      <c r="H190" s="9">
        <f t="shared" si="25"/>
        <v>10.753545734592281</v>
      </c>
      <c r="I190" s="9">
        <f t="shared" si="25"/>
        <v>11.185417820731338</v>
      </c>
      <c r="J190" s="9">
        <f t="shared" si="25"/>
        <v>11.617289906870393</v>
      </c>
      <c r="K190" s="9">
        <f t="shared" si="25"/>
        <v>12.04916199300945</v>
      </c>
      <c r="L190" s="9">
        <f t="shared" si="25"/>
        <v>12.481034079148506</v>
      </c>
      <c r="M190" s="9">
        <f t="shared" si="25"/>
        <v>12.912906165287561</v>
      </c>
      <c r="N190" s="1"/>
      <c r="O190" s="1"/>
      <c r="P190" s="1"/>
      <c r="Q190" s="1"/>
      <c r="R190" s="1"/>
      <c r="S190" s="1"/>
      <c r="T190" s="1"/>
      <c r="U190" s="1"/>
    </row>
    <row r="191" spans="1:22" ht="15">
      <c r="A191" s="451"/>
      <c r="B191" s="1">
        <f t="shared" si="26"/>
        <v>1.7000000000000008E-2</v>
      </c>
      <c r="C191" s="9">
        <f t="shared" si="25"/>
        <v>9.169159633454548</v>
      </c>
      <c r="D191" s="9">
        <f t="shared" si="25"/>
        <v>9.6109585314909118</v>
      </c>
      <c r="E191" s="9">
        <f t="shared" si="25"/>
        <v>10.052757429527277</v>
      </c>
      <c r="F191" s="9">
        <f t="shared" si="25"/>
        <v>10.51061768613906</v>
      </c>
      <c r="G191" s="9">
        <f t="shared" si="25"/>
        <v>10.969481777661809</v>
      </c>
      <c r="H191" s="9">
        <f t="shared" si="25"/>
        <v>11.428345869184556</v>
      </c>
      <c r="I191" s="9">
        <f t="shared" si="25"/>
        <v>11.887209960707303</v>
      </c>
      <c r="J191" s="9">
        <f t="shared" si="25"/>
        <v>12.346074052230051</v>
      </c>
      <c r="K191" s="9">
        <f t="shared" si="25"/>
        <v>12.804938143752796</v>
      </c>
      <c r="L191" s="9">
        <f t="shared" si="25"/>
        <v>13.263802235275545</v>
      </c>
      <c r="M191" s="9">
        <f t="shared" si="25"/>
        <v>13.722666326798292</v>
      </c>
      <c r="N191" s="1"/>
      <c r="O191" s="1"/>
      <c r="P191" s="1"/>
      <c r="Q191" s="1"/>
      <c r="R191" s="1"/>
      <c r="S191" s="1"/>
      <c r="T191" s="1"/>
      <c r="U191" s="1"/>
    </row>
    <row r="192" spans="1:22" ht="15">
      <c r="A192" s="451"/>
      <c r="B192" s="1">
        <f t="shared" si="26"/>
        <v>1.8000000000000009E-2</v>
      </c>
      <c r="C192" s="9">
        <f t="shared" si="25"/>
        <v>9.6889230429090958</v>
      </c>
      <c r="D192" s="9">
        <f t="shared" si="25"/>
        <v>10.159721616151078</v>
      </c>
      <c r="E192" s="9">
        <f t="shared" si="25"/>
        <v>10.645577713057518</v>
      </c>
      <c r="F192" s="9">
        <f t="shared" si="25"/>
        <v>11.131433809963955</v>
      </c>
      <c r="G192" s="9">
        <f t="shared" si="25"/>
        <v>11.617289906870395</v>
      </c>
      <c r="H192" s="9">
        <f t="shared" si="25"/>
        <v>12.103146003776832</v>
      </c>
      <c r="I192" s="9">
        <f t="shared" si="25"/>
        <v>12.589002100683272</v>
      </c>
      <c r="J192" s="9">
        <f t="shared" si="25"/>
        <v>13.074858197589711</v>
      </c>
      <c r="K192" s="9">
        <f t="shared" si="25"/>
        <v>13.560714294496147</v>
      </c>
      <c r="L192" s="9">
        <f t="shared" si="25"/>
        <v>14.046570391402588</v>
      </c>
      <c r="M192" s="9">
        <f t="shared" si="25"/>
        <v>14.532426488309024</v>
      </c>
      <c r="N192" s="1"/>
      <c r="O192" s="1"/>
      <c r="P192" s="1"/>
      <c r="Q192" s="1"/>
      <c r="R192" s="1"/>
      <c r="S192" s="1"/>
      <c r="T192" s="1"/>
      <c r="U192" s="1"/>
    </row>
    <row r="193" spans="1:22" ht="15">
      <c r="A193" s="451"/>
      <c r="B193" s="1">
        <f t="shared" si="26"/>
        <v>1.900000000000001E-2</v>
      </c>
      <c r="C193" s="9">
        <f t="shared" si="25"/>
        <v>10.213705626918461</v>
      </c>
      <c r="D193" s="9">
        <f t="shared" si="25"/>
        <v>10.72655372920859</v>
      </c>
      <c r="E193" s="9">
        <f t="shared" si="25"/>
        <v>11.23940183149872</v>
      </c>
      <c r="F193" s="9">
        <f t="shared" si="25"/>
        <v>11.752249933788848</v>
      </c>
      <c r="G193" s="9">
        <f t="shared" si="25"/>
        <v>12.26509803607898</v>
      </c>
      <c r="H193" s="9">
        <f t="shared" si="25"/>
        <v>12.777946138369108</v>
      </c>
      <c r="I193" s="9">
        <f t="shared" si="25"/>
        <v>13.290794240659237</v>
      </c>
      <c r="J193" s="9">
        <f t="shared" si="25"/>
        <v>13.803642342949367</v>
      </c>
      <c r="K193" s="9">
        <f t="shared" si="25"/>
        <v>14.316490445239497</v>
      </c>
      <c r="L193" s="9">
        <f t="shared" si="25"/>
        <v>14.829338547529625</v>
      </c>
      <c r="M193" s="9">
        <f t="shared" si="25"/>
        <v>15.342186649819755</v>
      </c>
      <c r="N193" s="1"/>
      <c r="O193" s="1"/>
      <c r="P193" s="1"/>
      <c r="Q193" s="1"/>
      <c r="R193" s="1"/>
      <c r="S193" s="1"/>
      <c r="T193" s="1"/>
      <c r="U193" s="1"/>
    </row>
    <row r="194" spans="1:22" ht="15">
      <c r="A194" s="452"/>
      <c r="B194" s="1">
        <f t="shared" si="26"/>
        <v>2.0000000000000011E-2</v>
      </c>
      <c r="C194" s="9">
        <f t="shared" si="25"/>
        <v>10.753545734592281</v>
      </c>
      <c r="D194" s="9">
        <f t="shared" si="25"/>
        <v>11.293385842266101</v>
      </c>
      <c r="E194" s="9">
        <f t="shared" si="25"/>
        <v>11.833225949939923</v>
      </c>
      <c r="F194" s="9">
        <f t="shared" si="25"/>
        <v>12.373066057613741</v>
      </c>
      <c r="G194" s="9">
        <f t="shared" si="25"/>
        <v>12.912906165287561</v>
      </c>
      <c r="H194" s="9">
        <f t="shared" si="25"/>
        <v>13.452746272961384</v>
      </c>
      <c r="I194" s="9">
        <f t="shared" si="25"/>
        <v>13.992586380635203</v>
      </c>
      <c r="J194" s="9">
        <f t="shared" si="25"/>
        <v>14.532426488309024</v>
      </c>
      <c r="K194" s="9">
        <f t="shared" si="25"/>
        <v>15.072266595982844</v>
      </c>
      <c r="L194" s="9">
        <f t="shared" si="25"/>
        <v>15.612106703656664</v>
      </c>
      <c r="M194" s="9">
        <f t="shared" si="25"/>
        <v>16.151946811330482</v>
      </c>
      <c r="N194" s="1"/>
      <c r="O194" s="1"/>
      <c r="P194" s="1"/>
      <c r="Q194" s="1"/>
      <c r="R194" s="1"/>
      <c r="S194" s="1"/>
      <c r="T194" s="1"/>
      <c r="U194" s="1"/>
    </row>
    <row r="195" spans="1:22" ht="15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</row>
    <row r="196" spans="1:22" ht="15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</row>
    <row r="197" spans="1:22" ht="21">
      <c r="B197" s="1"/>
      <c r="C197" s="492" t="s">
        <v>900</v>
      </c>
      <c r="D197" s="492"/>
      <c r="E197" s="492"/>
      <c r="F197" s="492"/>
      <c r="G197" s="492"/>
      <c r="H197" s="492"/>
      <c r="I197" s="492"/>
      <c r="J197" s="492"/>
      <c r="K197" s="492"/>
      <c r="L197" s="492"/>
      <c r="M197" s="492"/>
      <c r="N197" s="1"/>
      <c r="O197" s="1"/>
      <c r="P197" s="1"/>
      <c r="Q197" s="1"/>
      <c r="R197" s="1"/>
      <c r="S197" s="1"/>
      <c r="T197" s="1"/>
      <c r="U197" s="1"/>
    </row>
    <row r="198" spans="1:22" ht="18.75">
      <c r="B198" s="1"/>
      <c r="C198" s="493" t="s">
        <v>286</v>
      </c>
      <c r="D198" s="494"/>
      <c r="E198" s="494"/>
      <c r="F198" s="494"/>
      <c r="G198" s="494"/>
      <c r="H198" s="494"/>
      <c r="I198" s="494"/>
      <c r="J198" s="494"/>
      <c r="K198" s="494"/>
      <c r="L198" s="494"/>
      <c r="M198" s="495"/>
      <c r="N198" s="1"/>
      <c r="O198" s="1"/>
      <c r="P198" s="1"/>
      <c r="Q198" s="1"/>
      <c r="R198" s="1"/>
      <c r="S198" s="1"/>
      <c r="T198" s="1"/>
      <c r="U198" s="1"/>
    </row>
    <row r="199" spans="1:22" ht="15">
      <c r="A199" s="380" t="s">
        <v>721</v>
      </c>
      <c r="B199" s="382"/>
      <c r="C199" s="3">
        <f t="shared" ref="C199:M199" si="29">C$12</f>
        <v>0</v>
      </c>
      <c r="D199" s="3">
        <f t="shared" si="29"/>
        <v>0</v>
      </c>
      <c r="E199" s="3">
        <f t="shared" si="29"/>
        <v>0</v>
      </c>
      <c r="F199" s="3">
        <f t="shared" si="29"/>
        <v>0</v>
      </c>
      <c r="G199" s="3">
        <f t="shared" si="29"/>
        <v>0</v>
      </c>
      <c r="H199" s="3">
        <f t="shared" si="29"/>
        <v>0</v>
      </c>
      <c r="I199" s="3">
        <f t="shared" si="29"/>
        <v>0</v>
      </c>
      <c r="J199" s="3">
        <f t="shared" si="29"/>
        <v>0</v>
      </c>
      <c r="K199" s="3">
        <f t="shared" si="29"/>
        <v>0</v>
      </c>
      <c r="L199" s="3">
        <f t="shared" si="29"/>
        <v>0</v>
      </c>
      <c r="M199" s="3">
        <f t="shared" si="29"/>
        <v>0</v>
      </c>
      <c r="N199" s="1"/>
      <c r="O199" s="1"/>
      <c r="P199" s="1"/>
      <c r="Q199" s="1"/>
      <c r="R199" s="1"/>
      <c r="S199" s="1"/>
      <c r="T199" s="1"/>
      <c r="U199" s="1"/>
    </row>
    <row r="200" spans="1:22" ht="15">
      <c r="A200" s="389" t="s">
        <v>84</v>
      </c>
      <c r="B200" s="391"/>
      <c r="C200" s="6">
        <f t="shared" ref="C200:M200" si="30">C$9</f>
        <v>2</v>
      </c>
      <c r="D200" s="6">
        <f t="shared" si="30"/>
        <v>2.1</v>
      </c>
      <c r="E200" s="6">
        <f t="shared" si="30"/>
        <v>2.2000000000000002</v>
      </c>
      <c r="F200" s="6">
        <f t="shared" si="30"/>
        <v>2.3000000000000003</v>
      </c>
      <c r="G200" s="6">
        <f t="shared" si="30"/>
        <v>2.4000000000000004</v>
      </c>
      <c r="H200" s="6">
        <f t="shared" si="30"/>
        <v>2.5000000000000004</v>
      </c>
      <c r="I200" s="6">
        <f t="shared" si="30"/>
        <v>2.6000000000000005</v>
      </c>
      <c r="J200" s="6">
        <f t="shared" si="30"/>
        <v>2.7000000000000006</v>
      </c>
      <c r="K200" s="6">
        <f t="shared" si="30"/>
        <v>2.8000000000000007</v>
      </c>
      <c r="L200" s="6">
        <f t="shared" si="30"/>
        <v>2.9000000000000008</v>
      </c>
      <c r="M200" s="6">
        <f t="shared" si="30"/>
        <v>3.0000000000000009</v>
      </c>
      <c r="N200" s="1"/>
      <c r="O200" s="1"/>
      <c r="P200" s="1"/>
      <c r="Q200" s="1"/>
      <c r="R200" s="1"/>
      <c r="S200" s="1"/>
      <c r="T200" s="1"/>
      <c r="U200" s="1"/>
    </row>
    <row r="201" spans="1:22" ht="15" customHeight="1">
      <c r="A201" s="450" t="s">
        <v>949</v>
      </c>
      <c r="B201" s="1">
        <f>$G$4</f>
        <v>1E-3</v>
      </c>
      <c r="C201" s="9">
        <f t="shared" ref="C201:M220" si="31">LININTERP((62.4*$B201*(C$200)),$S$205:$S$222,$R$205:$R$222)</f>
        <v>0.62584615384615383</v>
      </c>
      <c r="D201" s="9">
        <f t="shared" si="31"/>
        <v>0.65944615384615379</v>
      </c>
      <c r="E201" s="9">
        <f t="shared" si="31"/>
        <v>0.69304615384615387</v>
      </c>
      <c r="F201" s="9">
        <f t="shared" si="31"/>
        <v>0.72664615384615394</v>
      </c>
      <c r="G201" s="9">
        <f t="shared" si="31"/>
        <v>0.7602461538461539</v>
      </c>
      <c r="H201" s="9">
        <f t="shared" si="31"/>
        <v>0.79384615384615398</v>
      </c>
      <c r="I201" s="9">
        <f t="shared" si="31"/>
        <v>0.82744615384615394</v>
      </c>
      <c r="J201" s="9">
        <f t="shared" si="31"/>
        <v>0.86104615384615402</v>
      </c>
      <c r="K201" s="9">
        <f t="shared" si="31"/>
        <v>0.89464615384615409</v>
      </c>
      <c r="L201" s="9">
        <f t="shared" si="31"/>
        <v>0.92824615384615417</v>
      </c>
      <c r="M201" s="9">
        <f t="shared" si="31"/>
        <v>0.96184615384615402</v>
      </c>
      <c r="N201" s="1"/>
      <c r="O201" s="1"/>
      <c r="P201" s="1"/>
      <c r="Q201" s="1"/>
      <c r="R201" s="1"/>
      <c r="S201" s="1"/>
      <c r="T201" s="1"/>
      <c r="U201" s="1"/>
    </row>
    <row r="202" spans="1:22" ht="15">
      <c r="A202" s="451"/>
      <c r="B202" s="1">
        <f t="shared" ref="B202:B220" si="32">B201+$H$4</f>
        <v>2E-3</v>
      </c>
      <c r="C202" s="9">
        <f t="shared" si="31"/>
        <v>1.2978461538461539</v>
      </c>
      <c r="D202" s="9">
        <f t="shared" si="31"/>
        <v>1.3499862068965516</v>
      </c>
      <c r="E202" s="9">
        <f t="shared" si="31"/>
        <v>1.4016275862068968</v>
      </c>
      <c r="F202" s="9">
        <f t="shared" si="31"/>
        <v>1.4532689655172415</v>
      </c>
      <c r="G202" s="9">
        <f t="shared" si="31"/>
        <v>1.5049103448275862</v>
      </c>
      <c r="H202" s="9">
        <f t="shared" si="31"/>
        <v>1.5565517241379312</v>
      </c>
      <c r="I202" s="9">
        <f t="shared" si="31"/>
        <v>1.6081931034482762</v>
      </c>
      <c r="J202" s="9">
        <f t="shared" si="31"/>
        <v>1.6598344827586209</v>
      </c>
      <c r="K202" s="9">
        <f t="shared" si="31"/>
        <v>1.7114758620689658</v>
      </c>
      <c r="L202" s="9">
        <f t="shared" si="31"/>
        <v>1.7631172413793106</v>
      </c>
      <c r="M202" s="9">
        <f t="shared" si="31"/>
        <v>1.8147586206896555</v>
      </c>
      <c r="N202" s="1"/>
      <c r="O202" s="1"/>
      <c r="P202" s="1"/>
      <c r="Q202" s="1"/>
      <c r="R202" s="1"/>
      <c r="S202" s="1"/>
      <c r="T202" s="1"/>
      <c r="U202" s="1"/>
    </row>
    <row r="203" spans="1:22" ht="15">
      <c r="A203" s="451"/>
      <c r="B203" s="1">
        <f t="shared" si="32"/>
        <v>3.0000000000000001E-3</v>
      </c>
      <c r="C203" s="9">
        <f t="shared" si="31"/>
        <v>1.8147586206896551</v>
      </c>
      <c r="D203" s="9">
        <f t="shared" si="31"/>
        <v>1.8922206896551725</v>
      </c>
      <c r="E203" s="9">
        <f t="shared" si="31"/>
        <v>1.9696827586206898</v>
      </c>
      <c r="F203" s="9">
        <f t="shared" si="31"/>
        <v>2.047144827586207</v>
      </c>
      <c r="G203" s="9">
        <f t="shared" si="31"/>
        <v>2.1246068965517244</v>
      </c>
      <c r="H203" s="9">
        <f t="shared" si="31"/>
        <v>2.2020689655172418</v>
      </c>
      <c r="I203" s="9">
        <f t="shared" si="31"/>
        <v>2.2795310344827588</v>
      </c>
      <c r="J203" s="9">
        <f t="shared" si="31"/>
        <v>2.3569931034482763</v>
      </c>
      <c r="K203" s="9">
        <f t="shared" si="31"/>
        <v>2.4344551724137937</v>
      </c>
      <c r="L203" s="9">
        <f t="shared" si="31"/>
        <v>2.5128571428571433</v>
      </c>
      <c r="M203" s="9">
        <f t="shared" si="31"/>
        <v>2.5964285714285724</v>
      </c>
      <c r="N203" s="1"/>
      <c r="O203" s="1"/>
      <c r="P203" s="1"/>
      <c r="Q203" s="1"/>
      <c r="R203" s="1"/>
      <c r="S203" s="1"/>
      <c r="T203" s="1"/>
      <c r="U203" s="1"/>
    </row>
    <row r="204" spans="1:22" ht="15">
      <c r="A204" s="451"/>
      <c r="B204" s="1">
        <f t="shared" si="32"/>
        <v>4.0000000000000001E-3</v>
      </c>
      <c r="C204" s="9">
        <f t="shared" si="31"/>
        <v>2.3311724137931034</v>
      </c>
      <c r="D204" s="9">
        <f t="shared" si="31"/>
        <v>2.4344551724137928</v>
      </c>
      <c r="E204" s="9">
        <f t="shared" si="31"/>
        <v>2.5407142857142859</v>
      </c>
      <c r="F204" s="9">
        <f t="shared" si="31"/>
        <v>2.6521428571428571</v>
      </c>
      <c r="G204" s="9">
        <f t="shared" si="31"/>
        <v>2.7635714285714283</v>
      </c>
      <c r="H204" s="9">
        <f t="shared" si="31"/>
        <v>2.8750000000000004</v>
      </c>
      <c r="I204" s="9">
        <f t="shared" si="31"/>
        <v>2.9864285714285717</v>
      </c>
      <c r="J204" s="9">
        <f t="shared" si="31"/>
        <v>3.0978571428571429</v>
      </c>
      <c r="K204" s="9">
        <f t="shared" si="31"/>
        <v>3.209285714285715</v>
      </c>
      <c r="L204" s="9">
        <f t="shared" si="31"/>
        <v>3.3207142857142862</v>
      </c>
      <c r="M204" s="9">
        <f t="shared" si="31"/>
        <v>3.4321428571428574</v>
      </c>
      <c r="N204" s="1"/>
      <c r="O204" s="74"/>
      <c r="P204" s="74" t="s">
        <v>79</v>
      </c>
      <c r="Q204" s="74" t="s">
        <v>956</v>
      </c>
      <c r="R204" s="74" t="s">
        <v>956</v>
      </c>
      <c r="S204" s="74" t="s">
        <v>7</v>
      </c>
      <c r="T204" s="74" t="s">
        <v>86</v>
      </c>
      <c r="U204" s="1"/>
      <c r="V204" s="181" t="s">
        <v>919</v>
      </c>
    </row>
    <row r="205" spans="1:22" ht="15">
      <c r="A205" s="451"/>
      <c r="B205" s="1">
        <f t="shared" si="32"/>
        <v>5.0000000000000001E-3</v>
      </c>
      <c r="C205" s="9">
        <f t="shared" si="31"/>
        <v>2.875</v>
      </c>
      <c r="D205" s="9">
        <f t="shared" si="31"/>
        <v>3.0142857142857142</v>
      </c>
      <c r="E205" s="9">
        <f t="shared" si="31"/>
        <v>3.1535714285714285</v>
      </c>
      <c r="F205" s="9">
        <f t="shared" si="31"/>
        <v>3.2928571428571431</v>
      </c>
      <c r="G205" s="9">
        <f t="shared" si="31"/>
        <v>3.4321428571428574</v>
      </c>
      <c r="H205" s="9">
        <f t="shared" si="31"/>
        <v>3.5714285714285721</v>
      </c>
      <c r="I205" s="9">
        <f t="shared" si="31"/>
        <v>3.7107142857142863</v>
      </c>
      <c r="J205" s="9">
        <f t="shared" si="31"/>
        <v>3.8500000000000005</v>
      </c>
      <c r="K205" s="9">
        <f t="shared" si="31"/>
        <v>3.9892857142857148</v>
      </c>
      <c r="L205" s="9">
        <f t="shared" si="31"/>
        <v>4.1285714285714299</v>
      </c>
      <c r="M205" s="9">
        <f t="shared" si="31"/>
        <v>4.2678571428571441</v>
      </c>
      <c r="N205" s="1"/>
      <c r="O205" s="470" t="s">
        <v>764</v>
      </c>
      <c r="P205" s="74" t="s">
        <v>6</v>
      </c>
      <c r="Q205" s="74">
        <v>1E-3</v>
      </c>
      <c r="R205" s="74">
        <v>2E-3</v>
      </c>
      <c r="S205" s="74">
        <v>0</v>
      </c>
      <c r="T205" s="74">
        <v>2.5000000000000001E-2</v>
      </c>
      <c r="U205" s="1"/>
      <c r="V205">
        <f t="shared" ref="V205:V222" si="33">AVERAGE(Q205,R205)</f>
        <v>1.5E-3</v>
      </c>
    </row>
    <row r="206" spans="1:22" ht="15">
      <c r="A206" s="451"/>
      <c r="B206" s="1">
        <f t="shared" si="32"/>
        <v>6.0000000000000001E-3</v>
      </c>
      <c r="C206" s="9">
        <f t="shared" si="31"/>
        <v>3.4321428571428569</v>
      </c>
      <c r="D206" s="9">
        <f t="shared" si="31"/>
        <v>3.5992857142857142</v>
      </c>
      <c r="E206" s="9">
        <f t="shared" si="31"/>
        <v>3.7664285714285715</v>
      </c>
      <c r="F206" s="9">
        <f t="shared" si="31"/>
        <v>3.9335714285714287</v>
      </c>
      <c r="G206" s="9">
        <f t="shared" si="31"/>
        <v>4.100714285714286</v>
      </c>
      <c r="H206" s="9">
        <f t="shared" si="31"/>
        <v>4.2678571428571432</v>
      </c>
      <c r="I206" s="9">
        <f t="shared" si="31"/>
        <v>4.4350000000000005</v>
      </c>
      <c r="J206" s="9">
        <f t="shared" si="31"/>
        <v>4.6021428571428578</v>
      </c>
      <c r="K206" s="9">
        <f t="shared" si="31"/>
        <v>4.769285714285715</v>
      </c>
      <c r="L206" s="9">
        <f t="shared" si="31"/>
        <v>4.9364285714285723</v>
      </c>
      <c r="M206" s="9">
        <f t="shared" si="31"/>
        <v>5.0966666666666685</v>
      </c>
      <c r="N206" s="1"/>
      <c r="O206" s="471"/>
      <c r="P206" s="74" t="s">
        <v>81</v>
      </c>
      <c r="Q206" s="74">
        <v>2E-3</v>
      </c>
      <c r="R206" s="74">
        <v>3.0000000000000001E-3</v>
      </c>
      <c r="S206" s="74">
        <v>1E-3</v>
      </c>
      <c r="T206" s="74">
        <v>0.03</v>
      </c>
      <c r="U206" s="1"/>
      <c r="V206">
        <f t="shared" si="33"/>
        <v>2.5000000000000001E-3</v>
      </c>
    </row>
    <row r="207" spans="1:22" ht="15">
      <c r="A207" s="451"/>
      <c r="B207" s="1">
        <f t="shared" si="32"/>
        <v>7.0000000000000001E-3</v>
      </c>
      <c r="C207" s="9">
        <f t="shared" si="31"/>
        <v>3.9892857142857143</v>
      </c>
      <c r="D207" s="9">
        <f t="shared" si="31"/>
        <v>4.1842857142857142</v>
      </c>
      <c r="E207" s="9">
        <f t="shared" si="31"/>
        <v>4.3792857142857144</v>
      </c>
      <c r="F207" s="9">
        <f t="shared" si="31"/>
        <v>4.5742857142857147</v>
      </c>
      <c r="G207" s="9">
        <f t="shared" si="31"/>
        <v>4.769285714285715</v>
      </c>
      <c r="H207" s="9">
        <f t="shared" si="31"/>
        <v>4.9642857142857153</v>
      </c>
      <c r="I207" s="9">
        <f t="shared" si="31"/>
        <v>5.1486666666666672</v>
      </c>
      <c r="J207" s="9">
        <f t="shared" si="31"/>
        <v>5.3306666666666684</v>
      </c>
      <c r="K207" s="9">
        <f t="shared" si="31"/>
        <v>5.5126666666666679</v>
      </c>
      <c r="L207" s="9">
        <f t="shared" si="31"/>
        <v>5.6946666666666683</v>
      </c>
      <c r="M207" s="9">
        <f t="shared" si="31"/>
        <v>5.8766666666666687</v>
      </c>
      <c r="N207" s="1"/>
      <c r="O207" s="470" t="s">
        <v>715</v>
      </c>
      <c r="P207" s="74" t="s">
        <v>888</v>
      </c>
      <c r="Q207" s="74">
        <v>3.0000000000000001E-3</v>
      </c>
      <c r="R207" s="74">
        <v>5.0000000000000001E-3</v>
      </c>
      <c r="S207" s="74">
        <v>2E-3</v>
      </c>
      <c r="T207" s="74">
        <v>3.5000000000000003E-2</v>
      </c>
      <c r="U207" s="1"/>
      <c r="V207">
        <f t="shared" si="33"/>
        <v>4.0000000000000001E-3</v>
      </c>
    </row>
    <row r="208" spans="1:22" ht="15">
      <c r="A208" s="451"/>
      <c r="B208" s="1">
        <f t="shared" si="32"/>
        <v>8.0000000000000002E-3</v>
      </c>
      <c r="C208" s="9">
        <f t="shared" si="31"/>
        <v>4.5464285714285708</v>
      </c>
      <c r="D208" s="9">
        <f t="shared" si="31"/>
        <v>4.7692857142857132</v>
      </c>
      <c r="E208" s="9">
        <f t="shared" si="31"/>
        <v>4.9921428571428574</v>
      </c>
      <c r="F208" s="9">
        <f t="shared" si="31"/>
        <v>5.2006666666666668</v>
      </c>
      <c r="G208" s="9">
        <f t="shared" si="31"/>
        <v>5.408666666666667</v>
      </c>
      <c r="H208" s="9">
        <f t="shared" si="31"/>
        <v>5.6166666666666671</v>
      </c>
      <c r="I208" s="9">
        <f t="shared" si="31"/>
        <v>5.8246666666666673</v>
      </c>
      <c r="J208" s="9">
        <f t="shared" si="31"/>
        <v>6.0326666666666675</v>
      </c>
      <c r="K208" s="9">
        <f t="shared" si="31"/>
        <v>6.2406666666666677</v>
      </c>
      <c r="L208" s="9">
        <f t="shared" si="31"/>
        <v>6.4486666666666679</v>
      </c>
      <c r="M208" s="9">
        <f t="shared" si="31"/>
        <v>6.6566666666666681</v>
      </c>
      <c r="N208" s="1"/>
      <c r="O208" s="472"/>
      <c r="P208" s="74" t="s">
        <v>887</v>
      </c>
      <c r="Q208" s="74">
        <v>5.0000000000000001E-3</v>
      </c>
      <c r="R208" s="74">
        <v>0.01</v>
      </c>
      <c r="S208" s="74">
        <v>3.0000000000000001E-3</v>
      </c>
      <c r="T208" s="74">
        <v>0.04</v>
      </c>
      <c r="U208" s="1"/>
      <c r="V208">
        <f t="shared" si="33"/>
        <v>7.4999999999999997E-3</v>
      </c>
    </row>
    <row r="209" spans="1:22" ht="15">
      <c r="A209" s="451"/>
      <c r="B209" s="1">
        <f t="shared" si="32"/>
        <v>9.0000000000000011E-3</v>
      </c>
      <c r="C209" s="9">
        <f t="shared" si="31"/>
        <v>5.0966666666666676</v>
      </c>
      <c r="D209" s="9">
        <f t="shared" si="31"/>
        <v>5.3306666666666676</v>
      </c>
      <c r="E209" s="9">
        <f t="shared" si="31"/>
        <v>5.5646666666666684</v>
      </c>
      <c r="F209" s="9">
        <f t="shared" si="31"/>
        <v>5.7986666666666684</v>
      </c>
      <c r="G209" s="9">
        <f t="shared" si="31"/>
        <v>6.0326666666666684</v>
      </c>
      <c r="H209" s="9">
        <f t="shared" si="31"/>
        <v>6.2666666666666693</v>
      </c>
      <c r="I209" s="9">
        <f t="shared" si="31"/>
        <v>6.5006666666666693</v>
      </c>
      <c r="J209" s="9">
        <f t="shared" si="31"/>
        <v>6.7346666666666692</v>
      </c>
      <c r="K209" s="9">
        <f t="shared" si="31"/>
        <v>6.9686666666666701</v>
      </c>
      <c r="L209" s="9">
        <f t="shared" si="31"/>
        <v>7.2026666666666701</v>
      </c>
      <c r="M209" s="9">
        <f t="shared" si="31"/>
        <v>7.4366666666666692</v>
      </c>
      <c r="N209" s="1"/>
      <c r="O209" s="472"/>
      <c r="P209" s="74" t="s">
        <v>6</v>
      </c>
      <c r="Q209" s="74">
        <v>0.01</v>
      </c>
      <c r="R209" s="74">
        <v>0.02</v>
      </c>
      <c r="S209" s="74">
        <v>4.0000000000000001E-3</v>
      </c>
      <c r="T209" s="74">
        <v>4.4999999999999998E-2</v>
      </c>
      <c r="U209" s="1"/>
      <c r="V209">
        <f t="shared" si="33"/>
        <v>1.4999999999999999E-2</v>
      </c>
    </row>
    <row r="210" spans="1:22" ht="15">
      <c r="A210" s="451"/>
      <c r="B210" s="1">
        <f t="shared" si="32"/>
        <v>1.0000000000000002E-2</v>
      </c>
      <c r="C210" s="9">
        <f t="shared" si="31"/>
        <v>5.6166666666666671</v>
      </c>
      <c r="D210" s="9">
        <f t="shared" si="31"/>
        <v>5.8766666666666678</v>
      </c>
      <c r="E210" s="9">
        <f t="shared" si="31"/>
        <v>6.1366666666666676</v>
      </c>
      <c r="F210" s="9">
        <f t="shared" si="31"/>
        <v>6.3966666666666683</v>
      </c>
      <c r="G210" s="9">
        <f t="shared" si="31"/>
        <v>6.656666666666669</v>
      </c>
      <c r="H210" s="9">
        <f t="shared" si="31"/>
        <v>6.9166666666666687</v>
      </c>
      <c r="I210" s="9">
        <f t="shared" si="31"/>
        <v>7.1766666666666685</v>
      </c>
      <c r="J210" s="9">
        <f t="shared" si="31"/>
        <v>7.4366666666666692</v>
      </c>
      <c r="K210" s="9">
        <f t="shared" si="31"/>
        <v>7.6966666666666699</v>
      </c>
      <c r="L210" s="9">
        <f t="shared" si="31"/>
        <v>7.9566666666666706</v>
      </c>
      <c r="M210" s="9">
        <f t="shared" si="31"/>
        <v>8.2166666666666703</v>
      </c>
      <c r="N210" s="1"/>
      <c r="O210" s="472"/>
      <c r="P210" s="74" t="s">
        <v>81</v>
      </c>
      <c r="Q210" s="74">
        <v>0.02</v>
      </c>
      <c r="R210" s="74">
        <v>0.04</v>
      </c>
      <c r="S210" s="74">
        <v>6.0000000000000001E-3</v>
      </c>
      <c r="T210" s="74">
        <v>5.5E-2</v>
      </c>
      <c r="U210" s="1"/>
      <c r="V210">
        <f t="shared" si="33"/>
        <v>0.03</v>
      </c>
    </row>
    <row r="211" spans="1:22" ht="15">
      <c r="A211" s="451"/>
      <c r="B211" s="1">
        <f t="shared" si="32"/>
        <v>1.1000000000000003E-2</v>
      </c>
      <c r="C211" s="9">
        <f t="shared" si="31"/>
        <v>6.1366666666666676</v>
      </c>
      <c r="D211" s="9">
        <f t="shared" si="31"/>
        <v>6.4226666666666681</v>
      </c>
      <c r="E211" s="9">
        <f t="shared" si="31"/>
        <v>6.7086666666666677</v>
      </c>
      <c r="F211" s="9">
        <f t="shared" si="31"/>
        <v>6.994666666666669</v>
      </c>
      <c r="G211" s="9">
        <f t="shared" si="31"/>
        <v>7.2806666666666686</v>
      </c>
      <c r="H211" s="9">
        <f t="shared" si="31"/>
        <v>7.56666666666667</v>
      </c>
      <c r="I211" s="9">
        <f t="shared" si="31"/>
        <v>7.8526666666666696</v>
      </c>
      <c r="J211" s="9">
        <f t="shared" si="31"/>
        <v>8.1386666666666692</v>
      </c>
      <c r="K211" s="9">
        <f t="shared" si="31"/>
        <v>8.4246666666666705</v>
      </c>
      <c r="L211" s="9">
        <f t="shared" si="31"/>
        <v>8.7106666666666719</v>
      </c>
      <c r="M211" s="9">
        <f t="shared" si="31"/>
        <v>8.9966666666666715</v>
      </c>
      <c r="N211" s="1"/>
      <c r="O211" s="471"/>
      <c r="P211" s="74" t="s">
        <v>159</v>
      </c>
      <c r="Q211" s="74">
        <v>0.04</v>
      </c>
      <c r="R211" s="74">
        <v>0.08</v>
      </c>
      <c r="S211" s="74">
        <v>0.01</v>
      </c>
      <c r="T211" s="74">
        <v>7.0000000000000007E-2</v>
      </c>
      <c r="U211" s="1"/>
      <c r="V211">
        <f t="shared" si="33"/>
        <v>0.06</v>
      </c>
    </row>
    <row r="212" spans="1:22" ht="15">
      <c r="A212" s="451"/>
      <c r="B212" s="1">
        <f t="shared" si="32"/>
        <v>1.2000000000000004E-2</v>
      </c>
      <c r="C212" s="9">
        <f t="shared" si="31"/>
        <v>6.656666666666669</v>
      </c>
      <c r="D212" s="9">
        <f t="shared" si="31"/>
        <v>6.9686666666666692</v>
      </c>
      <c r="E212" s="9">
        <f t="shared" si="31"/>
        <v>7.2806666666666686</v>
      </c>
      <c r="F212" s="9">
        <f t="shared" si="31"/>
        <v>7.5926666666666698</v>
      </c>
      <c r="G212" s="9">
        <f t="shared" si="31"/>
        <v>7.9046666666666709</v>
      </c>
      <c r="H212" s="9">
        <f t="shared" si="31"/>
        <v>8.2166666666666721</v>
      </c>
      <c r="I212" s="9">
        <f t="shared" si="31"/>
        <v>8.5286666666666715</v>
      </c>
      <c r="J212" s="9">
        <f t="shared" si="31"/>
        <v>8.8406666666666727</v>
      </c>
      <c r="K212" s="9">
        <f t="shared" si="31"/>
        <v>9.1526666666666721</v>
      </c>
      <c r="L212" s="9">
        <f t="shared" si="31"/>
        <v>9.4646666666666732</v>
      </c>
      <c r="M212" s="9">
        <f t="shared" si="31"/>
        <v>9.7766666666666744</v>
      </c>
      <c r="N212" s="1"/>
      <c r="O212" s="470" t="s">
        <v>320</v>
      </c>
      <c r="P212" s="74" t="s">
        <v>888</v>
      </c>
      <c r="Q212" s="74">
        <v>0.08</v>
      </c>
      <c r="R212" s="74">
        <v>0.16</v>
      </c>
      <c r="S212" s="74">
        <v>0.03</v>
      </c>
      <c r="T212" s="74">
        <v>0.12</v>
      </c>
      <c r="U212" s="1"/>
      <c r="V212">
        <f t="shared" si="33"/>
        <v>0.12</v>
      </c>
    </row>
    <row r="213" spans="1:22" ht="15">
      <c r="A213" s="451"/>
      <c r="B213" s="1">
        <f t="shared" si="32"/>
        <v>1.3000000000000005E-2</v>
      </c>
      <c r="C213" s="9">
        <f t="shared" si="31"/>
        <v>7.1766666666666685</v>
      </c>
      <c r="D213" s="9">
        <f t="shared" si="31"/>
        <v>7.5146666666666695</v>
      </c>
      <c r="E213" s="9">
        <f t="shared" si="31"/>
        <v>7.8526666666666696</v>
      </c>
      <c r="F213" s="9">
        <f t="shared" si="31"/>
        <v>8.1906666666666705</v>
      </c>
      <c r="G213" s="9">
        <f t="shared" si="31"/>
        <v>8.5286666666666697</v>
      </c>
      <c r="H213" s="9">
        <f t="shared" si="31"/>
        <v>8.8666666666666707</v>
      </c>
      <c r="I213" s="9">
        <f t="shared" si="31"/>
        <v>9.2046666666666717</v>
      </c>
      <c r="J213" s="9">
        <f t="shared" si="31"/>
        <v>9.5426666666666726</v>
      </c>
      <c r="K213" s="9">
        <f t="shared" si="31"/>
        <v>9.8806666666666736</v>
      </c>
      <c r="L213" s="9">
        <f t="shared" si="31"/>
        <v>10.218666666666673</v>
      </c>
      <c r="M213" s="9">
        <f t="shared" si="31"/>
        <v>10.556666666666674</v>
      </c>
      <c r="N213" s="1"/>
      <c r="O213" s="472"/>
      <c r="P213" s="74" t="s">
        <v>887</v>
      </c>
      <c r="Q213" s="74">
        <v>0.16</v>
      </c>
      <c r="R213" s="74">
        <v>0.3</v>
      </c>
      <c r="S213" s="74">
        <v>0.06</v>
      </c>
      <c r="T213" s="74">
        <v>0.17</v>
      </c>
      <c r="U213" s="1"/>
      <c r="V213">
        <f t="shared" si="33"/>
        <v>0.22999999999999998</v>
      </c>
    </row>
    <row r="214" spans="1:22" ht="15">
      <c r="A214" s="451"/>
      <c r="B214" s="1">
        <f t="shared" si="32"/>
        <v>1.4000000000000005E-2</v>
      </c>
      <c r="C214" s="9">
        <f t="shared" si="31"/>
        <v>7.6966666666666699</v>
      </c>
      <c r="D214" s="9">
        <f t="shared" si="31"/>
        <v>8.0606666666666698</v>
      </c>
      <c r="E214" s="9">
        <f t="shared" si="31"/>
        <v>8.4246666666666705</v>
      </c>
      <c r="F214" s="9">
        <f t="shared" si="31"/>
        <v>8.7886666666666713</v>
      </c>
      <c r="G214" s="9">
        <f t="shared" si="31"/>
        <v>9.1526666666666721</v>
      </c>
      <c r="H214" s="9">
        <f t="shared" si="31"/>
        <v>9.5166666666666728</v>
      </c>
      <c r="I214" s="9">
        <f t="shared" si="31"/>
        <v>9.8806666666666736</v>
      </c>
      <c r="J214" s="9">
        <f t="shared" si="31"/>
        <v>10.244666666666674</v>
      </c>
      <c r="K214" s="9">
        <f t="shared" si="31"/>
        <v>10.608666666666673</v>
      </c>
      <c r="L214" s="9">
        <f t="shared" si="31"/>
        <v>10.972666666666676</v>
      </c>
      <c r="M214" s="9">
        <f t="shared" si="31"/>
        <v>11.336666666666675</v>
      </c>
      <c r="N214" s="1"/>
      <c r="O214" s="472"/>
      <c r="P214" s="74" t="s">
        <v>6</v>
      </c>
      <c r="Q214" s="74">
        <v>0.3</v>
      </c>
      <c r="R214" s="74">
        <v>0.6</v>
      </c>
      <c r="S214" s="74">
        <v>0.12</v>
      </c>
      <c r="T214" s="74">
        <v>0.24</v>
      </c>
      <c r="U214" s="1"/>
      <c r="V214">
        <f t="shared" si="33"/>
        <v>0.44999999999999996</v>
      </c>
    </row>
    <row r="215" spans="1:22" ht="15">
      <c r="A215" s="451"/>
      <c r="B215" s="1">
        <f t="shared" si="32"/>
        <v>1.5000000000000006E-2</v>
      </c>
      <c r="C215" s="9">
        <f t="shared" si="31"/>
        <v>8.2166666666666703</v>
      </c>
      <c r="D215" s="9">
        <f t="shared" si="31"/>
        <v>8.6066666666666709</v>
      </c>
      <c r="E215" s="9">
        <f t="shared" si="31"/>
        <v>8.9966666666666715</v>
      </c>
      <c r="F215" s="9">
        <f t="shared" si="31"/>
        <v>9.3866666666666703</v>
      </c>
      <c r="G215" s="9">
        <f t="shared" si="31"/>
        <v>9.7766666666666744</v>
      </c>
      <c r="H215" s="9">
        <f t="shared" si="31"/>
        <v>10.166666666666673</v>
      </c>
      <c r="I215" s="9">
        <f t="shared" si="31"/>
        <v>10.556666666666674</v>
      </c>
      <c r="J215" s="9">
        <f t="shared" si="31"/>
        <v>10.946666666666673</v>
      </c>
      <c r="K215" s="9">
        <f t="shared" si="31"/>
        <v>11.336666666666675</v>
      </c>
      <c r="L215" s="9">
        <f t="shared" si="31"/>
        <v>11.726666666666674</v>
      </c>
      <c r="M215" s="9">
        <f t="shared" si="31"/>
        <v>12.116666666666676</v>
      </c>
      <c r="N215" s="1"/>
      <c r="O215" s="472"/>
      <c r="P215" s="74" t="s">
        <v>81</v>
      </c>
      <c r="Q215" s="74">
        <v>0.6</v>
      </c>
      <c r="R215" s="74">
        <v>1.3</v>
      </c>
      <c r="S215" s="74">
        <v>0.25</v>
      </c>
      <c r="T215" s="74">
        <v>0.36</v>
      </c>
      <c r="U215" s="1"/>
      <c r="V215">
        <f t="shared" si="33"/>
        <v>0.95</v>
      </c>
    </row>
    <row r="216" spans="1:22" ht="15">
      <c r="A216" s="451"/>
      <c r="B216" s="1">
        <f t="shared" si="32"/>
        <v>1.6000000000000007E-2</v>
      </c>
      <c r="C216" s="9">
        <f t="shared" si="31"/>
        <v>8.7366666666666699</v>
      </c>
      <c r="D216" s="9">
        <f t="shared" si="31"/>
        <v>9.1526666666666703</v>
      </c>
      <c r="E216" s="9">
        <f t="shared" si="31"/>
        <v>9.5686666666666724</v>
      </c>
      <c r="F216" s="9">
        <f t="shared" si="31"/>
        <v>9.9846666666666728</v>
      </c>
      <c r="G216" s="9">
        <f t="shared" si="31"/>
        <v>10.400666666666673</v>
      </c>
      <c r="H216" s="9">
        <f t="shared" si="31"/>
        <v>10.816666666666674</v>
      </c>
      <c r="I216" s="9">
        <f t="shared" si="31"/>
        <v>11.232666666666674</v>
      </c>
      <c r="J216" s="9">
        <f t="shared" si="31"/>
        <v>11.648666666666674</v>
      </c>
      <c r="K216" s="9">
        <f t="shared" si="31"/>
        <v>12.064666666666675</v>
      </c>
      <c r="L216" s="9">
        <f t="shared" si="31"/>
        <v>12.480666666666675</v>
      </c>
      <c r="M216" s="9">
        <f t="shared" si="31"/>
        <v>12.896666666666675</v>
      </c>
      <c r="N216" s="1"/>
      <c r="O216" s="471"/>
      <c r="P216" s="74" t="s">
        <v>159</v>
      </c>
      <c r="Q216" s="74">
        <v>1.3</v>
      </c>
      <c r="R216" s="74">
        <v>2.5</v>
      </c>
      <c r="S216" s="74">
        <v>0.54</v>
      </c>
      <c r="T216" s="74">
        <v>0.52</v>
      </c>
      <c r="U216" s="1"/>
      <c r="V216">
        <f t="shared" si="33"/>
        <v>1.9</v>
      </c>
    </row>
    <row r="217" spans="1:22" ht="15">
      <c r="A217" s="451"/>
      <c r="B217" s="1">
        <f t="shared" si="32"/>
        <v>1.7000000000000008E-2</v>
      </c>
      <c r="C217" s="9">
        <f t="shared" si="31"/>
        <v>9.2566666666666713</v>
      </c>
      <c r="D217" s="9">
        <f t="shared" si="31"/>
        <v>9.6986666666666714</v>
      </c>
      <c r="E217" s="9">
        <f t="shared" si="31"/>
        <v>10.140666666666672</v>
      </c>
      <c r="F217" s="9">
        <f t="shared" si="31"/>
        <v>10.582666666666672</v>
      </c>
      <c r="G217" s="9">
        <f t="shared" si="31"/>
        <v>11.024666666666674</v>
      </c>
      <c r="H217" s="9">
        <f t="shared" si="31"/>
        <v>11.466666666666674</v>
      </c>
      <c r="I217" s="9">
        <f t="shared" si="31"/>
        <v>11.908666666666672</v>
      </c>
      <c r="J217" s="9">
        <f t="shared" si="31"/>
        <v>12.350666666666674</v>
      </c>
      <c r="K217" s="9">
        <f t="shared" si="31"/>
        <v>12.792666666666674</v>
      </c>
      <c r="L217" s="9">
        <f t="shared" si="31"/>
        <v>13.234666666666676</v>
      </c>
      <c r="M217" s="9">
        <f t="shared" si="31"/>
        <v>13.676666666666677</v>
      </c>
      <c r="N217" s="1"/>
      <c r="O217" s="470" t="s">
        <v>651</v>
      </c>
      <c r="P217" s="74" t="s">
        <v>80</v>
      </c>
      <c r="Q217" s="74">
        <v>2.5</v>
      </c>
      <c r="R217" s="74">
        <v>5</v>
      </c>
      <c r="S217" s="74">
        <v>1.1000000000000001</v>
      </c>
      <c r="T217" s="74">
        <v>0.75</v>
      </c>
      <c r="U217" s="1"/>
      <c r="V217">
        <f t="shared" si="33"/>
        <v>3.75</v>
      </c>
    </row>
    <row r="218" spans="1:22" ht="15">
      <c r="A218" s="451"/>
      <c r="B218" s="1">
        <f t="shared" si="32"/>
        <v>1.8000000000000009E-2</v>
      </c>
      <c r="C218" s="9">
        <f t="shared" si="31"/>
        <v>9.7766666666666744</v>
      </c>
      <c r="D218" s="9">
        <f t="shared" si="31"/>
        <v>10.244666666666673</v>
      </c>
      <c r="E218" s="9">
        <f t="shared" si="31"/>
        <v>10.712666666666674</v>
      </c>
      <c r="F218" s="9">
        <f t="shared" si="31"/>
        <v>11.180666666666674</v>
      </c>
      <c r="G218" s="9">
        <f t="shared" si="31"/>
        <v>11.648666666666676</v>
      </c>
      <c r="H218" s="9">
        <f t="shared" si="31"/>
        <v>12.116666666666676</v>
      </c>
      <c r="I218" s="9">
        <f t="shared" si="31"/>
        <v>12.584666666666678</v>
      </c>
      <c r="J218" s="9">
        <f t="shared" si="31"/>
        <v>13.052666666666678</v>
      </c>
      <c r="K218" s="9">
        <f t="shared" si="31"/>
        <v>13.520666666666676</v>
      </c>
      <c r="L218" s="9">
        <f t="shared" si="31"/>
        <v>13.988666666666678</v>
      </c>
      <c r="M218" s="9">
        <f t="shared" si="31"/>
        <v>14.456666666666678</v>
      </c>
      <c r="N218" s="1"/>
      <c r="O218" s="471"/>
      <c r="P218" s="74" t="s">
        <v>400</v>
      </c>
      <c r="Q218" s="74">
        <v>5</v>
      </c>
      <c r="R218" s="74">
        <v>10</v>
      </c>
      <c r="S218" s="74">
        <v>2.2999999999999998</v>
      </c>
      <c r="T218" s="74">
        <v>1.08</v>
      </c>
      <c r="U218" s="1"/>
      <c r="V218">
        <f t="shared" si="33"/>
        <v>7.5</v>
      </c>
    </row>
    <row r="219" spans="1:22" ht="15">
      <c r="A219" s="451"/>
      <c r="B219" s="1">
        <f t="shared" si="32"/>
        <v>1.900000000000001E-2</v>
      </c>
      <c r="C219" s="9">
        <f t="shared" si="31"/>
        <v>10.296666666666672</v>
      </c>
      <c r="D219" s="9">
        <f t="shared" si="31"/>
        <v>10.790666666666672</v>
      </c>
      <c r="E219" s="9">
        <f t="shared" si="31"/>
        <v>11.284666666666674</v>
      </c>
      <c r="F219" s="9">
        <f t="shared" si="31"/>
        <v>11.778666666666675</v>
      </c>
      <c r="G219" s="9">
        <f t="shared" si="31"/>
        <v>12.272666666666677</v>
      </c>
      <c r="H219" s="9">
        <f t="shared" si="31"/>
        <v>12.766666666666676</v>
      </c>
      <c r="I219" s="9">
        <f t="shared" si="31"/>
        <v>13.260666666666676</v>
      </c>
      <c r="J219" s="9">
        <f t="shared" si="31"/>
        <v>13.754666666666678</v>
      </c>
      <c r="K219" s="9">
        <f t="shared" si="31"/>
        <v>14.248666666666677</v>
      </c>
      <c r="L219" s="9">
        <f t="shared" si="31"/>
        <v>14.742666666666679</v>
      </c>
      <c r="M219" s="9">
        <f t="shared" si="31"/>
        <v>15.236666666666679</v>
      </c>
      <c r="N219" s="1"/>
      <c r="O219" s="470" t="s">
        <v>714</v>
      </c>
      <c r="P219" s="74" t="s">
        <v>80</v>
      </c>
      <c r="Q219" s="74">
        <v>10</v>
      </c>
      <c r="R219" s="74">
        <v>20</v>
      </c>
      <c r="S219" s="74">
        <v>4.7</v>
      </c>
      <c r="T219" s="74">
        <v>1.54</v>
      </c>
      <c r="U219" s="1"/>
      <c r="V219">
        <f t="shared" si="33"/>
        <v>15</v>
      </c>
    </row>
    <row r="220" spans="1:22" ht="15">
      <c r="A220" s="452"/>
      <c r="B220" s="1">
        <f t="shared" si="32"/>
        <v>2.0000000000000011E-2</v>
      </c>
      <c r="C220" s="9">
        <f t="shared" si="31"/>
        <v>10.816666666666674</v>
      </c>
      <c r="D220" s="9">
        <f t="shared" si="31"/>
        <v>11.336666666666673</v>
      </c>
      <c r="E220" s="9">
        <f t="shared" si="31"/>
        <v>11.856666666666674</v>
      </c>
      <c r="F220" s="9">
        <f t="shared" si="31"/>
        <v>12.376666666666676</v>
      </c>
      <c r="G220" s="9">
        <f t="shared" si="31"/>
        <v>12.896666666666675</v>
      </c>
      <c r="H220" s="9">
        <f t="shared" si="31"/>
        <v>13.416666666666677</v>
      </c>
      <c r="I220" s="9">
        <f t="shared" si="31"/>
        <v>13.936666666666676</v>
      </c>
      <c r="J220" s="9">
        <f t="shared" si="31"/>
        <v>14.456666666666678</v>
      </c>
      <c r="K220" s="9">
        <f t="shared" si="31"/>
        <v>14.976666666666679</v>
      </c>
      <c r="L220" s="9">
        <f t="shared" si="31"/>
        <v>15.496666666666679</v>
      </c>
      <c r="M220" s="9">
        <f t="shared" si="31"/>
        <v>16.01666666666668</v>
      </c>
      <c r="N220" s="1"/>
      <c r="O220" s="472"/>
      <c r="P220" s="74" t="s">
        <v>6</v>
      </c>
      <c r="Q220" s="74">
        <v>20</v>
      </c>
      <c r="R220" s="74">
        <v>40</v>
      </c>
      <c r="S220" s="74">
        <v>9.3000000000000007</v>
      </c>
      <c r="T220" s="74">
        <v>2.2000000000000002</v>
      </c>
      <c r="U220" s="1"/>
      <c r="V220">
        <f t="shared" si="33"/>
        <v>30</v>
      </c>
    </row>
    <row r="221" spans="1:22" ht="15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472"/>
      <c r="P221" s="74" t="s">
        <v>400</v>
      </c>
      <c r="Q221" s="74">
        <v>40</v>
      </c>
      <c r="R221" s="74">
        <v>80</v>
      </c>
      <c r="S221" s="74">
        <v>18.7</v>
      </c>
      <c r="T221" s="74">
        <v>3.08</v>
      </c>
      <c r="U221" s="1"/>
      <c r="V221">
        <f t="shared" si="33"/>
        <v>60</v>
      </c>
    </row>
    <row r="222" spans="1:22" ht="15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471"/>
      <c r="P222" s="74" t="s">
        <v>5</v>
      </c>
      <c r="Q222" s="74">
        <v>80</v>
      </c>
      <c r="R222" s="74">
        <v>160</v>
      </c>
      <c r="S222" s="74">
        <v>37.4</v>
      </c>
      <c r="T222" s="74">
        <v>4.3600000000000003</v>
      </c>
      <c r="U222" s="1"/>
      <c r="V222">
        <f t="shared" si="33"/>
        <v>120</v>
      </c>
    </row>
    <row r="223" spans="1:22" ht="15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</row>
    <row r="224" spans="1:22" ht="15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</row>
    <row r="225" spans="2:21" ht="15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</row>
    <row r="226" spans="2:21" ht="15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</row>
    <row r="227" spans="2:21" ht="15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</row>
    <row r="228" spans="2:21" ht="15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S228" s="1"/>
      <c r="T228" s="1"/>
      <c r="U228" s="1"/>
    </row>
    <row r="229" spans="2:21" ht="15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S229" s="1"/>
      <c r="T229" s="1"/>
      <c r="U229" s="1"/>
    </row>
    <row r="230" spans="2:21" ht="15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S230" s="1"/>
      <c r="T230" s="1"/>
      <c r="U230" s="1"/>
    </row>
    <row r="231" spans="2:21" ht="15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S231" s="1"/>
      <c r="T231" s="1"/>
      <c r="U231" s="1"/>
    </row>
    <row r="232" spans="2:21" ht="15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S232" s="1"/>
      <c r="T232" s="1"/>
      <c r="U232" s="1"/>
    </row>
    <row r="233" spans="2:21" ht="1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S233" s="1"/>
      <c r="T233" s="1"/>
      <c r="U233" s="1"/>
    </row>
    <row r="234" spans="2:21" ht="15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S234" s="1"/>
      <c r="T234" s="1"/>
      <c r="U234" s="1"/>
    </row>
    <row r="235" spans="2:21" ht="15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S235" s="1"/>
      <c r="T235" s="1"/>
      <c r="U235" s="1"/>
    </row>
    <row r="236" spans="2:21" ht="15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S236" s="1"/>
      <c r="T236" s="1"/>
      <c r="U236" s="1"/>
    </row>
    <row r="237" spans="2:21" ht="15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S237" s="1"/>
      <c r="T237" s="1"/>
      <c r="U237" s="1"/>
    </row>
    <row r="238" spans="2:21" ht="15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S238" s="1"/>
      <c r="T238" s="1"/>
      <c r="U238" s="1"/>
    </row>
    <row r="239" spans="2:21" ht="15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S239" s="1"/>
      <c r="T239" s="1"/>
      <c r="U239" s="1"/>
    </row>
    <row r="240" spans="2:21" ht="15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S240" s="1"/>
      <c r="T240" s="1"/>
      <c r="U240" s="1"/>
    </row>
    <row r="241" spans="2:21" ht="15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S241" s="1"/>
      <c r="T241" s="1"/>
      <c r="U241" s="1"/>
    </row>
    <row r="242" spans="2:21" ht="15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S242" s="1"/>
      <c r="T242" s="1"/>
      <c r="U242" s="1"/>
    </row>
    <row r="243" spans="2:21" ht="15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S243" s="1"/>
      <c r="T243" s="1"/>
      <c r="U243" s="1"/>
    </row>
    <row r="244" spans="2:21" ht="15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S244" s="1"/>
      <c r="T244" s="1"/>
      <c r="U244" s="1"/>
    </row>
    <row r="245" spans="2:21" ht="15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S245" s="1"/>
      <c r="T245" s="1"/>
      <c r="U245" s="1"/>
    </row>
    <row r="246" spans="2:21" ht="15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S246" s="1"/>
      <c r="T246" s="1"/>
      <c r="U246" s="1"/>
    </row>
    <row r="247" spans="2:21" ht="15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S247" s="1"/>
      <c r="T247" s="1"/>
      <c r="U247" s="1"/>
    </row>
    <row r="248" spans="2:21" ht="15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S248" s="1"/>
      <c r="T248" s="1"/>
      <c r="U248" s="1"/>
    </row>
    <row r="249" spans="2:21" ht="15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S249" s="1"/>
      <c r="T249" s="1"/>
      <c r="U249" s="1"/>
    </row>
    <row r="250" spans="2:21" ht="15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S250" s="1"/>
      <c r="T250" s="1"/>
      <c r="U250" s="1"/>
    </row>
    <row r="251" spans="2:21" ht="15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S251" s="1"/>
      <c r="T251" s="1"/>
      <c r="U251" s="1"/>
    </row>
    <row r="252" spans="2:21" ht="15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S252" s="1"/>
      <c r="T252" s="1"/>
      <c r="U252" s="1"/>
    </row>
    <row r="253" spans="2:21" ht="15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S253" s="1"/>
      <c r="T253" s="1"/>
      <c r="U253" s="1"/>
    </row>
    <row r="254" spans="2:21" ht="15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S254" s="1"/>
      <c r="T254" s="1"/>
      <c r="U254" s="1"/>
    </row>
    <row r="255" spans="2:21" ht="15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S255" s="1"/>
      <c r="T255" s="1"/>
      <c r="U255" s="1"/>
    </row>
    <row r="256" spans="2:21" ht="15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S256" s="1"/>
      <c r="T256" s="1"/>
      <c r="U256" s="1"/>
    </row>
    <row r="257" spans="2:21" ht="15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S257" s="1"/>
      <c r="T257" s="1"/>
      <c r="U257" s="1"/>
    </row>
    <row r="258" spans="2:21" ht="15">
      <c r="S258" s="1"/>
      <c r="T258" s="1"/>
      <c r="U258" s="1"/>
    </row>
    <row r="259" spans="2:21" ht="15">
      <c r="S259" s="1"/>
      <c r="T259" s="1"/>
      <c r="U259" s="1"/>
    </row>
    <row r="260" spans="2:21" ht="15">
      <c r="S260" s="1"/>
      <c r="T260" s="1"/>
      <c r="U260" s="1"/>
    </row>
    <row r="261" spans="2:21" ht="15">
      <c r="S261" s="1"/>
      <c r="T261" s="1"/>
      <c r="U261" s="1"/>
    </row>
    <row r="262" spans="2:21" ht="15">
      <c r="S262" s="1"/>
      <c r="T262" s="1"/>
      <c r="U262" s="1"/>
    </row>
    <row r="274" spans="18:18" ht="15">
      <c r="R274" s="1"/>
    </row>
    <row r="275" spans="18:18" ht="15">
      <c r="R275" s="1"/>
    </row>
    <row r="276" spans="18:18" ht="15">
      <c r="R276" s="1"/>
    </row>
    <row r="277" spans="18:18" ht="15">
      <c r="R277" s="1"/>
    </row>
    <row r="278" spans="18:18" ht="15">
      <c r="R278" s="1"/>
    </row>
    <row r="279" spans="18:18" ht="15">
      <c r="R279" s="1"/>
    </row>
    <row r="280" spans="18:18" ht="15">
      <c r="R280" s="1"/>
    </row>
    <row r="281" spans="18:18" ht="15">
      <c r="R281" s="1"/>
    </row>
    <row r="282" spans="18:18" ht="15">
      <c r="R282" s="1"/>
    </row>
    <row r="283" spans="18:18" ht="15">
      <c r="R283" s="1"/>
    </row>
    <row r="284" spans="18:18" ht="15">
      <c r="R284" s="1"/>
    </row>
    <row r="285" spans="18:18" ht="15">
      <c r="R285" s="1"/>
    </row>
    <row r="286" spans="18:18" ht="15">
      <c r="R286" s="1"/>
    </row>
    <row r="287" spans="18:18" ht="15">
      <c r="R287" s="1"/>
    </row>
    <row r="288" spans="18:18" ht="15">
      <c r="R288" s="1"/>
    </row>
    <row r="289" spans="18:18" ht="15">
      <c r="R289" s="1"/>
    </row>
    <row r="290" spans="18:18" ht="15">
      <c r="R290" s="1"/>
    </row>
    <row r="291" spans="18:18" ht="15">
      <c r="R291" s="1"/>
    </row>
    <row r="292" spans="18:18" ht="15">
      <c r="R292" s="1"/>
    </row>
    <row r="293" spans="18:18" ht="15">
      <c r="R293" s="1"/>
    </row>
    <row r="294" spans="18:18" ht="15">
      <c r="R294" s="1"/>
    </row>
    <row r="295" spans="18:18" ht="15">
      <c r="R295" s="1"/>
    </row>
    <row r="296" spans="18:18" ht="15">
      <c r="R296" s="1"/>
    </row>
    <row r="297" spans="18:18" ht="15">
      <c r="R297" s="1"/>
    </row>
  </sheetData>
  <mergeCells count="110">
    <mergeCell ref="B1:M2"/>
    <mergeCell ref="C8:M8"/>
    <mergeCell ref="C11:M11"/>
    <mergeCell ref="C14:M14"/>
    <mergeCell ref="C17:M17"/>
    <mergeCell ref="C21:M21"/>
    <mergeCell ref="C22:M22"/>
    <mergeCell ref="C27:L27"/>
    <mergeCell ref="G28:L28"/>
    <mergeCell ref="G29:L29"/>
    <mergeCell ref="G30:L30"/>
    <mergeCell ref="G31:L31"/>
    <mergeCell ref="G32:L32"/>
    <mergeCell ref="G33:K33"/>
    <mergeCell ref="C41:M41"/>
    <mergeCell ref="C42:M42"/>
    <mergeCell ref="C43:M43"/>
    <mergeCell ref="O43:V43"/>
    <mergeCell ref="Q44:V44"/>
    <mergeCell ref="A45:B45"/>
    <mergeCell ref="Q45:V45"/>
    <mergeCell ref="A46:B46"/>
    <mergeCell ref="Q46:V46"/>
    <mergeCell ref="A47:B47"/>
    <mergeCell ref="Q47:V47"/>
    <mergeCell ref="O48:V48"/>
    <mergeCell ref="A48:A67"/>
    <mergeCell ref="Q49:V49"/>
    <mergeCell ref="Q50:V50"/>
    <mergeCell ref="O51:V51"/>
    <mergeCell ref="O52:R52"/>
    <mergeCell ref="S52:V52"/>
    <mergeCell ref="O53:R53"/>
    <mergeCell ref="S53:V53"/>
    <mergeCell ref="Q54:V54"/>
    <mergeCell ref="Q55:V55"/>
    <mergeCell ref="Q56:V56"/>
    <mergeCell ref="O57:V57"/>
    <mergeCell ref="O58:V58"/>
    <mergeCell ref="O59:V59"/>
    <mergeCell ref="Q60:V60"/>
    <mergeCell ref="Q61:V61"/>
    <mergeCell ref="Q62:V62"/>
    <mergeCell ref="Q63:V63"/>
    <mergeCell ref="Q64:V64"/>
    <mergeCell ref="Q65:V65"/>
    <mergeCell ref="Q66:V66"/>
    <mergeCell ref="O67:V67"/>
    <mergeCell ref="O69:V69"/>
    <mergeCell ref="O70:V70"/>
    <mergeCell ref="O71:V71"/>
    <mergeCell ref="Q72:V72"/>
    <mergeCell ref="Q73:V73"/>
    <mergeCell ref="Q74:V74"/>
    <mergeCell ref="Q75:V75"/>
    <mergeCell ref="Q76:V76"/>
    <mergeCell ref="Q77:V77"/>
    <mergeCell ref="O78:V78"/>
    <mergeCell ref="O79:V79"/>
    <mergeCell ref="O80:V80"/>
    <mergeCell ref="P81:V81"/>
    <mergeCell ref="P82:V82"/>
    <mergeCell ref="P83:V83"/>
    <mergeCell ref="O84:O85"/>
    <mergeCell ref="P84:V85"/>
    <mergeCell ref="O86:O87"/>
    <mergeCell ref="P86:V87"/>
    <mergeCell ref="C90:M90"/>
    <mergeCell ref="C91:M91"/>
    <mergeCell ref="C92:D92"/>
    <mergeCell ref="O92:T92"/>
    <mergeCell ref="C93:D93"/>
    <mergeCell ref="BL94:BM95"/>
    <mergeCell ref="BN94:BN95"/>
    <mergeCell ref="BO94:BP95"/>
    <mergeCell ref="A95:B95"/>
    <mergeCell ref="A96:B96"/>
    <mergeCell ref="A97:A116"/>
    <mergeCell ref="O105:Q105"/>
    <mergeCell ref="V107:X107"/>
    <mergeCell ref="Y107:Z107"/>
    <mergeCell ref="V108:X108"/>
    <mergeCell ref="Y108:Z108"/>
    <mergeCell ref="V109:X109"/>
    <mergeCell ref="Y109:Z109"/>
    <mergeCell ref="C119:M119"/>
    <mergeCell ref="C120:M120"/>
    <mergeCell ref="A121:B121"/>
    <mergeCell ref="A122:B122"/>
    <mergeCell ref="A123:A142"/>
    <mergeCell ref="C145:M145"/>
    <mergeCell ref="C146:M146"/>
    <mergeCell ref="A147:B147"/>
    <mergeCell ref="A148:B148"/>
    <mergeCell ref="A200:B200"/>
    <mergeCell ref="A201:A220"/>
    <mergeCell ref="O205:O206"/>
    <mergeCell ref="O207:O211"/>
    <mergeCell ref="O212:O216"/>
    <mergeCell ref="O217:O218"/>
    <mergeCell ref="O219:O222"/>
    <mergeCell ref="A149:A168"/>
    <mergeCell ref="C171:M171"/>
    <mergeCell ref="C172:M172"/>
    <mergeCell ref="A173:B173"/>
    <mergeCell ref="A174:B174"/>
    <mergeCell ref="A175:A194"/>
    <mergeCell ref="C197:M197"/>
    <mergeCell ref="C198:M198"/>
    <mergeCell ref="A199:B199"/>
  </mergeCells>
  <conditionalFormatting sqref="C175:M194 C201:M220">
    <cfRule type="expression" dxfId="3" priority="10">
      <formula>C175&gt;$F$4</formula>
    </cfRule>
    <cfRule type="expression" dxfId="2" priority="11">
      <formula>C175&lt;=$F$4</formula>
    </cfRule>
  </conditionalFormatting>
  <conditionalFormatting sqref="C48:M67 C97:M116 C123:M142 C149:M168">
    <cfRule type="expression" dxfId="1" priority="1">
      <formula>C48&gt;($F$4)</formula>
    </cfRule>
    <cfRule type="expression" dxfId="0" priority="2">
      <formula>C48&lt;=($F$4)</formula>
    </cfRule>
  </conditionalFormatting>
  <dataValidations count="1">
    <dataValidation type="list" allowBlank="1" showInputMessage="1" showErrorMessage="1" sqref="C22" xr:uid="{00000000-0002-0000-0A00-000000000000}">
      <formula1>"Wide Channel (Flow Depth), Calculated from XS"</formula1>
    </dataValidation>
  </dataValidations>
  <pageMargins left="0.7" right="0.7" top="0.75" bottom="0.75" header="0.3" footer="0.3"/>
  <pageSetup paperSize="2053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L49:M130"/>
  <sheetViews>
    <sheetView topLeftCell="A79" zoomScale="55" workbookViewId="0">
      <selection activeCell="Z70" sqref="Z70"/>
    </sheetView>
  </sheetViews>
  <sheetFormatPr defaultColWidth="8.85546875" defaultRowHeight="12.75"/>
  <cols>
    <col min="1" max="11" width="8.85546875" style="18"/>
    <col min="12" max="12" width="14.85546875" style="18" customWidth="1"/>
    <col min="13" max="13" width="15" style="18" customWidth="1"/>
    <col min="14" max="16384" width="8.85546875" style="18"/>
  </cols>
  <sheetData>
    <row r="49" spans="12:13" ht="15">
      <c r="L49" s="548" t="s">
        <v>702</v>
      </c>
      <c r="M49" s="549"/>
    </row>
    <row r="50" spans="12:13" ht="15">
      <c r="L50" s="180" t="s">
        <v>451</v>
      </c>
      <c r="M50" s="180" t="s">
        <v>381</v>
      </c>
    </row>
    <row r="51" spans="12:13" ht="15">
      <c r="L51" s="180">
        <v>0</v>
      </c>
      <c r="M51" s="180">
        <f>M52+(((M52-M53)/(L53-L52))*2)</f>
        <v>2.2999999999999998</v>
      </c>
    </row>
    <row r="52" spans="12:13" ht="15">
      <c r="L52" s="180">
        <v>2</v>
      </c>
      <c r="M52" s="180">
        <v>2</v>
      </c>
    </row>
    <row r="53" spans="12:13" ht="15">
      <c r="L53" s="180">
        <v>3</v>
      </c>
      <c r="M53" s="180">
        <v>1.85</v>
      </c>
    </row>
    <row r="54" spans="12:13" ht="15">
      <c r="L54" s="180">
        <v>4</v>
      </c>
      <c r="M54" s="180">
        <v>1.7</v>
      </c>
    </row>
    <row r="55" spans="12:13" ht="15">
      <c r="L55" s="180">
        <v>5</v>
      </c>
      <c r="M55" s="180">
        <v>1.56</v>
      </c>
    </row>
    <row r="56" spans="12:13" ht="15">
      <c r="L56" s="180">
        <v>6</v>
      </c>
      <c r="M56" s="180">
        <v>1.44</v>
      </c>
    </row>
    <row r="57" spans="12:13" ht="15">
      <c r="L57" s="180">
        <v>7</v>
      </c>
      <c r="M57" s="180">
        <v>1.3</v>
      </c>
    </row>
    <row r="58" spans="12:13" ht="15">
      <c r="L58" s="180">
        <v>8</v>
      </c>
      <c r="M58" s="180">
        <v>1.2</v>
      </c>
    </row>
    <row r="59" spans="12:13" ht="15">
      <c r="L59" s="180">
        <v>9</v>
      </c>
      <c r="M59" s="180">
        <v>1.1100000000000001</v>
      </c>
    </row>
    <row r="60" spans="12:13" ht="15">
      <c r="L60" s="180">
        <v>10</v>
      </c>
      <c r="M60" s="180">
        <v>1.05</v>
      </c>
    </row>
    <row r="61" spans="12:13" ht="15">
      <c r="L61" s="180">
        <v>11</v>
      </c>
      <c r="M61" s="180">
        <v>1</v>
      </c>
    </row>
    <row r="62" spans="12:13" ht="15">
      <c r="L62" s="180">
        <v>50</v>
      </c>
      <c r="M62" s="180">
        <v>1</v>
      </c>
    </row>
    <row r="89" spans="12:12">
      <c r="L89" s="18" t="s">
        <v>382</v>
      </c>
    </row>
    <row r="90" spans="12:12">
      <c r="L90" s="18" t="s">
        <v>931</v>
      </c>
    </row>
    <row r="91" spans="12:12">
      <c r="L91" s="47" t="s">
        <v>198</v>
      </c>
    </row>
    <row r="93" spans="12:12">
      <c r="L93" s="47" t="s">
        <v>65</v>
      </c>
    </row>
    <row r="130" spans="13:13">
      <c r="M130" s="47" t="s">
        <v>657</v>
      </c>
    </row>
  </sheetData>
  <mergeCells count="1">
    <mergeCell ref="L49:M49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AG207"/>
  <sheetViews>
    <sheetView tabSelected="1" workbookViewId="0">
      <selection activeCell="X5" sqref="X5"/>
    </sheetView>
  </sheetViews>
  <sheetFormatPr defaultRowHeight="12.75"/>
  <cols>
    <col min="4" max="4" width="12.5703125" bestFit="1" customWidth="1"/>
    <col min="24" max="24" width="10.42578125" bestFit="1" customWidth="1"/>
    <col min="25" max="25" width="15.140625" bestFit="1" customWidth="1"/>
    <col min="26" max="26" width="12" bestFit="1" customWidth="1"/>
  </cols>
  <sheetData>
    <row r="1" spans="2:33" ht="13.5" thickBot="1">
      <c r="E1" s="550" t="s">
        <v>72</v>
      </c>
      <c r="F1" s="551"/>
      <c r="G1" s="552"/>
      <c r="H1" s="550" t="s">
        <v>638</v>
      </c>
      <c r="I1" s="552"/>
      <c r="J1" s="550" t="s">
        <v>942</v>
      </c>
      <c r="K1" s="551"/>
      <c r="L1" s="552"/>
      <c r="M1" s="550" t="s">
        <v>817</v>
      </c>
      <c r="N1" s="552"/>
    </row>
    <row r="2" spans="2:33" ht="13.5" thickBot="1">
      <c r="B2" s="2"/>
      <c r="C2" s="2"/>
      <c r="D2" s="2"/>
      <c r="E2" s="460" t="s">
        <v>818</v>
      </c>
      <c r="F2" s="460"/>
      <c r="G2" s="460"/>
      <c r="H2" s="460" t="s">
        <v>1002</v>
      </c>
      <c r="I2" s="460"/>
      <c r="J2" s="460" t="s">
        <v>457</v>
      </c>
      <c r="K2" s="460"/>
      <c r="L2" s="460"/>
      <c r="M2" s="460" t="s">
        <v>875</v>
      </c>
      <c r="N2" s="460"/>
      <c r="P2" s="550" t="s">
        <v>206</v>
      </c>
      <c r="Q2" s="551"/>
      <c r="R2" s="552"/>
      <c r="T2" s="550" t="s">
        <v>876</v>
      </c>
      <c r="U2" s="551"/>
      <c r="V2" s="551"/>
      <c r="W2" s="552"/>
      <c r="X2" s="550" t="s">
        <v>1008</v>
      </c>
      <c r="Y2" s="551"/>
      <c r="Z2" s="552"/>
      <c r="AB2" s="550" t="s">
        <v>877</v>
      </c>
      <c r="AC2" s="551"/>
      <c r="AD2" s="551"/>
      <c r="AE2" s="551"/>
      <c r="AF2" s="551"/>
      <c r="AG2" s="552"/>
    </row>
    <row r="3" spans="2:33" ht="13.5" thickBot="1">
      <c r="B3" s="550" t="s">
        <v>267</v>
      </c>
      <c r="C3" s="551"/>
      <c r="D3" s="552"/>
      <c r="E3" s="308" t="s">
        <v>589</v>
      </c>
      <c r="F3" s="14" t="s">
        <v>391</v>
      </c>
      <c r="G3" s="14" t="s">
        <v>268</v>
      </c>
      <c r="H3" s="46" t="s">
        <v>819</v>
      </c>
      <c r="I3" s="46" t="s">
        <v>639</v>
      </c>
      <c r="J3" s="46" t="s">
        <v>269</v>
      </c>
      <c r="K3" s="46" t="s">
        <v>640</v>
      </c>
      <c r="L3" s="46" t="s">
        <v>1003</v>
      </c>
      <c r="M3" s="46" t="s">
        <v>705</v>
      </c>
      <c r="N3" s="46" t="s">
        <v>820</v>
      </c>
      <c r="P3" s="94" t="s">
        <v>1004</v>
      </c>
      <c r="Q3" s="94" t="s">
        <v>943</v>
      </c>
      <c r="R3" s="94" t="s">
        <v>706</v>
      </c>
      <c r="T3" s="460" t="s">
        <v>878</v>
      </c>
      <c r="U3" s="460"/>
      <c r="V3" s="460" t="s">
        <v>148</v>
      </c>
      <c r="W3" s="460"/>
      <c r="X3" s="460" t="s">
        <v>392</v>
      </c>
      <c r="Y3" s="460"/>
      <c r="Z3" s="460"/>
      <c r="AB3" s="460" t="s">
        <v>821</v>
      </c>
      <c r="AC3" s="460"/>
      <c r="AD3" s="460" t="s">
        <v>785</v>
      </c>
      <c r="AE3" s="460"/>
      <c r="AF3" s="460" t="s">
        <v>590</v>
      </c>
      <c r="AG3" s="460"/>
    </row>
    <row r="4" spans="2:33">
      <c r="B4" s="94" t="s">
        <v>879</v>
      </c>
      <c r="C4" s="94" t="s">
        <v>149</v>
      </c>
      <c r="D4" s="4" t="s">
        <v>587</v>
      </c>
      <c r="E4" s="3">
        <f>IF(F4&lt;&gt;"",IF(ISERROR(XS_Designer_Calculations!AH4),"",XS_Designer_Calculations!AH4),"")</f>
        <v>0.1</v>
      </c>
      <c r="F4" s="4">
        <f>IF(ISERROR(XS_Designer_Calculations!AF4),"",XS_Designer_Calculations!AF4)</f>
        <v>-16.10125</v>
      </c>
      <c r="G4" s="4">
        <f>IF(F4&lt;&gt;"",IF(ISERROR(XS_Designer_Calculations!W4),"",XS_Designer_Calculations!W4),"")</f>
        <v>4.0010000000000003</v>
      </c>
      <c r="H4" s="94">
        <f>IF(ISERROR(XS_Designer_Calculations!AE4),"",XS_Designer_Calculations!AE4)</f>
        <v>-27.201250000000002</v>
      </c>
      <c r="I4" s="94">
        <f>IF(ISERROR(XS_Designer_Calculations!W4),"",XS_Designer_Calculations!W4)</f>
        <v>4.0010000000000003</v>
      </c>
      <c r="J4" s="4" t="str">
        <f>IF(ISERROR(XS_Designer_Calculations!AL4:AL104),"",XS_Designer_Calculations!AL4:AL104)</f>
        <v>L-3 Stg</v>
      </c>
      <c r="K4" s="142">
        <f>IF(ISERROR(XS_Designer_Calculations!AJ4:AJ104),"",XS_Designer_Calculations!AJ4:AJ104)</f>
        <v>-21.901250000000001</v>
      </c>
      <c r="L4" s="142">
        <f>IF(K4&lt;&gt;"",IF(ISERROR(XS_Designer_Calculations!X4:X104),"",XS_Designer_Calculations!X4:X104),"")</f>
        <v>4.5010000000000003</v>
      </c>
      <c r="M4" s="112">
        <f>IF(ISERROR(XS_Designer_Calculations!AI4:AI104),"",XS_Designer_Calculations!AI4:AI104)</f>
        <v>-27.201250000000002</v>
      </c>
      <c r="N4" s="112">
        <f>IF(ISERROR(XS_Designer_Calculations!X4:X104),"",XS_Designer_Calculations!X4:X104)</f>
        <v>4.5010000000000003</v>
      </c>
      <c r="P4" s="94">
        <f>IF(ISERROR(XS_Designer!AF3),"",XS_Designer!AF3)</f>
        <v>-27.201250000000002</v>
      </c>
      <c r="Q4" s="94">
        <f>IF(ISERROR(XS_Designer!AG3),"",XS_Designer!AG3)</f>
        <v>3.5010000000000003</v>
      </c>
      <c r="R4" s="4" t="str">
        <f>IF(ISERROR(XS_Designer!AH3),"",XS_Designer!AH3)</f>
        <v>Left 3rd Stage</v>
      </c>
      <c r="T4" s="14" t="s">
        <v>270</v>
      </c>
      <c r="U4" s="14" t="s">
        <v>591</v>
      </c>
      <c r="V4" s="14" t="s">
        <v>641</v>
      </c>
      <c r="W4" s="14" t="s">
        <v>707</v>
      </c>
      <c r="X4" s="360" t="s">
        <v>642</v>
      </c>
      <c r="Y4" s="360" t="s">
        <v>1009</v>
      </c>
      <c r="Z4" s="14" t="s">
        <v>592</v>
      </c>
      <c r="AB4" s="14" t="s">
        <v>515</v>
      </c>
      <c r="AC4" s="14" t="s">
        <v>593</v>
      </c>
      <c r="AD4" s="14" t="s">
        <v>944</v>
      </c>
      <c r="AE4" s="14" t="s">
        <v>880</v>
      </c>
      <c r="AF4" s="14" t="s">
        <v>760</v>
      </c>
      <c r="AG4" s="14" t="s">
        <v>516</v>
      </c>
    </row>
    <row r="5" spans="2:33">
      <c r="B5" s="112">
        <f>IF(ISERROR(XS_Designer_Calculations!B5),"",XS_Designer_Calculations!B5)</f>
        <v>-27.201250000000002</v>
      </c>
      <c r="C5" s="112">
        <f>IF(ISERROR(XS_Designer_Calculations!C5),"",XS_Designer_Calculations!C5)</f>
        <v>3.5010000000000003</v>
      </c>
      <c r="D5" s="3" t="str">
        <f>IF(OR(ISERROR(Data!D2), Data!D2=0),"",Data!D2)</f>
        <v>Left 3rd Stage</v>
      </c>
      <c r="E5" s="3" t="str">
        <f>IF(F5&lt;&gt;"",IF(ISERROR(XS_Designer_Calculations!AH5),"",XS_Designer_Calculations!AH5),"")</f>
        <v/>
      </c>
      <c r="F5" s="3" t="str">
        <f>IF(IF(ISERROR(XS_Designer_Calculations!AF5),"",XS_Designer_Calculations!AF5)&lt;&gt;MAX($F$4:$F4),IF(ISERROR(XS_Designer_Calculations!AF5),"",XS_Designer_Calculations!AF5),"")</f>
        <v/>
      </c>
      <c r="G5" s="4" t="str">
        <f>IF(F5&lt;&gt;"",IF(ISERROR(XS_Designer_Calculations!W5),"",XS_Designer_Calculations!W5),"")</f>
        <v/>
      </c>
      <c r="H5" s="14">
        <f>IF(ISERROR(XS_Designer_Calculations!AE5),"",XS_Designer_Calculations!AE5)</f>
        <v>-5.0012499999999998</v>
      </c>
      <c r="I5" s="94">
        <f>IF(ISERROR(XS_Designer_Calculations!W5),"",XS_Designer_Calculations!W5)</f>
        <v>4.0010000000000003</v>
      </c>
      <c r="J5" s="4" t="str">
        <f>IF(K5&lt;&gt;"",IF(ISERROR(XS_Designer_Calculations!AL5:AL105),"",XS_Designer_Calculations!AL5:AL105),"")</f>
        <v/>
      </c>
      <c r="K5" s="22" t="str">
        <f>IF(IF(ISERROR(XS_Designer_Calculations!AJ5:AJ105),"",XS_Designer_Calculations!AJ5:AJ105)&lt;&gt;MAX($K$4:$K4),IF(ISERROR(XS_Designer_Calculations!AJ5:AJ105),"",XS_Designer_Calculations!AJ5:AJ105),"")</f>
        <v/>
      </c>
      <c r="L5" s="142" t="str">
        <f>IF(K5&lt;&gt;"",IF(ISERROR(XS_Designer_Calculations!X5:X105),"",XS_Designer_Calculations!X5:X105),"")</f>
        <v/>
      </c>
      <c r="M5" s="46">
        <f>IF(ISERROR(XS_Designer_Calculations!AI5:AI105),"",XS_Designer_Calculations!AI5:AI105)</f>
        <v>-16.60125</v>
      </c>
      <c r="N5" s="46">
        <f>IF(ISERROR(XS_Designer_Calculations!X5:X105),"",XS_Designer_Calculations!X5:X105)</f>
        <v>4.5010000000000003</v>
      </c>
      <c r="P5" s="94">
        <f>IF(ISERROR(XS_Designer!AF4),"",XS_Designer!AF4)</f>
        <v>-16.60125</v>
      </c>
      <c r="Q5" s="94">
        <f>IF(ISERROR(XS_Designer!AG4),"",XS_Designer!AG4)</f>
        <v>3.0010000000000003</v>
      </c>
      <c r="R5" s="4" t="str">
        <f>IF(ISERROR(XS_Designer!AH4),"",XS_Designer!AH4)</f>
        <v>Left 2nd Stage</v>
      </c>
      <c r="T5" s="126">
        <f>XS_Designer_Calculations!N5</f>
        <v>-50</v>
      </c>
      <c r="U5" s="126">
        <f>XS_Designer_Calculations!O5</f>
        <v>0</v>
      </c>
      <c r="V5" s="22">
        <f>XS_Designer_Calculations!N12</f>
        <v>90</v>
      </c>
      <c r="W5" s="22">
        <f>XS_Designer_Calculations!O12</f>
        <v>0</v>
      </c>
      <c r="X5" s="46">
        <f>IF(OR(ISERROR(XS_Designer_Calculations!BG4),B5="",ISERROR(XS_Designer_Calculations!BN4)),"",XS_Designer_Calculations!BN4)</f>
        <v>-27.201250000000002</v>
      </c>
      <c r="Y5" s="46">
        <f>IF(OR(ISERROR(XS_Designer_Calculations!BG4),X5=""),"",XS_Designer_Calculations!BH4)</f>
        <v>3.5010000000000003</v>
      </c>
      <c r="Z5" s="46">
        <f>IF(OR(ISERROR(XS_Designer_Calculations!BG4),X5=""),"",XS_Designer_Calculations!$O$18)</f>
        <v>5</v>
      </c>
      <c r="AB5" s="14">
        <f>IFERROR(XS_Designer_Summary!AK3,0)</f>
        <v>-27.201250000000002</v>
      </c>
      <c r="AC5" s="14">
        <f>IFERROR(XS_Designer_Summary!AV3,0)</f>
        <v>0</v>
      </c>
      <c r="AD5" s="14">
        <f>IFERROR(XS_Designer_Summary!AK3,0)</f>
        <v>-27.201250000000002</v>
      </c>
      <c r="AE5" s="14">
        <f>IFERROR(XS_Designer_Summary!AW3,0)</f>
        <v>0</v>
      </c>
      <c r="AF5" s="14">
        <f>IFERROR(XS_Designer_Summary!AK3,0)</f>
        <v>-27.201250000000002</v>
      </c>
      <c r="AG5" s="14">
        <f>IFERROR(XS_Designer_Summary!BF3,0)</f>
        <v>2.8631191077072975</v>
      </c>
    </row>
    <row r="6" spans="2:33">
      <c r="B6" s="46">
        <f>IF(ISERROR(XS_Designer_Calculations!B6),"",XS_Designer_Calculations!B6)</f>
        <v>-26.60125</v>
      </c>
      <c r="C6" s="46">
        <f>IF(ISERROR(XS_Designer_Calculations!C6),"",XS_Designer_Calculations!C6)</f>
        <v>3.2010000000000005</v>
      </c>
      <c r="D6" s="3" t="str">
        <f>IF(OR(ISERROR(Data!D3), Data!D3=0),"",Data!D3)</f>
        <v/>
      </c>
      <c r="E6" s="3" t="str">
        <f>IF(F6&lt;&gt;"",IF(ISERROR(XS_Designer_Calculations!AH6),"",XS_Designer_Calculations!AH6),"")</f>
        <v/>
      </c>
      <c r="F6" s="3" t="str">
        <f>IF(IF(ISERROR(XS_Designer_Calculations!AF6),"",XS_Designer_Calculations!AF6)&lt;&gt;MAX($F$4:$F5),IF(ISERROR(XS_Designer_Calculations!AF6),"",XS_Designer_Calculations!AF6),"")</f>
        <v/>
      </c>
      <c r="G6" s="4" t="str">
        <f>IF(F6&lt;&gt;"",IF(ISERROR(XS_Designer_Calculations!W6),"",XS_Designer_Calculations!W6),"")</f>
        <v/>
      </c>
      <c r="H6" s="14">
        <f>IF(ISERROR(XS_Designer_Calculations!AE6),"",XS_Designer_Calculations!AE6)</f>
        <v>-5.0012499999999998</v>
      </c>
      <c r="I6" s="94">
        <f>IF(ISERROR(XS_Designer_Calculations!W6),"",XS_Designer_Calculations!W6)</f>
        <v>4.0010000000000003</v>
      </c>
      <c r="J6" s="4" t="str">
        <f>IF(K6&lt;&gt;"",IF(ISERROR(XS_Designer_Calculations!AL6:AL106),"",XS_Designer_Calculations!AL6:AL106),"")</f>
        <v>L-2 Stg</v>
      </c>
      <c r="K6" s="22">
        <f>IF(IF(ISERROR(XS_Designer_Calculations!AJ6:AJ106),"",XS_Designer_Calculations!AJ6:AJ106)&lt;&gt;MAX($K$4:$K5),IF(ISERROR(XS_Designer_Calculations!AJ6:AJ106),"",XS_Designer_Calculations!AJ6:AJ106),"")</f>
        <v>-10.80125</v>
      </c>
      <c r="L6" s="142">
        <f>IF(K6&lt;&gt;"",IF(ISERROR(XS_Designer_Calculations!X6:X106),"",XS_Designer_Calculations!X6:X106),"")</f>
        <v>4.5010000000000003</v>
      </c>
      <c r="M6" s="46">
        <f>IF(ISERROR(XS_Designer_Calculations!AI6:AI106),"",XS_Designer_Calculations!AI6:AI106)</f>
        <v>-16.60125</v>
      </c>
      <c r="N6" s="46">
        <f>IF(ISERROR(XS_Designer_Calculations!X6:X106),"",XS_Designer_Calculations!X6:X106)</f>
        <v>4.5010000000000003</v>
      </c>
      <c r="P6" s="94">
        <f>IF(ISERROR(XS_Designer!AF5),"",XS_Designer!AF5)</f>
        <v>-5.0012499999999998</v>
      </c>
      <c r="Q6" s="94">
        <f>IF(ISERROR(XS_Designer!AG5),"",XS_Designer!AG5)</f>
        <v>2.0009999999999999</v>
      </c>
      <c r="R6" s="4" t="str">
        <f>IF(ISERROR(XS_Designer!AH5),"",XS_Designer!AH5)</f>
        <v>Left Bankfull</v>
      </c>
      <c r="T6" s="126">
        <f>XS_Designer_Calculations!N6</f>
        <v>-50</v>
      </c>
      <c r="U6" s="126">
        <f>XS_Designer_Calculations!O6</f>
        <v>3.5010000000000003</v>
      </c>
      <c r="V6" s="22">
        <f>XS_Designer_Calculations!N13</f>
        <v>90</v>
      </c>
      <c r="W6" s="126">
        <f>XS_Designer_Calculations!O13</f>
        <v>3.5010000000000003</v>
      </c>
      <c r="X6" s="46">
        <f>IF(OR(ISERROR(XS_Designer_Calculations!BG5),B6="",ISERROR(XS_Designer_Calculations!BN5)),"",XS_Designer_Calculations!BN5)</f>
        <v>-26.60125</v>
      </c>
      <c r="Y6" s="46">
        <f>IF(OR(ISERROR(XS_Designer_Calculations!BG5),X6=""),"",XS_Designer_Calculations!BH5)</f>
        <v>3.2010000000000005</v>
      </c>
      <c r="Z6" s="46">
        <f>IF(OR(ISERROR(XS_Designer_Calculations!BG5),X6=""),"",XS_Designer_Calculations!$O$18)</f>
        <v>5</v>
      </c>
      <c r="AB6" s="14">
        <f>IFERROR(XS_Designer_Summary!AK4,0)</f>
        <v>-26.929237500000003</v>
      </c>
      <c r="AC6" s="14">
        <f>IFERROR(XS_Designer_Summary!AV4,0)</f>
        <v>1.8610671646083261</v>
      </c>
      <c r="AD6" s="14">
        <f>IFERROR(XS_Designer_Summary!AK4,0)</f>
        <v>-26.929237500000003</v>
      </c>
      <c r="AE6" s="14">
        <f>IFERROR(XS_Designer_Summary!AW4,0)</f>
        <v>0.87457980691027193</v>
      </c>
      <c r="AF6" s="14">
        <f>IFERROR(XS_Designer_Summary!AK4,0)</f>
        <v>-26.929237500000003</v>
      </c>
      <c r="AG6" s="14">
        <f>IFERROR(XS_Designer_Summary!BF4,0)</f>
        <v>3.1343056573472845</v>
      </c>
    </row>
    <row r="7" spans="2:33">
      <c r="B7" s="46">
        <f>IF(ISERROR(XS_Designer_Calculations!B7),"",XS_Designer_Calculations!B7)</f>
        <v>-16.60125</v>
      </c>
      <c r="C7" s="46">
        <f>IF(ISERROR(XS_Designer_Calculations!C7),"",XS_Designer_Calculations!C7)</f>
        <v>3.0010000000000003</v>
      </c>
      <c r="D7" s="3" t="str">
        <f>IF(OR(ISERROR(Data!D4), Data!D4=0),"",Data!D4)</f>
        <v>Left 2nd Stage</v>
      </c>
      <c r="E7" s="3" t="str">
        <f>IF(F7&lt;&gt;"",IF(ISERROR(XS_Designer_Calculations!AH7),"",XS_Designer_Calculations!AH7),"")</f>
        <v/>
      </c>
      <c r="F7" s="3" t="str">
        <f>IF(IF(ISERROR(XS_Designer_Calculations!AF7),"",XS_Designer_Calculations!AF7)&lt;&gt;MAX($F$4:$F6),IF(ISERROR(XS_Designer_Calculations!AF7),"",XS_Designer_Calculations!AF7),"")</f>
        <v/>
      </c>
      <c r="G7" s="4" t="str">
        <f>IF(F7&lt;&gt;"",IF(ISERROR(XS_Designer_Calculations!W7),"",XS_Designer_Calculations!W7),"")</f>
        <v/>
      </c>
      <c r="H7" s="14">
        <f>IF(ISERROR(XS_Designer_Calculations!AE7),"",XS_Designer_Calculations!AE7)</f>
        <v>-5.0012499999999998</v>
      </c>
      <c r="I7" s="94">
        <f>IF(ISERROR(XS_Designer_Calculations!W7),"",XS_Designer_Calculations!W7)</f>
        <v>4.0010000000000003</v>
      </c>
      <c r="J7" s="4" t="str">
        <f>IF(K7&lt;&gt;"",IF(ISERROR(XS_Designer_Calculations!AL7:AL107),"",XS_Designer_Calculations!AL7:AL107),"")</f>
        <v/>
      </c>
      <c r="K7" s="22" t="str">
        <f>IF(IF(ISERROR(XS_Designer_Calculations!AJ7:AJ107),"",XS_Designer_Calculations!AJ7:AJ107)&lt;&gt;MAX($K$4:$K6),IF(ISERROR(XS_Designer_Calculations!AJ7:AJ107),"",XS_Designer_Calculations!AJ7:AJ107),"")</f>
        <v/>
      </c>
      <c r="L7" s="142" t="str">
        <f>IF(K7&lt;&gt;"",IF(ISERROR(XS_Designer_Calculations!X7:X107),"",XS_Designer_Calculations!X7:X107),"")</f>
        <v/>
      </c>
      <c r="M7" s="46">
        <f>IF(ISERROR(XS_Designer_Calculations!AI7:AI107),"",XS_Designer_Calculations!AI7:AI107)</f>
        <v>-5.0012499999999998</v>
      </c>
      <c r="N7" s="46">
        <f>IF(ISERROR(XS_Designer_Calculations!X7:X107),"",XS_Designer_Calculations!X7:X107)</f>
        <v>4.5010000000000003</v>
      </c>
      <c r="P7" s="94" t="str">
        <f>IF(ISERROR(XS_Designer!AF6),"",XS_Designer!AF6)</f>
        <v/>
      </c>
      <c r="Q7" s="94" t="str">
        <f>IF(ISERROR(XS_Designer!AG6),"",XS_Designer!AG6)</f>
        <v/>
      </c>
      <c r="R7" s="4" t="str">
        <f>IF(ISERROR(XS_Designer!AH6),"",XS_Designer!AH6)</f>
        <v>Left Inner Berm</v>
      </c>
      <c r="X7" s="46">
        <f>IF(OR(ISERROR(XS_Designer_Calculations!BG6),B7="",ISERROR(XS_Designer_Calculations!BN6)),"",XS_Designer_Calculations!BN6)</f>
        <v>-16.60125</v>
      </c>
      <c r="Y7" s="46">
        <f>IF(OR(ISERROR(XS_Designer_Calculations!BG6),X7=""),"",XS_Designer_Calculations!BH6)</f>
        <v>3.0010000000000003</v>
      </c>
      <c r="Z7" s="46">
        <f>IF(OR(ISERROR(XS_Designer_Calculations!BG6),X7=""),"",XS_Designer_Calculations!$O$18)</f>
        <v>5</v>
      </c>
      <c r="AB7" s="14">
        <f>IFERROR(XS_Designer_Summary!AK5,0)</f>
        <v>-26.657225000000004</v>
      </c>
      <c r="AC7" s="14">
        <f>IFERROR(XS_Designer_Summary!AV5,0)</f>
        <v>1.9672527643729956</v>
      </c>
      <c r="AD7" s="14">
        <f>IFERROR(XS_Designer_Summary!AK5,0)</f>
        <v>-26.657225000000004</v>
      </c>
      <c r="AE7" s="14">
        <f>IFERROR(XS_Designer_Summary!AW5,0)</f>
        <v>0.95048796431333349</v>
      </c>
      <c r="AF7" s="14">
        <f>IFERROR(XS_Designer_Summary!AK5,0)</f>
        <v>-26.657225000000004</v>
      </c>
      <c r="AG7" s="14">
        <f>IFERROR(XS_Designer_Summary!BF5,0)</f>
        <v>3.4064423916477322</v>
      </c>
    </row>
    <row r="8" spans="2:33">
      <c r="B8" s="46">
        <f>IF(ISERROR(XS_Designer_Calculations!B8),"",XS_Designer_Calculations!B8)</f>
        <v>-15.001249999999999</v>
      </c>
      <c r="C8" s="46">
        <f>IF(ISERROR(XS_Designer_Calculations!C8),"",XS_Designer_Calculations!C8)</f>
        <v>2.2010000000000001</v>
      </c>
      <c r="D8" s="3" t="str">
        <f>IF(OR(ISERROR(Data!D5), Data!D5=0),"",Data!D5)</f>
        <v/>
      </c>
      <c r="E8" s="3">
        <f>IF(F8&lt;&gt;"",IF(ISERROR(XS_Designer_Calculations!AH8),"",XS_Designer_Calculations!AH8),"")</f>
        <v>0.04</v>
      </c>
      <c r="F8" s="3">
        <f>IF(IF(ISERROR(XS_Designer_Calculations!AF8),"",XS_Designer_Calculations!AF8)&lt;&gt;MAX($F$4:$F7),IF(ISERROR(XS_Designer_Calculations!AF8),"",XS_Designer_Calculations!AF8),"")</f>
        <v>0</v>
      </c>
      <c r="G8" s="4">
        <f>IF(F8&lt;&gt;"",IF(ISERROR(XS_Designer_Calculations!W8),"",XS_Designer_Calculations!W8),"")</f>
        <v>4.0010000000000003</v>
      </c>
      <c r="H8" s="14">
        <f>IF(ISERROR(XS_Designer_Calculations!AE8),"",XS_Designer_Calculations!AE8)</f>
        <v>-5.0012499999999998</v>
      </c>
      <c r="I8" s="94">
        <f>IF(ISERROR(XS_Designer_Calculations!W8),"",XS_Designer_Calculations!W8)</f>
        <v>4.0010000000000003</v>
      </c>
      <c r="J8" s="4" t="str">
        <f>IF(K8&lt;&gt;"",IF(ISERROR(XS_Designer_Calculations!AL8:AL108),"",XS_Designer_Calculations!AL8:AL108),"")</f>
        <v>L-BKF</v>
      </c>
      <c r="K8" s="22">
        <f>IF(IF(ISERROR(XS_Designer_Calculations!AJ8:AJ108),"",XS_Designer_Calculations!AJ8:AJ108)&lt;&gt;MAX($K$4:$K7),IF(ISERROR(XS_Designer_Calculations!AJ8:AJ108),"",XS_Designer_Calculations!AJ8:AJ108),"")</f>
        <v>-2.5006249999999999</v>
      </c>
      <c r="L8" s="142">
        <f>IF(K8&lt;&gt;"",IF(ISERROR(XS_Designer_Calculations!X8:X108),"",XS_Designer_Calculations!X8:X108),"")</f>
        <v>4.5010000000000003</v>
      </c>
      <c r="M8" s="46">
        <f>IF(ISERROR(XS_Designer_Calculations!AI8:AI108),"",XS_Designer_Calculations!AI8:AI108)</f>
        <v>-5.0012499999999998</v>
      </c>
      <c r="N8" s="46">
        <f>IF(ISERROR(XS_Designer_Calculations!X8:X108),"",XS_Designer_Calculations!X8:X108)</f>
        <v>4.5010000000000003</v>
      </c>
      <c r="P8" s="94">
        <f>IF(ISERROR(XS_Designer!AF7),"",XS_Designer!AF7)</f>
        <v>0</v>
      </c>
      <c r="Q8" s="94">
        <f>IF(ISERROR(XS_Designer!AG7),"",XS_Designer!AG7)</f>
        <v>0</v>
      </c>
      <c r="R8" s="4" t="str">
        <f>IF(ISERROR(XS_Designer!AH7),"",XS_Designer!AH7)</f>
        <v>Thalweg</v>
      </c>
      <c r="X8" s="46">
        <f>IF(OR(ISERROR(XS_Designer_Calculations!BG7),B8="",ISERROR(XS_Designer_Calculations!BN7)),"",XS_Designer_Calculations!BN7)</f>
        <v>-15.001249999999999</v>
      </c>
      <c r="Y8" s="46">
        <f>IF(OR(ISERROR(XS_Designer_Calculations!BG7),X8=""),"",XS_Designer_Calculations!BH7)</f>
        <v>2.2010000000000001</v>
      </c>
      <c r="Z8" s="46">
        <f>IF(OR(ISERROR(XS_Designer_Calculations!BG7),X8=""),"",XS_Designer_Calculations!$O$18)</f>
        <v>5</v>
      </c>
      <c r="AB8" s="14">
        <f>IFERROR(XS_Designer_Summary!AK6,0)</f>
        <v>-26.385212500000005</v>
      </c>
      <c r="AC8" s="14">
        <f>IFERROR(XS_Designer_Summary!AV6,0)</f>
        <v>2.1782155082770629</v>
      </c>
      <c r="AD8" s="14">
        <f>IFERROR(XS_Designer_Summary!AK6,0)</f>
        <v>-26.385212500000005</v>
      </c>
      <c r="AE8" s="14">
        <f>IFERROR(XS_Designer_Summary!AW6,0)</f>
        <v>1.1074079684795937</v>
      </c>
      <c r="AF8" s="14">
        <f>IFERROR(XS_Designer_Summary!AK6,0)</f>
        <v>-26.385212500000005</v>
      </c>
      <c r="AG8" s="14">
        <f>IFERROR(XS_Designer_Summary!BF6,0)</f>
        <v>3.4712201569398298</v>
      </c>
    </row>
    <row r="9" spans="2:33">
      <c r="B9" s="46">
        <f>IF(ISERROR(XS_Designer_Calculations!B9),"",XS_Designer_Calculations!B9)</f>
        <v>-5.0012499999999998</v>
      </c>
      <c r="C9" s="46">
        <f>IF(ISERROR(XS_Designer_Calculations!C9),"",XS_Designer_Calculations!C9)</f>
        <v>2.0009999999999999</v>
      </c>
      <c r="D9" s="3" t="str">
        <f>IF(OR(ISERROR(Data!D6), Data!D6=0),"",Data!D6)</f>
        <v>Left Bankfull</v>
      </c>
      <c r="E9" s="3" t="str">
        <f>IF(F9&lt;&gt;"",IF(ISERROR(XS_Designer_Calculations!AH9),"",XS_Designer_Calculations!AH9),"")</f>
        <v/>
      </c>
      <c r="F9" s="3" t="str">
        <f>IF(IF(ISERROR(XS_Designer_Calculations!AF9),"",XS_Designer_Calculations!AF9)&lt;&gt;MAX($F$4:$F8),IF(ISERROR(XS_Designer_Calculations!AF9),"",XS_Designer_Calculations!AF9),"")</f>
        <v/>
      </c>
      <c r="G9" s="4" t="str">
        <f>IF(F9&lt;&gt;"",IF(ISERROR(XS_Designer_Calculations!W9),"",XS_Designer_Calculations!W9),"")</f>
        <v/>
      </c>
      <c r="H9" s="14">
        <f>IF(ISERROR(XS_Designer_Calculations!AE9),"",XS_Designer_Calculations!AE9)</f>
        <v>5.0012499999999998</v>
      </c>
      <c r="I9" s="94">
        <f>IF(ISERROR(XS_Designer_Calculations!W9),"",XS_Designer_Calculations!W9)</f>
        <v>4.0010000000000003</v>
      </c>
      <c r="J9" s="4" t="str">
        <f>IF(K9&lt;&gt;"",IF(ISERROR(XS_Designer_Calculations!AL9:AL109),"",XS_Designer_Calculations!AL9:AL109),"")</f>
        <v/>
      </c>
      <c r="K9" s="22" t="str">
        <f>IF(IF(ISERROR(XS_Designer_Calculations!AJ9:AJ109),"",XS_Designer_Calculations!AJ9:AJ109)&lt;&gt;MAX($K$4:$K8),IF(ISERROR(XS_Designer_Calculations!AJ9:AJ109),"",XS_Designer_Calculations!AJ9:AJ109),"")</f>
        <v/>
      </c>
      <c r="L9" s="142" t="str">
        <f>IF(K9&lt;&gt;"",IF(ISERROR(XS_Designer_Calculations!X9:X109),"",XS_Designer_Calculations!X9:X109),"")</f>
        <v/>
      </c>
      <c r="M9" s="46">
        <f>IF(ISERROR(XS_Designer_Calculations!AI9:AI109),"",XS_Designer_Calculations!AI9:AI109)</f>
        <v>0</v>
      </c>
      <c r="N9" s="46">
        <f>IF(ISERROR(XS_Designer_Calculations!X9:X109),"",XS_Designer_Calculations!X9:X109)</f>
        <v>4.5010000000000003</v>
      </c>
      <c r="P9" s="94" t="str">
        <f>IF(ISERROR(XS_Designer!AF8),"",XS_Designer!AF8)</f>
        <v/>
      </c>
      <c r="Q9" s="94" t="str">
        <f>IF(ISERROR(XS_Designer!AG8),"",XS_Designer!AG8)</f>
        <v/>
      </c>
      <c r="R9" s="4" t="str">
        <f>IF(ISERROR(XS_Designer!AH8),"",XS_Designer!AH8)</f>
        <v>Right Inner Berm</v>
      </c>
      <c r="X9" s="46">
        <f>IF(OR(ISERROR(XS_Designer_Calculations!BG8),B9="",ISERROR(XS_Designer_Calculations!BN8)),"",XS_Designer_Calculations!BN8)</f>
        <v>-5.0012499999999998</v>
      </c>
      <c r="Y9" s="46">
        <f>IF(OR(ISERROR(XS_Designer_Calculations!BG8),X9=""),"",XS_Designer_Calculations!BH8)</f>
        <v>2.0009999999999999</v>
      </c>
      <c r="Z9" s="46">
        <f>IF(OR(ISERROR(XS_Designer_Calculations!BG8),X9=""),"",XS_Designer_Calculations!$O$18)</f>
        <v>5</v>
      </c>
      <c r="AB9" s="14">
        <f>IFERROR(XS_Designer_Summary!AK7,0)</f>
        <v>-26.113200000000006</v>
      </c>
      <c r="AC9" s="14">
        <f>IFERROR(XS_Designer_Summary!AV7,0)</f>
        <v>2.2034978539563879</v>
      </c>
      <c r="AD9" s="14">
        <f>IFERROR(XS_Designer_Summary!AK7,0)</f>
        <v>-26.113200000000006</v>
      </c>
      <c r="AE9" s="14">
        <f>IFERROR(XS_Designer_Summary!AW7,0)</f>
        <v>1.1267441796944431</v>
      </c>
      <c r="AF9" s="14">
        <f>IFERROR(XS_Designer_Summary!AK7,0)</f>
        <v>-26.113200000000006</v>
      </c>
      <c r="AG9" s="14">
        <f>IFERROR(XS_Designer_Summary!BF7,0)</f>
        <v>3.4821326314446348</v>
      </c>
    </row>
    <row r="10" spans="2:33">
      <c r="B10" s="46">
        <f>IF(ISERROR(XS_Designer_Calculations!B10),"",XS_Designer_Calculations!B10)</f>
        <v>-2.0012499999999998</v>
      </c>
      <c r="C10" s="46">
        <f>IF(ISERROR(XS_Designer_Calculations!C10),"",XS_Designer_Calculations!C10)</f>
        <v>0.501</v>
      </c>
      <c r="D10" s="3" t="str">
        <f>IF(OR(ISERROR(Data!D7), Data!D7=0),"",Data!D7)</f>
        <v/>
      </c>
      <c r="E10" s="3" t="str">
        <f>IF(F10&lt;&gt;"",IF(ISERROR(XS_Designer_Calculations!AH10),"",XS_Designer_Calculations!AH10),"")</f>
        <v/>
      </c>
      <c r="F10" s="3" t="str">
        <f>IF(IF(ISERROR(XS_Designer_Calculations!AF10),"",XS_Designer_Calculations!AF10)&lt;&gt;MAX($F$4:$F9),IF(ISERROR(XS_Designer_Calculations!AF10),"",XS_Designer_Calculations!AF10),"")</f>
        <v/>
      </c>
      <c r="G10" s="4" t="str">
        <f>IF(F10&lt;&gt;"",IF(ISERROR(XS_Designer_Calculations!W10),"",XS_Designer_Calculations!W10),"")</f>
        <v/>
      </c>
      <c r="H10" s="14">
        <f>IF(ISERROR(XS_Designer_Calculations!AE10),"",XS_Designer_Calculations!AE10)</f>
        <v>5.0012499999999998</v>
      </c>
      <c r="I10" s="94">
        <f>IF(ISERROR(XS_Designer_Calculations!W10),"",XS_Designer_Calculations!W10)</f>
        <v>4.0010000000000003</v>
      </c>
      <c r="J10" s="4" t="str">
        <f>IF(K10&lt;&gt;"",IF(ISERROR(XS_Designer_Calculations!AL10:AL110),"",XS_Designer_Calculations!AL10:AL110),"")</f>
        <v/>
      </c>
      <c r="K10" s="22" t="str">
        <f>IF(IF(ISERROR(XS_Designer_Calculations!AJ10:AJ110),"",XS_Designer_Calculations!AJ10:AJ110)&lt;&gt;MAX($K$4:$K9),IF(ISERROR(XS_Designer_Calculations!AJ10:AJ110),"",XS_Designer_Calculations!AJ10:AJ110),"")</f>
        <v/>
      </c>
      <c r="L10" s="142" t="str">
        <f>IF(K10&lt;&gt;"",IF(ISERROR(XS_Designer_Calculations!X10:X110),"",XS_Designer_Calculations!X10:X110),"")</f>
        <v/>
      </c>
      <c r="M10" s="46">
        <f>IF(ISERROR(XS_Designer_Calculations!AI10:AI110),"",XS_Designer_Calculations!AI10:AI110)</f>
        <v>0</v>
      </c>
      <c r="N10" s="46">
        <f>IF(ISERROR(XS_Designer_Calculations!X10:X110),"",XS_Designer_Calculations!X10:X110)</f>
        <v>4.5010000000000003</v>
      </c>
      <c r="P10" s="94">
        <f>IF(ISERROR(XS_Designer!AF9),"",XS_Designer!AF9)</f>
        <v>5.0012499999999998</v>
      </c>
      <c r="Q10" s="94">
        <f>IF(ISERROR(XS_Designer!AG9),"",XS_Designer!AG9)</f>
        <v>2.0009999999999999</v>
      </c>
      <c r="R10" s="4" t="str">
        <f>IF(ISERROR(XS_Designer!AH9),"",XS_Designer!AH9)</f>
        <v>Right Bankfull</v>
      </c>
      <c r="X10" s="46">
        <f>IF(OR(ISERROR(XS_Designer_Calculations!BG9),B10="",ISERROR(XS_Designer_Calculations!BN9)),"",XS_Designer_Calculations!BN9)</f>
        <v>-2.0012499999999998</v>
      </c>
      <c r="Y10" s="46">
        <f>IF(OR(ISERROR(XS_Designer_Calculations!BG9),X10=""),"",XS_Designer_Calculations!BH9)</f>
        <v>0.501</v>
      </c>
      <c r="Z10" s="46">
        <f>IF(OR(ISERROR(XS_Designer_Calculations!BG9),X10=""),"",XS_Designer_Calculations!$O$18)</f>
        <v>5</v>
      </c>
      <c r="AB10" s="14">
        <f>IFERROR(XS_Designer_Summary!AK8,0)</f>
        <v>-25.841187500000007</v>
      </c>
      <c r="AC10" s="14">
        <f>IFERROR(XS_Designer_Summary!AV8,0)</f>
        <v>2.2079206290776918</v>
      </c>
      <c r="AD10" s="14">
        <f>IFERROR(XS_Designer_Summary!AK8,0)</f>
        <v>-25.841187500000007</v>
      </c>
      <c r="AE10" s="14">
        <f>IFERROR(XS_Designer_Summary!AW8,0)</f>
        <v>1.1301382169548584</v>
      </c>
      <c r="AF10" s="14">
        <f>IFERROR(XS_Designer_Summary!AK8,0)</f>
        <v>-25.841187500000007</v>
      </c>
      <c r="AG10" s="14">
        <f>IFERROR(XS_Designer_Summary!BF8,0)</f>
        <v>3.49304648454945</v>
      </c>
    </row>
    <row r="11" spans="2:33">
      <c r="B11" s="46">
        <f>IF(ISERROR(XS_Designer_Calculations!B11),"",XS_Designer_Calculations!B11)</f>
        <v>-1.00125</v>
      </c>
      <c r="C11" s="46">
        <f>IF(ISERROR(XS_Designer_Calculations!C11),"",XS_Designer_Calculations!C11)</f>
        <v>0.251</v>
      </c>
      <c r="D11" s="3" t="str">
        <f>IF(OR(ISERROR(Data!D8), Data!D8=0),"",Data!D8)</f>
        <v/>
      </c>
      <c r="E11" s="3" t="str">
        <f>IF(F11&lt;&gt;"",IF(ISERROR(XS_Designer_Calculations!AH11),"",XS_Designer_Calculations!AH11),"")</f>
        <v/>
      </c>
      <c r="F11" s="3" t="str">
        <f>IF(IF(ISERROR(XS_Designer_Calculations!AF11),"",XS_Designer_Calculations!AF11)&lt;&gt;MAX($F$4:$F10),IF(ISERROR(XS_Designer_Calculations!AF11),"",XS_Designer_Calculations!AF11),"")</f>
        <v/>
      </c>
      <c r="G11" s="4" t="str">
        <f>IF(F11&lt;&gt;"",IF(ISERROR(XS_Designer_Calculations!W11),"",XS_Designer_Calculations!W11),"")</f>
        <v/>
      </c>
      <c r="H11" s="14">
        <f>IF(ISERROR(XS_Designer_Calculations!AE11),"",XS_Designer_Calculations!AE11)</f>
        <v>5.0012499999999998</v>
      </c>
      <c r="I11" s="94">
        <f>IF(ISERROR(XS_Designer_Calculations!W11),"",XS_Designer_Calculations!W11)</f>
        <v>4.0010000000000003</v>
      </c>
      <c r="J11" s="4" t="str">
        <f>IF(K11&lt;&gt;"",IF(ISERROR(XS_Designer_Calculations!AL11:AL111),"",XS_Designer_Calculations!AL11:AL111),"")</f>
        <v/>
      </c>
      <c r="K11" s="22" t="str">
        <f>IF(IF(ISERROR(XS_Designer_Calculations!AJ11:AJ111),"",XS_Designer_Calculations!AJ11:AJ111)&lt;&gt;MAX($K$4:$K10),IF(ISERROR(XS_Designer_Calculations!AJ11:AJ111),"",XS_Designer_Calculations!AJ11:AJ111),"")</f>
        <v/>
      </c>
      <c r="L11" s="142" t="str">
        <f>IF(K11&lt;&gt;"",IF(ISERROR(XS_Designer_Calculations!X11:X111),"",XS_Designer_Calculations!X11:X111),"")</f>
        <v/>
      </c>
      <c r="M11" s="46">
        <f>IF(ISERROR(XS_Designer_Calculations!AI11:AI111),"",XS_Designer_Calculations!AI11:AI111)</f>
        <v>0</v>
      </c>
      <c r="N11" s="46">
        <f>IF(ISERROR(XS_Designer_Calculations!X11:X111),"",XS_Designer_Calculations!X11:X111)</f>
        <v>4.5010000000000003</v>
      </c>
      <c r="P11" s="94">
        <f>IF(ISERROR(XS_Designer!AF10),"",XS_Designer!AF10)</f>
        <v>16.60125</v>
      </c>
      <c r="Q11" s="94">
        <f>IF(ISERROR(XS_Designer!AG10),"",XS_Designer!AG10)</f>
        <v>3.0010000000000003</v>
      </c>
      <c r="R11" s="4" t="str">
        <f>IF(ISERROR(XS_Designer!AH10),"",XS_Designer!AH10)</f>
        <v>Right 2nd Stage</v>
      </c>
      <c r="X11" s="46">
        <f>IF(OR(ISERROR(XS_Designer_Calculations!BG10),B11="",ISERROR(XS_Designer_Calculations!BN10)),"",XS_Designer_Calculations!BN10)</f>
        <v>-1.00125</v>
      </c>
      <c r="Y11" s="46">
        <f>IF(OR(ISERROR(XS_Designer_Calculations!BG10),X11=""),"",XS_Designer_Calculations!BH10)</f>
        <v>0.251</v>
      </c>
      <c r="Z11" s="46">
        <f>IF(OR(ISERROR(XS_Designer_Calculations!BG10),X11=""),"",XS_Designer_Calculations!$O$18)</f>
        <v>5</v>
      </c>
      <c r="AB11" s="14">
        <f>IFERROR(XS_Designer_Summary!AK9,0)</f>
        <v>-25.569175000000008</v>
      </c>
      <c r="AC11" s="14">
        <f>IFERROR(XS_Designer_Summary!AV9,0)</f>
        <v>2.2123389789058212</v>
      </c>
      <c r="AD11" s="14">
        <f>IFERROR(XS_Designer_Summary!AK9,0)</f>
        <v>-25.569175000000008</v>
      </c>
      <c r="AE11" s="14">
        <f>IFERROR(XS_Designer_Summary!AW9,0)</f>
        <v>1.1335322542152735</v>
      </c>
      <c r="AF11" s="14">
        <f>IFERROR(XS_Designer_Summary!AK9,0)</f>
        <v>-25.569175000000008</v>
      </c>
      <c r="AG11" s="14">
        <f>IFERROR(XS_Designer_Summary!BF9,0)</f>
        <v>3.5039617122936293</v>
      </c>
    </row>
    <row r="12" spans="2:33">
      <c r="B12" s="46">
        <f>IF(ISERROR(XS_Designer_Calculations!B12),"",XS_Designer_Calculations!B12)</f>
        <v>-0.50124999999999997</v>
      </c>
      <c r="C12" s="46">
        <f>IF(ISERROR(XS_Designer_Calculations!C12),"",XS_Designer_Calculations!C12)</f>
        <v>0.126</v>
      </c>
      <c r="D12" s="3" t="str">
        <f>IF(OR(ISERROR(Data!D9), Data!D9=0),"",Data!D9)</f>
        <v/>
      </c>
      <c r="E12" s="3" t="str">
        <f>IF(F12&lt;&gt;"",IF(ISERROR(XS_Designer_Calculations!AH12),"",XS_Designer_Calculations!AH12),"")</f>
        <v/>
      </c>
      <c r="F12" s="3" t="str">
        <f>IF(IF(ISERROR(XS_Designer_Calculations!AF12),"",XS_Designer_Calculations!AF12)&lt;&gt;MAX($F$4:$F11),IF(ISERROR(XS_Designer_Calculations!AF12),"",XS_Designer_Calculations!AF12),"")</f>
        <v/>
      </c>
      <c r="G12" s="4" t="str">
        <f>IF(F12&lt;&gt;"",IF(ISERROR(XS_Designer_Calculations!W12),"",XS_Designer_Calculations!W12),"")</f>
        <v/>
      </c>
      <c r="H12" s="14">
        <f>IF(ISERROR(XS_Designer_Calculations!AE12),"",XS_Designer_Calculations!AE12)</f>
        <v>5.0012499999999998</v>
      </c>
      <c r="I12" s="94">
        <f>IF(ISERROR(XS_Designer_Calculations!W12),"",XS_Designer_Calculations!W12)</f>
        <v>4.0010000000000003</v>
      </c>
      <c r="J12" s="4" t="str">
        <f>IF(K12&lt;&gt;"",IF(ISERROR(XS_Designer_Calculations!AL12:AL112),"",XS_Designer_Calculations!AL12:AL112),"")</f>
        <v/>
      </c>
      <c r="K12" s="22" t="str">
        <f>IF(IF(ISERROR(XS_Designer_Calculations!AJ12:AJ112),"",XS_Designer_Calculations!AJ12:AJ112)&lt;&gt;MAX($K$4:$K11),IF(ISERROR(XS_Designer_Calculations!AJ12:AJ112),"",XS_Designer_Calculations!AJ12:AJ112),"")</f>
        <v/>
      </c>
      <c r="L12" s="142" t="str">
        <f>IF(K12&lt;&gt;"",IF(ISERROR(XS_Designer_Calculations!X12:X112),"",XS_Designer_Calculations!X12:X112),"")</f>
        <v/>
      </c>
      <c r="M12" s="46">
        <f>IF(ISERROR(XS_Designer_Calculations!AI12:AI112),"",XS_Designer_Calculations!AI12:AI112)</f>
        <v>0</v>
      </c>
      <c r="N12" s="46">
        <f>IF(ISERROR(XS_Designer_Calculations!X12:X112),"",XS_Designer_Calculations!X12:X112)</f>
        <v>4.5010000000000003</v>
      </c>
      <c r="P12" s="94">
        <f>IF(ISERROR(XS_Designer!AF11),"",XS_Designer!AF11)</f>
        <v>27.201250000000002</v>
      </c>
      <c r="Q12" s="94">
        <f>IF(ISERROR(XS_Designer!AG11),"",XS_Designer!AG11)</f>
        <v>3.5010000000000003</v>
      </c>
      <c r="R12" s="4" t="str">
        <f>IF(ISERROR(XS_Designer!AH11),"",XS_Designer!AH11)</f>
        <v>Right 3rd Stage</v>
      </c>
      <c r="X12" s="46">
        <f>IF(OR(ISERROR(XS_Designer_Calculations!BG11),B12="",ISERROR(XS_Designer_Calculations!BN11)),"",XS_Designer_Calculations!BN11)</f>
        <v>-0.50124999999999997</v>
      </c>
      <c r="Y12" s="46">
        <f>IF(OR(ISERROR(XS_Designer_Calculations!BG11),X12=""),"",XS_Designer_Calculations!BH11)</f>
        <v>0.126</v>
      </c>
      <c r="Z12" s="46">
        <f>IF(OR(ISERROR(XS_Designer_Calculations!BG11),X12=""),"",XS_Designer_Calculations!$O$18)</f>
        <v>5</v>
      </c>
      <c r="AB12" s="14">
        <f>IFERROR(XS_Designer_Summary!AK10,0)</f>
        <v>-25.29716250000001</v>
      </c>
      <c r="AC12" s="14">
        <f>IFERROR(XS_Designer_Summary!AV10,0)</f>
        <v>2.2167529210990455</v>
      </c>
      <c r="AD12" s="14">
        <f>IFERROR(XS_Designer_Summary!AK10,0)</f>
        <v>-25.29716250000001</v>
      </c>
      <c r="AE12" s="14">
        <f>IFERROR(XS_Designer_Summary!AW10,0)</f>
        <v>1.1369262914756886</v>
      </c>
      <c r="AF12" s="14">
        <f>IFERROR(XS_Designer_Summary!AK10,0)</f>
        <v>-25.29716250000001</v>
      </c>
      <c r="AG12" s="14">
        <f>IFERROR(XS_Designer_Summary!BF10,0)</f>
        <v>3.514878310739717</v>
      </c>
    </row>
    <row r="13" spans="2:33">
      <c r="B13" s="46">
        <f>IF(ISERROR(XS_Designer_Calculations!B13),"",XS_Designer_Calculations!B13)</f>
        <v>-1E-3</v>
      </c>
      <c r="C13" s="46">
        <f>IF(ISERROR(XS_Designer_Calculations!C13),"",XS_Designer_Calculations!C13)</f>
        <v>1E-3</v>
      </c>
      <c r="D13" s="3" t="str">
        <f>IF(OR(ISERROR(Data!D10), Data!D10=0),"",Data!D10)</f>
        <v/>
      </c>
      <c r="E13" s="3" t="str">
        <f>IF(F13&lt;&gt;"",IF(ISERROR(XS_Designer_Calculations!AH13),"",XS_Designer_Calculations!AH13),"")</f>
        <v/>
      </c>
      <c r="F13" s="3" t="str">
        <f>IF(IF(ISERROR(XS_Designer_Calculations!AF13),"",XS_Designer_Calculations!AF13)&lt;&gt;MAX($F$4:$F12),IF(ISERROR(XS_Designer_Calculations!AF13),"",XS_Designer_Calculations!AF13),"")</f>
        <v/>
      </c>
      <c r="G13" s="4" t="str">
        <f>IF(F13&lt;&gt;"",IF(ISERROR(XS_Designer_Calculations!W13),"",XS_Designer_Calculations!W13),"")</f>
        <v/>
      </c>
      <c r="H13" s="14">
        <f>IF(ISERROR(XS_Designer_Calculations!AE13),"",XS_Designer_Calculations!AE13)</f>
        <v>5.0012499999999998</v>
      </c>
      <c r="I13" s="94">
        <f>IF(ISERROR(XS_Designer_Calculations!W13),"",XS_Designer_Calculations!W13)</f>
        <v>4.0010000000000003</v>
      </c>
      <c r="J13" s="4" t="str">
        <f>IF(K13&lt;&gt;"",IF(ISERROR(XS_Designer_Calculations!AL13:AL113),"",XS_Designer_Calculations!AL13:AL113),"")</f>
        <v>R-BKF</v>
      </c>
      <c r="K13" s="22">
        <f>IF(IF(ISERROR(XS_Designer_Calculations!AJ13:AJ113),"",XS_Designer_Calculations!AJ13:AJ113)&lt;&gt;MAX($K$4:$K12),IF(ISERROR(XS_Designer_Calculations!AJ13:AJ113),"",XS_Designer_Calculations!AJ13:AJ113),"")</f>
        <v>2.5006249999999999</v>
      </c>
      <c r="L13" s="142">
        <f>IF(K13&lt;&gt;"",IF(ISERROR(XS_Designer_Calculations!X13:X113),"",XS_Designer_Calculations!X13:X113),"")</f>
        <v>4.5010000000000003</v>
      </c>
      <c r="M13" s="46">
        <f>IF(ISERROR(XS_Designer_Calculations!AI13:AI113),"",XS_Designer_Calculations!AI13:AI113)</f>
        <v>0</v>
      </c>
      <c r="N13" s="46">
        <f>IF(ISERROR(XS_Designer_Calculations!X13:X113),"",XS_Designer_Calculations!X13:X113)</f>
        <v>4.5010000000000003</v>
      </c>
      <c r="X13" s="46">
        <f>IF(OR(ISERROR(XS_Designer_Calculations!BG12),B13="",ISERROR(XS_Designer_Calculations!BN12)),"",XS_Designer_Calculations!BN12)</f>
        <v>-1E-3</v>
      </c>
      <c r="Y13" s="46">
        <f>IF(OR(ISERROR(XS_Designer_Calculations!BG12),X13=""),"",XS_Designer_Calculations!BH12)</f>
        <v>1E-3</v>
      </c>
      <c r="Z13" s="46">
        <f>IF(OR(ISERROR(XS_Designer_Calculations!BG12),X13=""),"",XS_Designer_Calculations!$O$18)</f>
        <v>5</v>
      </c>
      <c r="AB13" s="14">
        <f>IFERROR(XS_Designer_Summary!AK11,0)</f>
        <v>-25.025150000000011</v>
      </c>
      <c r="AC13" s="14">
        <f>IFERROR(XS_Designer_Summary!AV11,0)</f>
        <v>2.2211624731926913</v>
      </c>
      <c r="AD13" s="14">
        <f>IFERROR(XS_Designer_Summary!AK11,0)</f>
        <v>-25.025150000000011</v>
      </c>
      <c r="AE13" s="14">
        <f>IFERROR(XS_Designer_Summary!AW11,0)</f>
        <v>1.1403203287361035</v>
      </c>
      <c r="AF13" s="14">
        <f>IFERROR(XS_Designer_Summary!AK11,0)</f>
        <v>-25.025150000000011</v>
      </c>
      <c r="AG13" s="14">
        <f>IFERROR(XS_Designer_Summary!BF11,0)</f>
        <v>3.5257962759732373</v>
      </c>
    </row>
    <row r="14" spans="2:33">
      <c r="B14" s="46">
        <f>IF(ISERROR(XS_Designer_Calculations!B14),"",XS_Designer_Calculations!B14)</f>
        <v>0</v>
      </c>
      <c r="C14" s="46">
        <f>IF(ISERROR(XS_Designer_Calculations!C14),"",XS_Designer_Calculations!C14)</f>
        <v>0</v>
      </c>
      <c r="D14" s="3" t="str">
        <f>IF(OR(ISERROR(Data!D11), Data!D11=0),"",Data!D11)</f>
        <v>Thalweg</v>
      </c>
      <c r="E14" s="3" t="str">
        <f>IF(F14&lt;&gt;"",IF(ISERROR(XS_Designer_Calculations!AH14),"",XS_Designer_Calculations!AH14),"")</f>
        <v/>
      </c>
      <c r="F14" s="3" t="str">
        <f>IF(IF(ISERROR(XS_Designer_Calculations!AF14),"",XS_Designer_Calculations!AF14)&lt;&gt;MAX($F$4:$F13),IF(ISERROR(XS_Designer_Calculations!AF14),"",XS_Designer_Calculations!AF14),"")</f>
        <v/>
      </c>
      <c r="G14" s="4" t="str">
        <f>IF(F14&lt;&gt;"",IF(ISERROR(XS_Designer_Calculations!W14),"",XS_Designer_Calculations!W14),"")</f>
        <v/>
      </c>
      <c r="H14" s="14">
        <f>IF(ISERROR(XS_Designer_Calculations!AE14),"",XS_Designer_Calculations!AE14)</f>
        <v>5.0012499999999998</v>
      </c>
      <c r="I14" s="94">
        <f>IF(ISERROR(XS_Designer_Calculations!W14),"",XS_Designer_Calculations!W14)</f>
        <v>4.0010000000000003</v>
      </c>
      <c r="J14" s="4" t="str">
        <f>IF(K14&lt;&gt;"",IF(ISERROR(XS_Designer_Calculations!AL14:AL114),"",XS_Designer_Calculations!AL14:AL114),"")</f>
        <v/>
      </c>
      <c r="K14" s="22" t="str">
        <f>IF(IF(ISERROR(XS_Designer_Calculations!AJ14:AJ114),"",XS_Designer_Calculations!AJ14:AJ114)&lt;&gt;MAX($K$4:$K13),IF(ISERROR(XS_Designer_Calculations!AJ14:AJ114),"",XS_Designer_Calculations!AJ14:AJ114),"")</f>
        <v/>
      </c>
      <c r="L14" s="142" t="str">
        <f>IF(K14&lt;&gt;"",IF(ISERROR(XS_Designer_Calculations!X14:X114),"",XS_Designer_Calculations!X14:X114),"")</f>
        <v/>
      </c>
      <c r="M14" s="46">
        <f>IF(ISERROR(XS_Designer_Calculations!AI14:AI114),"",XS_Designer_Calculations!AI14:AI114)</f>
        <v>5.0012499999999998</v>
      </c>
      <c r="N14" s="46">
        <f>IF(ISERROR(XS_Designer_Calculations!X14:X114),"",XS_Designer_Calculations!X14:X114)</f>
        <v>4.5010000000000003</v>
      </c>
      <c r="X14" s="46">
        <f>IF(OR(ISERROR(XS_Designer_Calculations!BG13),B14="",ISERROR(XS_Designer_Calculations!BN13)),"",XS_Designer_Calculations!BN13)</f>
        <v>0</v>
      </c>
      <c r="Y14" s="46">
        <f>IF(OR(ISERROR(XS_Designer_Calculations!BG13),X14=""),"",XS_Designer_Calculations!BH13)</f>
        <v>0</v>
      </c>
      <c r="Z14" s="46">
        <f>IF(OR(ISERROR(XS_Designer_Calculations!BG13),X14=""),"",XS_Designer_Calculations!$O$18)</f>
        <v>5</v>
      </c>
      <c r="AB14" s="14">
        <f>IFERROR(XS_Designer_Summary!AK12,0)</f>
        <v>-24.753137500000012</v>
      </c>
      <c r="AC14" s="14">
        <f>IFERROR(XS_Designer_Summary!AV12,0)</f>
        <v>2.2255676526003629</v>
      </c>
      <c r="AD14" s="14">
        <f>IFERROR(XS_Designer_Summary!AK12,0)</f>
        <v>-24.753137500000012</v>
      </c>
      <c r="AE14" s="14">
        <f>IFERROR(XS_Designer_Summary!AW12,0)</f>
        <v>1.1437143659965185</v>
      </c>
      <c r="AF14" s="14">
        <f>IFERROR(XS_Designer_Summary!AK12,0)</f>
        <v>-24.753137500000012</v>
      </c>
      <c r="AG14" s="14">
        <f>IFERROR(XS_Designer_Summary!BF12,0)</f>
        <v>3.5367156041024943</v>
      </c>
    </row>
    <row r="15" spans="2:33">
      <c r="B15" s="46">
        <f>IF(ISERROR(XS_Designer_Calculations!B15),"",XS_Designer_Calculations!B15)</f>
        <v>1E-3</v>
      </c>
      <c r="C15" s="46">
        <f>IF(ISERROR(XS_Designer_Calculations!C15),"",XS_Designer_Calculations!C15)</f>
        <v>1E-3</v>
      </c>
      <c r="D15" s="3" t="str">
        <f>IF(OR(ISERROR(Data!D12), Data!D12=0),"",Data!D12)</f>
        <v/>
      </c>
      <c r="E15" s="3" t="str">
        <f>IF(F15&lt;&gt;"",IF(ISERROR(XS_Designer_Calculations!AH15),"",XS_Designer_Calculations!AH15),"")</f>
        <v/>
      </c>
      <c r="F15" s="3" t="str">
        <f>IF(IF(ISERROR(XS_Designer_Calculations!AF15),"",XS_Designer_Calculations!AF15)&lt;&gt;MAX($F$4:$F14),IF(ISERROR(XS_Designer_Calculations!AF15),"",XS_Designer_Calculations!AF15),"")</f>
        <v/>
      </c>
      <c r="G15" s="4" t="str">
        <f>IF(F15&lt;&gt;"",IF(ISERROR(XS_Designer_Calculations!W15),"",XS_Designer_Calculations!W15),"")</f>
        <v/>
      </c>
      <c r="H15" s="14">
        <f>IF(ISERROR(XS_Designer_Calculations!AE15),"",XS_Designer_Calculations!AE15)</f>
        <v>5.0012499999999998</v>
      </c>
      <c r="I15" s="94">
        <f>IF(ISERROR(XS_Designer_Calculations!W15),"",XS_Designer_Calculations!W15)</f>
        <v>4.0010000000000003</v>
      </c>
      <c r="J15" s="4" t="str">
        <f>IF(K15&lt;&gt;"",IF(ISERROR(XS_Designer_Calculations!AL15:AL115),"",XS_Designer_Calculations!AL15:AL115),"")</f>
        <v/>
      </c>
      <c r="K15" s="22" t="str">
        <f>IF(IF(ISERROR(XS_Designer_Calculations!AJ15:AJ115),"",XS_Designer_Calculations!AJ15:AJ115)&lt;&gt;MAX($K$4:$K14),IF(ISERROR(XS_Designer_Calculations!AJ15:AJ115),"",XS_Designer_Calculations!AJ15:AJ115),"")</f>
        <v/>
      </c>
      <c r="L15" s="142" t="str">
        <f>IF(K15&lt;&gt;"",IF(ISERROR(XS_Designer_Calculations!X15:X115),"",XS_Designer_Calculations!X15:X115),"")</f>
        <v/>
      </c>
      <c r="M15" s="46">
        <f>IF(ISERROR(XS_Designer_Calculations!AI15:AI115),"",XS_Designer_Calculations!AI15:AI115)</f>
        <v>5.0012499999999998</v>
      </c>
      <c r="N15" s="46">
        <f>IF(ISERROR(XS_Designer_Calculations!X15:X115),"",XS_Designer_Calculations!X15:X115)</f>
        <v>4.5010000000000003</v>
      </c>
      <c r="X15" s="46">
        <f>IF(OR(ISERROR(XS_Designer_Calculations!BG14),B15="",ISERROR(XS_Designer_Calculations!BN14)),"",XS_Designer_Calculations!BN14)</f>
        <v>1E-3</v>
      </c>
      <c r="Y15" s="46">
        <f>IF(OR(ISERROR(XS_Designer_Calculations!BG14),X15=""),"",XS_Designer_Calculations!BH14)</f>
        <v>1E-3</v>
      </c>
      <c r="Z15" s="46">
        <f>IF(OR(ISERROR(XS_Designer_Calculations!BG14),X15=""),"",XS_Designer_Calculations!$O$18)</f>
        <v>5</v>
      </c>
      <c r="AB15" s="14">
        <f>IFERROR(XS_Designer_Summary!AK13,0)</f>
        <v>-24.481125000000013</v>
      </c>
      <c r="AC15" s="14">
        <f>IFERROR(XS_Designer_Summary!AV13,0)</f>
        <v>2.2299684766151495</v>
      </c>
      <c r="AD15" s="14">
        <f>IFERROR(XS_Designer_Summary!AK13,0)</f>
        <v>-24.481125000000013</v>
      </c>
      <c r="AE15" s="14">
        <f>IFERROR(XS_Designer_Summary!AW13,0)</f>
        <v>1.1471084032569334</v>
      </c>
      <c r="AF15" s="14">
        <f>IFERROR(XS_Designer_Summary!AK13,0)</f>
        <v>-24.481125000000013</v>
      </c>
      <c r="AG15" s="14">
        <f>IFERROR(XS_Designer_Summary!BF13,0)</f>
        <v>3.5476362912583763</v>
      </c>
    </row>
    <row r="16" spans="2:33">
      <c r="B16" s="46">
        <f>IF(ISERROR(XS_Designer_Calculations!B16),"",XS_Designer_Calculations!B16)</f>
        <v>0.50124999999999997</v>
      </c>
      <c r="C16" s="46">
        <f>IF(ISERROR(XS_Designer_Calculations!C16),"",XS_Designer_Calculations!C16)</f>
        <v>0.126</v>
      </c>
      <c r="D16" s="3" t="str">
        <f>IF(OR(ISERROR(Data!D13), Data!D13=0),"",Data!D13)</f>
        <v/>
      </c>
      <c r="E16" s="3" t="str">
        <f>IF(F16&lt;&gt;"",IF(ISERROR(XS_Designer_Calculations!AH16),"",XS_Designer_Calculations!AH16),"")</f>
        <v/>
      </c>
      <c r="F16" s="3" t="str">
        <f>IF(IF(ISERROR(XS_Designer_Calculations!AF16),"",XS_Designer_Calculations!AF16)&lt;&gt;MAX($F$4:$F15),IF(ISERROR(XS_Designer_Calculations!AF16),"",XS_Designer_Calculations!AF16),"")</f>
        <v/>
      </c>
      <c r="G16" s="4" t="str">
        <f>IF(F16&lt;&gt;"",IF(ISERROR(XS_Designer_Calculations!W16),"",XS_Designer_Calculations!W16),"")</f>
        <v/>
      </c>
      <c r="H16" s="14">
        <f>IF(ISERROR(XS_Designer_Calculations!AE16),"",XS_Designer_Calculations!AE16)</f>
        <v>5.0012499999999998</v>
      </c>
      <c r="I16" s="94">
        <f>IF(ISERROR(XS_Designer_Calculations!W16),"",XS_Designer_Calculations!W16)</f>
        <v>4.0010000000000003</v>
      </c>
      <c r="J16" s="4" t="str">
        <f>IF(K16&lt;&gt;"",IF(ISERROR(XS_Designer_Calculations!AL16:AL116),"",XS_Designer_Calculations!AL16:AL116),"")</f>
        <v/>
      </c>
      <c r="K16" s="22" t="str">
        <f>IF(IF(ISERROR(XS_Designer_Calculations!AJ16:AJ116),"",XS_Designer_Calculations!AJ16:AJ116)&lt;&gt;MAX($K$4:$K15),IF(ISERROR(XS_Designer_Calculations!AJ16:AJ116),"",XS_Designer_Calculations!AJ16:AJ116),"")</f>
        <v/>
      </c>
      <c r="L16" s="142" t="str">
        <f>IF(K16&lt;&gt;"",IF(ISERROR(XS_Designer_Calculations!X16:X116),"",XS_Designer_Calculations!X16:X116),"")</f>
        <v/>
      </c>
      <c r="M16" s="46">
        <f>IF(ISERROR(XS_Designer_Calculations!AI16:AI116),"",XS_Designer_Calculations!AI16:AI116)</f>
        <v>5.0012499999999998</v>
      </c>
      <c r="N16" s="46">
        <f>IF(ISERROR(XS_Designer_Calculations!X16:X116),"",XS_Designer_Calculations!X16:X116)</f>
        <v>4.5010000000000003</v>
      </c>
      <c r="X16" s="46">
        <f>IF(OR(ISERROR(XS_Designer_Calculations!BG15),B16="",ISERROR(XS_Designer_Calculations!BN15)),"",XS_Designer_Calculations!BN15)</f>
        <v>0.50124999999999997</v>
      </c>
      <c r="Y16" s="46">
        <f>IF(OR(ISERROR(XS_Designer_Calculations!BG15),X16=""),"",XS_Designer_Calculations!BH15)</f>
        <v>0.126</v>
      </c>
      <c r="Z16" s="46">
        <f>IF(OR(ISERROR(XS_Designer_Calculations!BG15),X16=""),"",XS_Designer_Calculations!$O$18)</f>
        <v>5</v>
      </c>
      <c r="AB16" s="14">
        <f>IFERROR(XS_Designer_Summary!AK14,0)</f>
        <v>-24.209112500000014</v>
      </c>
      <c r="AC16" s="14">
        <f>IFERROR(XS_Designer_Summary!AV14,0)</f>
        <v>2.2343649624108104</v>
      </c>
      <c r="AD16" s="14">
        <f>IFERROR(XS_Designer_Summary!AK14,0)</f>
        <v>-24.209112500000014</v>
      </c>
      <c r="AE16" s="14">
        <f>IFERROR(XS_Designer_Summary!AW14,0)</f>
        <v>1.1505024405173487</v>
      </c>
      <c r="AF16" s="14">
        <f>IFERROR(XS_Designer_Summary!AK14,0)</f>
        <v>-24.209112500000014</v>
      </c>
      <c r="AG16" s="14">
        <f>IFERROR(XS_Designer_Summary!BF14,0)</f>
        <v>3.5585583335941506</v>
      </c>
    </row>
    <row r="17" spans="2:33">
      <c r="B17" s="46">
        <f>IF(ISERROR(XS_Designer_Calculations!B17),"",XS_Designer_Calculations!B17)</f>
        <v>1.00125</v>
      </c>
      <c r="C17" s="46">
        <f>IF(ISERROR(XS_Designer_Calculations!C17),"",XS_Designer_Calculations!C17)</f>
        <v>0.251</v>
      </c>
      <c r="D17" s="3" t="str">
        <f>IF(OR(ISERROR(Data!D14), Data!D14=0),"",Data!D14)</f>
        <v/>
      </c>
      <c r="E17" s="3" t="str">
        <f>IF(F17&lt;&gt;"",IF(ISERROR(XS_Designer_Calculations!AH17),"",XS_Designer_Calculations!AH17),"")</f>
        <v/>
      </c>
      <c r="F17" s="3" t="str">
        <f>IF(IF(ISERROR(XS_Designer_Calculations!AF17),"",XS_Designer_Calculations!AF17)&lt;&gt;MAX($F$4:$F16),IF(ISERROR(XS_Designer_Calculations!AF17),"",XS_Designer_Calculations!AF17),"")</f>
        <v/>
      </c>
      <c r="G17" s="4" t="str">
        <f>IF(F17&lt;&gt;"",IF(ISERROR(XS_Designer_Calculations!W17),"",XS_Designer_Calculations!W17),"")</f>
        <v/>
      </c>
      <c r="H17" s="14">
        <f>IF(ISERROR(XS_Designer_Calculations!AE17),"",XS_Designer_Calculations!AE17)</f>
        <v>5.0012499999999998</v>
      </c>
      <c r="I17" s="94">
        <f>IF(ISERROR(XS_Designer_Calculations!W17),"",XS_Designer_Calculations!W17)</f>
        <v>4.0010000000000003</v>
      </c>
      <c r="J17" s="4" t="str">
        <f>IF(K17&lt;&gt;"",IF(ISERROR(XS_Designer_Calculations!AL17:AL117),"",XS_Designer_Calculations!AL17:AL117),"")</f>
        <v/>
      </c>
      <c r="K17" s="22" t="str">
        <f>IF(IF(ISERROR(XS_Designer_Calculations!AJ17:AJ117),"",XS_Designer_Calculations!AJ17:AJ117)&lt;&gt;MAX($K$4:$K16),IF(ISERROR(XS_Designer_Calculations!AJ17:AJ117),"",XS_Designer_Calculations!AJ17:AJ117),"")</f>
        <v/>
      </c>
      <c r="L17" s="142" t="str">
        <f>IF(K17&lt;&gt;"",IF(ISERROR(XS_Designer_Calculations!X17:X117),"",XS_Designer_Calculations!X17:X117),"")</f>
        <v/>
      </c>
      <c r="M17" s="46">
        <f>IF(ISERROR(XS_Designer_Calculations!AI17:AI117),"",XS_Designer_Calculations!AI17:AI117)</f>
        <v>5.0012499999999998</v>
      </c>
      <c r="N17" s="46">
        <f>IF(ISERROR(XS_Designer_Calculations!X17:X117),"",XS_Designer_Calculations!X17:X117)</f>
        <v>4.5010000000000003</v>
      </c>
      <c r="X17" s="46">
        <f>IF(OR(ISERROR(XS_Designer_Calculations!BG16),B17="",ISERROR(XS_Designer_Calculations!BN16)),"",XS_Designer_Calculations!BN16)</f>
        <v>1.00125</v>
      </c>
      <c r="Y17" s="46">
        <f>IF(OR(ISERROR(XS_Designer_Calculations!BG16),X17=""),"",XS_Designer_Calculations!BH16)</f>
        <v>0.251</v>
      </c>
      <c r="Z17" s="46">
        <f>IF(OR(ISERROR(XS_Designer_Calculations!BG16),X17=""),"",XS_Designer_Calculations!$O$18)</f>
        <v>5</v>
      </c>
      <c r="AB17" s="14">
        <f>IFERROR(XS_Designer_Summary!AK15,0)</f>
        <v>-23.937100000000015</v>
      </c>
      <c r="AC17" s="14">
        <f>IFERROR(XS_Designer_Summary!AV15,0)</f>
        <v>2.2387571270429447</v>
      </c>
      <c r="AD17" s="14">
        <f>IFERROR(XS_Designer_Summary!AK15,0)</f>
        <v>-23.937100000000015</v>
      </c>
      <c r="AE17" s="14">
        <f>IFERROR(XS_Designer_Summary!AW15,0)</f>
        <v>1.1538964777777638</v>
      </c>
      <c r="AF17" s="14">
        <f>IFERROR(XS_Designer_Summary!AK15,0)</f>
        <v>-23.937100000000015</v>
      </c>
      <c r="AG17" s="14">
        <f>IFERROR(XS_Designer_Summary!BF15,0)</f>
        <v>3.5694817272852744</v>
      </c>
    </row>
    <row r="18" spans="2:33">
      <c r="B18" s="46">
        <f>IF(ISERROR(XS_Designer_Calculations!B18),"",XS_Designer_Calculations!B18)</f>
        <v>2.0012499999999998</v>
      </c>
      <c r="C18" s="46">
        <f>IF(ISERROR(XS_Designer_Calculations!C18),"",XS_Designer_Calculations!C18)</f>
        <v>0.501</v>
      </c>
      <c r="D18" s="3" t="str">
        <f>IF(OR(ISERROR(Data!D15), Data!D15=0),"",Data!D15)</f>
        <v/>
      </c>
      <c r="E18" s="3">
        <f>IF(F18&lt;&gt;"",IF(ISERROR(XS_Designer_Calculations!AH18),"",XS_Designer_Calculations!AH18),"")</f>
        <v>0.1</v>
      </c>
      <c r="F18" s="3">
        <f>IF(IF(ISERROR(XS_Designer_Calculations!AF18),"",XS_Designer_Calculations!AF18)&lt;&gt;MAX($F$4:$F17),IF(ISERROR(XS_Designer_Calculations!AF18),"",XS_Designer_Calculations!AF18),"")</f>
        <v>16.10125</v>
      </c>
      <c r="G18" s="4">
        <f>IF(F18&lt;&gt;"",IF(ISERROR(XS_Designer_Calculations!W18),"",XS_Designer_Calculations!W18),"")</f>
        <v>4.0010000000000003</v>
      </c>
      <c r="H18" s="14">
        <f>IF(ISERROR(XS_Designer_Calculations!AE18),"",XS_Designer_Calculations!AE18)</f>
        <v>5.0012499999999998</v>
      </c>
      <c r="I18" s="94">
        <f>IF(ISERROR(XS_Designer_Calculations!W18),"",XS_Designer_Calculations!W18)</f>
        <v>4.0010000000000003</v>
      </c>
      <c r="J18" s="4" t="str">
        <f>IF(K18&lt;&gt;"",IF(ISERROR(XS_Designer_Calculations!AL18:AL118),"",XS_Designer_Calculations!AL18:AL118),"")</f>
        <v>R-2 Stg</v>
      </c>
      <c r="K18" s="22">
        <f>IF(IF(ISERROR(XS_Designer_Calculations!AJ18:AJ118),"",XS_Designer_Calculations!AJ18:AJ118)&lt;&gt;MAX($K$4:$K17),IF(ISERROR(XS_Designer_Calculations!AJ18:AJ118),"",XS_Designer_Calculations!AJ18:AJ118),"")</f>
        <v>10.80125</v>
      </c>
      <c r="L18" s="142">
        <f>IF(K18&lt;&gt;"",IF(ISERROR(XS_Designer_Calculations!X18:X118),"",XS_Designer_Calculations!X18:X118),"")</f>
        <v>4.5010000000000003</v>
      </c>
      <c r="M18" s="46">
        <f>IF(ISERROR(XS_Designer_Calculations!AI18:AI118),"",XS_Designer_Calculations!AI18:AI118)</f>
        <v>5.0012499999999998</v>
      </c>
      <c r="N18" s="46">
        <f>IF(ISERROR(XS_Designer_Calculations!X18:X118),"",XS_Designer_Calculations!X18:X118)</f>
        <v>4.5010000000000003</v>
      </c>
      <c r="X18" s="46">
        <f>IF(OR(ISERROR(XS_Designer_Calculations!BG17),B18="",ISERROR(XS_Designer_Calculations!BN17)),"",XS_Designer_Calculations!BN17)</f>
        <v>2.0012499999999998</v>
      </c>
      <c r="Y18" s="46">
        <f>IF(OR(ISERROR(XS_Designer_Calculations!BG17),X18=""),"",XS_Designer_Calculations!BH17)</f>
        <v>0.501</v>
      </c>
      <c r="Z18" s="46">
        <f>IF(OR(ISERROR(XS_Designer_Calculations!BG17),X18=""),"",XS_Designer_Calculations!$O$18)</f>
        <v>5</v>
      </c>
      <c r="AB18" s="14">
        <f>IFERROR(XS_Designer_Summary!AK16,0)</f>
        <v>-23.665087500000016</v>
      </c>
      <c r="AC18" s="14">
        <f>IFERROR(XS_Designer_Summary!AV16,0)</f>
        <v>2.2431449874501554</v>
      </c>
      <c r="AD18" s="14">
        <f>IFERROR(XS_Designer_Summary!AK16,0)</f>
        <v>-23.665087500000016</v>
      </c>
      <c r="AE18" s="14">
        <f>IFERROR(XS_Designer_Summary!AW16,0)</f>
        <v>1.1572905150381789</v>
      </c>
      <c r="AF18" s="14">
        <f>IFERROR(XS_Designer_Summary!AK16,0)</f>
        <v>-23.665087500000016</v>
      </c>
      <c r="AG18" s="14">
        <f>IFERROR(XS_Designer_Summary!BF16,0)</f>
        <v>3.5804064685292016</v>
      </c>
    </row>
    <row r="19" spans="2:33">
      <c r="B19" s="46">
        <f>IF(ISERROR(XS_Designer_Calculations!B19),"",XS_Designer_Calculations!B19)</f>
        <v>5.0012499999999998</v>
      </c>
      <c r="C19" s="46">
        <f>IF(ISERROR(XS_Designer_Calculations!C19),"",XS_Designer_Calculations!C19)</f>
        <v>2.0009999999999999</v>
      </c>
      <c r="D19" s="3" t="str">
        <f>IF(OR(ISERROR(Data!D16), Data!D16=0),"",Data!D16)</f>
        <v>Right Bankfull</v>
      </c>
      <c r="E19" s="3" t="str">
        <f>IF(F19&lt;&gt;"",IF(ISERROR(XS_Designer_Calculations!AH19),"",XS_Designer_Calculations!AH19),"")</f>
        <v/>
      </c>
      <c r="F19" s="3" t="str">
        <f>IF(IF(ISERROR(XS_Designer_Calculations!AF19),"",XS_Designer_Calculations!AF19)&lt;&gt;MAX($F$4:$F18),IF(ISERROR(XS_Designer_Calculations!AF19),"",XS_Designer_Calculations!AF19),"")</f>
        <v/>
      </c>
      <c r="G19" s="4" t="str">
        <f>IF(F19&lt;&gt;"",IF(ISERROR(XS_Designer_Calculations!W19),"",XS_Designer_Calculations!W19),"")</f>
        <v/>
      </c>
      <c r="H19" s="14">
        <f>IF(ISERROR(XS_Designer_Calculations!AE19),"",XS_Designer_Calculations!AE19)</f>
        <v>27.201250000000002</v>
      </c>
      <c r="I19" s="94">
        <f>IF(ISERROR(XS_Designer_Calculations!W19),"",XS_Designer_Calculations!W19)</f>
        <v>4.0010000000000003</v>
      </c>
      <c r="J19" s="4" t="str">
        <f>IF(K19&lt;&gt;"",IF(ISERROR(XS_Designer_Calculations!AL19:AL119),"",XS_Designer_Calculations!AL19:AL119),"")</f>
        <v/>
      </c>
      <c r="K19" s="22" t="str">
        <f>IF(IF(ISERROR(XS_Designer_Calculations!AJ19:AJ119),"",XS_Designer_Calculations!AJ19:AJ119)&lt;&gt;MAX($K$4:$K18),IF(ISERROR(XS_Designer_Calculations!AJ19:AJ119),"",XS_Designer_Calculations!AJ19:AJ119),"")</f>
        <v/>
      </c>
      <c r="L19" s="142" t="str">
        <f>IF(K19&lt;&gt;"",IF(ISERROR(XS_Designer_Calculations!X19:X119),"",XS_Designer_Calculations!X19:X119),"")</f>
        <v/>
      </c>
      <c r="M19" s="46">
        <f>IF(ISERROR(XS_Designer_Calculations!AI19:AI119),"",XS_Designer_Calculations!AI19:AI119)</f>
        <v>16.60125</v>
      </c>
      <c r="N19" s="46">
        <f>IF(ISERROR(XS_Designer_Calculations!X19:X119),"",XS_Designer_Calculations!X19:X119)</f>
        <v>4.5010000000000003</v>
      </c>
      <c r="X19" s="46">
        <f>IF(OR(ISERROR(XS_Designer_Calculations!BG18),B19="",ISERROR(XS_Designer_Calculations!BN18)),"",XS_Designer_Calculations!BN18)</f>
        <v>5.0012499999999998</v>
      </c>
      <c r="Y19" s="46">
        <f>IF(OR(ISERROR(XS_Designer_Calculations!BG18),X19=""),"",XS_Designer_Calculations!BH18)</f>
        <v>2.0009999999999999</v>
      </c>
      <c r="Z19" s="46">
        <f>IF(OR(ISERROR(XS_Designer_Calculations!BG18),X19=""),"",XS_Designer_Calculations!$O$18)</f>
        <v>5</v>
      </c>
      <c r="AB19" s="14">
        <f>IFERROR(XS_Designer_Summary!AK17,0)</f>
        <v>-23.393075000000017</v>
      </c>
      <c r="AC19" s="14">
        <f>IFERROR(XS_Designer_Summary!AV17,0)</f>
        <v>2.2475285604551885</v>
      </c>
      <c r="AD19" s="14">
        <f>IFERROR(XS_Designer_Summary!AK17,0)</f>
        <v>-23.393075000000017</v>
      </c>
      <c r="AE19" s="14">
        <f>IFERROR(XS_Designer_Summary!AW17,0)</f>
        <v>1.160684552298594</v>
      </c>
      <c r="AF19" s="14">
        <f>IFERROR(XS_Designer_Summary!AK17,0)</f>
        <v>-23.393075000000017</v>
      </c>
      <c r="AG19" s="14">
        <f>IFERROR(XS_Designer_Summary!BF17,0)</f>
        <v>3.5913325535451883</v>
      </c>
    </row>
    <row r="20" spans="2:33">
      <c r="B20" s="46">
        <f>IF(ISERROR(XS_Designer_Calculations!B20),"",XS_Designer_Calculations!B20)</f>
        <v>15.001249999999999</v>
      </c>
      <c r="C20" s="46">
        <f>IF(ISERROR(XS_Designer_Calculations!C20),"",XS_Designer_Calculations!C20)</f>
        <v>2.2010000000000001</v>
      </c>
      <c r="D20" s="3" t="str">
        <f>IF(OR(ISERROR(Data!D17), Data!D17=0),"",Data!D17)</f>
        <v/>
      </c>
      <c r="E20" s="3" t="str">
        <f>IF(F20&lt;&gt;"",IF(ISERROR(XS_Designer_Calculations!AH20),"",XS_Designer_Calculations!AH20),"")</f>
        <v/>
      </c>
      <c r="F20" s="3" t="str">
        <f>IF(IF(ISERROR(XS_Designer_Calculations!AF20),"",XS_Designer_Calculations!AF20)&lt;&gt;MAX($F$4:$F19),IF(ISERROR(XS_Designer_Calculations!AF20),"",XS_Designer_Calculations!AF20),"")</f>
        <v/>
      </c>
      <c r="G20" s="4" t="str">
        <f>IF(F20&lt;&gt;"",IF(ISERROR(XS_Designer_Calculations!W20),"",XS_Designer_Calculations!W20),"")</f>
        <v/>
      </c>
      <c r="H20" s="14">
        <f>IF(ISERROR(XS_Designer_Calculations!AE20),"",XS_Designer_Calculations!AE20)</f>
        <v>27.201250000000002</v>
      </c>
      <c r="I20" s="94">
        <f>IF(ISERROR(XS_Designer_Calculations!W20),"",XS_Designer_Calculations!W20)</f>
        <v>4.0010000000000003</v>
      </c>
      <c r="J20" s="4" t="str">
        <f>IF(K20&lt;&gt;"",IF(ISERROR(XS_Designer_Calculations!AL20:AL120),"",XS_Designer_Calculations!AL20:AL120),"")</f>
        <v>R-3 Stg</v>
      </c>
      <c r="K20" s="22">
        <f>IF(IF(ISERROR(XS_Designer_Calculations!AJ20:AJ120),"",XS_Designer_Calculations!AJ20:AJ120)&lt;&gt;MAX($K$4:$K19),IF(ISERROR(XS_Designer_Calculations!AJ20:AJ120),"",XS_Designer_Calculations!AJ20:AJ120),"")</f>
        <v>21.901250000000001</v>
      </c>
      <c r="L20" s="142">
        <f>IF(K20&lt;&gt;"",IF(ISERROR(XS_Designer_Calculations!X20:X120),"",XS_Designer_Calculations!X20:X120),"")</f>
        <v>4.5010000000000003</v>
      </c>
      <c r="M20" s="46">
        <f>IF(ISERROR(XS_Designer_Calculations!AI20:AI120),"",XS_Designer_Calculations!AI20:AI120)</f>
        <v>16.60125</v>
      </c>
      <c r="N20" s="46">
        <f>IF(ISERROR(XS_Designer_Calculations!X20:X120),"",XS_Designer_Calculations!X20:X120)</f>
        <v>4.5010000000000003</v>
      </c>
      <c r="X20" s="46">
        <f>IF(OR(ISERROR(XS_Designer_Calculations!BG19),B20="",ISERROR(XS_Designer_Calculations!BN19)),"",XS_Designer_Calculations!BN19)</f>
        <v>15.001249999999999</v>
      </c>
      <c r="Y20" s="46">
        <f>IF(OR(ISERROR(XS_Designer_Calculations!BG19),X20=""),"",XS_Designer_Calculations!BH19)</f>
        <v>2.2010000000000001</v>
      </c>
      <c r="Z20" s="46">
        <f>IF(OR(ISERROR(XS_Designer_Calculations!BG19),X20=""),"",XS_Designer_Calculations!$O$18)</f>
        <v>5</v>
      </c>
      <c r="AB20" s="14">
        <f>IFERROR(XS_Designer_Summary!AK18,0)</f>
        <v>-23.121062500000019</v>
      </c>
      <c r="AC20" s="14">
        <f>IFERROR(XS_Designer_Summary!AV18,0)</f>
        <v>2.2519078627660627</v>
      </c>
      <c r="AD20" s="14">
        <f>IFERROR(XS_Designer_Summary!AK18,0)</f>
        <v>-23.121062500000019</v>
      </c>
      <c r="AE20" s="14">
        <f>IFERROR(XS_Designer_Summary!AW18,0)</f>
        <v>1.1640785895590093</v>
      </c>
      <c r="AF20" s="14">
        <f>IFERROR(XS_Designer_Summary!AK18,0)</f>
        <v>-23.121062500000019</v>
      </c>
      <c r="AG20" s="14">
        <f>IFERROR(XS_Designer_Summary!BF18,0)</f>
        <v>3.602259978574109</v>
      </c>
    </row>
    <row r="21" spans="2:33">
      <c r="B21" s="46">
        <f>IF(ISERROR(XS_Designer_Calculations!B21),"",XS_Designer_Calculations!B21)</f>
        <v>16.60125</v>
      </c>
      <c r="C21" s="46">
        <f>IF(ISERROR(XS_Designer_Calculations!C21),"",XS_Designer_Calculations!C21)</f>
        <v>3.0010000000000003</v>
      </c>
      <c r="D21" s="3" t="str">
        <f>IF(OR(ISERROR(Data!D18), Data!D18=0),"",Data!D18)</f>
        <v>Right 2nd Stage</v>
      </c>
      <c r="E21" s="3" t="str">
        <f>IF(F21&lt;&gt;"",IF(ISERROR(XS_Designer_Calculations!AH21),"",XS_Designer_Calculations!AH21),"")</f>
        <v/>
      </c>
      <c r="F21" s="3" t="str">
        <f>IF(IF(ISERROR(XS_Designer_Calculations!AF21),"",XS_Designer_Calculations!AF21)&lt;&gt;MAX($F$4:$F20),IF(ISERROR(XS_Designer_Calculations!AF21),"",XS_Designer_Calculations!AF21),"")</f>
        <v/>
      </c>
      <c r="G21" s="4" t="str">
        <f>IF(F21&lt;&gt;"",IF(ISERROR(XS_Designer_Calculations!W21),"",XS_Designer_Calculations!W21),"")</f>
        <v/>
      </c>
      <c r="H21" s="14">
        <f>IF(ISERROR(XS_Designer_Calculations!AE21),"",XS_Designer_Calculations!AE21)</f>
        <v>27.201250000000002</v>
      </c>
      <c r="I21" s="94">
        <f>IF(ISERROR(XS_Designer_Calculations!W21),"",XS_Designer_Calculations!W21)</f>
        <v>4.0010000000000003</v>
      </c>
      <c r="J21" s="4" t="str">
        <f>IF(K21&lt;&gt;"",IF(ISERROR(XS_Designer_Calculations!AL21:AL121),"",XS_Designer_Calculations!AL21:AL121),"")</f>
        <v/>
      </c>
      <c r="K21" s="22" t="str">
        <f>IF(IF(ISERROR(XS_Designer_Calculations!AJ21:AJ121),"",XS_Designer_Calculations!AJ21:AJ121)&lt;&gt;MAX($K$4:$K20),IF(ISERROR(XS_Designer_Calculations!AJ21:AJ121),"",XS_Designer_Calculations!AJ21:AJ121),"")</f>
        <v/>
      </c>
      <c r="L21" s="142" t="str">
        <f>IF(K21&lt;&gt;"",IF(ISERROR(XS_Designer_Calculations!X21:X121),"",XS_Designer_Calculations!X21:X121),"")</f>
        <v/>
      </c>
      <c r="M21" s="46">
        <f>IF(ISERROR(XS_Designer_Calculations!AI21:AI121),"",XS_Designer_Calculations!AI21:AI121)</f>
        <v>27.201250000000002</v>
      </c>
      <c r="N21" s="46">
        <f>IF(ISERROR(XS_Designer_Calculations!X21:X121),"",XS_Designer_Calculations!X21:X121)</f>
        <v>4.5010000000000003</v>
      </c>
      <c r="X21" s="46">
        <f>IF(OR(ISERROR(XS_Designer_Calculations!BG20),B21="",ISERROR(XS_Designer_Calculations!BN20)),"",XS_Designer_Calculations!BN20)</f>
        <v>16.60125</v>
      </c>
      <c r="Y21" s="46">
        <f>IF(OR(ISERROR(XS_Designer_Calculations!BG20),X21=""),"",XS_Designer_Calculations!BH20)</f>
        <v>3.0010000000000003</v>
      </c>
      <c r="Z21" s="46">
        <f>IF(OR(ISERROR(XS_Designer_Calculations!BG20),X21=""),"",XS_Designer_Calculations!$O$18)</f>
        <v>5</v>
      </c>
      <c r="AB21" s="14">
        <f>IFERROR(XS_Designer_Summary!AK19,0)</f>
        <v>-22.84905000000002</v>
      </c>
      <c r="AC21" s="14">
        <f>IFERROR(XS_Designer_Summary!AV19,0)</f>
        <v>2.2562829109771845</v>
      </c>
      <c r="AD21" s="14">
        <f>IFERROR(XS_Designer_Summary!AK19,0)</f>
        <v>-22.84905000000002</v>
      </c>
      <c r="AE21" s="14">
        <f>IFERROR(XS_Designer_Summary!AW19,0)</f>
        <v>1.1674726268194242</v>
      </c>
      <c r="AF21" s="14">
        <f>IFERROR(XS_Designer_Summary!AK19,0)</f>
        <v>-22.84905000000002</v>
      </c>
      <c r="AG21" s="14">
        <f>IFERROR(XS_Designer_Summary!BF19,0)</f>
        <v>3.6131887398782694</v>
      </c>
    </row>
    <row r="22" spans="2:33">
      <c r="B22" s="46">
        <f>IF(ISERROR(XS_Designer_Calculations!B22),"",XS_Designer_Calculations!B22)</f>
        <v>26.60125</v>
      </c>
      <c r="C22" s="46">
        <f>IF(ISERROR(XS_Designer_Calculations!C22),"",XS_Designer_Calculations!C22)</f>
        <v>3.2010000000000005</v>
      </c>
      <c r="D22" s="3" t="str">
        <f>IF(OR(ISERROR(Data!D19), Data!D19=0),"",Data!D19)</f>
        <v/>
      </c>
      <c r="E22" s="3" t="str">
        <f>IF(F22&lt;&gt;"",IF(ISERROR(XS_Designer_Calculations!AH22),"",XS_Designer_Calculations!AH22),"")</f>
        <v/>
      </c>
      <c r="F22" s="3" t="str">
        <f>IF(IF(ISERROR(XS_Designer_Calculations!AF22),"",XS_Designer_Calculations!AF22)&lt;&gt;MAX($F$4:$F21),IF(ISERROR(XS_Designer_Calculations!AF22),"",XS_Designer_Calculations!AF22),"")</f>
        <v/>
      </c>
      <c r="G22" s="4" t="str">
        <f>IF(F22&lt;&gt;"",IF(ISERROR(XS_Designer_Calculations!W22),"",XS_Designer_Calculations!W22),"")</f>
        <v/>
      </c>
      <c r="H22" s="14">
        <f>IF(ISERROR(XS_Designer_Calculations!AE22),"",XS_Designer_Calculations!AE22)</f>
        <v>27.201250000000002</v>
      </c>
      <c r="I22" s="94">
        <f>IF(ISERROR(XS_Designer_Calculations!W22),"",XS_Designer_Calculations!W22)</f>
        <v>4.0010000000000003</v>
      </c>
      <c r="J22" s="4" t="str">
        <f>IF(K22&lt;&gt;"",IF(ISERROR(XS_Designer_Calculations!AL22:AL122),"",XS_Designer_Calculations!AL22:AL122),"")</f>
        <v/>
      </c>
      <c r="K22" s="22" t="str">
        <f>IF(IF(ISERROR(XS_Designer_Calculations!AJ22:AJ122),"",XS_Designer_Calculations!AJ22:AJ122)&lt;&gt;MAX($K$4:$K21),IF(ISERROR(XS_Designer_Calculations!AJ22:AJ122),"",XS_Designer_Calculations!AJ22:AJ122),"")</f>
        <v/>
      </c>
      <c r="L22" s="142" t="str">
        <f>IF(K22&lt;&gt;"",IF(ISERROR(XS_Designer_Calculations!X22:X122),"",XS_Designer_Calculations!X22:X122),"")</f>
        <v/>
      </c>
      <c r="M22" s="46">
        <f>IF(ISERROR(XS_Designer_Calculations!AI22:AI122),"",XS_Designer_Calculations!AI22:AI122)</f>
        <v>27.201250000000002</v>
      </c>
      <c r="N22" s="46">
        <f>IF(ISERROR(XS_Designer_Calculations!X22:X122),"",XS_Designer_Calculations!X22:X122)</f>
        <v>4.5010000000000003</v>
      </c>
      <c r="X22" s="46">
        <f>IF(OR(ISERROR(XS_Designer_Calculations!BG21),B22="",ISERROR(XS_Designer_Calculations!BN21)),"",XS_Designer_Calculations!BN21)</f>
        <v>26.60125</v>
      </c>
      <c r="Y22" s="46">
        <f>IF(OR(ISERROR(XS_Designer_Calculations!BG21),X22=""),"",XS_Designer_Calculations!BH21)</f>
        <v>3.2010000000000005</v>
      </c>
      <c r="Z22" s="46">
        <f>IF(OR(ISERROR(XS_Designer_Calculations!BG21),X22=""),"",XS_Designer_Calculations!$O$18)</f>
        <v>5</v>
      </c>
      <c r="AB22" s="14">
        <f>IFERROR(XS_Designer_Summary!AK20,0)</f>
        <v>-22.577037500000021</v>
      </c>
      <c r="AC22" s="14">
        <f>IFERROR(XS_Designer_Summary!AV20,0)</f>
        <v>2.2606537215704479</v>
      </c>
      <c r="AD22" s="14">
        <f>IFERROR(XS_Designer_Summary!AK20,0)</f>
        <v>-22.577037500000021</v>
      </c>
      <c r="AE22" s="14">
        <f>IFERROR(XS_Designer_Summary!AW20,0)</f>
        <v>1.1708666640798393</v>
      </c>
      <c r="AF22" s="14">
        <f>IFERROR(XS_Designer_Summary!AK20,0)</f>
        <v>-22.577037500000021</v>
      </c>
      <c r="AG22" s="14">
        <f>IFERROR(XS_Designer_Summary!BF20,0)</f>
        <v>3.624118833741218</v>
      </c>
    </row>
    <row r="23" spans="2:33">
      <c r="B23" s="46">
        <f>IF(ISERROR(XS_Designer_Calculations!B23),"",XS_Designer_Calculations!B23)</f>
        <v>27.201250000000002</v>
      </c>
      <c r="C23" s="46">
        <f>IF(ISERROR(XS_Designer_Calculations!C23),"",XS_Designer_Calculations!C23)</f>
        <v>3.5010000000000003</v>
      </c>
      <c r="D23" s="3" t="str">
        <f>IF(OR(ISERROR(Data!D20), Data!D20=0),"",Data!D20)</f>
        <v>Right 3rd Stage</v>
      </c>
      <c r="E23" s="3" t="str">
        <f>IF(F23&lt;&gt;"",IF(ISERROR(XS_Designer_Calculations!AH23),"",XS_Designer_Calculations!AH23),"")</f>
        <v/>
      </c>
      <c r="F23" s="3" t="str">
        <f>IF(IF(ISERROR(XS_Designer_Calculations!AF23),"",XS_Designer_Calculations!AF23)&lt;&gt;MAX($F$4:$F22),IF(ISERROR(XS_Designer_Calculations!AF23),"",XS_Designer_Calculations!AF23),"")</f>
        <v/>
      </c>
      <c r="G23" s="4" t="str">
        <f>IF(F23&lt;&gt;"",IF(ISERROR(XS_Designer_Calculations!W23),"",XS_Designer_Calculations!W23),"")</f>
        <v/>
      </c>
      <c r="H23" s="3" t="str">
        <f>IF(ISERROR(XS_Designer_Calculations!AE23),"",XS_Designer_Calculations!AE23)</f>
        <v/>
      </c>
      <c r="I23" s="4" t="str">
        <f>IF(ISERROR(XS_Designer_Calculations!W23),"",XS_Designer_Calculations!W23)</f>
        <v/>
      </c>
      <c r="J23" s="4" t="str">
        <f>IF(K23&lt;&gt;"",IF(ISERROR(XS_Designer_Calculations!AL23:AL123),"",XS_Designer_Calculations!AL23:AL123),"")</f>
        <v/>
      </c>
      <c r="K23" s="22" t="str">
        <f>IF(IF(ISERROR(XS_Designer_Calculations!AJ23:AJ123),"",XS_Designer_Calculations!AJ23:AJ123)&lt;&gt;MAX($K$4:$K22),IF(ISERROR(XS_Designer_Calculations!AJ23:AJ123),"",XS_Designer_Calculations!AJ23:AJ123),"")</f>
        <v/>
      </c>
      <c r="L23" s="142" t="str">
        <f>IF(K23&lt;&gt;"",IF(ISERROR(XS_Designer_Calculations!X23:X123),"",XS_Designer_Calculations!X23:X123),"")</f>
        <v/>
      </c>
      <c r="M23" s="22" t="str">
        <f>IF(ISERROR(XS_Designer_Calculations!AI23:AI123),"",XS_Designer_Calculations!AI23:AI123)</f>
        <v/>
      </c>
      <c r="N23" s="22" t="str">
        <f>IF(ISERROR(XS_Designer_Calculations!X23:X123),"",XS_Designer_Calculations!X23:X123)</f>
        <v/>
      </c>
      <c r="X23" s="46">
        <f>IF(OR(ISERROR(XS_Designer_Calculations!BG22),B23="",ISERROR(XS_Designer_Calculations!BN22)),"",XS_Designer_Calculations!BN22)</f>
        <v>27.201250000000002</v>
      </c>
      <c r="Y23" s="46">
        <f>IF(OR(ISERROR(XS_Designer_Calculations!BG22),X23=""),"",XS_Designer_Calculations!BH22)</f>
        <v>3.5010000000000003</v>
      </c>
      <c r="Z23" s="46">
        <f>IF(OR(ISERROR(XS_Designer_Calculations!BG22),X23=""),"",XS_Designer_Calculations!$O$18)</f>
        <v>5</v>
      </c>
      <c r="AB23" s="14">
        <f>IFERROR(XS_Designer_Summary!AK21,0)</f>
        <v>-22.305025000000022</v>
      </c>
      <c r="AC23" s="14">
        <f>IFERROR(XS_Designer_Summary!AV21,0)</f>
        <v>2.2650203109163214</v>
      </c>
      <c r="AD23" s="14">
        <f>IFERROR(XS_Designer_Summary!AK21,0)</f>
        <v>-22.305025000000022</v>
      </c>
      <c r="AE23" s="14">
        <f>IFERROR(XS_Designer_Summary!AW21,0)</f>
        <v>1.1742607013402542</v>
      </c>
      <c r="AF23" s="14">
        <f>IFERROR(XS_Designer_Summary!AK21,0)</f>
        <v>-22.305025000000022</v>
      </c>
      <c r="AG23" s="14">
        <f>IFERROR(XS_Designer_Summary!BF21,0)</f>
        <v>3.6350502564675717</v>
      </c>
    </row>
    <row r="24" spans="2:33">
      <c r="B24" s="22" t="str">
        <f>IF(ISERROR(XS_Designer_Calculations!B24),"",XS_Designer_Calculations!B24)</f>
        <v/>
      </c>
      <c r="C24" s="22" t="str">
        <f>IF(ISERROR(XS_Designer_Calculations!C24),"",XS_Designer_Calculations!C24)</f>
        <v/>
      </c>
      <c r="D24" s="3" t="str">
        <f>IF(OR(ISERROR(Data!D21), Data!D21=0),"",Data!D21)</f>
        <v/>
      </c>
      <c r="E24" s="3" t="str">
        <f>IF(F24&lt;&gt;"",IF(ISERROR(XS_Designer_Calculations!AH24),"",XS_Designer_Calculations!AH24),"")</f>
        <v/>
      </c>
      <c r="F24" s="3" t="str">
        <f>IF(IF(ISERROR(XS_Designer_Calculations!AF24),"",XS_Designer_Calculations!AF24)&lt;&gt;MAX($F$4:$F23),IF(ISERROR(XS_Designer_Calculations!AF24),"",XS_Designer_Calculations!AF24),"")</f>
        <v/>
      </c>
      <c r="G24" s="4" t="str">
        <f>IF(F24&lt;&gt;"",IF(ISERROR(XS_Designer_Calculations!W24),"",XS_Designer_Calculations!W24),"")</f>
        <v/>
      </c>
      <c r="H24" s="3" t="str">
        <f>IF(ISERROR(XS_Designer_Calculations!AE24),"",XS_Designer_Calculations!AE24)</f>
        <v/>
      </c>
      <c r="I24" s="4" t="str">
        <f>IF(ISERROR(XS_Designer_Calculations!W24),"",XS_Designer_Calculations!W24)</f>
        <v/>
      </c>
      <c r="J24" s="4" t="str">
        <f>IF(K24&lt;&gt;"",IF(ISERROR(XS_Designer_Calculations!AL24:AL124),"",XS_Designer_Calculations!AL24:AL124),"")</f>
        <v/>
      </c>
      <c r="K24" s="22" t="str">
        <f>IF(IF(ISERROR(XS_Designer_Calculations!AJ24:AJ124),"",XS_Designer_Calculations!AJ24:AJ124)&lt;&gt;MAX($K$4:$K23),IF(ISERROR(XS_Designer_Calculations!AJ24:AJ124),"",XS_Designer_Calculations!AJ24:AJ124),"")</f>
        <v/>
      </c>
      <c r="L24" s="142" t="str">
        <f>IF(K24&lt;&gt;"",IF(ISERROR(XS_Designer_Calculations!X24:X124),"",XS_Designer_Calculations!X24:X124),"")</f>
        <v/>
      </c>
      <c r="M24" s="22" t="str">
        <f>IF(ISERROR(XS_Designer_Calculations!AI24:AI124),"",XS_Designer_Calculations!AI24:AI124)</f>
        <v/>
      </c>
      <c r="N24" s="22" t="str">
        <f>IF(ISERROR(XS_Designer_Calculations!X24:X124),"",XS_Designer_Calculations!X24:X124)</f>
        <v/>
      </c>
      <c r="X24" s="46" t="str">
        <f>IF(OR(ISERROR(XS_Designer_Calculations!BG23),B24="",ISERROR(XS_Designer_Calculations!BN23)),"",XS_Designer_Calculations!BN23)</f>
        <v/>
      </c>
      <c r="Y24" s="46" t="str">
        <f>IF(OR(ISERROR(XS_Designer_Calculations!BG23),X24=""),"",XS_Designer_Calculations!BH23)</f>
        <v/>
      </c>
      <c r="Z24" s="46" t="str">
        <f>IF(OR(ISERROR(XS_Designer_Calculations!BG23),X24=""),"",XS_Designer_Calculations!$O$18)</f>
        <v/>
      </c>
      <c r="AB24" s="14">
        <f>IFERROR(XS_Designer_Summary!AK22,0)</f>
        <v>-22.033012500000023</v>
      </c>
      <c r="AC24" s="14">
        <f>IFERROR(XS_Designer_Summary!AV22,0)</f>
        <v>2.2693826952749214</v>
      </c>
      <c r="AD24" s="14">
        <f>IFERROR(XS_Designer_Summary!AK22,0)</f>
        <v>-22.033012500000023</v>
      </c>
      <c r="AE24" s="14">
        <f>IFERROR(XS_Designer_Summary!AW22,0)</f>
        <v>1.1776547386006695</v>
      </c>
      <c r="AF24" s="14">
        <f>IFERROR(XS_Designer_Summary!AK22,0)</f>
        <v>-22.033012500000023</v>
      </c>
      <c r="AG24" s="14">
        <f>IFERROR(XS_Designer_Summary!BF22,0)</f>
        <v>3.6459830043828299</v>
      </c>
    </row>
    <row r="25" spans="2:33">
      <c r="B25" s="22" t="str">
        <f>IF(ISERROR(XS_Designer_Calculations!B25),"",XS_Designer_Calculations!B25)</f>
        <v/>
      </c>
      <c r="C25" s="22" t="str">
        <f>IF(ISERROR(XS_Designer_Calculations!C25),"",XS_Designer_Calculations!C25)</f>
        <v/>
      </c>
      <c r="D25" s="3" t="str">
        <f>IF(OR(ISERROR(Data!D22), Data!D22=0),"",Data!D22)</f>
        <v/>
      </c>
      <c r="E25" s="3" t="str">
        <f>IF(F25&lt;&gt;"",IF(ISERROR(XS_Designer_Calculations!AH25),"",XS_Designer_Calculations!AH25),"")</f>
        <v/>
      </c>
      <c r="F25" s="3" t="str">
        <f>IF(IF(ISERROR(XS_Designer_Calculations!AF25),"",XS_Designer_Calculations!AF25)&lt;&gt;MAX($F$4:$F24),IF(ISERROR(XS_Designer_Calculations!AF25),"",XS_Designer_Calculations!AF25),"")</f>
        <v/>
      </c>
      <c r="G25" s="4" t="str">
        <f>IF(F25&lt;&gt;"",IF(ISERROR(XS_Designer_Calculations!W25),"",XS_Designer_Calculations!W25),"")</f>
        <v/>
      </c>
      <c r="H25" s="3" t="str">
        <f>IF(ISERROR(XS_Designer_Calculations!AE25),"",XS_Designer_Calculations!AE25)</f>
        <v/>
      </c>
      <c r="I25" s="4" t="str">
        <f>IF(ISERROR(XS_Designer_Calculations!W25),"",XS_Designer_Calculations!W25)</f>
        <v/>
      </c>
      <c r="J25" s="4" t="str">
        <f>IF(K25&lt;&gt;"",IF(ISERROR(XS_Designer_Calculations!AL25:AL125),"",XS_Designer_Calculations!AL25:AL125),"")</f>
        <v/>
      </c>
      <c r="K25" s="22" t="str">
        <f>IF(IF(ISERROR(XS_Designer_Calculations!AJ25:AJ125),"",XS_Designer_Calculations!AJ25:AJ125)&lt;&gt;MAX($K$4:$K24),IF(ISERROR(XS_Designer_Calculations!AJ25:AJ125),"",XS_Designer_Calculations!AJ25:AJ125),"")</f>
        <v/>
      </c>
      <c r="L25" s="142" t="str">
        <f>IF(K25&lt;&gt;"",IF(ISERROR(XS_Designer_Calculations!X25:X125),"",XS_Designer_Calculations!X25:X125),"")</f>
        <v/>
      </c>
      <c r="M25" s="22" t="str">
        <f>IF(ISERROR(XS_Designer_Calculations!AI25:AI125),"",XS_Designer_Calculations!AI25:AI125)</f>
        <v/>
      </c>
      <c r="N25" s="22" t="str">
        <f>IF(ISERROR(XS_Designer_Calculations!X25:X125),"",XS_Designer_Calculations!X25:X125)</f>
        <v/>
      </c>
      <c r="X25" s="46" t="str">
        <f>IF(OR(ISERROR(XS_Designer_Calculations!BG24),B25="",ISERROR(XS_Designer_Calculations!BN24)),"",XS_Designer_Calculations!BN24)</f>
        <v/>
      </c>
      <c r="Y25" s="46" t="str">
        <f>IF(OR(ISERROR(XS_Designer_Calculations!BG24),X25=""),"",XS_Designer_Calculations!BH24)</f>
        <v/>
      </c>
      <c r="Z25" s="46" t="str">
        <f>IF(OR(ISERROR(XS_Designer_Calculations!BG24),X25=""),"",XS_Designer_Calculations!$O$18)</f>
        <v/>
      </c>
      <c r="AB25" s="14">
        <f>IFERROR(XS_Designer_Summary!AK23,0)</f>
        <v>-21.761000000000024</v>
      </c>
      <c r="AC25" s="14">
        <f>IFERROR(XS_Designer_Summary!AV23,0)</f>
        <v>2.27374089079707</v>
      </c>
      <c r="AD25" s="14">
        <f>IFERROR(XS_Designer_Summary!AK23,0)</f>
        <v>-21.761000000000024</v>
      </c>
      <c r="AE25" s="14">
        <f>IFERROR(XS_Designer_Summary!AW23,0)</f>
        <v>1.1810487758610846</v>
      </c>
      <c r="AF25" s="14">
        <f>IFERROR(XS_Designer_Summary!AK23,0)</f>
        <v>-21.761000000000024</v>
      </c>
      <c r="AG25" s="14">
        <f>IFERROR(XS_Designer_Summary!BF23,0)</f>
        <v>3.6569170738332</v>
      </c>
    </row>
    <row r="26" spans="2:33">
      <c r="B26" s="22" t="str">
        <f>IF(ISERROR(XS_Designer_Calculations!B26),"",XS_Designer_Calculations!B26)</f>
        <v/>
      </c>
      <c r="C26" s="22" t="str">
        <f>IF(ISERROR(XS_Designer_Calculations!C26),"",XS_Designer_Calculations!C26)</f>
        <v/>
      </c>
      <c r="D26" s="3" t="str">
        <f>IF(OR(ISERROR(Data!D23), Data!D23=0),"",Data!D23)</f>
        <v/>
      </c>
      <c r="E26" s="3" t="str">
        <f>IF(F26&lt;&gt;"",IF(ISERROR(XS_Designer_Calculations!AH26),"",XS_Designer_Calculations!AH26),"")</f>
        <v/>
      </c>
      <c r="F26" s="3" t="str">
        <f>IF(IF(ISERROR(XS_Designer_Calculations!AF26),"",XS_Designer_Calculations!AF26)&lt;&gt;MAX($F$4:$F25),IF(ISERROR(XS_Designer_Calculations!AF26),"",XS_Designer_Calculations!AF26),"")</f>
        <v/>
      </c>
      <c r="G26" s="4" t="str">
        <f>IF(F26&lt;&gt;"",IF(ISERROR(XS_Designer_Calculations!W26),"",XS_Designer_Calculations!W26),"")</f>
        <v/>
      </c>
      <c r="H26" s="3" t="str">
        <f>IF(ISERROR(XS_Designer_Calculations!AE26),"",XS_Designer_Calculations!AE26)</f>
        <v/>
      </c>
      <c r="I26" s="4" t="str">
        <f>IF(ISERROR(XS_Designer_Calculations!W26),"",XS_Designer_Calculations!W26)</f>
        <v/>
      </c>
      <c r="J26" s="4" t="str">
        <f>IF(K26&lt;&gt;"",IF(ISERROR(XS_Designer_Calculations!AL26:AL126),"",XS_Designer_Calculations!AL26:AL126),"")</f>
        <v/>
      </c>
      <c r="K26" s="22" t="str">
        <f>IF(IF(ISERROR(XS_Designer_Calculations!AJ26:AJ126),"",XS_Designer_Calculations!AJ26:AJ126)&lt;&gt;MAX($K$4:$K25),IF(ISERROR(XS_Designer_Calculations!AJ26:AJ126),"",XS_Designer_Calculations!AJ26:AJ126),"")</f>
        <v/>
      </c>
      <c r="L26" s="142" t="str">
        <f>IF(K26&lt;&gt;"",IF(ISERROR(XS_Designer_Calculations!X26:X126),"",XS_Designer_Calculations!X26:X126),"")</f>
        <v/>
      </c>
      <c r="M26" s="22" t="str">
        <f>IF(ISERROR(XS_Designer_Calculations!AI26:AI126),"",XS_Designer_Calculations!AI26:AI126)</f>
        <v/>
      </c>
      <c r="N26" s="22" t="str">
        <f>IF(ISERROR(XS_Designer_Calculations!X26:X126),"",XS_Designer_Calculations!X26:X126)</f>
        <v/>
      </c>
      <c r="X26" s="46" t="str">
        <f>IF(OR(ISERROR(XS_Designer_Calculations!BG25),B26="",ISERROR(XS_Designer_Calculations!BN25)),"",XS_Designer_Calculations!BN25)</f>
        <v/>
      </c>
      <c r="Y26" s="46" t="str">
        <f>IF(OR(ISERROR(XS_Designer_Calculations!BG25),X26=""),"",XS_Designer_Calculations!BH25)</f>
        <v/>
      </c>
      <c r="Z26" s="46" t="str">
        <f>IF(OR(ISERROR(XS_Designer_Calculations!BG25),X26=""),"",XS_Designer_Calculations!$O$18)</f>
        <v/>
      </c>
      <c r="AB26" s="14">
        <f>IFERROR(XS_Designer_Summary!AK24,0)</f>
        <v>-21.488987500000025</v>
      </c>
      <c r="AC26" s="14">
        <f>IFERROR(XS_Designer_Summary!AV24,0)</f>
        <v>2.2780949135253441</v>
      </c>
      <c r="AD26" s="14">
        <f>IFERROR(XS_Designer_Summary!AK24,0)</f>
        <v>-21.488987500000025</v>
      </c>
      <c r="AE26" s="14">
        <f>IFERROR(XS_Designer_Summary!AW24,0)</f>
        <v>1.1844428131214999</v>
      </c>
      <c r="AF26" s="14">
        <f>IFERROR(XS_Designer_Summary!AK24,0)</f>
        <v>-21.488987500000025</v>
      </c>
      <c r="AG26" s="14">
        <f>IFERROR(XS_Designer_Summary!BF24,0)</f>
        <v>3.6678524611854169</v>
      </c>
    </row>
    <row r="27" spans="2:33">
      <c r="B27" s="22" t="str">
        <f>IF(ISERROR(XS_Designer_Calculations!B27),"",XS_Designer_Calculations!B27)</f>
        <v/>
      </c>
      <c r="C27" s="22" t="str">
        <f>IF(ISERROR(XS_Designer_Calculations!C27),"",XS_Designer_Calculations!C27)</f>
        <v/>
      </c>
      <c r="D27" s="3" t="str">
        <f>IF(OR(ISERROR(Data!D24), Data!D24=0),"",Data!D24)</f>
        <v/>
      </c>
      <c r="E27" s="3" t="str">
        <f>IF(F27&lt;&gt;"",IF(ISERROR(XS_Designer_Calculations!AH27),"",XS_Designer_Calculations!AH27),"")</f>
        <v/>
      </c>
      <c r="F27" s="3" t="str">
        <f>IF(IF(ISERROR(XS_Designer_Calculations!AF27),"",XS_Designer_Calculations!AF27)&lt;&gt;MAX($F$4:$F26),IF(ISERROR(XS_Designer_Calculations!AF27),"",XS_Designer_Calculations!AF27),"")</f>
        <v/>
      </c>
      <c r="G27" s="4" t="str">
        <f>IF(F27&lt;&gt;"",IF(ISERROR(XS_Designer_Calculations!W27),"",XS_Designer_Calculations!W27),"")</f>
        <v/>
      </c>
      <c r="H27" s="3" t="str">
        <f>IF(ISERROR(XS_Designer_Calculations!AE27),"",XS_Designer_Calculations!AE27)</f>
        <v/>
      </c>
      <c r="I27" s="4" t="str">
        <f>IF(ISERROR(XS_Designer_Calculations!W27),"",XS_Designer_Calculations!W27)</f>
        <v/>
      </c>
      <c r="J27" s="4" t="str">
        <f>IF(K27&lt;&gt;"",IF(ISERROR(XS_Designer_Calculations!AL27:AL127),"",XS_Designer_Calculations!AL27:AL127),"")</f>
        <v/>
      </c>
      <c r="K27" s="22" t="str">
        <f>IF(IF(ISERROR(XS_Designer_Calculations!AJ27:AJ127),"",XS_Designer_Calculations!AJ27:AJ127)&lt;&gt;MAX($K$4:$K26),IF(ISERROR(XS_Designer_Calculations!AJ27:AJ127),"",XS_Designer_Calculations!AJ27:AJ127),"")</f>
        <v/>
      </c>
      <c r="L27" s="142" t="str">
        <f>IF(K27&lt;&gt;"",IF(ISERROR(XS_Designer_Calculations!X27:X127),"",XS_Designer_Calculations!X27:X127),"")</f>
        <v/>
      </c>
      <c r="M27" s="22" t="str">
        <f>IF(ISERROR(XS_Designer_Calculations!AI27:AI127),"",XS_Designer_Calculations!AI27:AI127)</f>
        <v/>
      </c>
      <c r="N27" s="22" t="str">
        <f>IF(ISERROR(XS_Designer_Calculations!X27:X127),"",XS_Designer_Calculations!X27:X127)</f>
        <v/>
      </c>
      <c r="X27" s="46" t="str">
        <f>IF(OR(ISERROR(XS_Designer_Calculations!BG26),B27="",ISERROR(XS_Designer_Calculations!BN26)),"",XS_Designer_Calculations!BN26)</f>
        <v/>
      </c>
      <c r="Y27" s="46" t="str">
        <f>IF(OR(ISERROR(XS_Designer_Calculations!BG26),X27=""),"",XS_Designer_Calculations!BH26)</f>
        <v/>
      </c>
      <c r="Z27" s="46" t="str">
        <f>IF(OR(ISERROR(XS_Designer_Calculations!BG26),X27=""),"",XS_Designer_Calculations!$O$18)</f>
        <v/>
      </c>
      <c r="AB27" s="14">
        <f>IFERROR(XS_Designer_Summary!AK25,0)</f>
        <v>-21.216975000000026</v>
      </c>
      <c r="AC27" s="14">
        <f>IFERROR(XS_Designer_Summary!AV25,0)</f>
        <v>2.282444779395107</v>
      </c>
      <c r="AD27" s="14">
        <f>IFERROR(XS_Designer_Summary!AK25,0)</f>
        <v>-21.216975000000026</v>
      </c>
      <c r="AE27" s="14">
        <f>IFERROR(XS_Designer_Summary!AW25,0)</f>
        <v>1.187836850381915</v>
      </c>
      <c r="AF27" s="14">
        <f>IFERROR(XS_Designer_Summary!AK25,0)</f>
        <v>-21.216975000000026</v>
      </c>
      <c r="AG27" s="14">
        <f>IFERROR(XS_Designer_Summary!BF25,0)</f>
        <v>3.6787891628265776</v>
      </c>
    </row>
    <row r="28" spans="2:33">
      <c r="B28" s="22" t="str">
        <f>IF(ISERROR(XS_Designer_Calculations!B28),"",XS_Designer_Calculations!B28)</f>
        <v/>
      </c>
      <c r="C28" s="22" t="str">
        <f>IF(ISERROR(XS_Designer_Calculations!C28),"",XS_Designer_Calculations!C28)</f>
        <v/>
      </c>
      <c r="D28" s="3" t="str">
        <f>IF(OR(ISERROR(Data!D25), Data!D25=0),"",Data!D25)</f>
        <v/>
      </c>
      <c r="E28" s="3" t="str">
        <f>IF(F28&lt;&gt;"",IF(ISERROR(XS_Designer_Calculations!AH28),"",XS_Designer_Calculations!AH28),"")</f>
        <v/>
      </c>
      <c r="F28" s="3" t="str">
        <f>IF(IF(ISERROR(XS_Designer_Calculations!AF28),"",XS_Designer_Calculations!AF28)&lt;&gt;MAX($F$4:$F27),IF(ISERROR(XS_Designer_Calculations!AF28),"",XS_Designer_Calculations!AF28),"")</f>
        <v/>
      </c>
      <c r="G28" s="4" t="str">
        <f>IF(F28&lt;&gt;"",IF(ISERROR(XS_Designer_Calculations!W28),"",XS_Designer_Calculations!W28),"")</f>
        <v/>
      </c>
      <c r="H28" s="3" t="str">
        <f>IF(ISERROR(XS_Designer_Calculations!AE28),"",XS_Designer_Calculations!AE28)</f>
        <v/>
      </c>
      <c r="I28" s="4" t="str">
        <f>IF(ISERROR(XS_Designer_Calculations!W28),"",XS_Designer_Calculations!W28)</f>
        <v/>
      </c>
      <c r="J28" s="4" t="str">
        <f>IF(K28&lt;&gt;"",IF(ISERROR(XS_Designer_Calculations!AL28:AL128),"",XS_Designer_Calculations!AL28:AL128),"")</f>
        <v/>
      </c>
      <c r="K28" s="22" t="str">
        <f>IF(IF(ISERROR(XS_Designer_Calculations!AJ28:AJ128),"",XS_Designer_Calculations!AJ28:AJ128)&lt;&gt;MAX($K$4:$K27),IF(ISERROR(XS_Designer_Calculations!AJ28:AJ128),"",XS_Designer_Calculations!AJ28:AJ128),"")</f>
        <v/>
      </c>
      <c r="L28" s="142" t="str">
        <f>IF(K28&lt;&gt;"",IF(ISERROR(XS_Designer_Calculations!X28:X128),"",XS_Designer_Calculations!X28:X128),"")</f>
        <v/>
      </c>
      <c r="M28" s="22" t="str">
        <f>IF(ISERROR(XS_Designer_Calculations!AI28:AI128),"",XS_Designer_Calculations!AI28:AI128)</f>
        <v/>
      </c>
      <c r="N28" s="22" t="str">
        <f>IF(ISERROR(XS_Designer_Calculations!X28:X128),"",XS_Designer_Calculations!X28:X128)</f>
        <v/>
      </c>
      <c r="X28" s="46" t="str">
        <f>IF(OR(ISERROR(XS_Designer_Calculations!BG27),B28="",ISERROR(XS_Designer_Calculations!BN27)),"",XS_Designer_Calculations!BN27)</f>
        <v/>
      </c>
      <c r="Y28" s="46" t="str">
        <f>IF(OR(ISERROR(XS_Designer_Calculations!BG27),X28=""),"",XS_Designer_Calculations!BH27)</f>
        <v/>
      </c>
      <c r="Z28" s="46" t="str">
        <f>IF(OR(ISERROR(XS_Designer_Calculations!BG27),X28=""),"",XS_Designer_Calculations!$O$18)</f>
        <v/>
      </c>
      <c r="AB28" s="14">
        <f>IFERROR(XS_Designer_Summary!AK26,0)</f>
        <v>-20.944962500000027</v>
      </c>
      <c r="AC28" s="14">
        <f>IFERROR(XS_Designer_Summary!AV26,0)</f>
        <v>2.2867905042355297</v>
      </c>
      <c r="AD28" s="14">
        <f>IFERROR(XS_Designer_Summary!AK26,0)</f>
        <v>-20.944962500000027</v>
      </c>
      <c r="AE28" s="14">
        <f>IFERROR(XS_Designer_Summary!AW26,0)</f>
        <v>1.1912308876423299</v>
      </c>
      <c r="AF28" s="14">
        <f>IFERROR(XS_Designer_Summary!AK26,0)</f>
        <v>-20.944962500000027</v>
      </c>
      <c r="AG28" s="14">
        <f>IFERROR(XS_Designer_Summary!BF26,0)</f>
        <v>3.6897271751639606</v>
      </c>
    </row>
    <row r="29" spans="2:33">
      <c r="B29" s="22" t="str">
        <f>IF(ISERROR(XS_Designer_Calculations!B29),"",XS_Designer_Calculations!B29)</f>
        <v/>
      </c>
      <c r="C29" s="22" t="str">
        <f>IF(ISERROR(XS_Designer_Calculations!C29),"",XS_Designer_Calculations!C29)</f>
        <v/>
      </c>
      <c r="D29" s="3" t="str">
        <f>IF(OR(ISERROR(Data!D26), Data!D26=0),"",Data!D26)</f>
        <v/>
      </c>
      <c r="E29" s="3" t="str">
        <f>IF(F29&lt;&gt;"",IF(ISERROR(XS_Designer_Calculations!AH29),"",XS_Designer_Calculations!AH29),"")</f>
        <v/>
      </c>
      <c r="F29" s="3" t="str">
        <f>IF(IF(ISERROR(XS_Designer_Calculations!AF29),"",XS_Designer_Calculations!AF29)&lt;&gt;MAX($F$4:$F28),IF(ISERROR(XS_Designer_Calculations!AF29),"",XS_Designer_Calculations!AF29),"")</f>
        <v/>
      </c>
      <c r="G29" s="4" t="str">
        <f>IF(F29&lt;&gt;"",IF(ISERROR(XS_Designer_Calculations!W29),"",XS_Designer_Calculations!W29),"")</f>
        <v/>
      </c>
      <c r="H29" s="3" t="str">
        <f>IF(ISERROR(XS_Designer_Calculations!AE29),"",XS_Designer_Calculations!AE29)</f>
        <v/>
      </c>
      <c r="I29" s="4" t="str">
        <f>IF(ISERROR(XS_Designer_Calculations!W29),"",XS_Designer_Calculations!W29)</f>
        <v/>
      </c>
      <c r="J29" s="4" t="str">
        <f>IF(K29&lt;&gt;"",IF(ISERROR(XS_Designer_Calculations!AL29:AL129),"",XS_Designer_Calculations!AL29:AL129),"")</f>
        <v/>
      </c>
      <c r="K29" s="22" t="str">
        <f>IF(IF(ISERROR(XS_Designer_Calculations!AJ29:AJ129),"",XS_Designer_Calculations!AJ29:AJ129)&lt;&gt;MAX($K$4:$K28),IF(ISERROR(XS_Designer_Calculations!AJ29:AJ129),"",XS_Designer_Calculations!AJ29:AJ129),"")</f>
        <v/>
      </c>
      <c r="L29" s="142" t="str">
        <f>IF(K29&lt;&gt;"",IF(ISERROR(XS_Designer_Calculations!X29:X129),"",XS_Designer_Calculations!X29:X129),"")</f>
        <v/>
      </c>
      <c r="M29" s="22" t="str">
        <f>IF(ISERROR(XS_Designer_Calculations!AI29:AI129),"",XS_Designer_Calculations!AI29:AI129)</f>
        <v/>
      </c>
      <c r="N29" s="22" t="str">
        <f>IF(ISERROR(XS_Designer_Calculations!X29:X129),"",XS_Designer_Calculations!X29:X129)</f>
        <v/>
      </c>
      <c r="X29" s="46" t="str">
        <f>IF(OR(ISERROR(XS_Designer_Calculations!BG28),B29="",ISERROR(XS_Designer_Calculations!BN28)),"",XS_Designer_Calculations!BN28)</f>
        <v/>
      </c>
      <c r="Y29" s="46" t="str">
        <f>IF(OR(ISERROR(XS_Designer_Calculations!BG28),X29=""),"",XS_Designer_Calculations!BH28)</f>
        <v/>
      </c>
      <c r="Z29" s="46" t="str">
        <f>IF(OR(ISERROR(XS_Designer_Calculations!BG28),X29=""),"",XS_Designer_Calculations!$O$18)</f>
        <v/>
      </c>
      <c r="AB29" s="14">
        <f>IFERROR(XS_Designer_Summary!AK27,0)</f>
        <v>-20.672950000000029</v>
      </c>
      <c r="AC29" s="14">
        <f>IFERROR(XS_Designer_Summary!AV27,0)</f>
        <v>2.2911321037705981</v>
      </c>
      <c r="AD29" s="14">
        <f>IFERROR(XS_Designer_Summary!AK27,0)</f>
        <v>-20.672950000000029</v>
      </c>
      <c r="AE29" s="14">
        <f>IFERROR(XS_Designer_Summary!AW27,0)</f>
        <v>1.194624924902745</v>
      </c>
      <c r="AF29" s="14">
        <f>IFERROR(XS_Designer_Summary!AK27,0)</f>
        <v>-20.672950000000029</v>
      </c>
      <c r="AG29" s="14">
        <f>IFERROR(XS_Designer_Summary!BF27,0)</f>
        <v>3.7006664946248646</v>
      </c>
    </row>
    <row r="30" spans="2:33">
      <c r="B30" s="22" t="str">
        <f>IF(ISERROR(XS_Designer_Calculations!B30),"",XS_Designer_Calculations!B30)</f>
        <v/>
      </c>
      <c r="C30" s="22" t="str">
        <f>IF(ISERROR(XS_Designer_Calculations!C30),"",XS_Designer_Calculations!C30)</f>
        <v/>
      </c>
      <c r="D30" s="3" t="str">
        <f>IF(OR(ISERROR(Data!D27), Data!D27=0),"",Data!D27)</f>
        <v/>
      </c>
      <c r="E30" s="3" t="str">
        <f>IF(F30&lt;&gt;"",IF(ISERROR(XS_Designer_Calculations!AH30),"",XS_Designer_Calculations!AH30),"")</f>
        <v/>
      </c>
      <c r="F30" s="3" t="str">
        <f>IF(IF(ISERROR(XS_Designer_Calculations!AF30),"",XS_Designer_Calculations!AF30)&lt;&gt;MAX($F$4:$F29),IF(ISERROR(XS_Designer_Calculations!AF30),"",XS_Designer_Calculations!AF30),"")</f>
        <v/>
      </c>
      <c r="G30" s="4" t="str">
        <f>IF(F30&lt;&gt;"",IF(ISERROR(XS_Designer_Calculations!W30),"",XS_Designer_Calculations!W30),"")</f>
        <v/>
      </c>
      <c r="H30" s="3" t="str">
        <f>IF(ISERROR(XS_Designer_Calculations!AE30),"",XS_Designer_Calculations!AE30)</f>
        <v/>
      </c>
      <c r="I30" s="4" t="str">
        <f>IF(ISERROR(XS_Designer_Calculations!W30),"",XS_Designer_Calculations!W30)</f>
        <v/>
      </c>
      <c r="J30" s="4" t="str">
        <f>IF(K30&lt;&gt;"",IF(ISERROR(XS_Designer_Calculations!AL30:AL130),"",XS_Designer_Calculations!AL30:AL130),"")</f>
        <v/>
      </c>
      <c r="K30" s="22" t="str">
        <f>IF(IF(ISERROR(XS_Designer_Calculations!AJ30:AJ130),"",XS_Designer_Calculations!AJ30:AJ130)&lt;&gt;MAX($K$4:$K29),IF(ISERROR(XS_Designer_Calculations!AJ30:AJ130),"",XS_Designer_Calculations!AJ30:AJ130),"")</f>
        <v/>
      </c>
      <c r="L30" s="142" t="str">
        <f>IF(K30&lt;&gt;"",IF(ISERROR(XS_Designer_Calculations!X30:X130),"",XS_Designer_Calculations!X30:X130),"")</f>
        <v/>
      </c>
      <c r="M30" s="22" t="str">
        <f>IF(ISERROR(XS_Designer_Calculations!AI30:AI130),"",XS_Designer_Calculations!AI30:AI130)</f>
        <v/>
      </c>
      <c r="N30" s="22" t="str">
        <f>IF(ISERROR(XS_Designer_Calculations!X30:X130),"",XS_Designer_Calculations!X30:X130)</f>
        <v/>
      </c>
      <c r="X30" s="46" t="str">
        <f>IF(OR(ISERROR(XS_Designer_Calculations!BG29),B30="",ISERROR(XS_Designer_Calculations!BN29)),"",XS_Designer_Calculations!BN29)</f>
        <v/>
      </c>
      <c r="Y30" s="46" t="str">
        <f>IF(OR(ISERROR(XS_Designer_Calculations!BG29),X30=""),"",XS_Designer_Calculations!BH29)</f>
        <v/>
      </c>
      <c r="Z30" s="46" t="str">
        <f>IF(OR(ISERROR(XS_Designer_Calculations!BG29),X30=""),"",XS_Designer_Calculations!$O$18)</f>
        <v/>
      </c>
      <c r="AB30" s="14">
        <f>IFERROR(XS_Designer_Summary!AK28,0)</f>
        <v>-20.40093750000003</v>
      </c>
      <c r="AC30" s="14">
        <f>IFERROR(XS_Designer_Summary!AV28,0)</f>
        <v>2.2954695936201115</v>
      </c>
      <c r="AD30" s="14">
        <f>IFERROR(XS_Designer_Summary!AK28,0)</f>
        <v>-20.40093750000003</v>
      </c>
      <c r="AE30" s="14">
        <f>IFERROR(XS_Designer_Summary!AW28,0)</f>
        <v>1.1980189621631598</v>
      </c>
      <c r="AF30" s="14">
        <f>IFERROR(XS_Designer_Summary!AK28,0)</f>
        <v>-20.40093750000003</v>
      </c>
      <c r="AG30" s="14">
        <f>IFERROR(XS_Designer_Summary!BF28,0)</f>
        <v>3.7116071176564289</v>
      </c>
    </row>
    <row r="31" spans="2:33">
      <c r="B31" s="22" t="str">
        <f>IF(ISERROR(XS_Designer_Calculations!B31),"",XS_Designer_Calculations!B31)</f>
        <v/>
      </c>
      <c r="C31" s="22" t="str">
        <f>IF(ISERROR(XS_Designer_Calculations!C31),"",XS_Designer_Calculations!C31)</f>
        <v/>
      </c>
      <c r="D31" s="3" t="str">
        <f>IF(OR(ISERROR(Data!D28), Data!D28=0),"",Data!D28)</f>
        <v/>
      </c>
      <c r="E31" s="3" t="str">
        <f>IF(F31&lt;&gt;"",IF(ISERROR(XS_Designer_Calculations!AH31),"",XS_Designer_Calculations!AH31),"")</f>
        <v/>
      </c>
      <c r="F31" s="3" t="str">
        <f>IF(IF(ISERROR(XS_Designer_Calculations!AF31),"",XS_Designer_Calculations!AF31)&lt;&gt;MAX($F$4:$F30),IF(ISERROR(XS_Designer_Calculations!AF31),"",XS_Designer_Calculations!AF31),"")</f>
        <v/>
      </c>
      <c r="G31" s="4" t="str">
        <f>IF(F31&lt;&gt;"",IF(ISERROR(XS_Designer_Calculations!W31),"",XS_Designer_Calculations!W31),"")</f>
        <v/>
      </c>
      <c r="H31" s="3" t="str">
        <f>IF(ISERROR(XS_Designer_Calculations!AE31),"",XS_Designer_Calculations!AE31)</f>
        <v/>
      </c>
      <c r="I31" s="4" t="str">
        <f>IF(ISERROR(XS_Designer_Calculations!W31),"",XS_Designer_Calculations!W31)</f>
        <v/>
      </c>
      <c r="J31" s="4" t="str">
        <f>IF(K31&lt;&gt;"",IF(ISERROR(XS_Designer_Calculations!AL31:AL131),"",XS_Designer_Calculations!AL31:AL131),"")</f>
        <v/>
      </c>
      <c r="K31" s="22" t="str">
        <f>IF(IF(ISERROR(XS_Designer_Calculations!AJ31:AJ131),"",XS_Designer_Calculations!AJ31:AJ131)&lt;&gt;MAX($K$4:$K30),IF(ISERROR(XS_Designer_Calculations!AJ31:AJ131),"",XS_Designer_Calculations!AJ31:AJ131),"")</f>
        <v/>
      </c>
      <c r="L31" s="142" t="str">
        <f>IF(K31&lt;&gt;"",IF(ISERROR(XS_Designer_Calculations!X31:X131),"",XS_Designer_Calculations!X31:X131),"")</f>
        <v/>
      </c>
      <c r="M31" s="22" t="str">
        <f>IF(ISERROR(XS_Designer_Calculations!AI31:AI131),"",XS_Designer_Calculations!AI31:AI131)</f>
        <v/>
      </c>
      <c r="N31" s="22" t="str">
        <f>IF(ISERROR(XS_Designer_Calculations!X31:X131),"",XS_Designer_Calculations!X31:X131)</f>
        <v/>
      </c>
      <c r="X31" s="46" t="str">
        <f>IF(OR(ISERROR(XS_Designer_Calculations!BG30),B31="",ISERROR(XS_Designer_Calculations!BN30)),"",XS_Designer_Calculations!BN30)</f>
        <v/>
      </c>
      <c r="Y31" s="46" t="str">
        <f>IF(OR(ISERROR(XS_Designer_Calculations!BG30),X31=""),"",XS_Designer_Calculations!BH30)</f>
        <v/>
      </c>
      <c r="Z31" s="46" t="str">
        <f>IF(OR(ISERROR(XS_Designer_Calculations!BG30),X31=""),"",XS_Designer_Calculations!$O$18)</f>
        <v/>
      </c>
      <c r="AB31" s="14">
        <f>IFERROR(XS_Designer_Summary!AK29,0)</f>
        <v>-20.128925000000031</v>
      </c>
      <c r="AC31" s="14">
        <f>IFERROR(XS_Designer_Summary!AV29,0)</f>
        <v>2.2998029893006624</v>
      </c>
      <c r="AD31" s="14">
        <f>IFERROR(XS_Designer_Summary!AK29,0)</f>
        <v>-20.128925000000031</v>
      </c>
      <c r="AE31" s="14">
        <f>IFERROR(XS_Designer_Summary!AW29,0)</f>
        <v>1.2014129994235749</v>
      </c>
      <c r="AF31" s="14">
        <f>IFERROR(XS_Designer_Summary!AK29,0)</f>
        <v>-20.128925000000031</v>
      </c>
      <c r="AG31" s="14">
        <f>IFERROR(XS_Designer_Summary!BF29,0)</f>
        <v>3.7225490407254807</v>
      </c>
    </row>
    <row r="32" spans="2:33">
      <c r="B32" s="22" t="str">
        <f>IF(ISERROR(XS_Designer_Calculations!B32),"",XS_Designer_Calculations!B32)</f>
        <v/>
      </c>
      <c r="C32" s="22" t="str">
        <f>IF(ISERROR(XS_Designer_Calculations!C32),"",XS_Designer_Calculations!C32)</f>
        <v/>
      </c>
      <c r="D32" s="3" t="str">
        <f>IF(OR(ISERROR(Data!D29), Data!D29=0),"",Data!D29)</f>
        <v/>
      </c>
      <c r="E32" s="3" t="str">
        <f>IF(F32&lt;&gt;"",IF(ISERROR(XS_Designer_Calculations!AH32),"",XS_Designer_Calculations!AH32),"")</f>
        <v/>
      </c>
      <c r="F32" s="3" t="str">
        <f>IF(IF(ISERROR(XS_Designer_Calculations!AF32),"",XS_Designer_Calculations!AF32)&lt;&gt;MAX($F$4:$F31),IF(ISERROR(XS_Designer_Calculations!AF32),"",XS_Designer_Calculations!AF32),"")</f>
        <v/>
      </c>
      <c r="G32" s="4" t="str">
        <f>IF(F32&lt;&gt;"",IF(ISERROR(XS_Designer_Calculations!W32),"",XS_Designer_Calculations!W32),"")</f>
        <v/>
      </c>
      <c r="H32" s="3" t="str">
        <f>IF(ISERROR(XS_Designer_Calculations!AE32),"",XS_Designer_Calculations!AE32)</f>
        <v/>
      </c>
      <c r="I32" s="4" t="str">
        <f>IF(ISERROR(XS_Designer_Calculations!W32),"",XS_Designer_Calculations!W32)</f>
        <v/>
      </c>
      <c r="J32" s="4" t="str">
        <f>IF(K32&lt;&gt;"",IF(ISERROR(XS_Designer_Calculations!AL32:AL132),"",XS_Designer_Calculations!AL32:AL132),"")</f>
        <v/>
      </c>
      <c r="K32" s="22" t="str">
        <f>IF(IF(ISERROR(XS_Designer_Calculations!AJ32:AJ132),"",XS_Designer_Calculations!AJ32:AJ132)&lt;&gt;MAX($K$4:$K31),IF(ISERROR(XS_Designer_Calculations!AJ32:AJ132),"",XS_Designer_Calculations!AJ32:AJ132),"")</f>
        <v/>
      </c>
      <c r="L32" s="142" t="str">
        <f>IF(K32&lt;&gt;"",IF(ISERROR(XS_Designer_Calculations!X32:X132),"",XS_Designer_Calculations!X32:X132),"")</f>
        <v/>
      </c>
      <c r="M32" s="22" t="str">
        <f>IF(ISERROR(XS_Designer_Calculations!AI32:AI132),"",XS_Designer_Calculations!AI32:AI132)</f>
        <v/>
      </c>
      <c r="N32" s="22" t="str">
        <f>IF(ISERROR(XS_Designer_Calculations!X32:X132),"",XS_Designer_Calculations!X32:X132)</f>
        <v/>
      </c>
      <c r="X32" s="46" t="str">
        <f>IF(OR(ISERROR(XS_Designer_Calculations!BG31),B32="",ISERROR(XS_Designer_Calculations!BN31)),"",XS_Designer_Calculations!BN31)</f>
        <v/>
      </c>
      <c r="Y32" s="46" t="str">
        <f>IF(OR(ISERROR(XS_Designer_Calculations!BG31),X32=""),"",XS_Designer_Calculations!BH31)</f>
        <v/>
      </c>
      <c r="Z32" s="46" t="str">
        <f>IF(OR(ISERROR(XS_Designer_Calculations!BG31),X32=""),"",XS_Designer_Calculations!$O$18)</f>
        <v/>
      </c>
      <c r="AB32" s="14">
        <f>IFERROR(XS_Designer_Summary!AK30,0)</f>
        <v>-19.856912500000032</v>
      </c>
      <c r="AC32" s="14">
        <f>IFERROR(XS_Designer_Summary!AV30,0)</f>
        <v>2.304132306226609</v>
      </c>
      <c r="AD32" s="14">
        <f>IFERROR(XS_Designer_Summary!AK30,0)</f>
        <v>-19.856912500000032</v>
      </c>
      <c r="AE32" s="14">
        <f>IFERROR(XS_Designer_Summary!AW30,0)</f>
        <v>1.2048070366839898</v>
      </c>
      <c r="AF32" s="14">
        <f>IFERROR(XS_Designer_Summary!AK30,0)</f>
        <v>-19.856912500000032</v>
      </c>
      <c r="AG32" s="14">
        <f>IFERROR(XS_Designer_Summary!BF30,0)</f>
        <v>3.7334922603183593</v>
      </c>
    </row>
    <row r="33" spans="2:33">
      <c r="B33" s="22" t="str">
        <f>IF(ISERROR(XS_Designer_Calculations!B33),"",XS_Designer_Calculations!B33)</f>
        <v/>
      </c>
      <c r="C33" s="22" t="str">
        <f>IF(ISERROR(XS_Designer_Calculations!C33),"",XS_Designer_Calculations!C33)</f>
        <v/>
      </c>
      <c r="D33" s="3" t="str">
        <f>IF(OR(ISERROR(Data!D30), Data!D30=0),"",Data!D30)</f>
        <v/>
      </c>
      <c r="E33" s="3" t="str">
        <f>IF(F33&lt;&gt;"",IF(ISERROR(XS_Designer_Calculations!AH33),"",XS_Designer_Calculations!AH33),"")</f>
        <v/>
      </c>
      <c r="F33" s="3" t="str">
        <f>IF(IF(ISERROR(XS_Designer_Calculations!AF33),"",XS_Designer_Calculations!AF33)&lt;&gt;MAX($F$4:$F32),IF(ISERROR(XS_Designer_Calculations!AF33),"",XS_Designer_Calculations!AF33),"")</f>
        <v/>
      </c>
      <c r="G33" s="4" t="str">
        <f>IF(F33&lt;&gt;"",IF(ISERROR(XS_Designer_Calculations!W33),"",XS_Designer_Calculations!W33),"")</f>
        <v/>
      </c>
      <c r="H33" s="3" t="str">
        <f>IF(ISERROR(XS_Designer_Calculations!AE33),"",XS_Designer_Calculations!AE33)</f>
        <v/>
      </c>
      <c r="I33" s="4" t="str">
        <f>IF(ISERROR(XS_Designer_Calculations!W33),"",XS_Designer_Calculations!W33)</f>
        <v/>
      </c>
      <c r="J33" s="4" t="str">
        <f>IF(K33&lt;&gt;"",IF(ISERROR(XS_Designer_Calculations!AL33:AL133),"",XS_Designer_Calculations!AL33:AL133),"")</f>
        <v/>
      </c>
      <c r="K33" s="22" t="str">
        <f>IF(IF(ISERROR(XS_Designer_Calculations!AJ33:AJ133),"",XS_Designer_Calculations!AJ33:AJ133)&lt;&gt;MAX($K$4:$K32),IF(ISERROR(XS_Designer_Calculations!AJ33:AJ133),"",XS_Designer_Calculations!AJ33:AJ133),"")</f>
        <v/>
      </c>
      <c r="L33" s="142" t="str">
        <f>IF(K33&lt;&gt;"",IF(ISERROR(XS_Designer_Calculations!X33:X133),"",XS_Designer_Calculations!X33:X133),"")</f>
        <v/>
      </c>
      <c r="M33" s="22" t="str">
        <f>IF(ISERROR(XS_Designer_Calculations!AI33:AI133),"",XS_Designer_Calculations!AI33:AI133)</f>
        <v/>
      </c>
      <c r="N33" s="22" t="str">
        <f>IF(ISERROR(XS_Designer_Calculations!X33:X133),"",XS_Designer_Calculations!X33:X133)</f>
        <v/>
      </c>
      <c r="X33" s="46" t="str">
        <f>IF(OR(ISERROR(XS_Designer_Calculations!BG32),B33="",ISERROR(XS_Designer_Calculations!BN32)),"",XS_Designer_Calculations!BN32)</f>
        <v/>
      </c>
      <c r="Y33" s="46" t="str">
        <f>IF(OR(ISERROR(XS_Designer_Calculations!BG32),X33=""),"",XS_Designer_Calculations!BH32)</f>
        <v/>
      </c>
      <c r="Z33" s="46" t="str">
        <f>IF(OR(ISERROR(XS_Designer_Calculations!BG32),X33=""),"",XS_Designer_Calculations!$O$18)</f>
        <v/>
      </c>
      <c r="AB33" s="14">
        <f>IFERROR(XS_Designer_Summary!AK31,0)</f>
        <v>-19.584900000000033</v>
      </c>
      <c r="AC33" s="14">
        <f>IFERROR(XS_Designer_Summary!AV31,0)</f>
        <v>2.3084575597110364</v>
      </c>
      <c r="AD33" s="14">
        <f>IFERROR(XS_Designer_Summary!AK31,0)</f>
        <v>-19.584900000000033</v>
      </c>
      <c r="AE33" s="14">
        <f>IFERROR(XS_Designer_Summary!AW31,0)</f>
        <v>1.2082010739444053</v>
      </c>
      <c r="AF33" s="14">
        <f>IFERROR(XS_Designer_Summary!AK31,0)</f>
        <v>-19.584900000000033</v>
      </c>
      <c r="AG33" s="14">
        <f>IFERROR(XS_Designer_Summary!BF31,0)</f>
        <v>3.7444367729407637</v>
      </c>
    </row>
    <row r="34" spans="2:33">
      <c r="B34" s="22" t="str">
        <f>IF(ISERROR(XS_Designer_Calculations!B34),"",XS_Designer_Calculations!B34)</f>
        <v/>
      </c>
      <c r="C34" s="22" t="str">
        <f>IF(ISERROR(XS_Designer_Calculations!C34),"",XS_Designer_Calculations!C34)</f>
        <v/>
      </c>
      <c r="D34" s="3" t="str">
        <f>IF(OR(ISERROR(Data!D31), Data!D31=0),"",Data!D31)</f>
        <v/>
      </c>
      <c r="E34" s="3" t="str">
        <f>IF(F34&lt;&gt;"",IF(ISERROR(XS_Designer_Calculations!AH34),"",XS_Designer_Calculations!AH34),"")</f>
        <v/>
      </c>
      <c r="F34" s="3" t="str">
        <f>IF(IF(ISERROR(XS_Designer_Calculations!AF34),"",XS_Designer_Calculations!AF34)&lt;&gt;MAX($F$4:$F33),IF(ISERROR(XS_Designer_Calculations!AF34),"",XS_Designer_Calculations!AF34),"")</f>
        <v/>
      </c>
      <c r="G34" s="4" t="str">
        <f>IF(F34&lt;&gt;"",IF(ISERROR(XS_Designer_Calculations!W34),"",XS_Designer_Calculations!W34),"")</f>
        <v/>
      </c>
      <c r="H34" s="3" t="str">
        <f>IF(ISERROR(XS_Designer_Calculations!AE34),"",XS_Designer_Calculations!AE34)</f>
        <v/>
      </c>
      <c r="I34" s="4" t="str">
        <f>IF(ISERROR(XS_Designer_Calculations!W34),"",XS_Designer_Calculations!W34)</f>
        <v/>
      </c>
      <c r="J34" s="4" t="str">
        <f>IF(K34&lt;&gt;"",IF(ISERROR(XS_Designer_Calculations!AL34:AL134),"",XS_Designer_Calculations!AL34:AL134),"")</f>
        <v/>
      </c>
      <c r="K34" s="22" t="str">
        <f>IF(IF(ISERROR(XS_Designer_Calculations!AJ34:AJ134),"",XS_Designer_Calculations!AJ34:AJ134)&lt;&gt;MAX($K$4:$K33),IF(ISERROR(XS_Designer_Calculations!AJ34:AJ134),"",XS_Designer_Calculations!AJ34:AJ134),"")</f>
        <v/>
      </c>
      <c r="L34" s="142" t="str">
        <f>IF(K34&lt;&gt;"",IF(ISERROR(XS_Designer_Calculations!X34:X134),"",XS_Designer_Calculations!X34:X134),"")</f>
        <v/>
      </c>
      <c r="M34" s="22" t="str">
        <f>IF(ISERROR(XS_Designer_Calculations!AI34:AI134),"",XS_Designer_Calculations!AI34:AI134)</f>
        <v/>
      </c>
      <c r="N34" s="22" t="str">
        <f>IF(ISERROR(XS_Designer_Calculations!X34:X134),"",XS_Designer_Calculations!X34:X134)</f>
        <v/>
      </c>
      <c r="X34" s="46" t="str">
        <f>IF(OR(ISERROR(XS_Designer_Calculations!BG33),B34="",ISERROR(XS_Designer_Calculations!BN33)),"",XS_Designer_Calculations!BN33)</f>
        <v/>
      </c>
      <c r="Y34" s="46" t="str">
        <f>IF(OR(ISERROR(XS_Designer_Calculations!BG33),X34=""),"",XS_Designer_Calculations!BH33)</f>
        <v/>
      </c>
      <c r="Z34" s="46" t="str">
        <f>IF(OR(ISERROR(XS_Designer_Calculations!BG33),X34=""),"",XS_Designer_Calculations!$O$18)</f>
        <v/>
      </c>
      <c r="AB34" s="14">
        <f>IFERROR(XS_Designer_Summary!AK32,0)</f>
        <v>-19.312887500000034</v>
      </c>
      <c r="AC34" s="14">
        <f>IFERROR(XS_Designer_Summary!AV32,0)</f>
        <v>2.3127787649667031</v>
      </c>
      <c r="AD34" s="14">
        <f>IFERROR(XS_Designer_Summary!AK32,0)</f>
        <v>-19.312887500000034</v>
      </c>
      <c r="AE34" s="14">
        <f>IFERROR(XS_Designer_Summary!AW32,0)</f>
        <v>1.2115951112048204</v>
      </c>
      <c r="AF34" s="14">
        <f>IFERROR(XS_Designer_Summary!AK32,0)</f>
        <v>-19.312887500000034</v>
      </c>
      <c r="AG34" s="14">
        <f>IFERROR(XS_Designer_Summary!BF32,0)</f>
        <v>3.7553825751175829</v>
      </c>
    </row>
    <row r="35" spans="2:33">
      <c r="B35" s="22" t="str">
        <f>IF(ISERROR(XS_Designer_Calculations!B35),"",XS_Designer_Calculations!B35)</f>
        <v/>
      </c>
      <c r="C35" s="22" t="str">
        <f>IF(ISERROR(XS_Designer_Calculations!C35),"",XS_Designer_Calculations!C35)</f>
        <v/>
      </c>
      <c r="D35" s="3" t="str">
        <f>IF(OR(ISERROR(Data!D32), Data!D32=0),"",Data!D32)</f>
        <v/>
      </c>
      <c r="E35" s="3" t="str">
        <f>IF(F35&lt;&gt;"",IF(ISERROR(XS_Designer_Calculations!AH35),"",XS_Designer_Calculations!AH35),"")</f>
        <v/>
      </c>
      <c r="F35" s="3" t="str">
        <f>IF(IF(ISERROR(XS_Designer_Calculations!AF35),"",XS_Designer_Calculations!AF35)&lt;&gt;MAX($F$4:$F34),IF(ISERROR(XS_Designer_Calculations!AF35),"",XS_Designer_Calculations!AF35),"")</f>
        <v/>
      </c>
      <c r="G35" s="4" t="str">
        <f>IF(F35&lt;&gt;"",IF(ISERROR(XS_Designer_Calculations!W35),"",XS_Designer_Calculations!W35),"")</f>
        <v/>
      </c>
      <c r="H35" s="3" t="str">
        <f>IF(ISERROR(XS_Designer_Calculations!AE35),"",XS_Designer_Calculations!AE35)</f>
        <v/>
      </c>
      <c r="I35" s="4" t="str">
        <f>IF(ISERROR(XS_Designer_Calculations!W35),"",XS_Designer_Calculations!W35)</f>
        <v/>
      </c>
      <c r="J35" s="4" t="str">
        <f>IF(K35&lt;&gt;"",IF(ISERROR(XS_Designer_Calculations!AL35:AL135),"",XS_Designer_Calculations!AL35:AL135),"")</f>
        <v/>
      </c>
      <c r="K35" s="22" t="str">
        <f>IF(IF(ISERROR(XS_Designer_Calculations!AJ35:AJ135),"",XS_Designer_Calculations!AJ35:AJ135)&lt;&gt;MAX($K$4:$K34),IF(ISERROR(XS_Designer_Calculations!AJ35:AJ135),"",XS_Designer_Calculations!AJ35:AJ135),"")</f>
        <v/>
      </c>
      <c r="L35" s="142" t="str">
        <f>IF(K35&lt;&gt;"",IF(ISERROR(XS_Designer_Calculations!X35:X135),"",XS_Designer_Calculations!X35:X135),"")</f>
        <v/>
      </c>
      <c r="M35" s="22" t="str">
        <f>IF(ISERROR(XS_Designer_Calculations!AI35:AI135),"",XS_Designer_Calculations!AI35:AI135)</f>
        <v/>
      </c>
      <c r="N35" s="22" t="str">
        <f>IF(ISERROR(XS_Designer_Calculations!X35:X135),"",XS_Designer_Calculations!X35:X135)</f>
        <v/>
      </c>
      <c r="X35" s="46" t="str">
        <f>IF(OR(ISERROR(XS_Designer_Calculations!BG34),B35="",ISERROR(XS_Designer_Calculations!BN34)),"",XS_Designer_Calculations!BN34)</f>
        <v/>
      </c>
      <c r="Y35" s="46" t="str">
        <f>IF(OR(ISERROR(XS_Designer_Calculations!BG34),X35=""),"",XS_Designer_Calculations!BH34)</f>
        <v/>
      </c>
      <c r="Z35" s="46" t="str">
        <f>IF(OR(ISERROR(XS_Designer_Calculations!BG34),X35=""),"",XS_Designer_Calculations!$O$18)</f>
        <v/>
      </c>
      <c r="AB35" s="14">
        <f>IFERROR(XS_Designer_Summary!AK33,0)</f>
        <v>-19.040875000000035</v>
      </c>
      <c r="AC35" s="14">
        <f>IFERROR(XS_Designer_Summary!AV33,0)</f>
        <v>2.3170959371069753</v>
      </c>
      <c r="AD35" s="14">
        <f>IFERROR(XS_Designer_Summary!AK33,0)</f>
        <v>-19.040875000000035</v>
      </c>
      <c r="AE35" s="14">
        <f>IFERROR(XS_Designer_Summary!AW33,0)</f>
        <v>1.2149891484652355</v>
      </c>
      <c r="AF35" s="14">
        <f>IFERROR(XS_Designer_Summary!AK33,0)</f>
        <v>-19.040875000000035</v>
      </c>
      <c r="AG35" s="14">
        <f>IFERROR(XS_Designer_Summary!BF33,0)</f>
        <v>3.7663296633927428</v>
      </c>
    </row>
    <row r="36" spans="2:33">
      <c r="B36" s="22" t="str">
        <f>IF(ISERROR(XS_Designer_Calculations!B36),"",XS_Designer_Calculations!B36)</f>
        <v/>
      </c>
      <c r="C36" s="22" t="str">
        <f>IF(ISERROR(XS_Designer_Calculations!C36),"",XS_Designer_Calculations!C36)</f>
        <v/>
      </c>
      <c r="D36" s="3" t="str">
        <f>IF(OR(ISERROR(Data!D33), Data!D33=0),"",Data!D33)</f>
        <v/>
      </c>
      <c r="E36" s="3" t="str">
        <f>IF(F36&lt;&gt;"",IF(ISERROR(XS_Designer_Calculations!AH36),"",XS_Designer_Calculations!AH36),"")</f>
        <v/>
      </c>
      <c r="F36" s="3" t="str">
        <f>IF(IF(ISERROR(XS_Designer_Calculations!AF36),"",XS_Designer_Calculations!AF36)&lt;&gt;MAX($F$4:$F35),IF(ISERROR(XS_Designer_Calculations!AF36),"",XS_Designer_Calculations!AF36),"")</f>
        <v/>
      </c>
      <c r="G36" s="4" t="str">
        <f>IF(F36&lt;&gt;"",IF(ISERROR(XS_Designer_Calculations!W36),"",XS_Designer_Calculations!W36),"")</f>
        <v/>
      </c>
      <c r="H36" s="3" t="str">
        <f>IF(ISERROR(XS_Designer_Calculations!AE36),"",XS_Designer_Calculations!AE36)</f>
        <v/>
      </c>
      <c r="I36" s="4" t="str">
        <f>IF(ISERROR(XS_Designer_Calculations!W36),"",XS_Designer_Calculations!W36)</f>
        <v/>
      </c>
      <c r="J36" s="4" t="str">
        <f>IF(K36&lt;&gt;"",IF(ISERROR(XS_Designer_Calculations!AL36:AL136),"",XS_Designer_Calculations!AL36:AL136),"")</f>
        <v/>
      </c>
      <c r="K36" s="22" t="str">
        <f>IF(IF(ISERROR(XS_Designer_Calculations!AJ36:AJ136),"",XS_Designer_Calculations!AJ36:AJ136)&lt;&gt;MAX($K$4:$K35),IF(ISERROR(XS_Designer_Calculations!AJ36:AJ136),"",XS_Designer_Calculations!AJ36:AJ136),"")</f>
        <v/>
      </c>
      <c r="L36" s="142" t="str">
        <f>IF(K36&lt;&gt;"",IF(ISERROR(XS_Designer_Calculations!X36:X136),"",XS_Designer_Calculations!X36:X136),"")</f>
        <v/>
      </c>
      <c r="M36" s="22" t="str">
        <f>IF(ISERROR(XS_Designer_Calculations!AI36:AI136),"",XS_Designer_Calculations!AI36:AI136)</f>
        <v/>
      </c>
      <c r="N36" s="22" t="str">
        <f>IF(ISERROR(XS_Designer_Calculations!X36:X136),"",XS_Designer_Calculations!X36:X136)</f>
        <v/>
      </c>
      <c r="X36" s="46" t="str">
        <f>IF(OR(ISERROR(XS_Designer_Calculations!BG35),B36="",ISERROR(XS_Designer_Calculations!BN35)),"",XS_Designer_Calculations!BN35)</f>
        <v/>
      </c>
      <c r="Y36" s="46" t="str">
        <f>IF(OR(ISERROR(XS_Designer_Calculations!BG35),X36=""),"",XS_Designer_Calculations!BH35)</f>
        <v/>
      </c>
      <c r="Z36" s="46" t="str">
        <f>IF(OR(ISERROR(XS_Designer_Calculations!BG35),X36=""),"",XS_Designer_Calculations!$O$18)</f>
        <v/>
      </c>
      <c r="AB36" s="14">
        <f>IFERROR(XS_Designer_Summary!AK34,0)</f>
        <v>-18.768862500000036</v>
      </c>
      <c r="AC36" s="14">
        <f>IFERROR(XS_Designer_Summary!AV34,0)</f>
        <v>2.3214090911467586</v>
      </c>
      <c r="AD36" s="14">
        <f>IFERROR(XS_Designer_Summary!AK34,0)</f>
        <v>-18.768862500000036</v>
      </c>
      <c r="AE36" s="14">
        <f>IFERROR(XS_Designer_Summary!AW34,0)</f>
        <v>1.2183831857256506</v>
      </c>
      <c r="AF36" s="14">
        <f>IFERROR(XS_Designer_Summary!AK34,0)</f>
        <v>-18.768862500000036</v>
      </c>
      <c r="AG36" s="14">
        <f>IFERROR(XS_Designer_Summary!BF34,0)</f>
        <v>3.7772780343290471</v>
      </c>
    </row>
    <row r="37" spans="2:33">
      <c r="B37" s="22" t="str">
        <f>IF(ISERROR(XS_Designer_Calculations!B37),"",XS_Designer_Calculations!B37)</f>
        <v/>
      </c>
      <c r="C37" s="22" t="str">
        <f>IF(ISERROR(XS_Designer_Calculations!C37),"",XS_Designer_Calculations!C37)</f>
        <v/>
      </c>
      <c r="D37" s="3" t="str">
        <f>IF(OR(ISERROR(Data!D34), Data!D34=0),"",Data!D34)</f>
        <v/>
      </c>
      <c r="E37" s="3" t="str">
        <f>IF(F37&lt;&gt;"",IF(ISERROR(XS_Designer_Calculations!AH37),"",XS_Designer_Calculations!AH37),"")</f>
        <v/>
      </c>
      <c r="F37" s="3" t="str">
        <f>IF(IF(ISERROR(XS_Designer_Calculations!AF37),"",XS_Designer_Calculations!AF37)&lt;&gt;MAX($F$4:$F36),IF(ISERROR(XS_Designer_Calculations!AF37),"",XS_Designer_Calculations!AF37),"")</f>
        <v/>
      </c>
      <c r="G37" s="4" t="str">
        <f>IF(F37&lt;&gt;"",IF(ISERROR(XS_Designer_Calculations!W37),"",XS_Designer_Calculations!W37),"")</f>
        <v/>
      </c>
      <c r="H37" s="3" t="str">
        <f>IF(ISERROR(XS_Designer_Calculations!AE37),"",XS_Designer_Calculations!AE37)</f>
        <v/>
      </c>
      <c r="I37" s="4" t="str">
        <f>IF(ISERROR(XS_Designer_Calculations!W37),"",XS_Designer_Calculations!W37)</f>
        <v/>
      </c>
      <c r="J37" s="4" t="str">
        <f>IF(K37&lt;&gt;"",IF(ISERROR(XS_Designer_Calculations!AL37:AL137),"",XS_Designer_Calculations!AL37:AL137),"")</f>
        <v/>
      </c>
      <c r="K37" s="22" t="str">
        <f>IF(IF(ISERROR(XS_Designer_Calculations!AJ37:AJ137),"",XS_Designer_Calculations!AJ37:AJ137)&lt;&gt;MAX($K$4:$K36),IF(ISERROR(XS_Designer_Calculations!AJ37:AJ137),"",XS_Designer_Calculations!AJ37:AJ137),"")</f>
        <v/>
      </c>
      <c r="L37" s="142" t="str">
        <f>IF(K37&lt;&gt;"",IF(ISERROR(XS_Designer_Calculations!X37:X137),"",XS_Designer_Calculations!X37:X137),"")</f>
        <v/>
      </c>
      <c r="M37" s="22" t="str">
        <f>IF(ISERROR(XS_Designer_Calculations!AI37:AI137),"",XS_Designer_Calculations!AI37:AI137)</f>
        <v/>
      </c>
      <c r="N37" s="22" t="str">
        <f>IF(ISERROR(XS_Designer_Calculations!X37:X137),"",XS_Designer_Calculations!X37:X137)</f>
        <v/>
      </c>
      <c r="X37" s="46" t="str">
        <f>IF(OR(ISERROR(XS_Designer_Calculations!BG36),B37="",ISERROR(XS_Designer_Calculations!BN36)),"",XS_Designer_Calculations!BN36)</f>
        <v/>
      </c>
      <c r="Y37" s="46" t="str">
        <f>IF(OR(ISERROR(XS_Designer_Calculations!BG36),X37=""),"",XS_Designer_Calculations!BH36)</f>
        <v/>
      </c>
      <c r="Z37" s="46" t="str">
        <f>IF(OR(ISERROR(XS_Designer_Calculations!BG36),X37=""),"",XS_Designer_Calculations!$O$18)</f>
        <v/>
      </c>
      <c r="AB37" s="14">
        <f>IFERROR(XS_Designer_Summary!AK35,0)</f>
        <v>-18.496850000000038</v>
      </c>
      <c r="AC37" s="14">
        <f>IFERROR(XS_Designer_Summary!AV35,0)</f>
        <v>2.325718242003405</v>
      </c>
      <c r="AD37" s="14">
        <f>IFERROR(XS_Designer_Summary!AK35,0)</f>
        <v>-18.496850000000038</v>
      </c>
      <c r="AE37" s="14">
        <f>IFERROR(XS_Designer_Summary!AW35,0)</f>
        <v>1.2217772229860657</v>
      </c>
      <c r="AF37" s="14">
        <f>IFERROR(XS_Designer_Summary!AK35,0)</f>
        <v>-18.496850000000038</v>
      </c>
      <c r="AG37" s="14">
        <f>IFERROR(XS_Designer_Summary!BF35,0)</f>
        <v>3.7882276845080227</v>
      </c>
    </row>
    <row r="38" spans="2:33">
      <c r="B38" s="22" t="str">
        <f>IF(ISERROR(XS_Designer_Calculations!B38),"",XS_Designer_Calculations!B38)</f>
        <v/>
      </c>
      <c r="C38" s="22" t="str">
        <f>IF(ISERROR(XS_Designer_Calculations!C38),"",XS_Designer_Calculations!C38)</f>
        <v/>
      </c>
      <c r="D38" s="3" t="str">
        <f>IF(OR(ISERROR(Data!D35), Data!D35=0),"",Data!D35)</f>
        <v/>
      </c>
      <c r="E38" s="3" t="str">
        <f>IF(F38&lt;&gt;"",IF(ISERROR(XS_Designer_Calculations!AH38),"",XS_Designer_Calculations!AH38),"")</f>
        <v/>
      </c>
      <c r="F38" s="3" t="str">
        <f>IF(IF(ISERROR(XS_Designer_Calculations!AF38),"",XS_Designer_Calculations!AF38)&lt;&gt;MAX($F$4:$F37),IF(ISERROR(XS_Designer_Calculations!AF38),"",XS_Designer_Calculations!AF38),"")</f>
        <v/>
      </c>
      <c r="G38" s="4" t="str">
        <f>IF(F38&lt;&gt;"",IF(ISERROR(XS_Designer_Calculations!W38),"",XS_Designer_Calculations!W38),"")</f>
        <v/>
      </c>
      <c r="H38" s="3" t="str">
        <f>IF(ISERROR(XS_Designer_Calculations!AE38),"",XS_Designer_Calculations!AE38)</f>
        <v/>
      </c>
      <c r="I38" s="4" t="str">
        <f>IF(ISERROR(XS_Designer_Calculations!W38),"",XS_Designer_Calculations!W38)</f>
        <v/>
      </c>
      <c r="J38" s="4" t="str">
        <f>IF(K38&lt;&gt;"",IF(ISERROR(XS_Designer_Calculations!AL38:AL138),"",XS_Designer_Calculations!AL38:AL138),"")</f>
        <v/>
      </c>
      <c r="K38" s="22" t="str">
        <f>IF(IF(ISERROR(XS_Designer_Calculations!AJ38:AJ138),"",XS_Designer_Calculations!AJ38:AJ138)&lt;&gt;MAX($K$4:$K37),IF(ISERROR(XS_Designer_Calculations!AJ38:AJ138),"",XS_Designer_Calculations!AJ38:AJ138),"")</f>
        <v/>
      </c>
      <c r="L38" s="142" t="str">
        <f>IF(K38&lt;&gt;"",IF(ISERROR(XS_Designer_Calculations!X38:X138),"",XS_Designer_Calculations!X38:X138),"")</f>
        <v/>
      </c>
      <c r="M38" s="22" t="str">
        <f>IF(ISERROR(XS_Designer_Calculations!AI38:AI138),"",XS_Designer_Calculations!AI38:AI138)</f>
        <v/>
      </c>
      <c r="N38" s="22" t="str">
        <f>IF(ISERROR(XS_Designer_Calculations!X38:X138),"",XS_Designer_Calculations!X38:X138)</f>
        <v/>
      </c>
      <c r="X38" s="46" t="str">
        <f>IF(OR(ISERROR(XS_Designer_Calculations!BG37),B38="",ISERROR(XS_Designer_Calculations!BN37)),"",XS_Designer_Calculations!BN37)</f>
        <v/>
      </c>
      <c r="Y38" s="46" t="str">
        <f>IF(OR(ISERROR(XS_Designer_Calculations!BG37),X38=""),"",XS_Designer_Calculations!BH37)</f>
        <v/>
      </c>
      <c r="Z38" s="46" t="str">
        <f>IF(OR(ISERROR(XS_Designer_Calculations!BG37),X38=""),"",XS_Designer_Calculations!$O$18)</f>
        <v/>
      </c>
      <c r="AB38" s="14">
        <f>IFERROR(XS_Designer_Summary!AK36,0)</f>
        <v>-18.224837500000039</v>
      </c>
      <c r="AC38" s="14">
        <f>IFERROR(XS_Designer_Summary!AV36,0)</f>
        <v>2.3300234044976174</v>
      </c>
      <c r="AD38" s="14">
        <f>IFERROR(XS_Designer_Summary!AK36,0)</f>
        <v>-18.224837500000039</v>
      </c>
      <c r="AE38" s="14">
        <f>IFERROR(XS_Designer_Summary!AW36,0)</f>
        <v>1.2251712602464806</v>
      </c>
      <c r="AF38" s="14">
        <f>IFERROR(XS_Designer_Summary!AK36,0)</f>
        <v>-18.224837500000039</v>
      </c>
      <c r="AG38" s="14">
        <f>IFERROR(XS_Designer_Summary!BF36,0)</f>
        <v>3.7991786105297676</v>
      </c>
    </row>
    <row r="39" spans="2:33">
      <c r="B39" s="22" t="str">
        <f>IF(ISERROR(XS_Designer_Calculations!B39),"",XS_Designer_Calculations!B39)</f>
        <v/>
      </c>
      <c r="C39" s="22" t="str">
        <f>IF(ISERROR(XS_Designer_Calculations!C39),"",XS_Designer_Calculations!C39)</f>
        <v/>
      </c>
      <c r="D39" s="3" t="str">
        <f>IF(OR(ISERROR(Data!D36), Data!D36=0),"",Data!D36)</f>
        <v/>
      </c>
      <c r="E39" s="3" t="str">
        <f>IF(F39&lt;&gt;"",IF(ISERROR(XS_Designer_Calculations!AH39),"",XS_Designer_Calculations!AH39),"")</f>
        <v/>
      </c>
      <c r="F39" s="3" t="str">
        <f>IF(IF(ISERROR(XS_Designer_Calculations!AF39),"",XS_Designer_Calculations!AF39)&lt;&gt;MAX($F$4:$F38),IF(ISERROR(XS_Designer_Calculations!AF39),"",XS_Designer_Calculations!AF39),"")</f>
        <v/>
      </c>
      <c r="G39" s="4" t="str">
        <f>IF(F39&lt;&gt;"",IF(ISERROR(XS_Designer_Calculations!W39),"",XS_Designer_Calculations!W39),"")</f>
        <v/>
      </c>
      <c r="H39" s="3" t="str">
        <f>IF(ISERROR(XS_Designer_Calculations!AE39),"",XS_Designer_Calculations!AE39)</f>
        <v/>
      </c>
      <c r="I39" s="4" t="str">
        <f>IF(ISERROR(XS_Designer_Calculations!W39),"",XS_Designer_Calculations!W39)</f>
        <v/>
      </c>
      <c r="J39" s="4" t="str">
        <f>IF(K39&lt;&gt;"",IF(ISERROR(XS_Designer_Calculations!AL39:AL139),"",XS_Designer_Calculations!AL39:AL139),"")</f>
        <v/>
      </c>
      <c r="K39" s="22" t="str">
        <f>IF(IF(ISERROR(XS_Designer_Calculations!AJ39:AJ139),"",XS_Designer_Calculations!AJ39:AJ139)&lt;&gt;MAX($K$4:$K38),IF(ISERROR(XS_Designer_Calculations!AJ39:AJ139),"",XS_Designer_Calculations!AJ39:AJ139),"")</f>
        <v/>
      </c>
      <c r="L39" s="142" t="str">
        <f>IF(K39&lt;&gt;"",IF(ISERROR(XS_Designer_Calculations!X39:X139),"",XS_Designer_Calculations!X39:X139),"")</f>
        <v/>
      </c>
      <c r="M39" s="22" t="str">
        <f>IF(ISERROR(XS_Designer_Calculations!AI39:AI139),"",XS_Designer_Calculations!AI39:AI139)</f>
        <v/>
      </c>
      <c r="N39" s="22" t="str">
        <f>IF(ISERROR(XS_Designer_Calculations!X39:X139),"",XS_Designer_Calculations!X39:X139)</f>
        <v/>
      </c>
      <c r="X39" s="46" t="str">
        <f>IF(OR(ISERROR(XS_Designer_Calculations!BG38),B39="",ISERROR(XS_Designer_Calculations!BN38)),"",XS_Designer_Calculations!BN38)</f>
        <v/>
      </c>
      <c r="Y39" s="46" t="str">
        <f>IF(OR(ISERROR(XS_Designer_Calculations!BG38),X39=""),"",XS_Designer_Calculations!BH38)</f>
        <v/>
      </c>
      <c r="Z39" s="46" t="str">
        <f>IF(OR(ISERROR(XS_Designer_Calculations!BG38),X39=""),"",XS_Designer_Calculations!$O$18)</f>
        <v/>
      </c>
      <c r="AB39" s="14">
        <f>IFERROR(XS_Designer_Summary!AK37,0)</f>
        <v>-17.95282500000004</v>
      </c>
      <c r="AC39" s="14">
        <f>IFERROR(XS_Designer_Summary!AV37,0)</f>
        <v>2.3343245933543448</v>
      </c>
      <c r="AD39" s="14">
        <f>IFERROR(XS_Designer_Summary!AK37,0)</f>
        <v>-17.95282500000004</v>
      </c>
      <c r="AE39" s="14">
        <f>IFERROR(XS_Designer_Summary!AW37,0)</f>
        <v>1.2285652975068957</v>
      </c>
      <c r="AF39" s="14">
        <f>IFERROR(XS_Designer_Summary!AK37,0)</f>
        <v>-17.95282500000004</v>
      </c>
      <c r="AG39" s="14">
        <f>IFERROR(XS_Designer_Summary!BF37,0)</f>
        <v>3.8101308090127932</v>
      </c>
    </row>
    <row r="40" spans="2:33">
      <c r="B40" s="22" t="str">
        <f>IF(ISERROR(XS_Designer_Calculations!B40),"",XS_Designer_Calculations!B40)</f>
        <v/>
      </c>
      <c r="C40" s="22" t="str">
        <f>IF(ISERROR(XS_Designer_Calculations!C40),"",XS_Designer_Calculations!C40)</f>
        <v/>
      </c>
      <c r="D40" s="3" t="str">
        <f>IF(OR(ISERROR(Data!D37), Data!D37=0),"",Data!D37)</f>
        <v/>
      </c>
      <c r="E40" s="3" t="str">
        <f>IF(F40&lt;&gt;"",IF(ISERROR(XS_Designer_Calculations!AH40),"",XS_Designer_Calculations!AH40),"")</f>
        <v/>
      </c>
      <c r="F40" s="3" t="str">
        <f>IF(IF(ISERROR(XS_Designer_Calculations!AF40),"",XS_Designer_Calculations!AF40)&lt;&gt;MAX($F$4:$F39),IF(ISERROR(XS_Designer_Calculations!AF40),"",XS_Designer_Calculations!AF40),"")</f>
        <v/>
      </c>
      <c r="G40" s="4" t="str">
        <f>IF(F40&lt;&gt;"",IF(ISERROR(XS_Designer_Calculations!W40),"",XS_Designer_Calculations!W40),"")</f>
        <v/>
      </c>
      <c r="H40" s="3" t="str">
        <f>IF(ISERROR(XS_Designer_Calculations!AE40),"",XS_Designer_Calculations!AE40)</f>
        <v/>
      </c>
      <c r="I40" s="4" t="str">
        <f>IF(ISERROR(XS_Designer_Calculations!W40),"",XS_Designer_Calculations!W40)</f>
        <v/>
      </c>
      <c r="J40" s="4" t="str">
        <f>IF(K40&lt;&gt;"",IF(ISERROR(XS_Designer_Calculations!AL40:AL140),"",XS_Designer_Calculations!AL40:AL140),"")</f>
        <v/>
      </c>
      <c r="K40" s="22" t="str">
        <f>IF(IF(ISERROR(XS_Designer_Calculations!AJ40:AJ140),"",XS_Designer_Calculations!AJ40:AJ140)&lt;&gt;MAX($K$4:$K39),IF(ISERROR(XS_Designer_Calculations!AJ40:AJ140),"",XS_Designer_Calculations!AJ40:AJ140),"")</f>
        <v/>
      </c>
      <c r="L40" s="142" t="str">
        <f>IF(K40&lt;&gt;"",IF(ISERROR(XS_Designer_Calculations!X40:X140),"",XS_Designer_Calculations!X40:X140),"")</f>
        <v/>
      </c>
      <c r="M40" s="22" t="str">
        <f>IF(ISERROR(XS_Designer_Calculations!AI40:AI140),"",XS_Designer_Calculations!AI40:AI140)</f>
        <v/>
      </c>
      <c r="N40" s="22" t="str">
        <f>IF(ISERROR(XS_Designer_Calculations!X40:X140),"",XS_Designer_Calculations!X40:X140)</f>
        <v/>
      </c>
      <c r="X40" s="46" t="str">
        <f>IF(OR(ISERROR(XS_Designer_Calculations!BG39),B40="",ISERROR(XS_Designer_Calculations!BN39)),"",XS_Designer_Calculations!BN39)</f>
        <v/>
      </c>
      <c r="Y40" s="46" t="str">
        <f>IF(OR(ISERROR(XS_Designer_Calculations!BG39),X40=""),"",XS_Designer_Calculations!BH39)</f>
        <v/>
      </c>
      <c r="Z40" s="46" t="str">
        <f>IF(OR(ISERROR(XS_Designer_Calculations!BG39),X40=""),"",XS_Designer_Calculations!$O$18)</f>
        <v/>
      </c>
      <c r="AB40" s="14">
        <f>IFERROR(XS_Designer_Summary!AK38,0)</f>
        <v>-17.680812500000041</v>
      </c>
      <c r="AC40" s="14">
        <f>IFERROR(XS_Designer_Summary!AV38,0)</f>
        <v>2.3386218232036593</v>
      </c>
      <c r="AD40" s="14">
        <f>IFERROR(XS_Designer_Summary!AK38,0)</f>
        <v>-17.680812500000041</v>
      </c>
      <c r="AE40" s="14">
        <f>IFERROR(XS_Designer_Summary!AW38,0)</f>
        <v>1.2319593347673108</v>
      </c>
      <c r="AF40" s="14">
        <f>IFERROR(XS_Designer_Summary!AK38,0)</f>
        <v>-17.680812500000041</v>
      </c>
      <c r="AG40" s="14">
        <f>IFERROR(XS_Designer_Summary!BF38,0)</f>
        <v>3.8210842765938806</v>
      </c>
    </row>
    <row r="41" spans="2:33">
      <c r="B41" s="22" t="str">
        <f>IF(ISERROR(XS_Designer_Calculations!B41),"",XS_Designer_Calculations!B41)</f>
        <v/>
      </c>
      <c r="C41" s="22" t="str">
        <f>IF(ISERROR(XS_Designer_Calculations!C41),"",XS_Designer_Calculations!C41)</f>
        <v/>
      </c>
      <c r="D41" s="3" t="str">
        <f>IF(OR(ISERROR(Data!D38), Data!D38=0),"",Data!D38)</f>
        <v/>
      </c>
      <c r="E41" s="3" t="str">
        <f>IF(F41&lt;&gt;"",IF(ISERROR(XS_Designer_Calculations!AH41),"",XS_Designer_Calculations!AH41),"")</f>
        <v/>
      </c>
      <c r="F41" s="3" t="str">
        <f>IF(IF(ISERROR(XS_Designer_Calculations!AF41),"",XS_Designer_Calculations!AF41)&lt;&gt;MAX($F$4:$F40),IF(ISERROR(XS_Designer_Calculations!AF41),"",XS_Designer_Calculations!AF41),"")</f>
        <v/>
      </c>
      <c r="G41" s="4" t="str">
        <f>IF(F41&lt;&gt;"",IF(ISERROR(XS_Designer_Calculations!W41),"",XS_Designer_Calculations!W41),"")</f>
        <v/>
      </c>
      <c r="H41" s="3" t="str">
        <f>IF(ISERROR(XS_Designer_Calculations!AE41),"",XS_Designer_Calculations!AE41)</f>
        <v/>
      </c>
      <c r="I41" s="4" t="str">
        <f>IF(ISERROR(XS_Designer_Calculations!W41),"",XS_Designer_Calculations!W41)</f>
        <v/>
      </c>
      <c r="J41" s="4" t="str">
        <f>IF(K41&lt;&gt;"",IF(ISERROR(XS_Designer_Calculations!AL41:AL141),"",XS_Designer_Calculations!AL41:AL141),"")</f>
        <v/>
      </c>
      <c r="K41" s="22" t="str">
        <f>IF(IF(ISERROR(XS_Designer_Calculations!AJ41:AJ141),"",XS_Designer_Calculations!AJ41:AJ141)&lt;&gt;MAX($K$4:$K40),IF(ISERROR(XS_Designer_Calculations!AJ41:AJ141),"",XS_Designer_Calculations!AJ41:AJ141),"")</f>
        <v/>
      </c>
      <c r="L41" s="142" t="str">
        <f>IF(K41&lt;&gt;"",IF(ISERROR(XS_Designer_Calculations!X41:X141),"",XS_Designer_Calculations!X41:X141),"")</f>
        <v/>
      </c>
      <c r="M41" s="22" t="str">
        <f>IF(ISERROR(XS_Designer_Calculations!AI41:AI141),"",XS_Designer_Calculations!AI41:AI141)</f>
        <v/>
      </c>
      <c r="N41" s="22" t="str">
        <f>IF(ISERROR(XS_Designer_Calculations!X41:X141),"",XS_Designer_Calculations!X41:X141)</f>
        <v/>
      </c>
      <c r="X41" s="46" t="str">
        <f>IF(OR(ISERROR(XS_Designer_Calculations!BG40),B41="",ISERROR(XS_Designer_Calculations!BN40)),"",XS_Designer_Calculations!BN40)</f>
        <v/>
      </c>
      <c r="Y41" s="46" t="str">
        <f>IF(OR(ISERROR(XS_Designer_Calculations!BG40),X41=""),"",XS_Designer_Calculations!BH40)</f>
        <v/>
      </c>
      <c r="Z41" s="46" t="str">
        <f>IF(OR(ISERROR(XS_Designer_Calculations!BG40),X41=""),"",XS_Designer_Calculations!$O$18)</f>
        <v/>
      </c>
      <c r="AB41" s="14">
        <f>IFERROR(XS_Designer_Summary!AK39,0)</f>
        <v>-17.408800000000042</v>
      </c>
      <c r="AC41" s="14">
        <f>IFERROR(XS_Designer_Summary!AV39,0)</f>
        <v>2.3429151085816327</v>
      </c>
      <c r="AD41" s="14">
        <f>IFERROR(XS_Designer_Summary!AK39,0)</f>
        <v>-17.408800000000042</v>
      </c>
      <c r="AE41" s="14">
        <f>IFERROR(XS_Designer_Summary!AW39,0)</f>
        <v>1.2353533720277261</v>
      </c>
      <c r="AF41" s="14">
        <f>IFERROR(XS_Designer_Summary!AK39,0)</f>
        <v>-17.408800000000042</v>
      </c>
      <c r="AG41" s="14">
        <f>IFERROR(XS_Designer_Summary!BF39,0)</f>
        <v>3.8320390099279296</v>
      </c>
    </row>
    <row r="42" spans="2:33">
      <c r="B42" s="22" t="str">
        <f>IF(ISERROR(XS_Designer_Calculations!B42),"",XS_Designer_Calculations!B42)</f>
        <v/>
      </c>
      <c r="C42" s="22" t="str">
        <f>IF(ISERROR(XS_Designer_Calculations!C42),"",XS_Designer_Calculations!C42)</f>
        <v/>
      </c>
      <c r="D42" s="3" t="str">
        <f>IF(OR(ISERROR(Data!D39), Data!D39=0),"",Data!D39)</f>
        <v/>
      </c>
      <c r="E42" s="3" t="str">
        <f>IF(F42&lt;&gt;"",IF(ISERROR(XS_Designer_Calculations!AH42),"",XS_Designer_Calculations!AH42),"")</f>
        <v/>
      </c>
      <c r="F42" s="3" t="str">
        <f>IF(IF(ISERROR(XS_Designer_Calculations!AF42),"",XS_Designer_Calculations!AF42)&lt;&gt;MAX($F$4:$F41),IF(ISERROR(XS_Designer_Calculations!AF42),"",XS_Designer_Calculations!AF42),"")</f>
        <v/>
      </c>
      <c r="G42" s="4" t="str">
        <f>IF(F42&lt;&gt;"",IF(ISERROR(XS_Designer_Calculations!W42),"",XS_Designer_Calculations!W42),"")</f>
        <v/>
      </c>
      <c r="H42" s="3" t="str">
        <f>IF(ISERROR(XS_Designer_Calculations!AE42),"",XS_Designer_Calculations!AE42)</f>
        <v/>
      </c>
      <c r="I42" s="4" t="str">
        <f>IF(ISERROR(XS_Designer_Calculations!W42),"",XS_Designer_Calculations!W42)</f>
        <v/>
      </c>
      <c r="J42" s="4" t="str">
        <f>IF(K42&lt;&gt;"",IF(ISERROR(XS_Designer_Calculations!AL42:AL142),"",XS_Designer_Calculations!AL42:AL142),"")</f>
        <v/>
      </c>
      <c r="K42" s="22" t="str">
        <f>IF(IF(ISERROR(XS_Designer_Calculations!AJ42:AJ142),"",XS_Designer_Calculations!AJ42:AJ142)&lt;&gt;MAX($K$4:$K41),IF(ISERROR(XS_Designer_Calculations!AJ42:AJ142),"",XS_Designer_Calculations!AJ42:AJ142),"")</f>
        <v/>
      </c>
      <c r="L42" s="142" t="str">
        <f>IF(K42&lt;&gt;"",IF(ISERROR(XS_Designer_Calculations!X42:X142),"",XS_Designer_Calculations!X42:X142),"")</f>
        <v/>
      </c>
      <c r="M42" s="22" t="str">
        <f>IF(ISERROR(XS_Designer_Calculations!AI42:AI142),"",XS_Designer_Calculations!AI42:AI142)</f>
        <v/>
      </c>
      <c r="N42" s="22" t="str">
        <f>IF(ISERROR(XS_Designer_Calculations!X42:X142),"",XS_Designer_Calculations!X42:X142)</f>
        <v/>
      </c>
      <c r="X42" s="46" t="str">
        <f>IF(OR(ISERROR(XS_Designer_Calculations!BG41),B42="",ISERROR(XS_Designer_Calculations!BN41)),"",XS_Designer_Calculations!BN41)</f>
        <v/>
      </c>
      <c r="Y42" s="46" t="str">
        <f>IF(OR(ISERROR(XS_Designer_Calculations!BG41),X42=""),"",XS_Designer_Calculations!BH41)</f>
        <v/>
      </c>
      <c r="Z42" s="46" t="str">
        <f>IF(OR(ISERROR(XS_Designer_Calculations!BG41),X42=""),"",XS_Designer_Calculations!$O$18)</f>
        <v/>
      </c>
      <c r="AB42" s="14">
        <f>IFERROR(XS_Designer_Summary!AK40,0)</f>
        <v>-17.136787500000043</v>
      </c>
      <c r="AC42" s="14">
        <f>IFERROR(XS_Designer_Summary!AV40,0)</f>
        <v>2.3472044639311886</v>
      </c>
      <c r="AD42" s="14">
        <f>IFERROR(XS_Designer_Summary!AK40,0)</f>
        <v>-17.136787500000043</v>
      </c>
      <c r="AE42" s="14">
        <f>IFERROR(XS_Designer_Summary!AW40,0)</f>
        <v>1.2387474092881412</v>
      </c>
      <c r="AF42" s="14">
        <f>IFERROR(XS_Designer_Summary!AK40,0)</f>
        <v>-17.136787500000043</v>
      </c>
      <c r="AG42" s="14">
        <f>IFERROR(XS_Designer_Summary!BF40,0)</f>
        <v>3.8429950056878068</v>
      </c>
    </row>
    <row r="43" spans="2:33">
      <c r="B43" s="22" t="str">
        <f>IF(ISERROR(XS_Designer_Calculations!B43),"",XS_Designer_Calculations!B43)</f>
        <v/>
      </c>
      <c r="C43" s="22" t="str">
        <f>IF(ISERROR(XS_Designer_Calculations!C43),"",XS_Designer_Calculations!C43)</f>
        <v/>
      </c>
      <c r="D43" s="3" t="str">
        <f>IF(OR(ISERROR(Data!D40), Data!D40=0),"",Data!D40)</f>
        <v/>
      </c>
      <c r="E43" s="3" t="str">
        <f>IF(F43&lt;&gt;"",IF(ISERROR(XS_Designer_Calculations!AH43),"",XS_Designer_Calculations!AH43),"")</f>
        <v/>
      </c>
      <c r="F43" s="3" t="str">
        <f>IF(IF(ISERROR(XS_Designer_Calculations!AF43),"",XS_Designer_Calculations!AF43)&lt;&gt;MAX($F$4:$F42),IF(ISERROR(XS_Designer_Calculations!AF43),"",XS_Designer_Calculations!AF43),"")</f>
        <v/>
      </c>
      <c r="G43" s="4" t="str">
        <f>IF(F43&lt;&gt;"",IF(ISERROR(XS_Designer_Calculations!W43),"",XS_Designer_Calculations!W43),"")</f>
        <v/>
      </c>
      <c r="H43" s="3" t="str">
        <f>IF(ISERROR(XS_Designer_Calculations!AE43),"",XS_Designer_Calculations!AE43)</f>
        <v/>
      </c>
      <c r="I43" s="4" t="str">
        <f>IF(ISERROR(XS_Designer_Calculations!W43),"",XS_Designer_Calculations!W43)</f>
        <v/>
      </c>
      <c r="J43" s="4" t="str">
        <f>IF(K43&lt;&gt;"",IF(ISERROR(XS_Designer_Calculations!AL43:AL143),"",XS_Designer_Calculations!AL43:AL143),"")</f>
        <v/>
      </c>
      <c r="K43" s="22" t="str">
        <f>IF(IF(ISERROR(XS_Designer_Calculations!AJ43:AJ143),"",XS_Designer_Calculations!AJ43:AJ143)&lt;&gt;MAX($K$4:$K42),IF(ISERROR(XS_Designer_Calculations!AJ43:AJ143),"",XS_Designer_Calculations!AJ43:AJ143),"")</f>
        <v/>
      </c>
      <c r="L43" s="142" t="str">
        <f>IF(K43&lt;&gt;"",IF(ISERROR(XS_Designer_Calculations!X43:X143),"",XS_Designer_Calculations!X43:X143),"")</f>
        <v/>
      </c>
      <c r="M43" s="22" t="str">
        <f>IF(ISERROR(XS_Designer_Calculations!AI43:AI143),"",XS_Designer_Calculations!AI43:AI143)</f>
        <v/>
      </c>
      <c r="N43" s="22" t="str">
        <f>IF(ISERROR(XS_Designer_Calculations!X43:X143),"",XS_Designer_Calculations!X43:X143)</f>
        <v/>
      </c>
      <c r="X43" s="46" t="str">
        <f>IF(OR(ISERROR(XS_Designer_Calculations!BG42),B43="",ISERROR(XS_Designer_Calculations!BN42)),"",XS_Designer_Calculations!BN42)</f>
        <v/>
      </c>
      <c r="Y43" s="46" t="str">
        <f>IF(OR(ISERROR(XS_Designer_Calculations!BG42),X43=""),"",XS_Designer_Calculations!BH42)</f>
        <v/>
      </c>
      <c r="Z43" s="46" t="str">
        <f>IF(OR(ISERROR(XS_Designer_Calculations!BG42),X43=""),"",XS_Designer_Calculations!$O$18)</f>
        <v/>
      </c>
      <c r="AB43" s="14">
        <f>IFERROR(XS_Designer_Summary!AK41,0)</f>
        <v>-16.864775000000044</v>
      </c>
      <c r="AC43" s="14">
        <f>IFERROR(XS_Designer_Summary!AV41,0)</f>
        <v>2.35148990360296</v>
      </c>
      <c r="AD43" s="14">
        <f>IFERROR(XS_Designer_Summary!AK41,0)</f>
        <v>-16.864775000000044</v>
      </c>
      <c r="AE43" s="14">
        <f>IFERROR(XS_Designer_Summary!AW41,0)</f>
        <v>1.2421414465485563</v>
      </c>
      <c r="AF43" s="14">
        <f>IFERROR(XS_Designer_Summary!AK41,0)</f>
        <v>-16.864775000000044</v>
      </c>
      <c r="AG43" s="14">
        <f>IFERROR(XS_Designer_Summary!BF41,0)</f>
        <v>3.8539522605642098</v>
      </c>
    </row>
    <row r="44" spans="2:33">
      <c r="B44" s="22" t="str">
        <f>IF(ISERROR(XS_Designer_Calculations!B44),"",XS_Designer_Calculations!B44)</f>
        <v/>
      </c>
      <c r="C44" s="22" t="str">
        <f>IF(ISERROR(XS_Designer_Calculations!C44),"",XS_Designer_Calculations!C44)</f>
        <v/>
      </c>
      <c r="D44" s="3" t="str">
        <f>IF(OR(ISERROR(Data!D41), Data!D41=0),"",Data!D41)</f>
        <v/>
      </c>
      <c r="E44" s="3" t="str">
        <f>IF(F44&lt;&gt;"",IF(ISERROR(XS_Designer_Calculations!AH44),"",XS_Designer_Calculations!AH44),"")</f>
        <v/>
      </c>
      <c r="F44" s="3" t="str">
        <f>IF(IF(ISERROR(XS_Designer_Calculations!AF44),"",XS_Designer_Calculations!AF44)&lt;&gt;MAX($F$4:$F43),IF(ISERROR(XS_Designer_Calculations!AF44),"",XS_Designer_Calculations!AF44),"")</f>
        <v/>
      </c>
      <c r="G44" s="4" t="str">
        <f>IF(F44&lt;&gt;"",IF(ISERROR(XS_Designer_Calculations!W44),"",XS_Designer_Calculations!W44),"")</f>
        <v/>
      </c>
      <c r="H44" s="3" t="str">
        <f>IF(ISERROR(XS_Designer_Calculations!AE44),"",XS_Designer_Calculations!AE44)</f>
        <v/>
      </c>
      <c r="I44" s="4" t="str">
        <f>IF(ISERROR(XS_Designer_Calculations!W44),"",XS_Designer_Calculations!W44)</f>
        <v/>
      </c>
      <c r="J44" s="4" t="str">
        <f>IF(K44&lt;&gt;"",IF(ISERROR(XS_Designer_Calculations!AL44:AL144),"",XS_Designer_Calculations!AL44:AL144),"")</f>
        <v/>
      </c>
      <c r="K44" s="22" t="str">
        <f>IF(IF(ISERROR(XS_Designer_Calculations!AJ44:AJ144),"",XS_Designer_Calculations!AJ44:AJ144)&lt;&gt;MAX($K$4:$K43),IF(ISERROR(XS_Designer_Calculations!AJ44:AJ144),"",XS_Designer_Calculations!AJ44:AJ144),"")</f>
        <v/>
      </c>
      <c r="L44" s="142" t="str">
        <f>IF(K44&lt;&gt;"",IF(ISERROR(XS_Designer_Calculations!X44:X144),"",XS_Designer_Calculations!X44:X144),"")</f>
        <v/>
      </c>
      <c r="M44" s="22" t="str">
        <f>IF(ISERROR(XS_Designer_Calculations!AI44:AI144),"",XS_Designer_Calculations!AI44:AI144)</f>
        <v/>
      </c>
      <c r="N44" s="22" t="str">
        <f>IF(ISERROR(XS_Designer_Calculations!X44:X144),"",XS_Designer_Calculations!X44:X144)</f>
        <v/>
      </c>
      <c r="X44" s="46" t="str">
        <f>IF(OR(ISERROR(XS_Designer_Calculations!BG43),B44="",ISERROR(XS_Designer_Calculations!BN43)),"",XS_Designer_Calculations!BN43)</f>
        <v/>
      </c>
      <c r="Y44" s="46" t="str">
        <f>IF(OR(ISERROR(XS_Designer_Calculations!BG43),X44=""),"",XS_Designer_Calculations!BH43)</f>
        <v/>
      </c>
      <c r="Z44" s="46" t="str">
        <f>IF(OR(ISERROR(XS_Designer_Calculations!BG43),X44=""),"",XS_Designer_Calculations!$O$18)</f>
        <v/>
      </c>
      <c r="AB44" s="14">
        <f>IFERROR(XS_Designer_Summary!AK42,0)</f>
        <v>-16.592762500000045</v>
      </c>
      <c r="AC44" s="14">
        <f>IFERROR(XS_Designer_Summary!AV42,0)</f>
        <v>2.3567271693259153</v>
      </c>
      <c r="AD44" s="14">
        <f>IFERROR(XS_Designer_Summary!AK42,0)</f>
        <v>-16.592762500000045</v>
      </c>
      <c r="AE44" s="14">
        <f>IFERROR(XS_Designer_Summary!AW42,0)</f>
        <v>1.2462935241571826</v>
      </c>
      <c r="AF44" s="14">
        <f>IFERROR(XS_Designer_Summary!AK42,0)</f>
        <v>-16.592762500000045</v>
      </c>
      <c r="AG44" s="14">
        <f>IFERROR(XS_Designer_Summary!BF42,0)</f>
        <v>3.8731180109508889</v>
      </c>
    </row>
    <row r="45" spans="2:33">
      <c r="B45" s="22" t="str">
        <f>IF(ISERROR(XS_Designer_Calculations!B45),"",XS_Designer_Calculations!B45)</f>
        <v/>
      </c>
      <c r="C45" s="22" t="str">
        <f>IF(ISERROR(XS_Designer_Calculations!C45),"",XS_Designer_Calculations!C45)</f>
        <v/>
      </c>
      <c r="D45" s="3" t="str">
        <f>IF(OR(ISERROR(Data!D42), Data!D42=0),"",Data!D42)</f>
        <v/>
      </c>
      <c r="E45" s="3" t="str">
        <f>IF(F45&lt;&gt;"",IF(ISERROR(XS_Designer_Calculations!AH45),"",XS_Designer_Calculations!AH45),"")</f>
        <v/>
      </c>
      <c r="F45" s="3" t="str">
        <f>IF(IF(ISERROR(XS_Designer_Calculations!AF45),"",XS_Designer_Calculations!AF45)&lt;&gt;MAX($F$4:$F44),IF(ISERROR(XS_Designer_Calculations!AF45),"",XS_Designer_Calculations!AF45),"")</f>
        <v/>
      </c>
      <c r="G45" s="4" t="str">
        <f>IF(F45&lt;&gt;"",IF(ISERROR(XS_Designer_Calculations!W45),"",XS_Designer_Calculations!W45),"")</f>
        <v/>
      </c>
      <c r="H45" s="3" t="str">
        <f>IF(ISERROR(XS_Designer_Calculations!AE45),"",XS_Designer_Calculations!AE45)</f>
        <v/>
      </c>
      <c r="I45" s="4" t="str">
        <f>IF(ISERROR(XS_Designer_Calculations!W45),"",XS_Designer_Calculations!W45)</f>
        <v/>
      </c>
      <c r="J45" s="4" t="str">
        <f>IF(K45&lt;&gt;"",IF(ISERROR(XS_Designer_Calculations!AL45:AL145),"",XS_Designer_Calculations!AL45:AL145),"")</f>
        <v/>
      </c>
      <c r="K45" s="22" t="str">
        <f>IF(IF(ISERROR(XS_Designer_Calculations!AJ45:AJ145),"",XS_Designer_Calculations!AJ45:AJ145)&lt;&gt;MAX($K$4:$K44),IF(ISERROR(XS_Designer_Calculations!AJ45:AJ145),"",XS_Designer_Calculations!AJ45:AJ145),"")</f>
        <v/>
      </c>
      <c r="L45" s="142" t="str">
        <f>IF(K45&lt;&gt;"",IF(ISERROR(XS_Designer_Calculations!X45:X145),"",XS_Designer_Calculations!X45:X145),"")</f>
        <v/>
      </c>
      <c r="M45" s="22" t="str">
        <f>IF(ISERROR(XS_Designer_Calculations!AI45:AI145),"",XS_Designer_Calculations!AI45:AI145)</f>
        <v/>
      </c>
      <c r="N45" s="22" t="str">
        <f>IF(ISERROR(XS_Designer_Calculations!X45:X145),"",XS_Designer_Calculations!X45:X145)</f>
        <v/>
      </c>
      <c r="X45" s="46" t="str">
        <f>IF(OR(ISERROR(XS_Designer_Calculations!BG44),B45="",ISERROR(XS_Designer_Calculations!BN44)),"",XS_Designer_Calculations!BN44)</f>
        <v/>
      </c>
      <c r="Y45" s="46" t="str">
        <f>IF(OR(ISERROR(XS_Designer_Calculations!BG44),X45=""),"",XS_Designer_Calculations!BH44)</f>
        <v/>
      </c>
      <c r="Z45" s="46" t="str">
        <f>IF(OR(ISERROR(XS_Designer_Calculations!BG44),X45=""),"",XS_Designer_Calculations!$O$18)</f>
        <v/>
      </c>
      <c r="AB45" s="14">
        <f>IFERROR(XS_Designer_Summary!AK43,0)</f>
        <v>-16.320750000000046</v>
      </c>
      <c r="AC45" s="14">
        <f>IFERROR(XS_Designer_Summary!AV43,0)</f>
        <v>2.241489536512562</v>
      </c>
      <c r="AD45" s="14">
        <f>IFERROR(XS_Designer_Summary!AK43,0)</f>
        <v>-16.320750000000046</v>
      </c>
      <c r="AE45" s="14">
        <f>IFERROR(XS_Designer_Summary!AW43,0)</f>
        <v>1.1560096231467207</v>
      </c>
      <c r="AF45" s="14">
        <f>IFERROR(XS_Designer_Summary!AK43,0)</f>
        <v>-16.320750000000046</v>
      </c>
      <c r="AG45" s="14">
        <f>IFERROR(XS_Designer_Summary!BF43,0)</f>
        <v>4.1475023358168173</v>
      </c>
    </row>
    <row r="46" spans="2:33">
      <c r="B46" s="22" t="str">
        <f>IF(ISERROR(XS_Designer_Calculations!B46),"",XS_Designer_Calculations!B46)</f>
        <v/>
      </c>
      <c r="C46" s="22" t="str">
        <f>IF(ISERROR(XS_Designer_Calculations!C46),"",XS_Designer_Calculations!C46)</f>
        <v/>
      </c>
      <c r="D46" s="3" t="str">
        <f>IF(OR(ISERROR(Data!D43), Data!D43=0),"",Data!D43)</f>
        <v/>
      </c>
      <c r="E46" s="3" t="str">
        <f>IF(F46&lt;&gt;"",IF(ISERROR(XS_Designer_Calculations!AH46),"",XS_Designer_Calculations!AH46),"")</f>
        <v/>
      </c>
      <c r="F46" s="3" t="str">
        <f>IF(IF(ISERROR(XS_Designer_Calculations!AF46),"",XS_Designer_Calculations!AF46)&lt;&gt;MAX($F$4:$F45),IF(ISERROR(XS_Designer_Calculations!AF46),"",XS_Designer_Calculations!AF46),"")</f>
        <v/>
      </c>
      <c r="G46" s="4" t="str">
        <f>IF(F46&lt;&gt;"",IF(ISERROR(XS_Designer_Calculations!W46),"",XS_Designer_Calculations!W46),"")</f>
        <v/>
      </c>
      <c r="H46" s="3" t="str">
        <f>IF(ISERROR(XS_Designer_Calculations!AE46),"",XS_Designer_Calculations!AE46)</f>
        <v/>
      </c>
      <c r="I46" s="4" t="str">
        <f>IF(ISERROR(XS_Designer_Calculations!W46),"",XS_Designer_Calculations!W46)</f>
        <v/>
      </c>
      <c r="J46" s="4" t="str">
        <f>IF(K46&lt;&gt;"",IF(ISERROR(XS_Designer_Calculations!AL46:AL146),"",XS_Designer_Calculations!AL46:AL146),"")</f>
        <v/>
      </c>
      <c r="K46" s="22" t="str">
        <f>IF(IF(ISERROR(XS_Designer_Calculations!AJ46:AJ146),"",XS_Designer_Calculations!AJ46:AJ146)&lt;&gt;MAX($K$4:$K45),IF(ISERROR(XS_Designer_Calculations!AJ46:AJ146),"",XS_Designer_Calculations!AJ46:AJ146),"")</f>
        <v/>
      </c>
      <c r="L46" s="142" t="str">
        <f>IF(K46&lt;&gt;"",IF(ISERROR(XS_Designer_Calculations!X46:X146),"",XS_Designer_Calculations!X46:X146),"")</f>
        <v/>
      </c>
      <c r="M46" s="22" t="str">
        <f>IF(ISERROR(XS_Designer_Calculations!AI46:AI146),"",XS_Designer_Calculations!AI46:AI146)</f>
        <v/>
      </c>
      <c r="N46" s="22" t="str">
        <f>IF(ISERROR(XS_Designer_Calculations!X46:X146),"",XS_Designer_Calculations!X46:X146)</f>
        <v/>
      </c>
      <c r="X46" s="46" t="str">
        <f>IF(OR(ISERROR(XS_Designer_Calculations!BG45),B46="",ISERROR(XS_Designer_Calculations!BN45)),"",XS_Designer_Calculations!BN45)</f>
        <v/>
      </c>
      <c r="Y46" s="46" t="str">
        <f>IF(OR(ISERROR(XS_Designer_Calculations!BG45),X46=""),"",XS_Designer_Calculations!BH45)</f>
        <v/>
      </c>
      <c r="Z46" s="46" t="str">
        <f>IF(OR(ISERROR(XS_Designer_Calculations!BG45),X46=""),"",XS_Designer_Calculations!$O$18)</f>
        <v/>
      </c>
      <c r="AB46" s="14">
        <f>IFERROR(XS_Designer_Summary!AK44,0)</f>
        <v>-16.048737500000048</v>
      </c>
      <c r="AC46" s="14">
        <f>IFERROR(XS_Designer_Summary!AV44,0)</f>
        <v>2.338569234808606</v>
      </c>
      <c r="AD46" s="14">
        <f>IFERROR(XS_Designer_Summary!AK44,0)</f>
        <v>-16.048737500000048</v>
      </c>
      <c r="AE46" s="14">
        <f>IFERROR(XS_Designer_Summary!AW44,0)</f>
        <v>1.2319177805497825</v>
      </c>
      <c r="AF46" s="14">
        <f>IFERROR(XS_Designer_Summary!AK44,0)</f>
        <v>-16.048737500000048</v>
      </c>
      <c r="AG46" s="14">
        <f>IFERROR(XS_Designer_Summary!BF44,0)</f>
        <v>4.4226207908007966</v>
      </c>
    </row>
    <row r="47" spans="2:33">
      <c r="B47" s="22" t="str">
        <f>IF(ISERROR(XS_Designer_Calculations!B47),"",XS_Designer_Calculations!B47)</f>
        <v/>
      </c>
      <c r="C47" s="22" t="str">
        <f>IF(ISERROR(XS_Designer_Calculations!C47),"",XS_Designer_Calculations!C47)</f>
        <v/>
      </c>
      <c r="D47" s="3" t="str">
        <f>IF(OR(ISERROR(Data!D44), Data!D44=0),"",Data!D44)</f>
        <v/>
      </c>
      <c r="E47" s="3" t="str">
        <f>IF(F47&lt;&gt;"",IF(ISERROR(XS_Designer_Calculations!AH47),"",XS_Designer_Calculations!AH47),"")</f>
        <v/>
      </c>
      <c r="F47" s="3" t="str">
        <f>IF(IF(ISERROR(XS_Designer_Calculations!AF47),"",XS_Designer_Calculations!AF47)&lt;&gt;MAX($F$4:$F46),IF(ISERROR(XS_Designer_Calculations!AF47),"",XS_Designer_Calculations!AF47),"")</f>
        <v/>
      </c>
      <c r="G47" s="4" t="str">
        <f>IF(F47&lt;&gt;"",IF(ISERROR(XS_Designer_Calculations!W47),"",XS_Designer_Calculations!W47),"")</f>
        <v/>
      </c>
      <c r="H47" s="3" t="str">
        <f>IF(ISERROR(XS_Designer_Calculations!AE47),"",XS_Designer_Calculations!AE47)</f>
        <v/>
      </c>
      <c r="I47" s="4" t="str">
        <f>IF(ISERROR(XS_Designer_Calculations!W47),"",XS_Designer_Calculations!W47)</f>
        <v/>
      </c>
      <c r="J47" s="4" t="str">
        <f>IF(K47&lt;&gt;"",IF(ISERROR(XS_Designer_Calculations!AL47:AL147),"",XS_Designer_Calculations!AL47:AL147),"")</f>
        <v/>
      </c>
      <c r="K47" s="22" t="str">
        <f>IF(IF(ISERROR(XS_Designer_Calculations!AJ47:AJ147),"",XS_Designer_Calculations!AJ47:AJ147)&lt;&gt;MAX($K$4:$K46),IF(ISERROR(XS_Designer_Calculations!AJ47:AJ147),"",XS_Designer_Calculations!AJ47:AJ147),"")</f>
        <v/>
      </c>
      <c r="L47" s="142" t="str">
        <f>IF(K47&lt;&gt;"",IF(ISERROR(XS_Designer_Calculations!X47:X147),"",XS_Designer_Calculations!X47:X147),"")</f>
        <v/>
      </c>
      <c r="M47" s="22" t="str">
        <f>IF(ISERROR(XS_Designer_Calculations!AI47:AI147),"",XS_Designer_Calculations!AI47:AI147)</f>
        <v/>
      </c>
      <c r="N47" s="22" t="str">
        <f>IF(ISERROR(XS_Designer_Calculations!X47:X147),"",XS_Designer_Calculations!X47:X147)</f>
        <v/>
      </c>
      <c r="X47" s="46" t="str">
        <f>IF(OR(ISERROR(XS_Designer_Calculations!BG46),B47="",ISERROR(XS_Designer_Calculations!BN46)),"",XS_Designer_Calculations!BN46)</f>
        <v/>
      </c>
      <c r="Y47" s="46" t="str">
        <f>IF(OR(ISERROR(XS_Designer_Calculations!BG46),X47=""),"",XS_Designer_Calculations!BH46)</f>
        <v/>
      </c>
      <c r="Z47" s="46" t="str">
        <f>IF(OR(ISERROR(XS_Designer_Calculations!BG46),X47=""),"",XS_Designer_Calculations!$O$18)</f>
        <v/>
      </c>
      <c r="AB47" s="14">
        <f>IFERROR(XS_Designer_Summary!AK45,0)</f>
        <v>-15.776725000000047</v>
      </c>
      <c r="AC47" s="14">
        <f>IFERROR(XS_Designer_Summary!AV45,0)</f>
        <v>2.4336738779033542</v>
      </c>
      <c r="AD47" s="14">
        <f>IFERROR(XS_Designer_Summary!AK45,0)</f>
        <v>-15.776725000000047</v>
      </c>
      <c r="AE47" s="14">
        <f>IFERROR(XS_Designer_Summary!AW45,0)</f>
        <v>1.3078259379528359</v>
      </c>
      <c r="AF47" s="14">
        <f>IFERROR(XS_Designer_Summary!AK45,0)</f>
        <v>-15.776725000000047</v>
      </c>
      <c r="AG47" s="14">
        <f>IFERROR(XS_Designer_Summary!BF45,0)</f>
        <v>4.6984312307439362</v>
      </c>
    </row>
    <row r="48" spans="2:33">
      <c r="B48" s="22" t="str">
        <f>IF(ISERROR(XS_Designer_Calculations!B48),"",XS_Designer_Calculations!B48)</f>
        <v/>
      </c>
      <c r="C48" s="22" t="str">
        <f>IF(ISERROR(XS_Designer_Calculations!C48),"",XS_Designer_Calculations!C48)</f>
        <v/>
      </c>
      <c r="D48" s="3" t="str">
        <f>IF(OR(ISERROR(Data!D45), Data!D45=0),"",Data!D45)</f>
        <v/>
      </c>
      <c r="E48" s="3" t="str">
        <f>IF(F48&lt;&gt;"",IF(ISERROR(XS_Designer_Calculations!AH48),"",XS_Designer_Calculations!AH48),"")</f>
        <v/>
      </c>
      <c r="F48" s="3" t="str">
        <f>IF(IF(ISERROR(XS_Designer_Calculations!AF48),"",XS_Designer_Calculations!AF48)&lt;&gt;MAX($F$4:$F47),IF(ISERROR(XS_Designer_Calculations!AF48),"",XS_Designer_Calculations!AF48),"")</f>
        <v/>
      </c>
      <c r="G48" s="4" t="str">
        <f>IF(F48&lt;&gt;"",IF(ISERROR(XS_Designer_Calculations!W48),"",XS_Designer_Calculations!W48),"")</f>
        <v/>
      </c>
      <c r="H48" s="3" t="str">
        <f>IF(ISERROR(XS_Designer_Calculations!AE48),"",XS_Designer_Calculations!AE48)</f>
        <v/>
      </c>
      <c r="I48" s="4" t="str">
        <f>IF(ISERROR(XS_Designer_Calculations!W48),"",XS_Designer_Calculations!W48)</f>
        <v/>
      </c>
      <c r="J48" s="4" t="str">
        <f>IF(K48&lt;&gt;"",IF(ISERROR(XS_Designer_Calculations!AL48:AL148),"",XS_Designer_Calculations!AL48:AL148),"")</f>
        <v/>
      </c>
      <c r="K48" s="22" t="str">
        <f>IF(IF(ISERROR(XS_Designer_Calculations!AJ48:AJ148),"",XS_Designer_Calculations!AJ48:AJ148)&lt;&gt;MAX($K$4:$K47),IF(ISERROR(XS_Designer_Calculations!AJ48:AJ148),"",XS_Designer_Calculations!AJ48:AJ148),"")</f>
        <v/>
      </c>
      <c r="L48" s="142" t="str">
        <f>IF(K48&lt;&gt;"",IF(ISERROR(XS_Designer_Calculations!X48:X148),"",XS_Designer_Calculations!X48:X148),"")</f>
        <v/>
      </c>
      <c r="M48" s="22" t="str">
        <f>IF(ISERROR(XS_Designer_Calculations!AI48:AI148),"",XS_Designer_Calculations!AI48:AI148)</f>
        <v/>
      </c>
      <c r="N48" s="22" t="str">
        <f>IF(ISERROR(XS_Designer_Calculations!X48:X148),"",XS_Designer_Calculations!X48:X148)</f>
        <v/>
      </c>
      <c r="X48" s="46" t="str">
        <f>IF(OR(ISERROR(XS_Designer_Calculations!BG47),B48="",ISERROR(XS_Designer_Calculations!BN47)),"",XS_Designer_Calculations!BN47)</f>
        <v/>
      </c>
      <c r="Y48" s="46" t="str">
        <f>IF(OR(ISERROR(XS_Designer_Calculations!BG47),X48=""),"",XS_Designer_Calculations!BH47)</f>
        <v/>
      </c>
      <c r="Z48" s="46" t="str">
        <f>IF(OR(ISERROR(XS_Designer_Calculations!BG47),X48=""),"",XS_Designer_Calculations!$O$18)</f>
        <v/>
      </c>
      <c r="AB48" s="14">
        <f>IFERROR(XS_Designer_Summary!AK46,0)</f>
        <v>-15.504712500000046</v>
      </c>
      <c r="AC48" s="14">
        <f>IFERROR(XS_Designer_Summary!AV46,0)</f>
        <v>2.5269550173585333</v>
      </c>
      <c r="AD48" s="14">
        <f>IFERROR(XS_Designer_Summary!AK46,0)</f>
        <v>-15.504712500000046</v>
      </c>
      <c r="AE48" s="14">
        <f>IFERROR(XS_Designer_Summary!AW46,0)</f>
        <v>1.3837340953558981</v>
      </c>
      <c r="AF48" s="14">
        <f>IFERROR(XS_Designer_Summary!AK46,0)</f>
        <v>-15.504712500000046</v>
      </c>
      <c r="AG48" s="14">
        <f>IFERROR(XS_Designer_Summary!BF46,0)</f>
        <v>4.974896178485527</v>
      </c>
    </row>
    <row r="49" spans="2:33">
      <c r="B49" s="22" t="str">
        <f>IF(ISERROR(XS_Designer_Calculations!B49),"",XS_Designer_Calculations!B49)</f>
        <v/>
      </c>
      <c r="C49" s="22" t="str">
        <f>IF(ISERROR(XS_Designer_Calculations!C49),"",XS_Designer_Calculations!C49)</f>
        <v/>
      </c>
      <c r="D49" s="3" t="str">
        <f>IF(OR(ISERROR(Data!D46), Data!D46=0),"",Data!D46)</f>
        <v/>
      </c>
      <c r="E49" s="3" t="str">
        <f>IF(F49&lt;&gt;"",IF(ISERROR(XS_Designer_Calculations!AH49),"",XS_Designer_Calculations!AH49),"")</f>
        <v/>
      </c>
      <c r="F49" s="3" t="str">
        <f>IF(IF(ISERROR(XS_Designer_Calculations!AF49),"",XS_Designer_Calculations!AF49)&lt;&gt;MAX($F$4:$F48),IF(ISERROR(XS_Designer_Calculations!AF49),"",XS_Designer_Calculations!AF49),"")</f>
        <v/>
      </c>
      <c r="G49" s="4" t="str">
        <f>IF(F49&lt;&gt;"",IF(ISERROR(XS_Designer_Calculations!W49),"",XS_Designer_Calculations!W49),"")</f>
        <v/>
      </c>
      <c r="H49" s="3" t="str">
        <f>IF(ISERROR(XS_Designer_Calculations!AE49),"",XS_Designer_Calculations!AE49)</f>
        <v/>
      </c>
      <c r="I49" s="4" t="str">
        <f>IF(ISERROR(XS_Designer_Calculations!W49),"",XS_Designer_Calculations!W49)</f>
        <v/>
      </c>
      <c r="J49" s="4" t="str">
        <f>IF(K49&lt;&gt;"",IF(ISERROR(XS_Designer_Calculations!AL49:AL149),"",XS_Designer_Calculations!AL49:AL149),"")</f>
        <v/>
      </c>
      <c r="K49" s="22" t="str">
        <f>IF(IF(ISERROR(XS_Designer_Calculations!AJ49:AJ149),"",XS_Designer_Calculations!AJ49:AJ149)&lt;&gt;MAX($K$4:$K48),IF(ISERROR(XS_Designer_Calculations!AJ49:AJ149),"",XS_Designer_Calculations!AJ49:AJ149),"")</f>
        <v/>
      </c>
      <c r="L49" s="142" t="str">
        <f>IF(K49&lt;&gt;"",IF(ISERROR(XS_Designer_Calculations!X49:X149),"",XS_Designer_Calculations!X49:X149),"")</f>
        <v/>
      </c>
      <c r="M49" s="22" t="str">
        <f>IF(ISERROR(XS_Designer_Calculations!AI49:AI149),"",XS_Designer_Calculations!AI49:AI149)</f>
        <v/>
      </c>
      <c r="N49" s="22" t="str">
        <f>IF(ISERROR(XS_Designer_Calculations!X49:X149),"",XS_Designer_Calculations!X49:X149)</f>
        <v/>
      </c>
      <c r="X49" s="46" t="str">
        <f>IF(OR(ISERROR(XS_Designer_Calculations!BG48),B49="",ISERROR(XS_Designer_Calculations!BN48)),"",XS_Designer_Calculations!BN48)</f>
        <v/>
      </c>
      <c r="Y49" s="46" t="str">
        <f>IF(OR(ISERROR(XS_Designer_Calculations!BG48),X49=""),"",XS_Designer_Calculations!BH48)</f>
        <v/>
      </c>
      <c r="Z49" s="46" t="str">
        <f>IF(OR(ISERROR(XS_Designer_Calculations!BG48),X49=""),"",XS_Designer_Calculations!$O$18)</f>
        <v/>
      </c>
      <c r="AB49" s="14">
        <f>IFERROR(XS_Designer_Summary!AK47,0)</f>
        <v>-15.232700000000046</v>
      </c>
      <c r="AC49" s="14">
        <f>IFERROR(XS_Designer_Summary!AV47,0)</f>
        <v>2.6185449535509324</v>
      </c>
      <c r="AD49" s="14">
        <f>IFERROR(XS_Designer_Summary!AK47,0)</f>
        <v>-15.232700000000046</v>
      </c>
      <c r="AE49" s="14">
        <f>IFERROR(XS_Designer_Summary!AW47,0)</f>
        <v>1.459642252758959</v>
      </c>
      <c r="AF49" s="14">
        <f>IFERROR(XS_Designer_Summary!AK47,0)</f>
        <v>-15.232700000000046</v>
      </c>
      <c r="AG49" s="14">
        <f>IFERROR(XS_Designer_Summary!BF47,0)</f>
        <v>5.2519820852348031</v>
      </c>
    </row>
    <row r="50" spans="2:33">
      <c r="B50" s="22" t="str">
        <f>IF(ISERROR(XS_Designer_Calculations!B50),"",XS_Designer_Calculations!B50)</f>
        <v/>
      </c>
      <c r="C50" s="22" t="str">
        <f>IF(ISERROR(XS_Designer_Calculations!C50),"",XS_Designer_Calculations!C50)</f>
        <v/>
      </c>
      <c r="D50" s="3" t="str">
        <f>IF(OR(ISERROR(Data!D47), Data!D47=0),"",Data!D47)</f>
        <v/>
      </c>
      <c r="E50" s="3" t="str">
        <f>IF(F50&lt;&gt;"",IF(ISERROR(XS_Designer_Calculations!AH50),"",XS_Designer_Calculations!AH50),"")</f>
        <v/>
      </c>
      <c r="F50" s="3" t="str">
        <f>IF(IF(ISERROR(XS_Designer_Calculations!AF50),"",XS_Designer_Calculations!AF50)&lt;&gt;MAX($F$4:$F49),IF(ISERROR(XS_Designer_Calculations!AF50),"",XS_Designer_Calculations!AF50),"")</f>
        <v/>
      </c>
      <c r="G50" s="4" t="str">
        <f>IF(F50&lt;&gt;"",IF(ISERROR(XS_Designer_Calculations!W50),"",XS_Designer_Calculations!W50),"")</f>
        <v/>
      </c>
      <c r="H50" s="3" t="str">
        <f>IF(ISERROR(XS_Designer_Calculations!AE50),"",XS_Designer_Calculations!AE50)</f>
        <v/>
      </c>
      <c r="I50" s="4" t="str">
        <f>IF(ISERROR(XS_Designer_Calculations!W50),"",XS_Designer_Calculations!W50)</f>
        <v/>
      </c>
      <c r="J50" s="4" t="str">
        <f>IF(K50&lt;&gt;"",IF(ISERROR(XS_Designer_Calculations!AL50:AL150),"",XS_Designer_Calculations!AL50:AL150),"")</f>
        <v/>
      </c>
      <c r="K50" s="22" t="str">
        <f>IF(IF(ISERROR(XS_Designer_Calculations!AJ50:AJ150),"",XS_Designer_Calculations!AJ50:AJ150)&lt;&gt;MAX($K$4:$K49),IF(ISERROR(XS_Designer_Calculations!AJ50:AJ150),"",XS_Designer_Calculations!AJ50:AJ150),"")</f>
        <v/>
      </c>
      <c r="L50" s="142" t="str">
        <f>IF(K50&lt;&gt;"",IF(ISERROR(XS_Designer_Calculations!X50:X150),"",XS_Designer_Calculations!X50:X150),"")</f>
        <v/>
      </c>
      <c r="M50" s="22" t="str">
        <f>IF(ISERROR(XS_Designer_Calculations!AI50:AI150),"",XS_Designer_Calculations!AI50:AI150)</f>
        <v/>
      </c>
      <c r="N50" s="22" t="str">
        <f>IF(ISERROR(XS_Designer_Calculations!X50:X150),"",XS_Designer_Calculations!X50:X150)</f>
        <v/>
      </c>
      <c r="X50" s="46" t="str">
        <f>IF(OR(ISERROR(XS_Designer_Calculations!BG49),B50="",ISERROR(XS_Designer_Calculations!BN49)),"",XS_Designer_Calculations!BN49)</f>
        <v/>
      </c>
      <c r="Y50" s="46" t="str">
        <f>IF(OR(ISERROR(XS_Designer_Calculations!BG49),X50=""),"",XS_Designer_Calculations!BH49)</f>
        <v/>
      </c>
      <c r="Z50" s="46" t="str">
        <f>IF(OR(ISERROR(XS_Designer_Calculations!BG49),X50=""),"",XS_Designer_Calculations!$O$18)</f>
        <v/>
      </c>
      <c r="AB50" s="14">
        <f>IFERROR(XS_Designer_Summary!AK48,0)</f>
        <v>-14.960687500000045</v>
      </c>
      <c r="AC50" s="14">
        <f>IFERROR(XS_Designer_Summary!AV48,0)</f>
        <v>2.7518231050914714</v>
      </c>
      <c r="AD50" s="14">
        <f>IFERROR(XS_Designer_Summary!AK48,0)</f>
        <v>-14.960687500000045</v>
      </c>
      <c r="AE50" s="14">
        <f>IFERROR(XS_Designer_Summary!AW48,0)</f>
        <v>1.5724872932283456</v>
      </c>
      <c r="AF50" s="14">
        <f>IFERROR(XS_Designer_Summary!AK48,0)</f>
        <v>-14.960687500000045</v>
      </c>
      <c r="AG50" s="14">
        <f>IFERROR(XS_Designer_Summary!BF48,0)</f>
        <v>5.4898727223536365</v>
      </c>
    </row>
    <row r="51" spans="2:33">
      <c r="B51" s="22" t="str">
        <f>IF(ISERROR(XS_Designer_Calculations!B51),"",XS_Designer_Calculations!B51)</f>
        <v/>
      </c>
      <c r="C51" s="22" t="str">
        <f>IF(ISERROR(XS_Designer_Calculations!C51),"",XS_Designer_Calculations!C51)</f>
        <v/>
      </c>
      <c r="D51" s="3" t="str">
        <f>IF(OR(ISERROR(Data!D48), Data!D48=0),"",Data!D48)</f>
        <v/>
      </c>
      <c r="E51" s="3" t="str">
        <f>IF(F51&lt;&gt;"",IF(ISERROR(XS_Designer_Calculations!AH51),"",XS_Designer_Calculations!AH51),"")</f>
        <v/>
      </c>
      <c r="F51" s="3" t="str">
        <f>IF(IF(ISERROR(XS_Designer_Calculations!AF51),"",XS_Designer_Calculations!AF51)&lt;&gt;MAX($F$4:$F50),IF(ISERROR(XS_Designer_Calculations!AF51),"",XS_Designer_Calculations!AF51),"")</f>
        <v/>
      </c>
      <c r="G51" s="4" t="str">
        <f>IF(F51&lt;&gt;"",IF(ISERROR(XS_Designer_Calculations!W51),"",XS_Designer_Calculations!W51),"")</f>
        <v/>
      </c>
      <c r="H51" s="3" t="str">
        <f>IF(ISERROR(XS_Designer_Calculations!AE51),"",XS_Designer_Calculations!AE51)</f>
        <v/>
      </c>
      <c r="I51" s="4" t="str">
        <f>IF(ISERROR(XS_Designer_Calculations!W51),"",XS_Designer_Calculations!W51)</f>
        <v/>
      </c>
      <c r="J51" s="4" t="str">
        <f>IF(K51&lt;&gt;"",IF(ISERROR(XS_Designer_Calculations!AL51:AL151),"",XS_Designer_Calculations!AL51:AL151),"")</f>
        <v/>
      </c>
      <c r="K51" s="22" t="str">
        <f>IF(IF(ISERROR(XS_Designer_Calculations!AJ51:AJ151),"",XS_Designer_Calculations!AJ51:AJ151)&lt;&gt;MAX($K$4:$K50),IF(ISERROR(XS_Designer_Calculations!AJ51:AJ151),"",XS_Designer_Calculations!AJ51:AJ151),"")</f>
        <v/>
      </c>
      <c r="L51" s="142" t="str">
        <f>IF(K51&lt;&gt;"",IF(ISERROR(XS_Designer_Calculations!X51:X151),"",XS_Designer_Calculations!X51:X151),"")</f>
        <v/>
      </c>
      <c r="M51" s="22" t="str">
        <f>IF(ISERROR(XS_Designer_Calculations!AI51:AI151),"",XS_Designer_Calculations!AI51:AI151)</f>
        <v/>
      </c>
      <c r="N51" s="22" t="str">
        <f>IF(ISERROR(XS_Designer_Calculations!X51:X151),"",XS_Designer_Calculations!X51:X151)</f>
        <v/>
      </c>
      <c r="X51" s="46" t="str">
        <f>IF(OR(ISERROR(XS_Designer_Calculations!BG50),B51="",ISERROR(XS_Designer_Calculations!BN50)),"",XS_Designer_Calculations!BN50)</f>
        <v/>
      </c>
      <c r="Y51" s="46" t="str">
        <f>IF(OR(ISERROR(XS_Designer_Calculations!BG50),X51=""),"",XS_Designer_Calculations!BH50)</f>
        <v/>
      </c>
      <c r="Z51" s="46" t="str">
        <f>IF(OR(ISERROR(XS_Designer_Calculations!BG50),X51=""),"",XS_Designer_Calculations!$O$18)</f>
        <v/>
      </c>
      <c r="AB51" s="14">
        <f>IFERROR(XS_Designer_Summary!AK49,0)</f>
        <v>-14.688675000000044</v>
      </c>
      <c r="AC51" s="14">
        <f>IFERROR(XS_Designer_Summary!AV49,0)</f>
        <v>2.9534383099992922</v>
      </c>
      <c r="AD51" s="14">
        <f>IFERROR(XS_Designer_Summary!AK49,0)</f>
        <v>-14.688675000000044</v>
      </c>
      <c r="AE51" s="14">
        <f>IFERROR(XS_Designer_Summary!AW49,0)</f>
        <v>1.7484299269762067</v>
      </c>
      <c r="AF51" s="14">
        <f>IFERROR(XS_Designer_Summary!AK49,0)</f>
        <v>-14.688675000000044</v>
      </c>
      <c r="AG51" s="14">
        <f>IFERROR(XS_Designer_Summary!BF49,0)</f>
        <v>5.5009884477158009</v>
      </c>
    </row>
    <row r="52" spans="2:33">
      <c r="B52" s="22" t="str">
        <f>IF(ISERROR(XS_Designer_Calculations!B52),"",XS_Designer_Calculations!B52)</f>
        <v/>
      </c>
      <c r="C52" s="22" t="str">
        <f>IF(ISERROR(XS_Designer_Calculations!C52),"",XS_Designer_Calculations!C52)</f>
        <v/>
      </c>
      <c r="D52" s="3" t="str">
        <f>IF(OR(ISERROR(Data!D49), Data!D49=0),"",Data!D49)</f>
        <v/>
      </c>
      <c r="E52" s="3" t="str">
        <f>IF(F52&lt;&gt;"",IF(ISERROR(XS_Designer_Calculations!AH52),"",XS_Designer_Calculations!AH52),"")</f>
        <v/>
      </c>
      <c r="F52" s="3" t="str">
        <f>IF(IF(ISERROR(XS_Designer_Calculations!AF52),"",XS_Designer_Calculations!AF52)&lt;&gt;MAX($F$4:$F51),IF(ISERROR(XS_Designer_Calculations!AF52),"",XS_Designer_Calculations!AF52),"")</f>
        <v/>
      </c>
      <c r="G52" s="4" t="str">
        <f>IF(F52&lt;&gt;"",IF(ISERROR(XS_Designer_Calculations!W52),"",XS_Designer_Calculations!W52),"")</f>
        <v/>
      </c>
      <c r="H52" s="3" t="str">
        <f>IF(ISERROR(XS_Designer_Calculations!AE52),"",XS_Designer_Calculations!AE52)</f>
        <v/>
      </c>
      <c r="I52" s="4" t="str">
        <f>IF(ISERROR(XS_Designer_Calculations!W52),"",XS_Designer_Calculations!W52)</f>
        <v/>
      </c>
      <c r="J52" s="4" t="str">
        <f>IF(K52&lt;&gt;"",IF(ISERROR(XS_Designer_Calculations!AL52:AL152),"",XS_Designer_Calculations!AL52:AL152),"")</f>
        <v/>
      </c>
      <c r="K52" s="22" t="str">
        <f>IF(IF(ISERROR(XS_Designer_Calculations!AJ52:AJ152),"",XS_Designer_Calculations!AJ52:AJ152)&lt;&gt;MAX($K$4:$K51),IF(ISERROR(XS_Designer_Calculations!AJ52:AJ152),"",XS_Designer_Calculations!AJ52:AJ152),"")</f>
        <v/>
      </c>
      <c r="L52" s="142" t="str">
        <f>IF(K52&lt;&gt;"",IF(ISERROR(XS_Designer_Calculations!X52:X152),"",XS_Designer_Calculations!X52:X152),"")</f>
        <v/>
      </c>
      <c r="M52" s="22" t="str">
        <f>IF(ISERROR(XS_Designer_Calculations!AI52:AI152),"",XS_Designer_Calculations!AI52:AI152)</f>
        <v/>
      </c>
      <c r="N52" s="22" t="str">
        <f>IF(ISERROR(XS_Designer_Calculations!X52:X152),"",XS_Designer_Calculations!X52:X152)</f>
        <v/>
      </c>
      <c r="X52" s="46" t="str">
        <f>IF(OR(ISERROR(XS_Designer_Calculations!BG51),B52="",ISERROR(XS_Designer_Calculations!BN51)),"",XS_Designer_Calculations!BN51)</f>
        <v/>
      </c>
      <c r="Y52" s="46" t="str">
        <f>IF(OR(ISERROR(XS_Designer_Calculations!BG51),X52=""),"",XS_Designer_Calculations!BH51)</f>
        <v/>
      </c>
      <c r="Z52" s="46" t="str">
        <f>IF(OR(ISERROR(XS_Designer_Calculations!BG51),X52=""),"",XS_Designer_Calculations!$O$18)</f>
        <v/>
      </c>
      <c r="AB52" s="14">
        <f>IFERROR(XS_Designer_Summary!AK50,0)</f>
        <v>-14.416662500000044</v>
      </c>
      <c r="AC52" s="14">
        <f>IFERROR(XS_Designer_Summary!AV50,0)</f>
        <v>2.9572592006551659</v>
      </c>
      <c r="AD52" s="14">
        <f>IFERROR(XS_Designer_Summary!AK50,0)</f>
        <v>-14.416662500000044</v>
      </c>
      <c r="AE52" s="14">
        <f>IFERROR(XS_Designer_Summary!AW50,0)</f>
        <v>1.7518239642366218</v>
      </c>
      <c r="AF52" s="14">
        <f>IFERROR(XS_Designer_Summary!AK50,0)</f>
        <v>-14.416662500000044</v>
      </c>
      <c r="AG52" s="14">
        <f>IFERROR(XS_Designer_Summary!BF50,0)</f>
        <v>5.5121050785021843</v>
      </c>
    </row>
    <row r="53" spans="2:33">
      <c r="B53" s="22" t="str">
        <f>IF(ISERROR(XS_Designer_Calculations!B53),"",XS_Designer_Calculations!B53)</f>
        <v/>
      </c>
      <c r="C53" s="22" t="str">
        <f>IF(ISERROR(XS_Designer_Calculations!C53),"",XS_Designer_Calculations!C53)</f>
        <v/>
      </c>
      <c r="D53" s="3" t="str">
        <f>IF(OR(ISERROR(Data!D50), Data!D50=0),"",Data!D50)</f>
        <v/>
      </c>
      <c r="E53" s="3" t="str">
        <f>IF(F53&lt;&gt;"",IF(ISERROR(XS_Designer_Calculations!AH53),"",XS_Designer_Calculations!AH53),"")</f>
        <v/>
      </c>
      <c r="F53" s="3" t="str">
        <f>IF(IF(ISERROR(XS_Designer_Calculations!AF53),"",XS_Designer_Calculations!AF53)&lt;&gt;MAX($F$4:$F52),IF(ISERROR(XS_Designer_Calculations!AF53),"",XS_Designer_Calculations!AF53),"")</f>
        <v/>
      </c>
      <c r="G53" s="4" t="str">
        <f>IF(F53&lt;&gt;"",IF(ISERROR(XS_Designer_Calculations!W53),"",XS_Designer_Calculations!W53),"")</f>
        <v/>
      </c>
      <c r="H53" s="3" t="str">
        <f>IF(ISERROR(XS_Designer_Calculations!AE53),"",XS_Designer_Calculations!AE53)</f>
        <v/>
      </c>
      <c r="I53" s="4" t="str">
        <f>IF(ISERROR(XS_Designer_Calculations!W53),"",XS_Designer_Calculations!W53)</f>
        <v/>
      </c>
      <c r="J53" s="4" t="str">
        <f>IF(K53&lt;&gt;"",IF(ISERROR(XS_Designer_Calculations!AL53:AL153),"",XS_Designer_Calculations!AL53:AL153),"")</f>
        <v/>
      </c>
      <c r="K53" s="22" t="str">
        <f>IF(IF(ISERROR(XS_Designer_Calculations!AJ53:AJ153),"",XS_Designer_Calculations!AJ53:AJ153)&lt;&gt;MAX($K$4:$K52),IF(ISERROR(XS_Designer_Calculations!AJ53:AJ153),"",XS_Designer_Calculations!AJ53:AJ153),"")</f>
        <v/>
      </c>
      <c r="L53" s="142" t="str">
        <f>IF(K53&lt;&gt;"",IF(ISERROR(XS_Designer_Calculations!X53:X153),"",XS_Designer_Calculations!X53:X153),"")</f>
        <v/>
      </c>
      <c r="M53" s="22" t="str">
        <f>IF(ISERROR(XS_Designer_Calculations!AI53:AI153),"",XS_Designer_Calculations!AI53:AI153)</f>
        <v/>
      </c>
      <c r="N53" s="22" t="str">
        <f>IF(ISERROR(XS_Designer_Calculations!X53:X153),"",XS_Designer_Calculations!X53:X153)</f>
        <v/>
      </c>
      <c r="X53" s="46" t="str">
        <f>IF(OR(ISERROR(XS_Designer_Calculations!BG52),B53="",ISERROR(XS_Designer_Calculations!BN52)),"",XS_Designer_Calculations!BN52)</f>
        <v/>
      </c>
      <c r="Y53" s="46" t="str">
        <f>IF(OR(ISERROR(XS_Designer_Calculations!BG52),X53=""),"",XS_Designer_Calculations!BH52)</f>
        <v/>
      </c>
      <c r="Z53" s="46" t="str">
        <f>IF(OR(ISERROR(XS_Designer_Calculations!BG52),X53=""),"",XS_Designer_Calculations!$O$18)</f>
        <v/>
      </c>
      <c r="AB53" s="14">
        <f>IFERROR(XS_Designer_Summary!AK51,0)</f>
        <v>-14.144650000000043</v>
      </c>
      <c r="AC53" s="14">
        <f>IFERROR(XS_Designer_Summary!AV51,0)</f>
        <v>2.9610776245357688</v>
      </c>
      <c r="AD53" s="14">
        <f>IFERROR(XS_Designer_Summary!AK51,0)</f>
        <v>-14.144650000000043</v>
      </c>
      <c r="AE53" s="14">
        <f>IFERROR(XS_Designer_Summary!AW51,0)</f>
        <v>1.7552180014970367</v>
      </c>
      <c r="AF53" s="14">
        <f>IFERROR(XS_Designer_Summary!AK51,0)</f>
        <v>-14.144650000000043</v>
      </c>
      <c r="AG53" s="14">
        <f>IFERROR(XS_Designer_Summary!BF51,0)</f>
        <v>5.5232226130338189</v>
      </c>
    </row>
    <row r="54" spans="2:33">
      <c r="B54" s="22" t="str">
        <f>IF(ISERROR(XS_Designer_Calculations!B54),"",XS_Designer_Calculations!B54)</f>
        <v/>
      </c>
      <c r="C54" s="22" t="str">
        <f>IF(ISERROR(XS_Designer_Calculations!C54),"",XS_Designer_Calculations!C54)</f>
        <v/>
      </c>
      <c r="D54" s="3" t="str">
        <f>IF(OR(ISERROR(Data!D51), Data!D51=0),"",Data!D51)</f>
        <v/>
      </c>
      <c r="E54" s="3" t="str">
        <f>IF(F54&lt;&gt;"",IF(ISERROR(XS_Designer_Calculations!AH54),"",XS_Designer_Calculations!AH54),"")</f>
        <v/>
      </c>
      <c r="F54" s="3" t="str">
        <f>IF(IF(ISERROR(XS_Designer_Calculations!AF54),"",XS_Designer_Calculations!AF54)&lt;&gt;MAX($F$4:$F53),IF(ISERROR(XS_Designer_Calculations!AF54),"",XS_Designer_Calculations!AF54),"")</f>
        <v/>
      </c>
      <c r="G54" s="4" t="str">
        <f>IF(F54&lt;&gt;"",IF(ISERROR(XS_Designer_Calculations!W54),"",XS_Designer_Calculations!W54),"")</f>
        <v/>
      </c>
      <c r="H54" s="3" t="str">
        <f>IF(ISERROR(XS_Designer_Calculations!AE54),"",XS_Designer_Calculations!AE54)</f>
        <v/>
      </c>
      <c r="I54" s="4" t="str">
        <f>IF(ISERROR(XS_Designer_Calculations!W54),"",XS_Designer_Calculations!W54)</f>
        <v/>
      </c>
      <c r="J54" s="4" t="str">
        <f>IF(K54&lt;&gt;"",IF(ISERROR(XS_Designer_Calculations!AL54:AL154),"",XS_Designer_Calculations!AL54:AL154),"")</f>
        <v/>
      </c>
      <c r="K54" s="22" t="str">
        <f>IF(IF(ISERROR(XS_Designer_Calculations!AJ54:AJ154),"",XS_Designer_Calculations!AJ54:AJ154)&lt;&gt;MAX($K$4:$K53),IF(ISERROR(XS_Designer_Calculations!AJ54:AJ154),"",XS_Designer_Calculations!AJ54:AJ154),"")</f>
        <v/>
      </c>
      <c r="L54" s="142" t="str">
        <f>IF(K54&lt;&gt;"",IF(ISERROR(XS_Designer_Calculations!X54:X154),"",XS_Designer_Calculations!X54:X154),"")</f>
        <v/>
      </c>
      <c r="M54" s="22" t="str">
        <f>IF(ISERROR(XS_Designer_Calculations!AI54:AI154),"",XS_Designer_Calculations!AI54:AI154)</f>
        <v/>
      </c>
      <c r="N54" s="22" t="str">
        <f>IF(ISERROR(XS_Designer_Calculations!X54:X154),"",XS_Designer_Calculations!X54:X154)</f>
        <v/>
      </c>
      <c r="X54" s="46" t="str">
        <f>IF(OR(ISERROR(XS_Designer_Calculations!BG53),B54="",ISERROR(XS_Designer_Calculations!BN53)),"",XS_Designer_Calculations!BN53)</f>
        <v/>
      </c>
      <c r="Y54" s="46" t="str">
        <f>IF(OR(ISERROR(XS_Designer_Calculations!BG53),X54=""),"",XS_Designer_Calculations!BH53)</f>
        <v/>
      </c>
      <c r="Z54" s="46" t="str">
        <f>IF(OR(ISERROR(XS_Designer_Calculations!BG53),X54=""),"",XS_Designer_Calculations!$O$18)</f>
        <v/>
      </c>
      <c r="AB54" s="14">
        <f>IFERROR(XS_Designer_Summary!AK52,0)</f>
        <v>-13.872637500000042</v>
      </c>
      <c r="AC54" s="14">
        <f>IFERROR(XS_Designer_Summary!AV52,0)</f>
        <v>2.9648935879990117</v>
      </c>
      <c r="AD54" s="14">
        <f>IFERROR(XS_Designer_Summary!AK52,0)</f>
        <v>-13.872637500000042</v>
      </c>
      <c r="AE54" s="14">
        <f>IFERROR(XS_Designer_Summary!AW52,0)</f>
        <v>1.7586120387574522</v>
      </c>
      <c r="AF54" s="14">
        <f>IFERROR(XS_Designer_Summary!AK52,0)</f>
        <v>-13.872637500000042</v>
      </c>
      <c r="AG54" s="14">
        <f>IFERROR(XS_Designer_Summary!BF52,0)</f>
        <v>5.5343410496380931</v>
      </c>
    </row>
    <row r="55" spans="2:33">
      <c r="B55" s="22" t="str">
        <f>IF(ISERROR(XS_Designer_Calculations!B55),"",XS_Designer_Calculations!B55)</f>
        <v/>
      </c>
      <c r="C55" s="22" t="str">
        <f>IF(ISERROR(XS_Designer_Calculations!C55),"",XS_Designer_Calculations!C55)</f>
        <v/>
      </c>
      <c r="D55" s="3" t="str">
        <f>IF(OR(ISERROR(Data!D52), Data!D52=0),"",Data!D52)</f>
        <v/>
      </c>
      <c r="E55" s="3" t="str">
        <f>IF(F55&lt;&gt;"",IF(ISERROR(XS_Designer_Calculations!AH55),"",XS_Designer_Calculations!AH55),"")</f>
        <v/>
      </c>
      <c r="F55" s="3" t="str">
        <f>IF(IF(ISERROR(XS_Designer_Calculations!AF55),"",XS_Designer_Calculations!AF55)&lt;&gt;MAX($F$4:$F54),IF(ISERROR(XS_Designer_Calculations!AF55),"",XS_Designer_Calculations!AF55),"")</f>
        <v/>
      </c>
      <c r="G55" s="4" t="str">
        <f>IF(F55&lt;&gt;"",IF(ISERROR(XS_Designer_Calculations!W55),"",XS_Designer_Calculations!W55),"")</f>
        <v/>
      </c>
      <c r="H55" s="3" t="str">
        <f>IF(ISERROR(XS_Designer_Calculations!AE55),"",XS_Designer_Calculations!AE55)</f>
        <v/>
      </c>
      <c r="I55" s="4" t="str">
        <f>IF(ISERROR(XS_Designer_Calculations!W55),"",XS_Designer_Calculations!W55)</f>
        <v/>
      </c>
      <c r="J55" s="4" t="str">
        <f>IF(K55&lt;&gt;"",IF(ISERROR(XS_Designer_Calculations!AL55:AL155),"",XS_Designer_Calculations!AL55:AL155),"")</f>
        <v/>
      </c>
      <c r="K55" s="22" t="str">
        <f>IF(IF(ISERROR(XS_Designer_Calculations!AJ55:AJ155),"",XS_Designer_Calculations!AJ55:AJ155)&lt;&gt;MAX($K$4:$K54),IF(ISERROR(XS_Designer_Calculations!AJ55:AJ155),"",XS_Designer_Calculations!AJ55:AJ155),"")</f>
        <v/>
      </c>
      <c r="L55" s="142" t="str">
        <f>IF(K55&lt;&gt;"",IF(ISERROR(XS_Designer_Calculations!X55:X155),"",XS_Designer_Calculations!X55:X155),"")</f>
        <v/>
      </c>
      <c r="M55" s="22" t="str">
        <f>IF(ISERROR(XS_Designer_Calculations!AI55:AI155),"",XS_Designer_Calculations!AI55:AI155)</f>
        <v/>
      </c>
      <c r="N55" s="22" t="str">
        <f>IF(ISERROR(XS_Designer_Calculations!X55:X155),"",XS_Designer_Calculations!X55:X155)</f>
        <v/>
      </c>
      <c r="X55" s="46" t="str">
        <f>IF(OR(ISERROR(XS_Designer_Calculations!BG54),B55="",ISERROR(XS_Designer_Calculations!BN54)),"",XS_Designer_Calculations!BN54)</f>
        <v/>
      </c>
      <c r="Y55" s="46" t="str">
        <f>IF(OR(ISERROR(XS_Designer_Calculations!BG54),X55=""),"",XS_Designer_Calculations!BH54)</f>
        <v/>
      </c>
      <c r="Z55" s="46" t="str">
        <f>IF(OR(ISERROR(XS_Designer_Calculations!BG54),X55=""),"",XS_Designer_Calculations!$O$18)</f>
        <v/>
      </c>
      <c r="AB55" s="14">
        <f>IFERROR(XS_Designer_Summary!AK53,0)</f>
        <v>-13.600625000000042</v>
      </c>
      <c r="AC55" s="14">
        <f>IFERROR(XS_Designer_Summary!AV53,0)</f>
        <v>2.968707097374184</v>
      </c>
      <c r="AD55" s="14">
        <f>IFERROR(XS_Designer_Summary!AK53,0)</f>
        <v>-13.600625000000042</v>
      </c>
      <c r="AE55" s="14">
        <f>IFERROR(XS_Designer_Summary!AW53,0)</f>
        <v>1.7620060760178666</v>
      </c>
      <c r="AF55" s="14">
        <f>IFERROR(XS_Designer_Summary!AK53,0)</f>
        <v>-13.600625000000042</v>
      </c>
      <c r="AG55" s="14">
        <f>IFERROR(XS_Designer_Summary!BF53,0)</f>
        <v>5.5454603866487098</v>
      </c>
    </row>
    <row r="56" spans="2:33">
      <c r="B56" s="22" t="str">
        <f>IF(ISERROR(XS_Designer_Calculations!B56),"",XS_Designer_Calculations!B56)</f>
        <v/>
      </c>
      <c r="C56" s="22" t="str">
        <f>IF(ISERROR(XS_Designer_Calculations!C56),"",XS_Designer_Calculations!C56)</f>
        <v/>
      </c>
      <c r="D56" s="3" t="str">
        <f>IF(OR(ISERROR(Data!D53), Data!D53=0),"",Data!D53)</f>
        <v/>
      </c>
      <c r="E56" s="3" t="str">
        <f>IF(F56&lt;&gt;"",IF(ISERROR(XS_Designer_Calculations!AH56),"",XS_Designer_Calculations!AH56),"")</f>
        <v/>
      </c>
      <c r="F56" s="3" t="str">
        <f>IF(IF(ISERROR(XS_Designer_Calculations!AF56),"",XS_Designer_Calculations!AF56)&lt;&gt;MAX($F$4:$F55),IF(ISERROR(XS_Designer_Calculations!AF56),"",XS_Designer_Calculations!AF56),"")</f>
        <v/>
      </c>
      <c r="G56" s="4" t="str">
        <f>IF(F56&lt;&gt;"",IF(ISERROR(XS_Designer_Calculations!W56),"",XS_Designer_Calculations!W56),"")</f>
        <v/>
      </c>
      <c r="H56" s="3" t="str">
        <f>IF(ISERROR(XS_Designer_Calculations!AE56),"",XS_Designer_Calculations!AE56)</f>
        <v/>
      </c>
      <c r="I56" s="4" t="str">
        <f>IF(ISERROR(XS_Designer_Calculations!W56),"",XS_Designer_Calculations!W56)</f>
        <v/>
      </c>
      <c r="J56" s="4" t="str">
        <f>IF(K56&lt;&gt;"",IF(ISERROR(XS_Designer_Calculations!AL56:AL156),"",XS_Designer_Calculations!AL56:AL156),"")</f>
        <v/>
      </c>
      <c r="K56" s="22" t="str">
        <f>IF(IF(ISERROR(XS_Designer_Calculations!AJ56:AJ156),"",XS_Designer_Calculations!AJ56:AJ156)&lt;&gt;MAX($K$4:$K55),IF(ISERROR(XS_Designer_Calculations!AJ56:AJ156),"",XS_Designer_Calculations!AJ56:AJ156),"")</f>
        <v/>
      </c>
      <c r="L56" s="142" t="str">
        <f>IF(K56&lt;&gt;"",IF(ISERROR(XS_Designer_Calculations!X56:X156),"",XS_Designer_Calculations!X56:X156),"")</f>
        <v/>
      </c>
      <c r="M56" s="22" t="str">
        <f>IF(ISERROR(XS_Designer_Calculations!AI56:AI156),"",XS_Designer_Calculations!AI56:AI156)</f>
        <v/>
      </c>
      <c r="N56" s="22" t="str">
        <f>IF(ISERROR(XS_Designer_Calculations!X56:X156),"",XS_Designer_Calculations!X56:X156)</f>
        <v/>
      </c>
      <c r="X56" s="46" t="str">
        <f>IF(OR(ISERROR(XS_Designer_Calculations!BG55),B56="",ISERROR(XS_Designer_Calculations!BN55)),"",XS_Designer_Calculations!BN55)</f>
        <v/>
      </c>
      <c r="Y56" s="46" t="str">
        <f>IF(OR(ISERROR(XS_Designer_Calculations!BG55),X56=""),"",XS_Designer_Calculations!BH55)</f>
        <v/>
      </c>
      <c r="Z56" s="46" t="str">
        <f>IF(OR(ISERROR(XS_Designer_Calculations!BG55),X56=""),"",XS_Designer_Calculations!$O$18)</f>
        <v/>
      </c>
      <c r="AB56" s="14">
        <f>IFERROR(XS_Designer_Summary!AK54,0)</f>
        <v>-13.328612500000041</v>
      </c>
      <c r="AC56" s="14">
        <f>IFERROR(XS_Designer_Summary!AV54,0)</f>
        <v>2.9725181589621368</v>
      </c>
      <c r="AD56" s="14">
        <f>IFERROR(XS_Designer_Summary!AK54,0)</f>
        <v>-13.328612500000041</v>
      </c>
      <c r="AE56" s="14">
        <f>IFERROR(XS_Designer_Summary!AW54,0)</f>
        <v>1.7654001132782819</v>
      </c>
      <c r="AF56" s="14">
        <f>IFERROR(XS_Designer_Summary!AK54,0)</f>
        <v>-13.328612500000041</v>
      </c>
      <c r="AG56" s="14">
        <f>IFERROR(XS_Designer_Summary!BF54,0)</f>
        <v>5.5565806224056464</v>
      </c>
    </row>
    <row r="57" spans="2:33">
      <c r="B57" s="22" t="str">
        <f>IF(ISERROR(XS_Designer_Calculations!B57),"",XS_Designer_Calculations!B57)</f>
        <v/>
      </c>
      <c r="C57" s="22" t="str">
        <f>IF(ISERROR(XS_Designer_Calculations!C57),"",XS_Designer_Calculations!C57)</f>
        <v/>
      </c>
      <c r="D57" s="3" t="str">
        <f>IF(OR(ISERROR(Data!D54), Data!D54=0),"",Data!D54)</f>
        <v/>
      </c>
      <c r="E57" s="3" t="str">
        <f>IF(F57&lt;&gt;"",IF(ISERROR(XS_Designer_Calculations!AH57),"",XS_Designer_Calculations!AH57),"")</f>
        <v/>
      </c>
      <c r="F57" s="3" t="str">
        <f>IF(IF(ISERROR(XS_Designer_Calculations!AF57),"",XS_Designer_Calculations!AF57)&lt;&gt;MAX($F$4:$F56),IF(ISERROR(XS_Designer_Calculations!AF57),"",XS_Designer_Calculations!AF57),"")</f>
        <v/>
      </c>
      <c r="G57" s="4" t="str">
        <f>IF(F57&lt;&gt;"",IF(ISERROR(XS_Designer_Calculations!W57),"",XS_Designer_Calculations!W57),"")</f>
        <v/>
      </c>
      <c r="H57" s="3" t="str">
        <f>IF(ISERROR(XS_Designer_Calculations!AE57),"",XS_Designer_Calculations!AE57)</f>
        <v/>
      </c>
      <c r="I57" s="4" t="str">
        <f>IF(ISERROR(XS_Designer_Calculations!W57),"",XS_Designer_Calculations!W57)</f>
        <v/>
      </c>
      <c r="J57" s="4" t="str">
        <f>IF(K57&lt;&gt;"",IF(ISERROR(XS_Designer_Calculations!AL57:AL157),"",XS_Designer_Calculations!AL57:AL157),"")</f>
        <v/>
      </c>
      <c r="K57" s="22" t="str">
        <f>IF(IF(ISERROR(XS_Designer_Calculations!AJ57:AJ157),"",XS_Designer_Calculations!AJ57:AJ157)&lt;&gt;MAX($K$4:$K56),IF(ISERROR(XS_Designer_Calculations!AJ57:AJ157),"",XS_Designer_Calculations!AJ57:AJ157),"")</f>
        <v/>
      </c>
      <c r="L57" s="142" t="str">
        <f>IF(K57&lt;&gt;"",IF(ISERROR(XS_Designer_Calculations!X57:X157),"",XS_Designer_Calculations!X57:X157),"")</f>
        <v/>
      </c>
      <c r="M57" s="22" t="str">
        <f>IF(ISERROR(XS_Designer_Calculations!AI57:AI157),"",XS_Designer_Calculations!AI57:AI157)</f>
        <v/>
      </c>
      <c r="N57" s="22" t="str">
        <f>IF(ISERROR(XS_Designer_Calculations!X57:X157),"",XS_Designer_Calculations!X57:X157)</f>
        <v/>
      </c>
      <c r="X57" s="46" t="str">
        <f>IF(OR(ISERROR(XS_Designer_Calculations!BG56),B57="",ISERROR(XS_Designer_Calculations!BN56)),"",XS_Designer_Calculations!BN56)</f>
        <v/>
      </c>
      <c r="Y57" s="46" t="str">
        <f>IF(OR(ISERROR(XS_Designer_Calculations!BG56),X57=""),"",XS_Designer_Calculations!BH56)</f>
        <v/>
      </c>
      <c r="Z57" s="46" t="str">
        <f>IF(OR(ISERROR(XS_Designer_Calculations!BG56),X57=""),"",XS_Designer_Calculations!$O$18)</f>
        <v/>
      </c>
      <c r="AB57" s="14">
        <f>IFERROR(XS_Designer_Summary!AK55,0)</f>
        <v>-13.05660000000004</v>
      </c>
      <c r="AC57" s="14">
        <f>IFERROR(XS_Designer_Summary!AV55,0)</f>
        <v>2.9763267790354644</v>
      </c>
      <c r="AD57" s="14">
        <f>IFERROR(XS_Designer_Summary!AK55,0)</f>
        <v>-13.05660000000004</v>
      </c>
      <c r="AE57" s="14">
        <f>IFERROR(XS_Designer_Summary!AW55,0)</f>
        <v>1.7687941505386968</v>
      </c>
      <c r="AF57" s="14">
        <f>IFERROR(XS_Designer_Summary!AK55,0)</f>
        <v>-13.05660000000004</v>
      </c>
      <c r="AG57" s="14">
        <f>IFERROR(XS_Designer_Summary!BF55,0)</f>
        <v>5.5677017552551291</v>
      </c>
    </row>
    <row r="58" spans="2:33">
      <c r="B58" s="22" t="str">
        <f>IF(ISERROR(XS_Designer_Calculations!B58),"",XS_Designer_Calculations!B58)</f>
        <v/>
      </c>
      <c r="C58" s="22" t="str">
        <f>IF(ISERROR(XS_Designer_Calculations!C58),"",XS_Designer_Calculations!C58)</f>
        <v/>
      </c>
      <c r="D58" s="3" t="str">
        <f>IF(OR(ISERROR(Data!D55), Data!D55=0),"",Data!D55)</f>
        <v/>
      </c>
      <c r="E58" s="3" t="str">
        <f>IF(F58&lt;&gt;"",IF(ISERROR(XS_Designer_Calculations!AH58),"",XS_Designer_Calculations!AH58),"")</f>
        <v/>
      </c>
      <c r="F58" s="3" t="str">
        <f>IF(IF(ISERROR(XS_Designer_Calculations!AF58),"",XS_Designer_Calculations!AF58)&lt;&gt;MAX($F$4:$F57),IF(ISERROR(XS_Designer_Calculations!AF58),"",XS_Designer_Calculations!AF58),"")</f>
        <v/>
      </c>
      <c r="G58" s="4" t="str">
        <f>IF(F58&lt;&gt;"",IF(ISERROR(XS_Designer_Calculations!W58),"",XS_Designer_Calculations!W58),"")</f>
        <v/>
      </c>
      <c r="H58" s="3" t="str">
        <f>IF(ISERROR(XS_Designer_Calculations!AE58),"",XS_Designer_Calculations!AE58)</f>
        <v/>
      </c>
      <c r="I58" s="4" t="str">
        <f>IF(ISERROR(XS_Designer_Calculations!W58),"",XS_Designer_Calculations!W58)</f>
        <v/>
      </c>
      <c r="J58" s="4" t="str">
        <f>IF(K58&lt;&gt;"",IF(ISERROR(XS_Designer_Calculations!AL58:AL158),"",XS_Designer_Calculations!AL58:AL158),"")</f>
        <v/>
      </c>
      <c r="K58" s="22" t="str">
        <f>IF(IF(ISERROR(XS_Designer_Calculations!AJ58:AJ158),"",XS_Designer_Calculations!AJ58:AJ158)&lt;&gt;MAX($K$4:$K57),IF(ISERROR(XS_Designer_Calculations!AJ58:AJ158),"",XS_Designer_Calculations!AJ58:AJ158),"")</f>
        <v/>
      </c>
      <c r="L58" s="142" t="str">
        <f>IF(K58&lt;&gt;"",IF(ISERROR(XS_Designer_Calculations!X58:X158),"",XS_Designer_Calculations!X58:X158),"")</f>
        <v/>
      </c>
      <c r="M58" s="22" t="str">
        <f>IF(ISERROR(XS_Designer_Calculations!AI58:AI158),"",XS_Designer_Calculations!AI58:AI158)</f>
        <v/>
      </c>
      <c r="N58" s="22" t="str">
        <f>IF(ISERROR(XS_Designer_Calculations!X58:X158),"",XS_Designer_Calculations!X58:X158)</f>
        <v/>
      </c>
      <c r="X58" s="46" t="str">
        <f>IF(OR(ISERROR(XS_Designer_Calculations!BG57),B58="",ISERROR(XS_Designer_Calculations!BN57)),"",XS_Designer_Calculations!BN57)</f>
        <v/>
      </c>
      <c r="Y58" s="46" t="str">
        <f>IF(OR(ISERROR(XS_Designer_Calculations!BG57),X58=""),"",XS_Designer_Calculations!BH57)</f>
        <v/>
      </c>
      <c r="Z58" s="46" t="str">
        <f>IF(OR(ISERROR(XS_Designer_Calculations!BG57),X58=""),"",XS_Designer_Calculations!$O$18)</f>
        <v/>
      </c>
      <c r="AB58" s="14">
        <f>IFERROR(XS_Designer_Summary!AK56,0)</f>
        <v>-12.78458750000004</v>
      </c>
      <c r="AC58" s="14">
        <f>IFERROR(XS_Designer_Summary!AV56,0)</f>
        <v>2.9801329638386864</v>
      </c>
      <c r="AD58" s="14">
        <f>IFERROR(XS_Designer_Summary!AK56,0)</f>
        <v>-12.78458750000004</v>
      </c>
      <c r="AE58" s="14">
        <f>IFERROR(XS_Designer_Summary!AW56,0)</f>
        <v>1.7721881877991121</v>
      </c>
      <c r="AF58" s="14">
        <f>IFERROR(XS_Designer_Summary!AK56,0)</f>
        <v>-12.78458750000004</v>
      </c>
      <c r="AG58" s="14">
        <f>IFERROR(XS_Designer_Summary!BF56,0)</f>
        <v>5.5788237835495851</v>
      </c>
    </row>
    <row r="59" spans="2:33">
      <c r="B59" s="22" t="str">
        <f>IF(ISERROR(XS_Designer_Calculations!B59),"",XS_Designer_Calculations!B59)</f>
        <v/>
      </c>
      <c r="C59" s="22" t="str">
        <f>IF(ISERROR(XS_Designer_Calculations!C59),"",XS_Designer_Calculations!C59)</f>
        <v/>
      </c>
      <c r="D59" s="3" t="str">
        <f>IF(OR(ISERROR(Data!D56), Data!D56=0),"",Data!D56)</f>
        <v/>
      </c>
      <c r="E59" s="3" t="str">
        <f>IF(F59&lt;&gt;"",IF(ISERROR(XS_Designer_Calculations!AH59),"",XS_Designer_Calculations!AH59),"")</f>
        <v/>
      </c>
      <c r="F59" s="3" t="str">
        <f>IF(IF(ISERROR(XS_Designer_Calculations!AF59),"",XS_Designer_Calculations!AF59)&lt;&gt;MAX($F$4:$F58),IF(ISERROR(XS_Designer_Calculations!AF59),"",XS_Designer_Calculations!AF59),"")</f>
        <v/>
      </c>
      <c r="G59" s="4" t="str">
        <f>IF(F59&lt;&gt;"",IF(ISERROR(XS_Designer_Calculations!W59),"",XS_Designer_Calculations!W59),"")</f>
        <v/>
      </c>
      <c r="H59" s="3" t="str">
        <f>IF(ISERROR(XS_Designer_Calculations!AE59),"",XS_Designer_Calculations!AE59)</f>
        <v/>
      </c>
      <c r="I59" s="4" t="str">
        <f>IF(ISERROR(XS_Designer_Calculations!W59),"",XS_Designer_Calculations!W59)</f>
        <v/>
      </c>
      <c r="J59" s="4" t="str">
        <f>IF(K59&lt;&gt;"",IF(ISERROR(XS_Designer_Calculations!AL59:AL159),"",XS_Designer_Calculations!AL59:AL159),"")</f>
        <v/>
      </c>
      <c r="K59" s="22" t="str">
        <f>IF(IF(ISERROR(XS_Designer_Calculations!AJ59:AJ159),"",XS_Designer_Calculations!AJ59:AJ159)&lt;&gt;MAX($K$4:$K58),IF(ISERROR(XS_Designer_Calculations!AJ59:AJ159),"",XS_Designer_Calculations!AJ59:AJ159),"")</f>
        <v/>
      </c>
      <c r="L59" s="142" t="str">
        <f>IF(K59&lt;&gt;"",IF(ISERROR(XS_Designer_Calculations!X59:X159),"",XS_Designer_Calculations!X59:X159),"")</f>
        <v/>
      </c>
      <c r="M59" s="22" t="str">
        <f>IF(ISERROR(XS_Designer_Calculations!AI59:AI159),"",XS_Designer_Calculations!AI59:AI159)</f>
        <v/>
      </c>
      <c r="N59" s="22" t="str">
        <f>IF(ISERROR(XS_Designer_Calculations!X59:X159),"",XS_Designer_Calculations!X59:X159)</f>
        <v/>
      </c>
      <c r="X59" s="46" t="str">
        <f>IF(OR(ISERROR(XS_Designer_Calculations!BG58),B59="",ISERROR(XS_Designer_Calculations!BN58)),"",XS_Designer_Calculations!BN58)</f>
        <v/>
      </c>
      <c r="Y59" s="46" t="str">
        <f>IF(OR(ISERROR(XS_Designer_Calculations!BG58),X59=""),"",XS_Designer_Calculations!BH58)</f>
        <v/>
      </c>
      <c r="Z59" s="46" t="str">
        <f>IF(OR(ISERROR(XS_Designer_Calculations!BG58),X59=""),"",XS_Designer_Calculations!$O$18)</f>
        <v/>
      </c>
      <c r="AB59" s="14">
        <f>IFERROR(XS_Designer_Summary!AK57,0)</f>
        <v>-12.512575000000039</v>
      </c>
      <c r="AC59" s="14">
        <f>IFERROR(XS_Designer_Summary!AV57,0)</f>
        <v>2.983936719588427</v>
      </c>
      <c r="AD59" s="14">
        <f>IFERROR(XS_Designer_Summary!AK57,0)</f>
        <v>-12.512575000000039</v>
      </c>
      <c r="AE59" s="14">
        <f>IFERROR(XS_Designer_Summary!AW57,0)</f>
        <v>1.7755822250595277</v>
      </c>
      <c r="AF59" s="14">
        <f>IFERROR(XS_Designer_Summary!AK57,0)</f>
        <v>-12.512575000000039</v>
      </c>
      <c r="AG59" s="14">
        <f>IFERROR(XS_Designer_Summary!BF57,0)</f>
        <v>5.5899467056476215</v>
      </c>
    </row>
    <row r="60" spans="2:33">
      <c r="B60" s="22" t="str">
        <f>IF(ISERROR(XS_Designer_Calculations!B60),"",XS_Designer_Calculations!B60)</f>
        <v/>
      </c>
      <c r="C60" s="22" t="str">
        <f>IF(ISERROR(XS_Designer_Calculations!C60),"",XS_Designer_Calculations!C60)</f>
        <v/>
      </c>
      <c r="D60" s="3" t="str">
        <f>IF(OR(ISERROR(Data!D57), Data!D57=0),"",Data!D57)</f>
        <v/>
      </c>
      <c r="E60" s="3" t="str">
        <f>IF(F60&lt;&gt;"",IF(ISERROR(XS_Designer_Calculations!AH60),"",XS_Designer_Calculations!AH60),"")</f>
        <v/>
      </c>
      <c r="F60" s="3" t="str">
        <f>IF(IF(ISERROR(XS_Designer_Calculations!AF60),"",XS_Designer_Calculations!AF60)&lt;&gt;MAX($F$4:$F59),IF(ISERROR(XS_Designer_Calculations!AF60),"",XS_Designer_Calculations!AF60),"")</f>
        <v/>
      </c>
      <c r="G60" s="4" t="str">
        <f>IF(F60&lt;&gt;"",IF(ISERROR(XS_Designer_Calculations!W60),"",XS_Designer_Calculations!W60),"")</f>
        <v/>
      </c>
      <c r="H60" s="3" t="str">
        <f>IF(ISERROR(XS_Designer_Calculations!AE60),"",XS_Designer_Calculations!AE60)</f>
        <v/>
      </c>
      <c r="I60" s="4" t="str">
        <f>IF(ISERROR(XS_Designer_Calculations!W60),"",XS_Designer_Calculations!W60)</f>
        <v/>
      </c>
      <c r="J60" s="4" t="str">
        <f>IF(K60&lt;&gt;"",IF(ISERROR(XS_Designer_Calculations!AL60:AL160),"",XS_Designer_Calculations!AL60:AL160),"")</f>
        <v/>
      </c>
      <c r="K60" s="22" t="str">
        <f>IF(IF(ISERROR(XS_Designer_Calculations!AJ60:AJ160),"",XS_Designer_Calculations!AJ60:AJ160)&lt;&gt;MAX($K$4:$K59),IF(ISERROR(XS_Designer_Calculations!AJ60:AJ160),"",XS_Designer_Calculations!AJ60:AJ160),"")</f>
        <v/>
      </c>
      <c r="L60" s="142" t="str">
        <f>IF(K60&lt;&gt;"",IF(ISERROR(XS_Designer_Calculations!X60:X160),"",XS_Designer_Calculations!X60:X160),"")</f>
        <v/>
      </c>
      <c r="M60" s="22" t="str">
        <f>IF(ISERROR(XS_Designer_Calculations!AI60:AI160),"",XS_Designer_Calculations!AI60:AI160)</f>
        <v/>
      </c>
      <c r="N60" s="22" t="str">
        <f>IF(ISERROR(XS_Designer_Calculations!X60:X160),"",XS_Designer_Calculations!X60:X160)</f>
        <v/>
      </c>
      <c r="X60" s="46" t="str">
        <f>IF(OR(ISERROR(XS_Designer_Calculations!BG59),B60="",ISERROR(XS_Designer_Calculations!BN59)),"",XS_Designer_Calculations!BN59)</f>
        <v/>
      </c>
      <c r="Y60" s="46" t="str">
        <f>IF(OR(ISERROR(XS_Designer_Calculations!BG59),X60=""),"",XS_Designer_Calculations!BH59)</f>
        <v/>
      </c>
      <c r="Z60" s="46" t="str">
        <f>IF(OR(ISERROR(XS_Designer_Calculations!BG59),X60=""),"",XS_Designer_Calculations!$O$18)</f>
        <v/>
      </c>
      <c r="AB60" s="14">
        <f>IFERROR(XS_Designer_Summary!AK58,0)</f>
        <v>-12.240562500000038</v>
      </c>
      <c r="AC60" s="14">
        <f>IFERROR(XS_Designer_Summary!AV58,0)</f>
        <v>2.9877380524735901</v>
      </c>
      <c r="AD60" s="14">
        <f>IFERROR(XS_Designer_Summary!AK58,0)</f>
        <v>-12.240562500000038</v>
      </c>
      <c r="AE60" s="14">
        <f>IFERROR(XS_Designer_Summary!AW58,0)</f>
        <v>1.7789762623199423</v>
      </c>
      <c r="AF60" s="14">
        <f>IFERROR(XS_Designer_Summary!AK58,0)</f>
        <v>-12.240562500000038</v>
      </c>
      <c r="AG60" s="14">
        <f>IFERROR(XS_Designer_Summary!BF58,0)</f>
        <v>5.6010705199139785</v>
      </c>
    </row>
    <row r="61" spans="2:33">
      <c r="B61" s="22" t="str">
        <f>IF(ISERROR(XS_Designer_Calculations!B61),"",XS_Designer_Calculations!B61)</f>
        <v/>
      </c>
      <c r="C61" s="22" t="str">
        <f>IF(ISERROR(XS_Designer_Calculations!C61),"",XS_Designer_Calculations!C61)</f>
        <v/>
      </c>
      <c r="D61" s="3" t="str">
        <f>IF(OR(ISERROR(Data!D58), Data!D58=0),"",Data!D58)</f>
        <v/>
      </c>
      <c r="E61" s="3" t="str">
        <f>IF(F61&lt;&gt;"",IF(ISERROR(XS_Designer_Calculations!AH61),"",XS_Designer_Calculations!AH61),"")</f>
        <v/>
      </c>
      <c r="F61" s="3" t="str">
        <f>IF(IF(ISERROR(XS_Designer_Calculations!AF61),"",XS_Designer_Calculations!AF61)&lt;&gt;MAX($F$4:$F60),IF(ISERROR(XS_Designer_Calculations!AF61),"",XS_Designer_Calculations!AF61),"")</f>
        <v/>
      </c>
      <c r="G61" s="4" t="str">
        <f>IF(F61&lt;&gt;"",IF(ISERROR(XS_Designer_Calculations!W61),"",XS_Designer_Calculations!W61),"")</f>
        <v/>
      </c>
      <c r="H61" s="3" t="str">
        <f>IF(ISERROR(XS_Designer_Calculations!AE61),"",XS_Designer_Calculations!AE61)</f>
        <v/>
      </c>
      <c r="I61" s="4" t="str">
        <f>IF(ISERROR(XS_Designer_Calculations!W61),"",XS_Designer_Calculations!W61)</f>
        <v/>
      </c>
      <c r="J61" s="4" t="str">
        <f>IF(K61&lt;&gt;"",IF(ISERROR(XS_Designer_Calculations!AL61:AL161),"",XS_Designer_Calculations!AL61:AL161),"")</f>
        <v/>
      </c>
      <c r="K61" s="22" t="str">
        <f>IF(IF(ISERROR(XS_Designer_Calculations!AJ61:AJ161),"",XS_Designer_Calculations!AJ61:AJ161)&lt;&gt;MAX($K$4:$K60),IF(ISERROR(XS_Designer_Calculations!AJ61:AJ161),"",XS_Designer_Calculations!AJ61:AJ161),"")</f>
        <v/>
      </c>
      <c r="L61" s="142" t="str">
        <f>IF(K61&lt;&gt;"",IF(ISERROR(XS_Designer_Calculations!X61:X161),"",XS_Designer_Calculations!X61:X161),"")</f>
        <v/>
      </c>
      <c r="M61" s="22" t="str">
        <f>IF(ISERROR(XS_Designer_Calculations!AI61:AI161),"",XS_Designer_Calculations!AI61:AI161)</f>
        <v/>
      </c>
      <c r="N61" s="22" t="str">
        <f>IF(ISERROR(XS_Designer_Calculations!X61:X161),"",XS_Designer_Calculations!X61:X161)</f>
        <v/>
      </c>
      <c r="X61" s="46" t="str">
        <f>IF(OR(ISERROR(XS_Designer_Calculations!BG60),B61="",ISERROR(XS_Designer_Calculations!BN60)),"",XS_Designer_Calculations!BN60)</f>
        <v/>
      </c>
      <c r="Y61" s="46" t="str">
        <f>IF(OR(ISERROR(XS_Designer_Calculations!BG60),X61=""),"",XS_Designer_Calculations!BH60)</f>
        <v/>
      </c>
      <c r="Z61" s="46" t="str">
        <f>IF(OR(ISERROR(XS_Designer_Calculations!BG60),X61=""),"",XS_Designer_Calculations!$O$18)</f>
        <v/>
      </c>
      <c r="AB61" s="14">
        <f>IFERROR(XS_Designer_Summary!AK59,0)</f>
        <v>-11.968550000000038</v>
      </c>
      <c r="AC61" s="14">
        <f>IFERROR(XS_Designer_Summary!AV59,0)</f>
        <v>2.9915369686555389</v>
      </c>
      <c r="AD61" s="14">
        <f>IFERROR(XS_Designer_Summary!AK59,0)</f>
        <v>-11.968550000000038</v>
      </c>
      <c r="AE61" s="14">
        <f>IFERROR(XS_Designer_Summary!AW59,0)</f>
        <v>1.7823702995803574</v>
      </c>
      <c r="AF61" s="14">
        <f>IFERROR(XS_Designer_Summary!AK59,0)</f>
        <v>-11.968550000000038</v>
      </c>
      <c r="AG61" s="14">
        <f>IFERROR(XS_Designer_Summary!BF59,0)</f>
        <v>5.6121952247194988</v>
      </c>
    </row>
    <row r="62" spans="2:33">
      <c r="B62" s="22" t="str">
        <f>IF(ISERROR(XS_Designer_Calculations!B62),"",XS_Designer_Calculations!B62)</f>
        <v/>
      </c>
      <c r="C62" s="22" t="str">
        <f>IF(ISERROR(XS_Designer_Calculations!C62),"",XS_Designer_Calculations!C62)</f>
        <v/>
      </c>
      <c r="D62" s="3" t="str">
        <f>IF(OR(ISERROR(Data!D59), Data!D59=0),"",Data!D59)</f>
        <v/>
      </c>
      <c r="E62" s="3" t="str">
        <f>IF(F62&lt;&gt;"",IF(ISERROR(XS_Designer_Calculations!AH62),"",XS_Designer_Calculations!AH62),"")</f>
        <v/>
      </c>
      <c r="F62" s="3" t="str">
        <f>IF(IF(ISERROR(XS_Designer_Calculations!AF62),"",XS_Designer_Calculations!AF62)&lt;&gt;MAX($F$4:$F61),IF(ISERROR(XS_Designer_Calculations!AF62),"",XS_Designer_Calculations!AF62),"")</f>
        <v/>
      </c>
      <c r="G62" s="4" t="str">
        <f>IF(F62&lt;&gt;"",IF(ISERROR(XS_Designer_Calculations!W62),"",XS_Designer_Calculations!W62),"")</f>
        <v/>
      </c>
      <c r="H62" s="3" t="str">
        <f>IF(ISERROR(XS_Designer_Calculations!AE62),"",XS_Designer_Calculations!AE62)</f>
        <v/>
      </c>
      <c r="I62" s="4" t="str">
        <f>IF(ISERROR(XS_Designer_Calculations!W62),"",XS_Designer_Calculations!W62)</f>
        <v/>
      </c>
      <c r="J62" s="4" t="str">
        <f>IF(K62&lt;&gt;"",IF(ISERROR(XS_Designer_Calculations!AL62:AL162),"",XS_Designer_Calculations!AL62:AL162),"")</f>
        <v/>
      </c>
      <c r="K62" s="22" t="str">
        <f>IF(IF(ISERROR(XS_Designer_Calculations!AJ62:AJ162),"",XS_Designer_Calculations!AJ62:AJ162)&lt;&gt;MAX($K$4:$K61),IF(ISERROR(XS_Designer_Calculations!AJ62:AJ162),"",XS_Designer_Calculations!AJ62:AJ162),"")</f>
        <v/>
      </c>
      <c r="L62" s="142" t="str">
        <f>IF(K62&lt;&gt;"",IF(ISERROR(XS_Designer_Calculations!X62:X162),"",XS_Designer_Calculations!X62:X162),"")</f>
        <v/>
      </c>
      <c r="M62" s="22" t="str">
        <f>IF(ISERROR(XS_Designer_Calculations!AI62:AI162),"",XS_Designer_Calculations!AI62:AI162)</f>
        <v/>
      </c>
      <c r="N62" s="22" t="str">
        <f>IF(ISERROR(XS_Designer_Calculations!X62:X162),"",XS_Designer_Calculations!X62:X162)</f>
        <v/>
      </c>
      <c r="X62" s="46" t="str">
        <f>IF(OR(ISERROR(XS_Designer_Calculations!BG61),B62="",ISERROR(XS_Designer_Calculations!BN61)),"",XS_Designer_Calculations!BN61)</f>
        <v/>
      </c>
      <c r="Y62" s="46" t="str">
        <f>IF(OR(ISERROR(XS_Designer_Calculations!BG61),X62=""),"",XS_Designer_Calculations!BH61)</f>
        <v/>
      </c>
      <c r="Z62" s="46" t="str">
        <f>IF(OR(ISERROR(XS_Designer_Calculations!BG61),X62=""),"",XS_Designer_Calculations!$O$18)</f>
        <v/>
      </c>
      <c r="AB62" s="14">
        <f>IFERROR(XS_Designer_Summary!AK60,0)</f>
        <v>-11.696537500000037</v>
      </c>
      <c r="AC62" s="14">
        <f>IFERROR(XS_Designer_Summary!AV60,0)</f>
        <v>2.9953334742682691</v>
      </c>
      <c r="AD62" s="14">
        <f>IFERROR(XS_Designer_Summary!AK60,0)</f>
        <v>-11.696537500000037</v>
      </c>
      <c r="AE62" s="14">
        <f>IFERROR(XS_Designer_Summary!AW60,0)</f>
        <v>1.7857643368407727</v>
      </c>
      <c r="AF62" s="14">
        <f>IFERROR(XS_Designer_Summary!AK60,0)</f>
        <v>-11.696537500000037</v>
      </c>
      <c r="AG62" s="14">
        <f>IFERROR(XS_Designer_Summary!BF60,0)</f>
        <v>5.6233208184411003</v>
      </c>
    </row>
    <row r="63" spans="2:33">
      <c r="B63" s="22" t="str">
        <f>IF(ISERROR(XS_Designer_Calculations!B63),"",XS_Designer_Calculations!B63)</f>
        <v/>
      </c>
      <c r="C63" s="22" t="str">
        <f>IF(ISERROR(XS_Designer_Calculations!C63),"",XS_Designer_Calculations!C63)</f>
        <v/>
      </c>
      <c r="D63" s="3" t="str">
        <f>IF(OR(ISERROR(Data!D60), Data!D60=0),"",Data!D60)</f>
        <v/>
      </c>
      <c r="E63" s="3" t="str">
        <f>IF(F63&lt;&gt;"",IF(ISERROR(XS_Designer_Calculations!AH63),"",XS_Designer_Calculations!AH63),"")</f>
        <v/>
      </c>
      <c r="F63" s="3" t="str">
        <f>IF(IF(ISERROR(XS_Designer_Calculations!AF63),"",XS_Designer_Calculations!AF63)&lt;&gt;MAX($F$4:$F62),IF(ISERROR(XS_Designer_Calculations!AF63),"",XS_Designer_Calculations!AF63),"")</f>
        <v/>
      </c>
      <c r="G63" s="4" t="str">
        <f>IF(F63&lt;&gt;"",IF(ISERROR(XS_Designer_Calculations!W63),"",XS_Designer_Calculations!W63),"")</f>
        <v/>
      </c>
      <c r="H63" s="3" t="str">
        <f>IF(ISERROR(XS_Designer_Calculations!AE63),"",XS_Designer_Calculations!AE63)</f>
        <v/>
      </c>
      <c r="I63" s="4" t="str">
        <f>IF(ISERROR(XS_Designer_Calculations!W63),"",XS_Designer_Calculations!W63)</f>
        <v/>
      </c>
      <c r="J63" s="4" t="str">
        <f>IF(K63&lt;&gt;"",IF(ISERROR(XS_Designer_Calculations!AL63:AL163),"",XS_Designer_Calculations!AL63:AL163),"")</f>
        <v/>
      </c>
      <c r="K63" s="22" t="str">
        <f>IF(IF(ISERROR(XS_Designer_Calculations!AJ63:AJ163),"",XS_Designer_Calculations!AJ63:AJ163)&lt;&gt;MAX($K$4:$K62),IF(ISERROR(XS_Designer_Calculations!AJ63:AJ163),"",XS_Designer_Calculations!AJ63:AJ163),"")</f>
        <v/>
      </c>
      <c r="L63" s="142" t="str">
        <f>IF(K63&lt;&gt;"",IF(ISERROR(XS_Designer_Calculations!X63:X163),"",XS_Designer_Calculations!X63:X163),"")</f>
        <v/>
      </c>
      <c r="M63" s="22" t="str">
        <f>IF(ISERROR(XS_Designer_Calculations!AI63:AI163),"",XS_Designer_Calculations!AI63:AI163)</f>
        <v/>
      </c>
      <c r="N63" s="22" t="str">
        <f>IF(ISERROR(XS_Designer_Calculations!X63:X163),"",XS_Designer_Calculations!X63:X163)</f>
        <v/>
      </c>
      <c r="X63" s="46" t="str">
        <f>IF(OR(ISERROR(XS_Designer_Calculations!BG62),B63="",ISERROR(XS_Designer_Calculations!BN62)),"",XS_Designer_Calculations!BN62)</f>
        <v/>
      </c>
      <c r="Y63" s="46" t="str">
        <f>IF(OR(ISERROR(XS_Designer_Calculations!BG62),X63=""),"",XS_Designer_Calculations!BH62)</f>
        <v/>
      </c>
      <c r="Z63" s="46" t="str">
        <f>IF(OR(ISERROR(XS_Designer_Calculations!BG62),X63=""),"",XS_Designer_Calculations!$O$18)</f>
        <v/>
      </c>
      <c r="AB63" s="14">
        <f>IFERROR(XS_Designer_Summary!AK61,0)</f>
        <v>-11.424525000000036</v>
      </c>
      <c r="AC63" s="14">
        <f>IFERROR(XS_Designer_Summary!AV61,0)</f>
        <v>2.9991275754185795</v>
      </c>
      <c r="AD63" s="14">
        <f>IFERROR(XS_Designer_Summary!AK61,0)</f>
        <v>-11.424525000000036</v>
      </c>
      <c r="AE63" s="14">
        <f>IFERROR(XS_Designer_Summary!AW61,0)</f>
        <v>1.7891583741011878</v>
      </c>
      <c r="AF63" s="14">
        <f>IFERROR(XS_Designer_Summary!AK61,0)</f>
        <v>-11.424525000000036</v>
      </c>
      <c r="AG63" s="14">
        <f>IFERROR(XS_Designer_Summary!BF61,0)</f>
        <v>5.6344472994617236</v>
      </c>
    </row>
    <row r="64" spans="2:33">
      <c r="B64" s="22" t="str">
        <f>IF(ISERROR(XS_Designer_Calculations!B64),"",XS_Designer_Calculations!B64)</f>
        <v/>
      </c>
      <c r="C64" s="22" t="str">
        <f>IF(ISERROR(XS_Designer_Calculations!C64),"",XS_Designer_Calculations!C64)</f>
        <v/>
      </c>
      <c r="D64" s="3" t="str">
        <f>IF(OR(ISERROR(Data!D61), Data!D61=0),"",Data!D61)</f>
        <v/>
      </c>
      <c r="E64" s="3" t="str">
        <f>IF(F64&lt;&gt;"",IF(ISERROR(XS_Designer_Calculations!AH64),"",XS_Designer_Calculations!AH64),"")</f>
        <v/>
      </c>
      <c r="F64" s="3" t="str">
        <f>IF(IF(ISERROR(XS_Designer_Calculations!AF64),"",XS_Designer_Calculations!AF64)&lt;&gt;MAX($F$4:$F63),IF(ISERROR(XS_Designer_Calculations!AF64),"",XS_Designer_Calculations!AF64),"")</f>
        <v/>
      </c>
      <c r="G64" s="4" t="str">
        <f>IF(F64&lt;&gt;"",IF(ISERROR(XS_Designer_Calculations!W64),"",XS_Designer_Calculations!W64),"")</f>
        <v/>
      </c>
      <c r="H64" s="3" t="str">
        <f>IF(ISERROR(XS_Designer_Calculations!AE64),"",XS_Designer_Calculations!AE64)</f>
        <v/>
      </c>
      <c r="I64" s="4" t="str">
        <f>IF(ISERROR(XS_Designer_Calculations!W64),"",XS_Designer_Calculations!W64)</f>
        <v/>
      </c>
      <c r="J64" s="4" t="str">
        <f>IF(K64&lt;&gt;"",IF(ISERROR(XS_Designer_Calculations!AL64:AL164),"",XS_Designer_Calculations!AL64:AL164),"")</f>
        <v/>
      </c>
      <c r="K64" s="22" t="str">
        <f>IF(IF(ISERROR(XS_Designer_Calculations!AJ64:AJ164),"",XS_Designer_Calculations!AJ64:AJ164)&lt;&gt;MAX($K$4:$K63),IF(ISERROR(XS_Designer_Calculations!AJ64:AJ164),"",XS_Designer_Calculations!AJ64:AJ164),"")</f>
        <v/>
      </c>
      <c r="L64" s="142" t="str">
        <f>IF(K64&lt;&gt;"",IF(ISERROR(XS_Designer_Calculations!X64:X164),"",XS_Designer_Calculations!X64:X164),"")</f>
        <v/>
      </c>
      <c r="M64" s="22" t="str">
        <f>IF(ISERROR(XS_Designer_Calculations!AI64:AI164),"",XS_Designer_Calculations!AI64:AI164)</f>
        <v/>
      </c>
      <c r="N64" s="22" t="str">
        <f>IF(ISERROR(XS_Designer_Calculations!X64:X164),"",XS_Designer_Calculations!X64:X164)</f>
        <v/>
      </c>
      <c r="X64" s="46" t="str">
        <f>IF(OR(ISERROR(XS_Designer_Calculations!BG63),B64="",ISERROR(XS_Designer_Calculations!BN63)),"",XS_Designer_Calculations!BN63)</f>
        <v/>
      </c>
      <c r="Y64" s="46" t="str">
        <f>IF(OR(ISERROR(XS_Designer_Calculations!BG63),X64=""),"",XS_Designer_Calculations!BH63)</f>
        <v/>
      </c>
      <c r="Z64" s="46" t="str">
        <f>IF(OR(ISERROR(XS_Designer_Calculations!BG63),X64=""),"",XS_Designer_Calculations!$O$18)</f>
        <v/>
      </c>
      <c r="AB64" s="14">
        <f>IFERROR(XS_Designer_Summary!AK62,0)</f>
        <v>-11.152512500000036</v>
      </c>
      <c r="AC64" s="14">
        <f>IFERROR(XS_Designer_Summary!AV62,0)</f>
        <v>3.0029192781862504</v>
      </c>
      <c r="AD64" s="14">
        <f>IFERROR(XS_Designer_Summary!AK62,0)</f>
        <v>-11.152512500000036</v>
      </c>
      <c r="AE64" s="14">
        <f>IFERROR(XS_Designer_Summary!AW62,0)</f>
        <v>1.7925524113616027</v>
      </c>
      <c r="AF64" s="14">
        <f>IFERROR(XS_Designer_Summary!AK62,0)</f>
        <v>-11.152512500000036</v>
      </c>
      <c r="AG64" s="14">
        <f>IFERROR(XS_Designer_Summary!BF62,0)</f>
        <v>5.6455746661703241</v>
      </c>
    </row>
    <row r="65" spans="2:33">
      <c r="B65" s="22" t="str">
        <f>IF(ISERROR(XS_Designer_Calculations!B65),"",XS_Designer_Calculations!B65)</f>
        <v/>
      </c>
      <c r="C65" s="22" t="str">
        <f>IF(ISERROR(XS_Designer_Calculations!C65),"",XS_Designer_Calculations!C65)</f>
        <v/>
      </c>
      <c r="D65" s="3" t="str">
        <f>IF(OR(ISERROR(Data!D62), Data!D62=0),"",Data!D62)</f>
        <v/>
      </c>
      <c r="E65" s="3" t="str">
        <f>IF(F65&lt;&gt;"",IF(ISERROR(XS_Designer_Calculations!AH65),"",XS_Designer_Calculations!AH65),"")</f>
        <v/>
      </c>
      <c r="F65" s="3" t="str">
        <f>IF(IF(ISERROR(XS_Designer_Calculations!AF65),"",XS_Designer_Calculations!AF65)&lt;&gt;MAX($F$4:$F64),IF(ISERROR(XS_Designer_Calculations!AF65),"",XS_Designer_Calculations!AF65),"")</f>
        <v/>
      </c>
      <c r="G65" s="4" t="str">
        <f>IF(F65&lt;&gt;"",IF(ISERROR(XS_Designer_Calculations!W65),"",XS_Designer_Calculations!W65),"")</f>
        <v/>
      </c>
      <c r="H65" s="3" t="str">
        <f>IF(ISERROR(XS_Designer_Calculations!AE65),"",XS_Designer_Calculations!AE65)</f>
        <v/>
      </c>
      <c r="I65" s="4" t="str">
        <f>IF(ISERROR(XS_Designer_Calculations!W65),"",XS_Designer_Calculations!W65)</f>
        <v/>
      </c>
      <c r="J65" s="4" t="str">
        <f>IF(K65&lt;&gt;"",IF(ISERROR(XS_Designer_Calculations!AL65:AL165),"",XS_Designer_Calculations!AL65:AL165),"")</f>
        <v/>
      </c>
      <c r="K65" s="22" t="str">
        <f>IF(IF(ISERROR(XS_Designer_Calculations!AJ65:AJ165),"",XS_Designer_Calculations!AJ65:AJ165)&lt;&gt;MAX($K$4:$K64),IF(ISERROR(XS_Designer_Calculations!AJ65:AJ165),"",XS_Designer_Calculations!AJ65:AJ165),"")</f>
        <v/>
      </c>
      <c r="L65" s="142" t="str">
        <f>IF(K65&lt;&gt;"",IF(ISERROR(XS_Designer_Calculations!X65:X165),"",XS_Designer_Calculations!X65:X165),"")</f>
        <v/>
      </c>
      <c r="M65" s="22" t="str">
        <f>IF(ISERROR(XS_Designer_Calculations!AI65:AI165),"",XS_Designer_Calculations!AI65:AI165)</f>
        <v/>
      </c>
      <c r="N65" s="22" t="str">
        <f>IF(ISERROR(XS_Designer_Calculations!X65:X165),"",XS_Designer_Calculations!X65:X165)</f>
        <v/>
      </c>
      <c r="X65" s="46" t="str">
        <f>IF(OR(ISERROR(XS_Designer_Calculations!BG64),B65="",ISERROR(XS_Designer_Calculations!BN64)),"",XS_Designer_Calculations!BN64)</f>
        <v/>
      </c>
      <c r="Y65" s="46" t="str">
        <f>IF(OR(ISERROR(XS_Designer_Calculations!BG64),X65=""),"",XS_Designer_Calculations!BH64)</f>
        <v/>
      </c>
      <c r="Z65" s="46" t="str">
        <f>IF(OR(ISERROR(XS_Designer_Calculations!BG64),X65=""),"",XS_Designer_Calculations!$O$18)</f>
        <v/>
      </c>
      <c r="AB65" s="14">
        <f>IFERROR(XS_Designer_Summary!AK63,0)</f>
        <v>-10.880500000000035</v>
      </c>
      <c r="AC65" s="14">
        <f>IFERROR(XS_Designer_Summary!AV63,0)</f>
        <v>3.0067085886242086</v>
      </c>
      <c r="AD65" s="14">
        <f>IFERROR(XS_Designer_Summary!AK63,0)</f>
        <v>-10.880500000000035</v>
      </c>
      <c r="AE65" s="14">
        <f>IFERROR(XS_Designer_Summary!AW63,0)</f>
        <v>1.7959464486220174</v>
      </c>
      <c r="AF65" s="14">
        <f>IFERROR(XS_Designer_Summary!AK63,0)</f>
        <v>-10.880500000000035</v>
      </c>
      <c r="AG65" s="14">
        <f>IFERROR(XS_Designer_Summary!BF63,0)</f>
        <v>5.6567029169618124</v>
      </c>
    </row>
    <row r="66" spans="2:33">
      <c r="B66" s="22" t="str">
        <f>IF(ISERROR(XS_Designer_Calculations!B66),"",XS_Designer_Calculations!B66)</f>
        <v/>
      </c>
      <c r="C66" s="22" t="str">
        <f>IF(ISERROR(XS_Designer_Calculations!C66),"",XS_Designer_Calculations!C66)</f>
        <v/>
      </c>
      <c r="D66" s="3" t="str">
        <f>IF(OR(ISERROR(Data!D63), Data!D63=0),"",Data!D63)</f>
        <v/>
      </c>
      <c r="E66" s="3" t="str">
        <f>IF(F66&lt;&gt;"",IF(ISERROR(XS_Designer_Calculations!AH66),"",XS_Designer_Calculations!AH66),"")</f>
        <v/>
      </c>
      <c r="F66" s="3" t="str">
        <f>IF(IF(ISERROR(XS_Designer_Calculations!AF66),"",XS_Designer_Calculations!AF66)&lt;&gt;MAX($F$4:$F65),IF(ISERROR(XS_Designer_Calculations!AF66),"",XS_Designer_Calculations!AF66),"")</f>
        <v/>
      </c>
      <c r="G66" s="4" t="str">
        <f>IF(F66&lt;&gt;"",IF(ISERROR(XS_Designer_Calculations!W66),"",XS_Designer_Calculations!W66),"")</f>
        <v/>
      </c>
      <c r="H66" s="3" t="str">
        <f>IF(ISERROR(XS_Designer_Calculations!AE66),"",XS_Designer_Calculations!AE66)</f>
        <v/>
      </c>
      <c r="I66" s="4" t="str">
        <f>IF(ISERROR(XS_Designer_Calculations!W66),"",XS_Designer_Calculations!W66)</f>
        <v/>
      </c>
      <c r="J66" s="4" t="str">
        <f>IF(K66&lt;&gt;"",IF(ISERROR(XS_Designer_Calculations!AL66:AL166),"",XS_Designer_Calculations!AL66:AL166),"")</f>
        <v/>
      </c>
      <c r="K66" s="22" t="str">
        <f>IF(IF(ISERROR(XS_Designer_Calculations!AJ66:AJ166),"",XS_Designer_Calculations!AJ66:AJ166)&lt;&gt;MAX($K$4:$K65),IF(ISERROR(XS_Designer_Calculations!AJ66:AJ166),"",XS_Designer_Calculations!AJ66:AJ166),"")</f>
        <v/>
      </c>
      <c r="L66" s="142" t="str">
        <f>IF(K66&lt;&gt;"",IF(ISERROR(XS_Designer_Calculations!X66:X166),"",XS_Designer_Calculations!X66:X166),"")</f>
        <v/>
      </c>
      <c r="M66" s="22" t="str">
        <f>IF(ISERROR(XS_Designer_Calculations!AI66:AI166),"",XS_Designer_Calculations!AI66:AI166)</f>
        <v/>
      </c>
      <c r="N66" s="22" t="str">
        <f>IF(ISERROR(XS_Designer_Calculations!X66:X166),"",XS_Designer_Calculations!X66:X166)</f>
        <v/>
      </c>
      <c r="X66" s="46" t="str">
        <f>IF(OR(ISERROR(XS_Designer_Calculations!BG65),B66="",ISERROR(XS_Designer_Calculations!BN65)),"",XS_Designer_Calculations!BN65)</f>
        <v/>
      </c>
      <c r="Y66" s="46" t="str">
        <f>IF(OR(ISERROR(XS_Designer_Calculations!BG65),X66=""),"",XS_Designer_Calculations!BH65)</f>
        <v/>
      </c>
      <c r="Z66" s="46" t="str">
        <f>IF(OR(ISERROR(XS_Designer_Calculations!BG65),X66=""),"",XS_Designer_Calculations!$O$18)</f>
        <v/>
      </c>
      <c r="AB66" s="14">
        <f>IFERROR(XS_Designer_Summary!AK64,0)</f>
        <v>-10.608487500000034</v>
      </c>
      <c r="AC66" s="14">
        <f>IFERROR(XS_Designer_Summary!AV64,0)</f>
        <v>3.0104955127586983</v>
      </c>
      <c r="AD66" s="14">
        <f>IFERROR(XS_Designer_Summary!AK64,0)</f>
        <v>-10.608487500000034</v>
      </c>
      <c r="AE66" s="14">
        <f>IFERROR(XS_Designer_Summary!AW64,0)</f>
        <v>1.7993404858824331</v>
      </c>
      <c r="AF66" s="14">
        <f>IFERROR(XS_Designer_Summary!AK64,0)</f>
        <v>-10.608487500000034</v>
      </c>
      <c r="AG66" s="14">
        <f>IFERROR(XS_Designer_Summary!BF64,0)</f>
        <v>5.6678320502370401</v>
      </c>
    </row>
    <row r="67" spans="2:33">
      <c r="B67" s="22" t="str">
        <f>IF(ISERROR(XS_Designer_Calculations!B67),"",XS_Designer_Calculations!B67)</f>
        <v/>
      </c>
      <c r="C67" s="22" t="str">
        <f>IF(ISERROR(XS_Designer_Calculations!C67),"",XS_Designer_Calculations!C67)</f>
        <v/>
      </c>
      <c r="D67" s="3" t="str">
        <f>IF(OR(ISERROR(Data!D64), Data!D64=0),"",Data!D64)</f>
        <v/>
      </c>
      <c r="E67" s="3" t="str">
        <f>IF(F67&lt;&gt;"",IF(ISERROR(XS_Designer_Calculations!AH67),"",XS_Designer_Calculations!AH67),"")</f>
        <v/>
      </c>
      <c r="F67" s="3" t="str">
        <f>IF(IF(ISERROR(XS_Designer_Calculations!AF67),"",XS_Designer_Calculations!AF67)&lt;&gt;MAX($F$4:$F66),IF(ISERROR(XS_Designer_Calculations!AF67),"",XS_Designer_Calculations!AF67),"")</f>
        <v/>
      </c>
      <c r="G67" s="4" t="str">
        <f>IF(F67&lt;&gt;"",IF(ISERROR(XS_Designer_Calculations!W67),"",XS_Designer_Calculations!W67),"")</f>
        <v/>
      </c>
      <c r="H67" s="3" t="str">
        <f>IF(ISERROR(XS_Designer_Calculations!AE67),"",XS_Designer_Calculations!AE67)</f>
        <v/>
      </c>
      <c r="I67" s="4" t="str">
        <f>IF(ISERROR(XS_Designer_Calculations!W67),"",XS_Designer_Calculations!W67)</f>
        <v/>
      </c>
      <c r="J67" s="4" t="str">
        <f>IF(K67&lt;&gt;"",IF(ISERROR(XS_Designer_Calculations!AL67:AL167),"",XS_Designer_Calculations!AL67:AL167),"")</f>
        <v/>
      </c>
      <c r="K67" s="22" t="str">
        <f>IF(IF(ISERROR(XS_Designer_Calculations!AJ67:AJ167),"",XS_Designer_Calculations!AJ67:AJ167)&lt;&gt;MAX($K$4:$K66),IF(ISERROR(XS_Designer_Calculations!AJ67:AJ167),"",XS_Designer_Calculations!AJ67:AJ167),"")</f>
        <v/>
      </c>
      <c r="L67" s="142" t="str">
        <f>IF(K67&lt;&gt;"",IF(ISERROR(XS_Designer_Calculations!X67:X167),"",XS_Designer_Calculations!X67:X167),"")</f>
        <v/>
      </c>
      <c r="M67" s="22" t="str">
        <f>IF(ISERROR(XS_Designer_Calculations!AI67:AI167),"",XS_Designer_Calculations!AI67:AI167)</f>
        <v/>
      </c>
      <c r="N67" s="22" t="str">
        <f>IF(ISERROR(XS_Designer_Calculations!X67:X167),"",XS_Designer_Calculations!X67:X167)</f>
        <v/>
      </c>
      <c r="X67" s="46" t="str">
        <f>IF(OR(ISERROR(XS_Designer_Calculations!BG66),B67="",ISERROR(XS_Designer_Calculations!BN66)),"",XS_Designer_Calculations!BN66)</f>
        <v/>
      </c>
      <c r="Y67" s="46" t="str">
        <f>IF(OR(ISERROR(XS_Designer_Calculations!BG66),X67=""),"",XS_Designer_Calculations!BH66)</f>
        <v/>
      </c>
      <c r="Z67" s="46" t="str">
        <f>IF(OR(ISERROR(XS_Designer_Calculations!BG66),X67=""),"",XS_Designer_Calculations!$O$18)</f>
        <v/>
      </c>
      <c r="AB67" s="14">
        <f>IFERROR(XS_Designer_Summary!AK65,0)</f>
        <v>-10.336475000000034</v>
      </c>
      <c r="AC67" s="14">
        <f>IFERROR(XS_Designer_Summary!AV65,0)</f>
        <v>3.0142800565894481</v>
      </c>
      <c r="AD67" s="14">
        <f>IFERROR(XS_Designer_Summary!AK65,0)</f>
        <v>-10.336475000000034</v>
      </c>
      <c r="AE67" s="14">
        <f>IFERROR(XS_Designer_Summary!AW65,0)</f>
        <v>1.8027345231428482</v>
      </c>
      <c r="AF67" s="14">
        <f>IFERROR(XS_Designer_Summary!AK65,0)</f>
        <v>-10.336475000000034</v>
      </c>
      <c r="AG67" s="14">
        <f>IFERROR(XS_Designer_Summary!BF65,0)</f>
        <v>5.6789620644027599</v>
      </c>
    </row>
    <row r="68" spans="2:33">
      <c r="B68" s="22" t="str">
        <f>IF(ISERROR(XS_Designer_Calculations!B68),"",XS_Designer_Calculations!B68)</f>
        <v/>
      </c>
      <c r="C68" s="22" t="str">
        <f>IF(ISERROR(XS_Designer_Calculations!C68),"",XS_Designer_Calculations!C68)</f>
        <v/>
      </c>
      <c r="D68" s="3" t="str">
        <f>IF(OR(ISERROR(Data!D65), Data!D65=0),"",Data!D65)</f>
        <v/>
      </c>
      <c r="E68" s="3" t="str">
        <f>IF(F68&lt;&gt;"",IF(ISERROR(XS_Designer_Calculations!AH68),"",XS_Designer_Calculations!AH68),"")</f>
        <v/>
      </c>
      <c r="F68" s="3" t="str">
        <f>IF(IF(ISERROR(XS_Designer_Calculations!AF68),"",XS_Designer_Calculations!AF68)&lt;&gt;MAX($F$4:$F67),IF(ISERROR(XS_Designer_Calculations!AF68),"",XS_Designer_Calculations!AF68),"")</f>
        <v/>
      </c>
      <c r="G68" s="4" t="str">
        <f>IF(F68&lt;&gt;"",IF(ISERROR(XS_Designer_Calculations!W68),"",XS_Designer_Calculations!W68),"")</f>
        <v/>
      </c>
      <c r="H68" s="3" t="str">
        <f>IF(ISERROR(XS_Designer_Calculations!AE68),"",XS_Designer_Calculations!AE68)</f>
        <v/>
      </c>
      <c r="I68" s="4" t="str">
        <f>IF(ISERROR(XS_Designer_Calculations!W68),"",XS_Designer_Calculations!W68)</f>
        <v/>
      </c>
      <c r="J68" s="4" t="str">
        <f>IF(K68&lt;&gt;"",IF(ISERROR(XS_Designer_Calculations!AL68:AL168),"",XS_Designer_Calculations!AL68:AL168),"")</f>
        <v/>
      </c>
      <c r="K68" s="22" t="str">
        <f>IF(IF(ISERROR(XS_Designer_Calculations!AJ68:AJ168),"",XS_Designer_Calculations!AJ68:AJ168)&lt;&gt;MAX($K$4:$K67),IF(ISERROR(XS_Designer_Calculations!AJ68:AJ168),"",XS_Designer_Calculations!AJ68:AJ168),"")</f>
        <v/>
      </c>
      <c r="L68" s="142" t="str">
        <f>IF(K68&lt;&gt;"",IF(ISERROR(XS_Designer_Calculations!X68:X168),"",XS_Designer_Calculations!X68:X168),"")</f>
        <v/>
      </c>
      <c r="M68" s="22" t="str">
        <f>IF(ISERROR(XS_Designer_Calculations!AI68:AI168),"",XS_Designer_Calculations!AI68:AI168)</f>
        <v/>
      </c>
      <c r="N68" s="22" t="str">
        <f>IF(ISERROR(XS_Designer_Calculations!X68:X168),"",XS_Designer_Calculations!X68:X168)</f>
        <v/>
      </c>
      <c r="X68" s="46" t="str">
        <f>IF(OR(ISERROR(XS_Designer_Calculations!BG67),B68="",ISERROR(XS_Designer_Calculations!BN67)),"",XS_Designer_Calculations!BN67)</f>
        <v/>
      </c>
      <c r="Y68" s="46" t="str">
        <f>IF(OR(ISERROR(XS_Designer_Calculations!BG67),X68=""),"",XS_Designer_Calculations!BH67)</f>
        <v/>
      </c>
      <c r="Z68" s="46" t="str">
        <f>IF(OR(ISERROR(XS_Designer_Calculations!BG67),X68=""),"",XS_Designer_Calculations!$O$18)</f>
        <v/>
      </c>
      <c r="AB68" s="14">
        <f>IFERROR(XS_Designer_Summary!AK66,0)</f>
        <v>-10.064462500000033</v>
      </c>
      <c r="AC68" s="14">
        <f>IFERROR(XS_Designer_Summary!AV66,0)</f>
        <v>3.0180622260898393</v>
      </c>
      <c r="AD68" s="14">
        <f>IFERROR(XS_Designer_Summary!AK66,0)</f>
        <v>-10.064462500000033</v>
      </c>
      <c r="AE68" s="14">
        <f>IFERROR(XS_Designer_Summary!AW66,0)</f>
        <v>1.8061285604032631</v>
      </c>
      <c r="AF68" s="14">
        <f>IFERROR(XS_Designer_Summary!AK66,0)</f>
        <v>-10.064462500000033</v>
      </c>
      <c r="AG68" s="14">
        <f>IFERROR(XS_Designer_Summary!BF66,0)</f>
        <v>5.6900929578715882</v>
      </c>
    </row>
    <row r="69" spans="2:33">
      <c r="B69" s="22" t="str">
        <f>IF(ISERROR(XS_Designer_Calculations!B69),"",XS_Designer_Calculations!B69)</f>
        <v/>
      </c>
      <c r="C69" s="22" t="str">
        <f>IF(ISERROR(XS_Designer_Calculations!C69),"",XS_Designer_Calculations!C69)</f>
        <v/>
      </c>
      <c r="D69" s="3" t="str">
        <f>IF(OR(ISERROR(Data!D66), Data!D66=0),"",Data!D66)</f>
        <v/>
      </c>
      <c r="E69" s="3" t="str">
        <f>IF(F69&lt;&gt;"",IF(ISERROR(XS_Designer_Calculations!AH69),"",XS_Designer_Calculations!AH69),"")</f>
        <v/>
      </c>
      <c r="F69" s="3" t="str">
        <f>IF(IF(ISERROR(XS_Designer_Calculations!AF69),"",XS_Designer_Calculations!AF69)&lt;&gt;MAX($F$4:$F68),IF(ISERROR(XS_Designer_Calculations!AF69),"",XS_Designer_Calculations!AF69),"")</f>
        <v/>
      </c>
      <c r="G69" s="4" t="str">
        <f>IF(F69&lt;&gt;"",IF(ISERROR(XS_Designer_Calculations!W69),"",XS_Designer_Calculations!W69),"")</f>
        <v/>
      </c>
      <c r="H69" s="3" t="str">
        <f>IF(ISERROR(XS_Designer_Calculations!AE69),"",XS_Designer_Calculations!AE69)</f>
        <v/>
      </c>
      <c r="I69" s="4" t="str">
        <f>IF(ISERROR(XS_Designer_Calculations!W69),"",XS_Designer_Calculations!W69)</f>
        <v/>
      </c>
      <c r="J69" s="4" t="str">
        <f>IF(K69&lt;&gt;"",IF(ISERROR(XS_Designer_Calculations!AL69:AL169),"",XS_Designer_Calculations!AL69:AL169),"")</f>
        <v/>
      </c>
      <c r="K69" s="22" t="str">
        <f>IF(IF(ISERROR(XS_Designer_Calculations!AJ69:AJ169),"",XS_Designer_Calculations!AJ69:AJ169)&lt;&gt;MAX($K$4:$K68),IF(ISERROR(XS_Designer_Calculations!AJ69:AJ169),"",XS_Designer_Calculations!AJ69:AJ169),"")</f>
        <v/>
      </c>
      <c r="L69" s="142" t="str">
        <f>IF(K69&lt;&gt;"",IF(ISERROR(XS_Designer_Calculations!X69:X169),"",XS_Designer_Calculations!X69:X169),"")</f>
        <v/>
      </c>
      <c r="M69" s="22" t="str">
        <f>IF(ISERROR(XS_Designer_Calculations!AI69:AI169),"",XS_Designer_Calculations!AI69:AI169)</f>
        <v/>
      </c>
      <c r="N69" s="22" t="str">
        <f>IF(ISERROR(XS_Designer_Calculations!X69:X169),"",XS_Designer_Calculations!X69:X169)</f>
        <v/>
      </c>
      <c r="X69" s="46" t="str">
        <f>IF(OR(ISERROR(XS_Designer_Calculations!BG68),B69="",ISERROR(XS_Designer_Calculations!BN68)),"",XS_Designer_Calculations!BN68)</f>
        <v/>
      </c>
      <c r="Y69" s="46" t="str">
        <f>IF(OR(ISERROR(XS_Designer_Calculations!BG68),X69=""),"",XS_Designer_Calculations!BH68)</f>
        <v/>
      </c>
      <c r="Z69" s="46" t="str">
        <f>IF(OR(ISERROR(XS_Designer_Calculations!BG68),X69=""),"",XS_Designer_Calculations!$O$18)</f>
        <v/>
      </c>
      <c r="AB69" s="14">
        <f>IFERROR(XS_Designer_Summary!AK67,0)</f>
        <v>-9.7924500000000325</v>
      </c>
      <c r="AC69" s="14">
        <f>IFERROR(XS_Designer_Summary!AV67,0)</f>
        <v>3.0218420272070698</v>
      </c>
      <c r="AD69" s="14">
        <f>IFERROR(XS_Designer_Summary!AK67,0)</f>
        <v>-9.7924500000000325</v>
      </c>
      <c r="AE69" s="14">
        <f>IFERROR(XS_Designer_Summary!AW67,0)</f>
        <v>1.8095225976636784</v>
      </c>
      <c r="AF69" s="14">
        <f>IFERROR(XS_Designer_Summary!AK67,0)</f>
        <v>-9.7924500000000325</v>
      </c>
      <c r="AG69" s="14">
        <f>IFERROR(XS_Designer_Summary!BF67,0)</f>
        <v>5.7012247290619777</v>
      </c>
    </row>
    <row r="70" spans="2:33">
      <c r="B70" s="22" t="str">
        <f>IF(ISERROR(XS_Designer_Calculations!B70),"",XS_Designer_Calculations!B70)</f>
        <v/>
      </c>
      <c r="C70" s="22" t="str">
        <f>IF(ISERROR(XS_Designer_Calculations!C70),"",XS_Designer_Calculations!C70)</f>
        <v/>
      </c>
      <c r="D70" s="3" t="str">
        <f>IF(OR(ISERROR(Data!D67), Data!D67=0),"",Data!D67)</f>
        <v/>
      </c>
      <c r="E70" s="3" t="str">
        <f>IF(F70&lt;&gt;"",IF(ISERROR(XS_Designer_Calculations!AH70),"",XS_Designer_Calculations!AH70),"")</f>
        <v/>
      </c>
      <c r="F70" s="3" t="str">
        <f>IF(IF(ISERROR(XS_Designer_Calculations!AF70),"",XS_Designer_Calculations!AF70)&lt;&gt;MAX($F$4:$F69),IF(ISERROR(XS_Designer_Calculations!AF70),"",XS_Designer_Calculations!AF70),"")</f>
        <v/>
      </c>
      <c r="G70" s="4" t="str">
        <f>IF(F70&lt;&gt;"",IF(ISERROR(XS_Designer_Calculations!W70),"",XS_Designer_Calculations!W70),"")</f>
        <v/>
      </c>
      <c r="H70" s="3" t="str">
        <f>IF(ISERROR(XS_Designer_Calculations!AE70),"",XS_Designer_Calculations!AE70)</f>
        <v/>
      </c>
      <c r="I70" s="4" t="str">
        <f>IF(ISERROR(XS_Designer_Calculations!W70),"",XS_Designer_Calculations!W70)</f>
        <v/>
      </c>
      <c r="J70" s="4" t="str">
        <f>IF(K70&lt;&gt;"",IF(ISERROR(XS_Designer_Calculations!AL70:AL170),"",XS_Designer_Calculations!AL70:AL170),"")</f>
        <v/>
      </c>
      <c r="K70" s="22" t="str">
        <f>IF(IF(ISERROR(XS_Designer_Calculations!AJ70:AJ170),"",XS_Designer_Calculations!AJ70:AJ170)&lt;&gt;MAX($K$4:$K69),IF(ISERROR(XS_Designer_Calculations!AJ70:AJ170),"",XS_Designer_Calculations!AJ70:AJ170),"")</f>
        <v/>
      </c>
      <c r="L70" s="142" t="str">
        <f>IF(K70&lt;&gt;"",IF(ISERROR(XS_Designer_Calculations!X70:X170),"",XS_Designer_Calculations!X70:X170),"")</f>
        <v/>
      </c>
      <c r="M70" s="22" t="str">
        <f>IF(ISERROR(XS_Designer_Calculations!AI70:AI170),"",XS_Designer_Calculations!AI70:AI170)</f>
        <v/>
      </c>
      <c r="N70" s="22" t="str">
        <f>IF(ISERROR(XS_Designer_Calculations!X70:X170),"",XS_Designer_Calculations!X70:X170)</f>
        <v/>
      </c>
      <c r="X70" s="46" t="str">
        <f>IF(OR(ISERROR(XS_Designer_Calculations!BG69),B70="",ISERROR(XS_Designer_Calculations!BN69)),"",XS_Designer_Calculations!BN69)</f>
        <v/>
      </c>
      <c r="Y70" s="46" t="str">
        <f>IF(OR(ISERROR(XS_Designer_Calculations!BG69),X70=""),"",XS_Designer_Calculations!BH69)</f>
        <v/>
      </c>
      <c r="Z70" s="46" t="str">
        <f>IF(OR(ISERROR(XS_Designer_Calculations!BG69),X70=""),"",XS_Designer_Calculations!$O$18)</f>
        <v/>
      </c>
      <c r="AB70" s="14">
        <f>IFERROR(XS_Designer_Summary!AK68,0)</f>
        <v>-9.5204375000000319</v>
      </c>
      <c r="AC70" s="14">
        <f>IFERROR(XS_Designer_Summary!AV68,0)</f>
        <v>3.0256194658623143</v>
      </c>
      <c r="AD70" s="14">
        <f>IFERROR(XS_Designer_Summary!AK68,0)</f>
        <v>-9.5204375000000319</v>
      </c>
      <c r="AE70" s="14">
        <f>IFERROR(XS_Designer_Summary!AW68,0)</f>
        <v>1.8129166349240933</v>
      </c>
      <c r="AF70" s="14">
        <f>IFERROR(XS_Designer_Summary!AK68,0)</f>
        <v>-9.5204375000000319</v>
      </c>
      <c r="AG70" s="14">
        <f>IFERROR(XS_Designer_Summary!BF68,0)</f>
        <v>5.7123573763981881</v>
      </c>
    </row>
    <row r="71" spans="2:33">
      <c r="B71" s="22" t="str">
        <f>IF(ISERROR(XS_Designer_Calculations!B71),"",XS_Designer_Calculations!B71)</f>
        <v/>
      </c>
      <c r="C71" s="22" t="str">
        <f>IF(ISERROR(XS_Designer_Calculations!C71),"",XS_Designer_Calculations!C71)</f>
        <v/>
      </c>
      <c r="D71" s="3" t="str">
        <f>IF(OR(ISERROR(Data!D68), Data!D68=0),"",Data!D68)</f>
        <v/>
      </c>
      <c r="E71" s="3" t="str">
        <f>IF(F71&lt;&gt;"",IF(ISERROR(XS_Designer_Calculations!AH71),"",XS_Designer_Calculations!AH71),"")</f>
        <v/>
      </c>
      <c r="F71" s="3" t="str">
        <f>IF(IF(ISERROR(XS_Designer_Calculations!AF71),"",XS_Designer_Calculations!AF71)&lt;&gt;MAX($F$4:$F70),IF(ISERROR(XS_Designer_Calculations!AF71),"",XS_Designer_Calculations!AF71),"")</f>
        <v/>
      </c>
      <c r="G71" s="4" t="str">
        <f>IF(F71&lt;&gt;"",IF(ISERROR(XS_Designer_Calculations!W71),"",XS_Designer_Calculations!W71),"")</f>
        <v/>
      </c>
      <c r="H71" s="3" t="str">
        <f>IF(ISERROR(XS_Designer_Calculations!AE71),"",XS_Designer_Calculations!AE71)</f>
        <v/>
      </c>
      <c r="I71" s="4" t="str">
        <f>IF(ISERROR(XS_Designer_Calculations!W71),"",XS_Designer_Calculations!W71)</f>
        <v/>
      </c>
      <c r="J71" s="4" t="str">
        <f>IF(K71&lt;&gt;"",IF(ISERROR(XS_Designer_Calculations!AL71:AL171),"",XS_Designer_Calculations!AL71:AL171),"")</f>
        <v/>
      </c>
      <c r="K71" s="22" t="str">
        <f>IF(IF(ISERROR(XS_Designer_Calculations!AJ71:AJ171),"",XS_Designer_Calculations!AJ71:AJ171)&lt;&gt;MAX($K$4:$K70),IF(ISERROR(XS_Designer_Calculations!AJ71:AJ171),"",XS_Designer_Calculations!AJ71:AJ171),"")</f>
        <v/>
      </c>
      <c r="L71" s="142" t="str">
        <f>IF(K71&lt;&gt;"",IF(ISERROR(XS_Designer_Calculations!X71:X171),"",XS_Designer_Calculations!X71:X171),"")</f>
        <v/>
      </c>
      <c r="M71" s="22" t="str">
        <f>IF(ISERROR(XS_Designer_Calculations!AI71:AI171),"",XS_Designer_Calculations!AI71:AI171)</f>
        <v/>
      </c>
      <c r="N71" s="22" t="str">
        <f>IF(ISERROR(XS_Designer_Calculations!X71:X171),"",XS_Designer_Calculations!X71:X171)</f>
        <v/>
      </c>
      <c r="X71" s="46" t="str">
        <f>IF(OR(ISERROR(XS_Designer_Calculations!BG70),B71="",ISERROR(XS_Designer_Calculations!BN70)),"",XS_Designer_Calculations!BN70)</f>
        <v/>
      </c>
      <c r="Y71" s="46" t="str">
        <f>IF(OR(ISERROR(XS_Designer_Calculations!BG70),X71=""),"",XS_Designer_Calculations!BH70)</f>
        <v/>
      </c>
      <c r="Z71" s="46" t="str">
        <f>IF(OR(ISERROR(XS_Designer_Calculations!BG70),X71=""),"",XS_Designer_Calculations!$O$18)</f>
        <v/>
      </c>
      <c r="AB71" s="14">
        <f>IFERROR(XS_Designer_Summary!AK69,0)</f>
        <v>-9.2484250000000312</v>
      </c>
      <c r="AC71" s="14">
        <f>IFERROR(XS_Designer_Summary!AV69,0)</f>
        <v>3.0293945479508939</v>
      </c>
      <c r="AD71" s="14">
        <f>IFERROR(XS_Designer_Summary!AK69,0)</f>
        <v>-9.2484250000000312</v>
      </c>
      <c r="AE71" s="14">
        <f>IFERROR(XS_Designer_Summary!AW69,0)</f>
        <v>1.8163106721845086</v>
      </c>
      <c r="AF71" s="14">
        <f>IFERROR(XS_Designer_Summary!AK69,0)</f>
        <v>-9.2484250000000312</v>
      </c>
      <c r="AG71" s="14">
        <f>IFERROR(XS_Designer_Summary!BF69,0)</f>
        <v>5.7234908983102448</v>
      </c>
    </row>
    <row r="72" spans="2:33">
      <c r="B72" s="22" t="str">
        <f>IF(ISERROR(XS_Designer_Calculations!B72),"",XS_Designer_Calculations!B72)</f>
        <v/>
      </c>
      <c r="C72" s="22" t="str">
        <f>IF(ISERROR(XS_Designer_Calculations!C72),"",XS_Designer_Calculations!C72)</f>
        <v/>
      </c>
      <c r="D72" s="3" t="str">
        <f>IF(OR(ISERROR(Data!D69), Data!D69=0),"",Data!D69)</f>
        <v/>
      </c>
      <c r="E72" s="3" t="str">
        <f>IF(F72&lt;&gt;"",IF(ISERROR(XS_Designer_Calculations!AH72),"",XS_Designer_Calculations!AH72),"")</f>
        <v/>
      </c>
      <c r="F72" s="3" t="str">
        <f>IF(IF(ISERROR(XS_Designer_Calculations!AF72),"",XS_Designer_Calculations!AF72)&lt;&gt;MAX($F$4:$F71),IF(ISERROR(XS_Designer_Calculations!AF72),"",XS_Designer_Calculations!AF72),"")</f>
        <v/>
      </c>
      <c r="G72" s="4" t="str">
        <f>IF(F72&lt;&gt;"",IF(ISERROR(XS_Designer_Calculations!W72),"",XS_Designer_Calculations!W72),"")</f>
        <v/>
      </c>
      <c r="H72" s="3" t="str">
        <f>IF(ISERROR(XS_Designer_Calculations!AE72),"",XS_Designer_Calculations!AE72)</f>
        <v/>
      </c>
      <c r="I72" s="4" t="str">
        <f>IF(ISERROR(XS_Designer_Calculations!W72),"",XS_Designer_Calculations!W72)</f>
        <v/>
      </c>
      <c r="J72" s="4" t="str">
        <f>IF(K72&lt;&gt;"",IF(ISERROR(XS_Designer_Calculations!AL72:AL172),"",XS_Designer_Calculations!AL72:AL172),"")</f>
        <v/>
      </c>
      <c r="K72" s="22" t="str">
        <f>IF(IF(ISERROR(XS_Designer_Calculations!AJ72:AJ172),"",XS_Designer_Calculations!AJ72:AJ172)&lt;&gt;MAX($K$4:$K71),IF(ISERROR(XS_Designer_Calculations!AJ72:AJ172),"",XS_Designer_Calculations!AJ72:AJ172),"")</f>
        <v/>
      </c>
      <c r="L72" s="142" t="str">
        <f>IF(K72&lt;&gt;"",IF(ISERROR(XS_Designer_Calculations!X72:X172),"",XS_Designer_Calculations!X72:X172),"")</f>
        <v/>
      </c>
      <c r="M72" s="22" t="str">
        <f>IF(ISERROR(XS_Designer_Calculations!AI72:AI172),"",XS_Designer_Calculations!AI72:AI172)</f>
        <v/>
      </c>
      <c r="N72" s="22" t="str">
        <f>IF(ISERROR(XS_Designer_Calculations!X72:X172),"",XS_Designer_Calculations!X72:X172)</f>
        <v/>
      </c>
      <c r="X72" s="46" t="str">
        <f>IF(OR(ISERROR(XS_Designer_Calculations!BG71),B72="",ISERROR(XS_Designer_Calculations!BN71)),"",XS_Designer_Calculations!BN71)</f>
        <v/>
      </c>
      <c r="Y72" s="46" t="str">
        <f>IF(OR(ISERROR(XS_Designer_Calculations!BG71),X72=""),"",XS_Designer_Calculations!BH71)</f>
        <v/>
      </c>
      <c r="Z72" s="46" t="str">
        <f>IF(OR(ISERROR(XS_Designer_Calculations!BG71),X72=""),"",XS_Designer_Calculations!$O$18)</f>
        <v/>
      </c>
      <c r="AB72" s="14">
        <f>IFERROR(XS_Designer_Summary!AK70,0)</f>
        <v>-8.9764125000000305</v>
      </c>
      <c r="AC72" s="14">
        <f>IFERROR(XS_Designer_Summary!AV70,0)</f>
        <v>3.0331672793424316</v>
      </c>
      <c r="AD72" s="14">
        <f>IFERROR(XS_Designer_Summary!AK70,0)</f>
        <v>-8.9764125000000305</v>
      </c>
      <c r="AE72" s="14">
        <f>IFERROR(XS_Designer_Summary!AW70,0)</f>
        <v>1.8197047094449232</v>
      </c>
      <c r="AF72" s="14">
        <f>IFERROR(XS_Designer_Summary!AK70,0)</f>
        <v>-8.9764125000000305</v>
      </c>
      <c r="AG72" s="14">
        <f>IFERROR(XS_Designer_Summary!BF70,0)</f>
        <v>5.7346252932339201</v>
      </c>
    </row>
    <row r="73" spans="2:33">
      <c r="B73" s="22" t="str">
        <f>IF(ISERROR(XS_Designer_Calculations!B73),"",XS_Designer_Calculations!B73)</f>
        <v/>
      </c>
      <c r="C73" s="22" t="str">
        <f>IF(ISERROR(XS_Designer_Calculations!C73),"",XS_Designer_Calculations!C73)</f>
        <v/>
      </c>
      <c r="D73" s="3" t="str">
        <f>IF(OR(ISERROR(Data!D70), Data!D70=0),"",Data!D70)</f>
        <v/>
      </c>
      <c r="E73" s="3" t="str">
        <f>IF(F73&lt;&gt;"",IF(ISERROR(XS_Designer_Calculations!AH73),"",XS_Designer_Calculations!AH73),"")</f>
        <v/>
      </c>
      <c r="F73" s="3" t="str">
        <f>IF(IF(ISERROR(XS_Designer_Calculations!AF73),"",XS_Designer_Calculations!AF73)&lt;&gt;MAX($F$4:$F72),IF(ISERROR(XS_Designer_Calculations!AF73),"",XS_Designer_Calculations!AF73),"")</f>
        <v/>
      </c>
      <c r="G73" s="4" t="str">
        <f>IF(F73&lt;&gt;"",IF(ISERROR(XS_Designer_Calculations!W73),"",XS_Designer_Calculations!W73),"")</f>
        <v/>
      </c>
      <c r="H73" s="3" t="str">
        <f>IF(ISERROR(XS_Designer_Calculations!AE73),"",XS_Designer_Calculations!AE73)</f>
        <v/>
      </c>
      <c r="I73" s="4" t="str">
        <f>IF(ISERROR(XS_Designer_Calculations!W73),"",XS_Designer_Calculations!W73)</f>
        <v/>
      </c>
      <c r="J73" s="4" t="str">
        <f>IF(K73&lt;&gt;"",IF(ISERROR(XS_Designer_Calculations!AL73:AL173),"",XS_Designer_Calculations!AL73:AL173),"")</f>
        <v/>
      </c>
      <c r="K73" s="22" t="str">
        <f>IF(IF(ISERROR(XS_Designer_Calculations!AJ73:AJ173),"",XS_Designer_Calculations!AJ73:AJ173)&lt;&gt;MAX($K$4:$K72),IF(ISERROR(XS_Designer_Calculations!AJ73:AJ173),"",XS_Designer_Calculations!AJ73:AJ173),"")</f>
        <v/>
      </c>
      <c r="L73" s="142" t="str">
        <f>IF(K73&lt;&gt;"",IF(ISERROR(XS_Designer_Calculations!X73:X173),"",XS_Designer_Calculations!X73:X173),"")</f>
        <v/>
      </c>
      <c r="M73" s="22" t="str">
        <f>IF(ISERROR(XS_Designer_Calculations!AI73:AI173),"",XS_Designer_Calculations!AI73:AI173)</f>
        <v/>
      </c>
      <c r="N73" s="22" t="str">
        <f>IF(ISERROR(XS_Designer_Calculations!X73:X173),"",XS_Designer_Calculations!X73:X173)</f>
        <v/>
      </c>
      <c r="X73" s="46" t="str">
        <f>IF(OR(ISERROR(XS_Designer_Calculations!BG72),B73="",ISERROR(XS_Designer_Calculations!BN72)),"",XS_Designer_Calculations!BN72)</f>
        <v/>
      </c>
      <c r="Y73" s="46" t="str">
        <f>IF(OR(ISERROR(XS_Designer_Calculations!BG72),X73=""),"",XS_Designer_Calculations!BH72)</f>
        <v/>
      </c>
      <c r="Z73" s="46" t="str">
        <f>IF(OR(ISERROR(XS_Designer_Calculations!BG72),X73=""),"",XS_Designer_Calculations!$O$18)</f>
        <v/>
      </c>
      <c r="AB73" s="14">
        <f>IFERROR(XS_Designer_Summary!AK71,0)</f>
        <v>-8.7044000000000299</v>
      </c>
      <c r="AC73" s="14">
        <f>IFERROR(XS_Designer_Summary!AV71,0)</f>
        <v>3.0369376658810121</v>
      </c>
      <c r="AD73" s="14">
        <f>IFERROR(XS_Designer_Summary!AK71,0)</f>
        <v>-8.7044000000000299</v>
      </c>
      <c r="AE73" s="14">
        <f>IFERROR(XS_Designer_Summary!AW71,0)</f>
        <v>1.8230987467053381</v>
      </c>
      <c r="AF73" s="14">
        <f>IFERROR(XS_Designer_Summary!AK71,0)</f>
        <v>-8.7044000000000299</v>
      </c>
      <c r="AG73" s="14">
        <f>IFERROR(XS_Designer_Summary!BF71,0)</f>
        <v>5.7457605596106829</v>
      </c>
    </row>
    <row r="74" spans="2:33">
      <c r="B74" s="22" t="str">
        <f>IF(ISERROR(XS_Designer_Calculations!B74),"",XS_Designer_Calculations!B74)</f>
        <v/>
      </c>
      <c r="C74" s="22" t="str">
        <f>IF(ISERROR(XS_Designer_Calculations!C74),"",XS_Designer_Calculations!C74)</f>
        <v/>
      </c>
      <c r="D74" s="3" t="str">
        <f>IF(OR(ISERROR(Data!D71), Data!D71=0),"",Data!D71)</f>
        <v/>
      </c>
      <c r="E74" s="3" t="str">
        <f>IF(F74&lt;&gt;"",IF(ISERROR(XS_Designer_Calculations!AH74),"",XS_Designer_Calculations!AH74),"")</f>
        <v/>
      </c>
      <c r="F74" s="3" t="str">
        <f>IF(IF(ISERROR(XS_Designer_Calculations!AF74),"",XS_Designer_Calculations!AF74)&lt;&gt;MAX($F$4:$F73),IF(ISERROR(XS_Designer_Calculations!AF74),"",XS_Designer_Calculations!AF74),"")</f>
        <v/>
      </c>
      <c r="G74" s="4" t="str">
        <f>IF(F74&lt;&gt;"",IF(ISERROR(XS_Designer_Calculations!W74),"",XS_Designer_Calculations!W74),"")</f>
        <v/>
      </c>
      <c r="H74" s="3" t="str">
        <f>IF(ISERROR(XS_Designer_Calculations!AE74),"",XS_Designer_Calculations!AE74)</f>
        <v/>
      </c>
      <c r="I74" s="4" t="str">
        <f>IF(ISERROR(XS_Designer_Calculations!W74),"",XS_Designer_Calculations!W74)</f>
        <v/>
      </c>
      <c r="J74" s="4" t="str">
        <f>IF(K74&lt;&gt;"",IF(ISERROR(XS_Designer_Calculations!AL74:AL174),"",XS_Designer_Calculations!AL74:AL174),"")</f>
        <v/>
      </c>
      <c r="K74" s="22" t="str">
        <f>IF(IF(ISERROR(XS_Designer_Calculations!AJ74:AJ174),"",XS_Designer_Calculations!AJ74:AJ174)&lt;&gt;MAX($K$4:$K73),IF(ISERROR(XS_Designer_Calculations!AJ74:AJ174),"",XS_Designer_Calculations!AJ74:AJ174),"")</f>
        <v/>
      </c>
      <c r="L74" s="142" t="str">
        <f>IF(K74&lt;&gt;"",IF(ISERROR(XS_Designer_Calculations!X74:X174),"",XS_Designer_Calculations!X74:X174),"")</f>
        <v/>
      </c>
      <c r="M74" s="22" t="str">
        <f>IF(ISERROR(XS_Designer_Calculations!AI74:AI174),"",XS_Designer_Calculations!AI74:AI174)</f>
        <v/>
      </c>
      <c r="N74" s="22" t="str">
        <f>IF(ISERROR(XS_Designer_Calculations!X74:X174),"",XS_Designer_Calculations!X74:X174)</f>
        <v/>
      </c>
      <c r="X74" s="46" t="str">
        <f>IF(OR(ISERROR(XS_Designer_Calculations!BG73),B74="",ISERROR(XS_Designer_Calculations!BN73)),"",XS_Designer_Calculations!BN73)</f>
        <v/>
      </c>
      <c r="Y74" s="46" t="str">
        <f>IF(OR(ISERROR(XS_Designer_Calculations!BG73),X74=""),"",XS_Designer_Calculations!BH73)</f>
        <v/>
      </c>
      <c r="Z74" s="46" t="str">
        <f>IF(OR(ISERROR(XS_Designer_Calculations!BG73),X74=""),"",XS_Designer_Calculations!$O$18)</f>
        <v/>
      </c>
      <c r="AB74" s="14">
        <f>IFERROR(XS_Designer_Summary!AK72,0)</f>
        <v>-8.4323875000000292</v>
      </c>
      <c r="AC74" s="14">
        <f>IFERROR(XS_Designer_Summary!AV72,0)</f>
        <v>3.0407057133853437</v>
      </c>
      <c r="AD74" s="14">
        <f>IFERROR(XS_Designer_Summary!AK72,0)</f>
        <v>-8.4323875000000292</v>
      </c>
      <c r="AE74" s="14">
        <f>IFERROR(XS_Designer_Summary!AW72,0)</f>
        <v>1.8264927839657541</v>
      </c>
      <c r="AF74" s="14">
        <f>IFERROR(XS_Designer_Summary!AK72,0)</f>
        <v>-8.4323875000000292</v>
      </c>
      <c r="AG74" s="14">
        <f>IFERROR(XS_Designer_Summary!BF72,0)</f>
        <v>5.7568966958876846</v>
      </c>
    </row>
    <row r="75" spans="2:33">
      <c r="B75" s="22" t="str">
        <f>IF(ISERROR(XS_Designer_Calculations!B75),"",XS_Designer_Calculations!B75)</f>
        <v/>
      </c>
      <c r="C75" s="22" t="str">
        <f>IF(ISERROR(XS_Designer_Calculations!C75),"",XS_Designer_Calculations!C75)</f>
        <v/>
      </c>
      <c r="D75" s="3" t="str">
        <f>IF(OR(ISERROR(Data!D72), Data!D72=0),"",Data!D72)</f>
        <v/>
      </c>
      <c r="E75" s="3" t="str">
        <f>IF(F75&lt;&gt;"",IF(ISERROR(XS_Designer_Calculations!AH75),"",XS_Designer_Calculations!AH75),"")</f>
        <v/>
      </c>
      <c r="F75" s="3" t="str">
        <f>IF(IF(ISERROR(XS_Designer_Calculations!AF75),"",XS_Designer_Calculations!AF75)&lt;&gt;MAX($F$4:$F74),IF(ISERROR(XS_Designer_Calculations!AF75),"",XS_Designer_Calculations!AF75),"")</f>
        <v/>
      </c>
      <c r="G75" s="4" t="str">
        <f>IF(F75&lt;&gt;"",IF(ISERROR(XS_Designer_Calculations!W75),"",XS_Designer_Calculations!W75),"")</f>
        <v/>
      </c>
      <c r="H75" s="3" t="str">
        <f>IF(ISERROR(XS_Designer_Calculations!AE75),"",XS_Designer_Calculations!AE75)</f>
        <v/>
      </c>
      <c r="I75" s="4" t="str">
        <f>IF(ISERROR(XS_Designer_Calculations!W75),"",XS_Designer_Calculations!W75)</f>
        <v/>
      </c>
      <c r="J75" s="4" t="str">
        <f>IF(K75&lt;&gt;"",IF(ISERROR(XS_Designer_Calculations!AL75:AL175),"",XS_Designer_Calculations!AL75:AL175),"")</f>
        <v/>
      </c>
      <c r="K75" s="22" t="str">
        <f>IF(IF(ISERROR(XS_Designer_Calculations!AJ75:AJ175),"",XS_Designer_Calculations!AJ75:AJ175)&lt;&gt;MAX($K$4:$K74),IF(ISERROR(XS_Designer_Calculations!AJ75:AJ175),"",XS_Designer_Calculations!AJ75:AJ175),"")</f>
        <v/>
      </c>
      <c r="L75" s="142" t="str">
        <f>IF(K75&lt;&gt;"",IF(ISERROR(XS_Designer_Calculations!X75:X175),"",XS_Designer_Calculations!X75:X175),"")</f>
        <v/>
      </c>
      <c r="M75" s="22" t="str">
        <f>IF(ISERROR(XS_Designer_Calculations!AI75:AI175),"",XS_Designer_Calculations!AI75:AI175)</f>
        <v/>
      </c>
      <c r="N75" s="22" t="str">
        <f>IF(ISERROR(XS_Designer_Calculations!X75:X175),"",XS_Designer_Calculations!X75:X175)</f>
        <v/>
      </c>
      <c r="X75" s="46" t="str">
        <f>IF(OR(ISERROR(XS_Designer_Calculations!BG74),B75="",ISERROR(XS_Designer_Calculations!BN74)),"",XS_Designer_Calculations!BN74)</f>
        <v/>
      </c>
      <c r="Y75" s="46" t="str">
        <f>IF(OR(ISERROR(XS_Designer_Calculations!BG74),X75=""),"",XS_Designer_Calculations!BH74)</f>
        <v/>
      </c>
      <c r="Z75" s="46" t="str">
        <f>IF(OR(ISERROR(XS_Designer_Calculations!BG74),X75=""),"",XS_Designer_Calculations!$O$18)</f>
        <v/>
      </c>
      <c r="AB75" s="14">
        <f>IFERROR(XS_Designer_Summary!AK73,0)</f>
        <v>-8.1603750000000286</v>
      </c>
      <c r="AC75" s="14">
        <f>IFERROR(XS_Designer_Summary!AV73,0)</f>
        <v>3.0444714276489129</v>
      </c>
      <c r="AD75" s="14">
        <f>IFERROR(XS_Designer_Summary!AK73,0)</f>
        <v>-8.1603750000000286</v>
      </c>
      <c r="AE75" s="14">
        <f>IFERROR(XS_Designer_Summary!AW73,0)</f>
        <v>1.8298868212261687</v>
      </c>
      <c r="AF75" s="14">
        <f>IFERROR(XS_Designer_Summary!AK73,0)</f>
        <v>-8.1603750000000286</v>
      </c>
      <c r="AG75" s="14">
        <f>IFERROR(XS_Designer_Summary!BF73,0)</f>
        <v>5.7680337005177238</v>
      </c>
    </row>
    <row r="76" spans="2:33">
      <c r="B76" s="22" t="str">
        <f>IF(ISERROR(XS_Designer_Calculations!B76),"",XS_Designer_Calculations!B76)</f>
        <v/>
      </c>
      <c r="C76" s="22" t="str">
        <f>IF(ISERROR(XS_Designer_Calculations!C76),"",XS_Designer_Calculations!C76)</f>
        <v/>
      </c>
      <c r="D76" s="3" t="str">
        <f>IF(OR(ISERROR(Data!D73), Data!D73=0),"",Data!D73)</f>
        <v/>
      </c>
      <c r="E76" s="3" t="str">
        <f>IF(F76&lt;&gt;"",IF(ISERROR(XS_Designer_Calculations!AH76),"",XS_Designer_Calculations!AH76),"")</f>
        <v/>
      </c>
      <c r="F76" s="3" t="str">
        <f>IF(IF(ISERROR(XS_Designer_Calculations!AF76),"",XS_Designer_Calculations!AF76)&lt;&gt;MAX($F$4:$F75),IF(ISERROR(XS_Designer_Calculations!AF76),"",XS_Designer_Calculations!AF76),"")</f>
        <v/>
      </c>
      <c r="G76" s="4" t="str">
        <f>IF(F76&lt;&gt;"",IF(ISERROR(XS_Designer_Calculations!W76),"",XS_Designer_Calculations!W76),"")</f>
        <v/>
      </c>
      <c r="H76" s="3" t="str">
        <f>IF(ISERROR(XS_Designer_Calculations!AE76),"",XS_Designer_Calculations!AE76)</f>
        <v/>
      </c>
      <c r="I76" s="4" t="str">
        <f>IF(ISERROR(XS_Designer_Calculations!W76),"",XS_Designer_Calculations!W76)</f>
        <v/>
      </c>
      <c r="J76" s="4" t="str">
        <f>IF(K76&lt;&gt;"",IF(ISERROR(XS_Designer_Calculations!AL76:AL176),"",XS_Designer_Calculations!AL76:AL176),"")</f>
        <v/>
      </c>
      <c r="K76" s="22" t="str">
        <f>IF(IF(ISERROR(XS_Designer_Calculations!AJ76:AJ176),"",XS_Designer_Calculations!AJ76:AJ176)&lt;&gt;MAX($K$4:$K75),IF(ISERROR(XS_Designer_Calculations!AJ76:AJ176),"",XS_Designer_Calculations!AJ76:AJ176),"")</f>
        <v/>
      </c>
      <c r="L76" s="142" t="str">
        <f>IF(K76&lt;&gt;"",IF(ISERROR(XS_Designer_Calculations!X76:X176),"",XS_Designer_Calculations!X76:X176),"")</f>
        <v/>
      </c>
      <c r="M76" s="22" t="str">
        <f>IF(ISERROR(XS_Designer_Calculations!AI76:AI176),"",XS_Designer_Calculations!AI76:AI176)</f>
        <v/>
      </c>
      <c r="N76" s="22" t="str">
        <f>IF(ISERROR(XS_Designer_Calculations!X76:X176),"",XS_Designer_Calculations!X76:X176)</f>
        <v/>
      </c>
      <c r="X76" s="46" t="str">
        <f>IF(OR(ISERROR(XS_Designer_Calculations!BG75),B76="",ISERROR(XS_Designer_Calculations!BN75)),"",XS_Designer_Calculations!BN75)</f>
        <v/>
      </c>
      <c r="Y76" s="46" t="str">
        <f>IF(OR(ISERROR(XS_Designer_Calculations!BG75),X76=""),"",XS_Designer_Calculations!BH75)</f>
        <v/>
      </c>
      <c r="Z76" s="46" t="str">
        <f>IF(OR(ISERROR(XS_Designer_Calculations!BG75),X76=""),"",XS_Designer_Calculations!$O$18)</f>
        <v/>
      </c>
      <c r="AB76" s="14">
        <f>IFERROR(XS_Designer_Summary!AK74,0)</f>
        <v>-7.8883625000000288</v>
      </c>
      <c r="AC76" s="14">
        <f>IFERROR(XS_Designer_Summary!AV74,0)</f>
        <v>3.048234814440145</v>
      </c>
      <c r="AD76" s="14">
        <f>IFERROR(XS_Designer_Summary!AK74,0)</f>
        <v>-7.8883625000000288</v>
      </c>
      <c r="AE76" s="14">
        <f>IFERROR(XS_Designer_Summary!AW74,0)</f>
        <v>1.8332808584865898</v>
      </c>
      <c r="AF76" s="14">
        <f>IFERROR(XS_Designer_Summary!AK74,0)</f>
        <v>-7.8883625000000288</v>
      </c>
      <c r="AG76" s="14">
        <f>IFERROR(XS_Designer_Summary!BF74,0)</f>
        <v>5.7791715719592078</v>
      </c>
    </row>
    <row r="77" spans="2:33">
      <c r="B77" s="22" t="str">
        <f>IF(ISERROR(XS_Designer_Calculations!B77),"",XS_Designer_Calculations!B77)</f>
        <v/>
      </c>
      <c r="C77" s="22" t="str">
        <f>IF(ISERROR(XS_Designer_Calculations!C77),"",XS_Designer_Calculations!C77)</f>
        <v/>
      </c>
      <c r="D77" s="3" t="str">
        <f>IF(OR(ISERROR(Data!D74), Data!D74=0),"",Data!D74)</f>
        <v/>
      </c>
      <c r="E77" s="3" t="str">
        <f>IF(F77&lt;&gt;"",IF(ISERROR(XS_Designer_Calculations!AH77),"",XS_Designer_Calculations!AH77),"")</f>
        <v/>
      </c>
      <c r="F77" s="3" t="str">
        <f>IF(IF(ISERROR(XS_Designer_Calculations!AF77),"",XS_Designer_Calculations!AF77)&lt;&gt;MAX($F$4:$F76),IF(ISERROR(XS_Designer_Calculations!AF77),"",XS_Designer_Calculations!AF77),"")</f>
        <v/>
      </c>
      <c r="G77" s="4" t="str">
        <f>IF(F77&lt;&gt;"",IF(ISERROR(XS_Designer_Calculations!W77),"",XS_Designer_Calculations!W77),"")</f>
        <v/>
      </c>
      <c r="H77" s="3" t="str">
        <f>IF(ISERROR(XS_Designer_Calculations!AE77),"",XS_Designer_Calculations!AE77)</f>
        <v/>
      </c>
      <c r="I77" s="4" t="str">
        <f>IF(ISERROR(XS_Designer_Calculations!W77),"",XS_Designer_Calculations!W77)</f>
        <v/>
      </c>
      <c r="J77" s="4" t="str">
        <f>IF(K77&lt;&gt;"",IF(ISERROR(XS_Designer_Calculations!AL77:AL177),"",XS_Designer_Calculations!AL77:AL177),"")</f>
        <v/>
      </c>
      <c r="K77" s="22" t="str">
        <f>IF(IF(ISERROR(XS_Designer_Calculations!AJ77:AJ177),"",XS_Designer_Calculations!AJ77:AJ177)&lt;&gt;MAX($K$4:$K76),IF(ISERROR(XS_Designer_Calculations!AJ77:AJ177),"",XS_Designer_Calculations!AJ77:AJ177),"")</f>
        <v/>
      </c>
      <c r="L77" s="142" t="str">
        <f>IF(K77&lt;&gt;"",IF(ISERROR(XS_Designer_Calculations!X77:X177),"",XS_Designer_Calculations!X77:X177),"")</f>
        <v/>
      </c>
      <c r="M77" s="22" t="str">
        <f>IF(ISERROR(XS_Designer_Calculations!AI77:AI177),"",XS_Designer_Calculations!AI77:AI177)</f>
        <v/>
      </c>
      <c r="N77" s="22" t="str">
        <f>IF(ISERROR(XS_Designer_Calculations!X77:X177),"",XS_Designer_Calculations!X77:X177)</f>
        <v/>
      </c>
      <c r="X77" s="46" t="str">
        <f>IF(OR(ISERROR(XS_Designer_Calculations!BG76),B77="",ISERROR(XS_Designer_Calculations!BN76)),"",XS_Designer_Calculations!BN76)</f>
        <v/>
      </c>
      <c r="Y77" s="46" t="str">
        <f>IF(OR(ISERROR(XS_Designer_Calculations!BG76),X77=""),"",XS_Designer_Calculations!BH76)</f>
        <v/>
      </c>
      <c r="Z77" s="46" t="str">
        <f>IF(OR(ISERROR(XS_Designer_Calculations!BG76),X77=""),"",XS_Designer_Calculations!$O$18)</f>
        <v/>
      </c>
      <c r="AB77" s="14">
        <f>IFERROR(XS_Designer_Summary!AK75,0)</f>
        <v>-7.616350000000029</v>
      </c>
      <c r="AC77" s="14">
        <f>IFERROR(XS_Designer_Summary!AV75,0)</f>
        <v>3.051995879502539</v>
      </c>
      <c r="AD77" s="14">
        <f>IFERROR(XS_Designer_Summary!AK75,0)</f>
        <v>-7.616350000000029</v>
      </c>
      <c r="AE77" s="14">
        <f>IFERROR(XS_Designer_Summary!AW75,0)</f>
        <v>1.8366748957470049</v>
      </c>
      <c r="AF77" s="14">
        <f>IFERROR(XS_Designer_Summary!AK75,0)</f>
        <v>-7.616350000000029</v>
      </c>
      <c r="AG77" s="14">
        <f>IFERROR(XS_Designer_Summary!BF75,0)</f>
        <v>5.7903103086761307</v>
      </c>
    </row>
    <row r="78" spans="2:33">
      <c r="B78" s="22" t="str">
        <f>IF(ISERROR(XS_Designer_Calculations!B78),"",XS_Designer_Calculations!B78)</f>
        <v/>
      </c>
      <c r="C78" s="22" t="str">
        <f>IF(ISERROR(XS_Designer_Calculations!C78),"",XS_Designer_Calculations!C78)</f>
        <v/>
      </c>
      <c r="D78" s="3" t="str">
        <f>IF(OR(ISERROR(Data!D75), Data!D75=0),"",Data!D75)</f>
        <v/>
      </c>
      <c r="E78" s="3" t="str">
        <f>IF(F78&lt;&gt;"",IF(ISERROR(XS_Designer_Calculations!AH78),"",XS_Designer_Calculations!AH78),"")</f>
        <v/>
      </c>
      <c r="F78" s="3" t="str">
        <f>IF(IF(ISERROR(XS_Designer_Calculations!AF78),"",XS_Designer_Calculations!AF78)&lt;&gt;MAX($F$4:$F77),IF(ISERROR(XS_Designer_Calculations!AF78),"",XS_Designer_Calculations!AF78),"")</f>
        <v/>
      </c>
      <c r="G78" s="4" t="str">
        <f>IF(F78&lt;&gt;"",IF(ISERROR(XS_Designer_Calculations!W78),"",XS_Designer_Calculations!W78),"")</f>
        <v/>
      </c>
      <c r="H78" s="3" t="str">
        <f>IF(ISERROR(XS_Designer_Calculations!AE78),"",XS_Designer_Calculations!AE78)</f>
        <v/>
      </c>
      <c r="I78" s="4" t="str">
        <f>IF(ISERROR(XS_Designer_Calculations!W78),"",XS_Designer_Calculations!W78)</f>
        <v/>
      </c>
      <c r="J78" s="4" t="str">
        <f>IF(K78&lt;&gt;"",IF(ISERROR(XS_Designer_Calculations!AL78:AL178),"",XS_Designer_Calculations!AL78:AL178),"")</f>
        <v/>
      </c>
      <c r="K78" s="22" t="str">
        <f>IF(IF(ISERROR(XS_Designer_Calculations!AJ78:AJ178),"",XS_Designer_Calculations!AJ78:AJ178)&lt;&gt;MAX($K$4:$K77),IF(ISERROR(XS_Designer_Calculations!AJ78:AJ178),"",XS_Designer_Calculations!AJ78:AJ178),"")</f>
        <v/>
      </c>
      <c r="L78" s="142" t="str">
        <f>IF(K78&lt;&gt;"",IF(ISERROR(XS_Designer_Calculations!X78:X178),"",XS_Designer_Calculations!X78:X178),"")</f>
        <v/>
      </c>
      <c r="M78" s="22" t="str">
        <f>IF(ISERROR(XS_Designer_Calculations!AI78:AI178),"",XS_Designer_Calculations!AI78:AI178)</f>
        <v/>
      </c>
      <c r="N78" s="22" t="str">
        <f>IF(ISERROR(XS_Designer_Calculations!X78:X178),"",XS_Designer_Calculations!X78:X178)</f>
        <v/>
      </c>
      <c r="X78" s="46" t="str">
        <f>IF(OR(ISERROR(XS_Designer_Calculations!BG77),B78="",ISERROR(XS_Designer_Calculations!BN77)),"",XS_Designer_Calculations!BN77)</f>
        <v/>
      </c>
      <c r="Y78" s="46" t="str">
        <f>IF(OR(ISERROR(XS_Designer_Calculations!BG77),X78=""),"",XS_Designer_Calculations!BH77)</f>
        <v/>
      </c>
      <c r="Z78" s="46" t="str">
        <f>IF(OR(ISERROR(XS_Designer_Calculations!BG77),X78=""),"",XS_Designer_Calculations!$O$18)</f>
        <v/>
      </c>
      <c r="AB78" s="14">
        <f>IFERROR(XS_Designer_Summary!AK76,0)</f>
        <v>-7.3443375000000293</v>
      </c>
      <c r="AC78" s="14">
        <f>IFERROR(XS_Designer_Summary!AV76,0)</f>
        <v>3.0557546285548507</v>
      </c>
      <c r="AD78" s="14">
        <f>IFERROR(XS_Designer_Summary!AK76,0)</f>
        <v>-7.3443375000000293</v>
      </c>
      <c r="AE78" s="14">
        <f>IFERROR(XS_Designer_Summary!AW76,0)</f>
        <v>1.8400689330074198</v>
      </c>
      <c r="AF78" s="14">
        <f>IFERROR(XS_Designer_Summary!AK76,0)</f>
        <v>-7.3443375000000293</v>
      </c>
      <c r="AG78" s="14">
        <f>IFERROR(XS_Designer_Summary!BF76,0)</f>
        <v>5.8014499091380358</v>
      </c>
    </row>
    <row r="79" spans="2:33">
      <c r="B79" s="22" t="str">
        <f>IF(ISERROR(XS_Designer_Calculations!B79),"",XS_Designer_Calculations!B79)</f>
        <v/>
      </c>
      <c r="C79" s="22" t="str">
        <f>IF(ISERROR(XS_Designer_Calculations!C79),"",XS_Designer_Calculations!C79)</f>
        <v/>
      </c>
      <c r="D79" s="3" t="str">
        <f>IF(OR(ISERROR(Data!D76), Data!D76=0),"",Data!D76)</f>
        <v/>
      </c>
      <c r="E79" s="3" t="str">
        <f>IF(F79&lt;&gt;"",IF(ISERROR(XS_Designer_Calculations!AH79),"",XS_Designer_Calculations!AH79),"")</f>
        <v/>
      </c>
      <c r="F79" s="3" t="str">
        <f>IF(IF(ISERROR(XS_Designer_Calculations!AF79),"",XS_Designer_Calculations!AF79)&lt;&gt;MAX($F$4:$F78),IF(ISERROR(XS_Designer_Calculations!AF79),"",XS_Designer_Calculations!AF79),"")</f>
        <v/>
      </c>
      <c r="G79" s="4" t="str">
        <f>IF(F79&lt;&gt;"",IF(ISERROR(XS_Designer_Calculations!W79),"",XS_Designer_Calculations!W79),"")</f>
        <v/>
      </c>
      <c r="H79" s="3" t="str">
        <f>IF(ISERROR(XS_Designer_Calculations!AE79),"",XS_Designer_Calculations!AE79)</f>
        <v/>
      </c>
      <c r="I79" s="4" t="str">
        <f>IF(ISERROR(XS_Designer_Calculations!W79),"",XS_Designer_Calculations!W79)</f>
        <v/>
      </c>
      <c r="J79" s="4" t="str">
        <f>IF(K79&lt;&gt;"",IF(ISERROR(XS_Designer_Calculations!AL79:AL179),"",XS_Designer_Calculations!AL79:AL179),"")</f>
        <v/>
      </c>
      <c r="K79" s="22" t="str">
        <f>IF(IF(ISERROR(XS_Designer_Calculations!AJ79:AJ179),"",XS_Designer_Calculations!AJ79:AJ179)&lt;&gt;MAX($K$4:$K78),IF(ISERROR(XS_Designer_Calculations!AJ79:AJ179),"",XS_Designer_Calculations!AJ79:AJ179),"")</f>
        <v/>
      </c>
      <c r="L79" s="142" t="str">
        <f>IF(K79&lt;&gt;"",IF(ISERROR(XS_Designer_Calculations!X79:X179),"",XS_Designer_Calculations!X79:X179),"")</f>
        <v/>
      </c>
      <c r="M79" s="22" t="str">
        <f>IF(ISERROR(XS_Designer_Calculations!AI79:AI179),"",XS_Designer_Calculations!AI79:AI179)</f>
        <v/>
      </c>
      <c r="N79" s="22" t="str">
        <f>IF(ISERROR(XS_Designer_Calculations!X79:X179),"",XS_Designer_Calculations!X79:X179)</f>
        <v/>
      </c>
      <c r="X79" s="46" t="str">
        <f>IF(OR(ISERROR(XS_Designer_Calculations!BG78),B79="",ISERROR(XS_Designer_Calculations!BN78)),"",XS_Designer_Calculations!BN78)</f>
        <v/>
      </c>
      <c r="Y79" s="46" t="str">
        <f>IF(OR(ISERROR(XS_Designer_Calculations!BG78),X79=""),"",XS_Designer_Calculations!BH78)</f>
        <v/>
      </c>
      <c r="Z79" s="46" t="str">
        <f>IF(OR(ISERROR(XS_Designer_Calculations!BG78),X79=""),"",XS_Designer_Calculations!$O$18)</f>
        <v/>
      </c>
      <c r="AB79" s="14">
        <f>IFERROR(XS_Designer_Summary!AK77,0)</f>
        <v>-7.0723250000000295</v>
      </c>
      <c r="AC79" s="14">
        <f>IFERROR(XS_Designer_Summary!AV77,0)</f>
        <v>3.0595110672912322</v>
      </c>
      <c r="AD79" s="14">
        <f>IFERROR(XS_Designer_Summary!AK77,0)</f>
        <v>-7.0723250000000295</v>
      </c>
      <c r="AE79" s="14">
        <f>IFERROR(XS_Designer_Summary!AW77,0)</f>
        <v>1.8434629702678351</v>
      </c>
      <c r="AF79" s="14">
        <f>IFERROR(XS_Designer_Summary!AK77,0)</f>
        <v>-7.0723250000000295</v>
      </c>
      <c r="AG79" s="14">
        <f>IFERROR(XS_Designer_Summary!BF77,0)</f>
        <v>5.8125903718199918</v>
      </c>
    </row>
    <row r="80" spans="2:33">
      <c r="B80" s="22" t="str">
        <f>IF(ISERROR(XS_Designer_Calculations!B80),"",XS_Designer_Calculations!B80)</f>
        <v/>
      </c>
      <c r="C80" s="22" t="str">
        <f>IF(ISERROR(XS_Designer_Calculations!C80),"",XS_Designer_Calculations!C80)</f>
        <v/>
      </c>
      <c r="D80" s="3" t="str">
        <f>IF(OR(ISERROR(Data!D77), Data!D77=0),"",Data!D77)</f>
        <v/>
      </c>
      <c r="E80" s="3" t="str">
        <f>IF(F80&lt;&gt;"",IF(ISERROR(XS_Designer_Calculations!AH80),"",XS_Designer_Calculations!AH80),"")</f>
        <v/>
      </c>
      <c r="F80" s="3" t="str">
        <f>IF(IF(ISERROR(XS_Designer_Calculations!AF80),"",XS_Designer_Calculations!AF80)&lt;&gt;MAX($F$4:$F79),IF(ISERROR(XS_Designer_Calculations!AF80),"",XS_Designer_Calculations!AF80),"")</f>
        <v/>
      </c>
      <c r="G80" s="4" t="str">
        <f>IF(F80&lt;&gt;"",IF(ISERROR(XS_Designer_Calculations!W80),"",XS_Designer_Calculations!W80),"")</f>
        <v/>
      </c>
      <c r="H80" s="3" t="str">
        <f>IF(ISERROR(XS_Designer_Calculations!AE80),"",XS_Designer_Calculations!AE80)</f>
        <v/>
      </c>
      <c r="I80" s="4" t="str">
        <f>IF(ISERROR(XS_Designer_Calculations!W80),"",XS_Designer_Calculations!W80)</f>
        <v/>
      </c>
      <c r="J80" s="4" t="str">
        <f>IF(K80&lt;&gt;"",IF(ISERROR(XS_Designer_Calculations!AL80:AL180),"",XS_Designer_Calculations!AL80:AL180),"")</f>
        <v/>
      </c>
      <c r="K80" s="22" t="str">
        <f>IF(IF(ISERROR(XS_Designer_Calculations!AJ80:AJ180),"",XS_Designer_Calculations!AJ80:AJ180)&lt;&gt;MAX($K$4:$K79),IF(ISERROR(XS_Designer_Calculations!AJ80:AJ180),"",XS_Designer_Calculations!AJ80:AJ180),"")</f>
        <v/>
      </c>
      <c r="L80" s="142" t="str">
        <f>IF(K80&lt;&gt;"",IF(ISERROR(XS_Designer_Calculations!X80:X180),"",XS_Designer_Calculations!X80:X180),"")</f>
        <v/>
      </c>
      <c r="M80" s="22" t="str">
        <f>IF(ISERROR(XS_Designer_Calculations!AI80:AI180),"",XS_Designer_Calculations!AI80:AI180)</f>
        <v/>
      </c>
      <c r="N80" s="22" t="str">
        <f>IF(ISERROR(XS_Designer_Calculations!X80:X180),"",XS_Designer_Calculations!X80:X180)</f>
        <v/>
      </c>
      <c r="X80" s="46" t="str">
        <f>IF(OR(ISERROR(XS_Designer_Calculations!BG79),B80="",ISERROR(XS_Designer_Calculations!BN79)),"",XS_Designer_Calculations!BN79)</f>
        <v/>
      </c>
      <c r="Y80" s="46" t="str">
        <f>IF(OR(ISERROR(XS_Designer_Calculations!BG79),X80=""),"",XS_Designer_Calculations!BH79)</f>
        <v/>
      </c>
      <c r="Z80" s="46" t="str">
        <f>IF(OR(ISERROR(XS_Designer_Calculations!BG79),X80=""),"",XS_Designer_Calculations!$O$18)</f>
        <v/>
      </c>
      <c r="AB80" s="14">
        <f>IFERROR(XS_Designer_Summary!AK78,0)</f>
        <v>-6.8003125000000297</v>
      </c>
      <c r="AC80" s="14">
        <f>IFERROR(XS_Designer_Summary!AV78,0)</f>
        <v>3.063265201381371</v>
      </c>
      <c r="AD80" s="14">
        <f>IFERROR(XS_Designer_Summary!AK78,0)</f>
        <v>-6.8003125000000297</v>
      </c>
      <c r="AE80" s="14">
        <f>IFERROR(XS_Designer_Summary!AW78,0)</f>
        <v>1.84685700752825</v>
      </c>
      <c r="AF80" s="14">
        <f>IFERROR(XS_Designer_Summary!AK78,0)</f>
        <v>-6.8003125000000297</v>
      </c>
      <c r="AG80" s="14">
        <f>IFERROR(XS_Designer_Summary!BF78,0)</f>
        <v>5.8237316952025591</v>
      </c>
    </row>
    <row r="81" spans="2:33">
      <c r="B81" s="22" t="str">
        <f>IF(ISERROR(XS_Designer_Calculations!B81),"",XS_Designer_Calculations!B81)</f>
        <v/>
      </c>
      <c r="C81" s="22" t="str">
        <f>IF(ISERROR(XS_Designer_Calculations!C81),"",XS_Designer_Calculations!C81)</f>
        <v/>
      </c>
      <c r="D81" s="3" t="str">
        <f>IF(OR(ISERROR(Data!D78), Data!D78=0),"",Data!D78)</f>
        <v/>
      </c>
      <c r="E81" s="3" t="str">
        <f>IF(F81&lt;&gt;"",IF(ISERROR(XS_Designer_Calculations!AH81),"",XS_Designer_Calculations!AH81),"")</f>
        <v/>
      </c>
      <c r="F81" s="3" t="str">
        <f>IF(IF(ISERROR(XS_Designer_Calculations!AF81),"",XS_Designer_Calculations!AF81)&lt;&gt;MAX($F$4:$F80),IF(ISERROR(XS_Designer_Calculations!AF81),"",XS_Designer_Calculations!AF81),"")</f>
        <v/>
      </c>
      <c r="G81" s="4" t="str">
        <f>IF(F81&lt;&gt;"",IF(ISERROR(XS_Designer_Calculations!W81),"",XS_Designer_Calculations!W81),"")</f>
        <v/>
      </c>
      <c r="H81" s="3" t="str">
        <f>IF(ISERROR(XS_Designer_Calculations!AE81),"",XS_Designer_Calculations!AE81)</f>
        <v/>
      </c>
      <c r="I81" s="4" t="str">
        <f>IF(ISERROR(XS_Designer_Calculations!W81),"",XS_Designer_Calculations!W81)</f>
        <v/>
      </c>
      <c r="J81" s="4" t="str">
        <f>IF(K81&lt;&gt;"",IF(ISERROR(XS_Designer_Calculations!AL81:AL181),"",XS_Designer_Calculations!AL81:AL181),"")</f>
        <v/>
      </c>
      <c r="K81" s="22" t="str">
        <f>IF(IF(ISERROR(XS_Designer_Calculations!AJ81:AJ181),"",XS_Designer_Calculations!AJ81:AJ181)&lt;&gt;MAX($K$4:$K80),IF(ISERROR(XS_Designer_Calculations!AJ81:AJ181),"",XS_Designer_Calculations!AJ81:AJ181),"")</f>
        <v/>
      </c>
      <c r="L81" s="142" t="str">
        <f>IF(K81&lt;&gt;"",IF(ISERROR(XS_Designer_Calculations!X81:X181),"",XS_Designer_Calculations!X81:X181),"")</f>
        <v/>
      </c>
      <c r="M81" s="22" t="str">
        <f>IF(ISERROR(XS_Designer_Calculations!AI81:AI181),"",XS_Designer_Calculations!AI81:AI181)</f>
        <v/>
      </c>
      <c r="N81" s="22" t="str">
        <f>IF(ISERROR(XS_Designer_Calculations!X81:X181),"",XS_Designer_Calculations!X81:X181)</f>
        <v/>
      </c>
      <c r="X81" s="46" t="str">
        <f>IF(OR(ISERROR(XS_Designer_Calculations!BG80),B81="",ISERROR(XS_Designer_Calculations!BN80)),"",XS_Designer_Calculations!BN80)</f>
        <v/>
      </c>
      <c r="Y81" s="46" t="str">
        <f>IF(OR(ISERROR(XS_Designer_Calculations!BG80),X81=""),"",XS_Designer_Calculations!BH80)</f>
        <v/>
      </c>
      <c r="Z81" s="46" t="str">
        <f>IF(OR(ISERROR(XS_Designer_Calculations!BG80),X81=""),"",XS_Designer_Calculations!$O$18)</f>
        <v/>
      </c>
      <c r="AB81" s="14">
        <f>IFERROR(XS_Designer_Summary!AK79,0)</f>
        <v>-6.52830000000003</v>
      </c>
      <c r="AC81" s="14">
        <f>IFERROR(XS_Designer_Summary!AV79,0)</f>
        <v>3.0670170364706593</v>
      </c>
      <c r="AD81" s="14">
        <f>IFERROR(XS_Designer_Summary!AK79,0)</f>
        <v>-6.52830000000003</v>
      </c>
      <c r="AE81" s="14">
        <f>IFERROR(XS_Designer_Summary!AW79,0)</f>
        <v>1.8502510447886653</v>
      </c>
      <c r="AF81" s="14">
        <f>IFERROR(XS_Designer_Summary!AK79,0)</f>
        <v>-6.52830000000003</v>
      </c>
      <c r="AG81" s="14">
        <f>IFERROR(XS_Designer_Summary!BF79,0)</f>
        <v>5.834873877771761</v>
      </c>
    </row>
    <row r="82" spans="2:33">
      <c r="B82" s="22" t="str">
        <f>IF(ISERROR(XS_Designer_Calculations!B82),"",XS_Designer_Calculations!B82)</f>
        <v/>
      </c>
      <c r="C82" s="22" t="str">
        <f>IF(ISERROR(XS_Designer_Calculations!C82),"",XS_Designer_Calculations!C82)</f>
        <v/>
      </c>
      <c r="D82" s="3" t="str">
        <f>IF(OR(ISERROR(Data!D79), Data!D79=0),"",Data!D79)</f>
        <v/>
      </c>
      <c r="E82" s="3" t="str">
        <f>IF(F82&lt;&gt;"",IF(ISERROR(XS_Designer_Calculations!AH82),"",XS_Designer_Calculations!AH82),"")</f>
        <v/>
      </c>
      <c r="F82" s="3" t="str">
        <f>IF(IF(ISERROR(XS_Designer_Calculations!AF82),"",XS_Designer_Calculations!AF82)&lt;&gt;MAX($F$4:$F81),IF(ISERROR(XS_Designer_Calculations!AF82),"",XS_Designer_Calculations!AF82),"")</f>
        <v/>
      </c>
      <c r="G82" s="4" t="str">
        <f>IF(F82&lt;&gt;"",IF(ISERROR(XS_Designer_Calculations!W82),"",XS_Designer_Calculations!W82),"")</f>
        <v/>
      </c>
      <c r="H82" s="3" t="str">
        <f>IF(ISERROR(XS_Designer_Calculations!AE82),"",XS_Designer_Calculations!AE82)</f>
        <v/>
      </c>
      <c r="I82" s="4" t="str">
        <f>IF(ISERROR(XS_Designer_Calculations!W82),"",XS_Designer_Calculations!W82)</f>
        <v/>
      </c>
      <c r="J82" s="4" t="str">
        <f>IF(K82&lt;&gt;"",IF(ISERROR(XS_Designer_Calculations!AL82:AL182),"",XS_Designer_Calculations!AL82:AL182),"")</f>
        <v/>
      </c>
      <c r="K82" s="22" t="str">
        <f>IF(IF(ISERROR(XS_Designer_Calculations!AJ82:AJ182),"",XS_Designer_Calculations!AJ82:AJ182)&lt;&gt;MAX($K$4:$K81),IF(ISERROR(XS_Designer_Calculations!AJ82:AJ182),"",XS_Designer_Calculations!AJ82:AJ182),"")</f>
        <v/>
      </c>
      <c r="L82" s="142" t="str">
        <f>IF(K82&lt;&gt;"",IF(ISERROR(XS_Designer_Calculations!X82:X182),"",XS_Designer_Calculations!X82:X182),"")</f>
        <v/>
      </c>
      <c r="M82" s="22" t="str">
        <f>IF(ISERROR(XS_Designer_Calculations!AI82:AI182),"",XS_Designer_Calculations!AI82:AI182)</f>
        <v/>
      </c>
      <c r="N82" s="22" t="str">
        <f>IF(ISERROR(XS_Designer_Calculations!X82:X182),"",XS_Designer_Calculations!X82:X182)</f>
        <v/>
      </c>
      <c r="X82" s="46" t="str">
        <f>IF(OR(ISERROR(XS_Designer_Calculations!BG81),B82="",ISERROR(XS_Designer_Calculations!BN81)),"",XS_Designer_Calculations!BN81)</f>
        <v/>
      </c>
      <c r="Y82" s="46" t="str">
        <f>IF(OR(ISERROR(XS_Designer_Calculations!BG81),X82=""),"",XS_Designer_Calculations!BH81)</f>
        <v/>
      </c>
      <c r="Z82" s="46" t="str">
        <f>IF(OR(ISERROR(XS_Designer_Calculations!BG81),X82=""),"",XS_Designer_Calculations!$O$18)</f>
        <v/>
      </c>
      <c r="AB82" s="14">
        <f>IFERROR(XS_Designer_Summary!AK80,0)</f>
        <v>-6.2562875000000302</v>
      </c>
      <c r="AC82" s="14">
        <f>IFERROR(XS_Designer_Summary!AV80,0)</f>
        <v>3.0707665781803266</v>
      </c>
      <c r="AD82" s="14">
        <f>IFERROR(XS_Designer_Summary!AK80,0)</f>
        <v>-6.2562875000000302</v>
      </c>
      <c r="AE82" s="14">
        <f>IFERROR(XS_Designer_Summary!AW80,0)</f>
        <v>1.8536450820490806</v>
      </c>
      <c r="AF82" s="14">
        <f>IFERROR(XS_Designer_Summary!AK80,0)</f>
        <v>-6.2562875000000302</v>
      </c>
      <c r="AG82" s="14">
        <f>IFERROR(XS_Designer_Summary!BF80,0)</f>
        <v>5.8460169180190551</v>
      </c>
    </row>
    <row r="83" spans="2:33">
      <c r="B83" s="22" t="str">
        <f>IF(ISERROR(XS_Designer_Calculations!B83),"",XS_Designer_Calculations!B83)</f>
        <v/>
      </c>
      <c r="C83" s="22" t="str">
        <f>IF(ISERROR(XS_Designer_Calculations!C83),"",XS_Designer_Calculations!C83)</f>
        <v/>
      </c>
      <c r="D83" s="3" t="str">
        <f>IF(OR(ISERROR(Data!D80), Data!D80=0),"",Data!D80)</f>
        <v/>
      </c>
      <c r="E83" s="3" t="str">
        <f>IF(F83&lt;&gt;"",IF(ISERROR(XS_Designer_Calculations!AH83),"",XS_Designer_Calculations!AH83),"")</f>
        <v/>
      </c>
      <c r="F83" s="3" t="str">
        <f>IF(IF(ISERROR(XS_Designer_Calculations!AF83),"",XS_Designer_Calculations!AF83)&lt;&gt;MAX($F$4:$F82),IF(ISERROR(XS_Designer_Calculations!AF83),"",XS_Designer_Calculations!AF83),"")</f>
        <v/>
      </c>
      <c r="G83" s="4" t="str">
        <f>IF(F83&lt;&gt;"",IF(ISERROR(XS_Designer_Calculations!W83),"",XS_Designer_Calculations!W83),"")</f>
        <v/>
      </c>
      <c r="H83" s="3" t="str">
        <f>IF(ISERROR(XS_Designer_Calculations!AE83),"",XS_Designer_Calculations!AE83)</f>
        <v/>
      </c>
      <c r="I83" s="4" t="str">
        <f>IF(ISERROR(XS_Designer_Calculations!W83),"",XS_Designer_Calculations!W83)</f>
        <v/>
      </c>
      <c r="J83" s="4" t="str">
        <f>IF(K83&lt;&gt;"",IF(ISERROR(XS_Designer_Calculations!AL83:AL183),"",XS_Designer_Calculations!AL83:AL183),"")</f>
        <v/>
      </c>
      <c r="K83" s="22" t="str">
        <f>IF(IF(ISERROR(XS_Designer_Calculations!AJ83:AJ183),"",XS_Designer_Calculations!AJ83:AJ183)&lt;&gt;MAX($K$4:$K82),IF(ISERROR(XS_Designer_Calculations!AJ83:AJ183),"",XS_Designer_Calculations!AJ83:AJ183),"")</f>
        <v/>
      </c>
      <c r="L83" s="142" t="str">
        <f>IF(K83&lt;&gt;"",IF(ISERROR(XS_Designer_Calculations!X83:X183),"",XS_Designer_Calculations!X83:X183),"")</f>
        <v/>
      </c>
      <c r="M83" s="22" t="str">
        <f>IF(ISERROR(XS_Designer_Calculations!AI83:AI183),"",XS_Designer_Calculations!AI83:AI183)</f>
        <v/>
      </c>
      <c r="N83" s="22" t="str">
        <f>IF(ISERROR(XS_Designer_Calculations!X83:X183),"",XS_Designer_Calculations!X83:X183)</f>
        <v/>
      </c>
      <c r="X83" s="46" t="str">
        <f>IF(OR(ISERROR(XS_Designer_Calculations!BG82),B83="",ISERROR(XS_Designer_Calculations!BN82)),"",XS_Designer_Calculations!BN82)</f>
        <v/>
      </c>
      <c r="Y83" s="46" t="str">
        <f>IF(OR(ISERROR(XS_Designer_Calculations!BG82),X83=""),"",XS_Designer_Calculations!BH82)</f>
        <v/>
      </c>
      <c r="Z83" s="46" t="str">
        <f>IF(OR(ISERROR(XS_Designer_Calculations!BG82),X83=""),"",XS_Designer_Calculations!$O$18)</f>
        <v/>
      </c>
      <c r="AB83" s="14">
        <f>IFERROR(XS_Designer_Summary!AK81,0)</f>
        <v>-5.9842750000000304</v>
      </c>
      <c r="AC83" s="14">
        <f>IFERROR(XS_Designer_Summary!AV81,0)</f>
        <v>3.0745138321075998</v>
      </c>
      <c r="AD83" s="14">
        <f>IFERROR(XS_Designer_Summary!AK81,0)</f>
        <v>-5.9842750000000304</v>
      </c>
      <c r="AE83" s="14">
        <f>IFERROR(XS_Designer_Summary!AW81,0)</f>
        <v>1.8570391193094955</v>
      </c>
      <c r="AF83" s="14">
        <f>IFERROR(XS_Designer_Summary!AK81,0)</f>
        <v>-5.9842750000000304</v>
      </c>
      <c r="AG83" s="14">
        <f>IFERROR(XS_Designer_Summary!BF81,0)</f>
        <v>5.8571608144412979</v>
      </c>
    </row>
    <row r="84" spans="2:33">
      <c r="B84" s="22" t="str">
        <f>IF(ISERROR(XS_Designer_Calculations!B84),"",XS_Designer_Calculations!B84)</f>
        <v/>
      </c>
      <c r="C84" s="22" t="str">
        <f>IF(ISERROR(XS_Designer_Calculations!C84),"",XS_Designer_Calculations!C84)</f>
        <v/>
      </c>
      <c r="D84" s="3" t="str">
        <f>IF(OR(ISERROR(Data!D81), Data!D81=0),"",Data!D81)</f>
        <v/>
      </c>
      <c r="E84" s="3" t="str">
        <f>IF(F84&lt;&gt;"",IF(ISERROR(XS_Designer_Calculations!AH84),"",XS_Designer_Calculations!AH84),"")</f>
        <v/>
      </c>
      <c r="F84" s="3" t="str">
        <f>IF(IF(ISERROR(XS_Designer_Calculations!AF84),"",XS_Designer_Calculations!AF84)&lt;&gt;MAX($F$4:$F83),IF(ISERROR(XS_Designer_Calculations!AF84),"",XS_Designer_Calculations!AF84),"")</f>
        <v/>
      </c>
      <c r="G84" s="4" t="str">
        <f>IF(F84&lt;&gt;"",IF(ISERROR(XS_Designer_Calculations!W84),"",XS_Designer_Calculations!W84),"")</f>
        <v/>
      </c>
      <c r="H84" s="3" t="str">
        <f>IF(ISERROR(XS_Designer_Calculations!AE84),"",XS_Designer_Calculations!AE84)</f>
        <v/>
      </c>
      <c r="I84" s="4" t="str">
        <f>IF(ISERROR(XS_Designer_Calculations!W84),"",XS_Designer_Calculations!W84)</f>
        <v/>
      </c>
      <c r="J84" s="4" t="str">
        <f>IF(K84&lt;&gt;"",IF(ISERROR(XS_Designer_Calculations!AL84:AL184),"",XS_Designer_Calculations!AL84:AL184),"")</f>
        <v/>
      </c>
      <c r="K84" s="22" t="str">
        <f>IF(IF(ISERROR(XS_Designer_Calculations!AJ84:AJ184),"",XS_Designer_Calculations!AJ84:AJ184)&lt;&gt;MAX($K$4:$K83),IF(ISERROR(XS_Designer_Calculations!AJ84:AJ184),"",XS_Designer_Calculations!AJ84:AJ184),"")</f>
        <v/>
      </c>
      <c r="L84" s="142" t="str">
        <f>IF(K84&lt;&gt;"",IF(ISERROR(XS_Designer_Calculations!X84:X184),"",XS_Designer_Calculations!X84:X184),"")</f>
        <v/>
      </c>
      <c r="M84" s="22" t="str">
        <f>IF(ISERROR(XS_Designer_Calculations!AI84:AI184),"",XS_Designer_Calculations!AI84:AI184)</f>
        <v/>
      </c>
      <c r="N84" s="22" t="str">
        <f>IF(ISERROR(XS_Designer_Calculations!X84:X184),"",XS_Designer_Calculations!X84:X184)</f>
        <v/>
      </c>
      <c r="X84" s="46" t="str">
        <f>IF(OR(ISERROR(XS_Designer_Calculations!BG83),B84="",ISERROR(XS_Designer_Calculations!BN83)),"",XS_Designer_Calculations!BN83)</f>
        <v/>
      </c>
      <c r="Y84" s="46" t="str">
        <f>IF(OR(ISERROR(XS_Designer_Calculations!BG83),X84=""),"",XS_Designer_Calculations!BH83)</f>
        <v/>
      </c>
      <c r="Z84" s="46" t="str">
        <f>IF(OR(ISERROR(XS_Designer_Calculations!BG83),X84=""),"",XS_Designer_Calculations!$O$18)</f>
        <v/>
      </c>
      <c r="AB84" s="14">
        <f>IFERROR(XS_Designer_Summary!AK82,0)</f>
        <v>-5.7122625000000307</v>
      </c>
      <c r="AC84" s="14">
        <f>IFERROR(XS_Designer_Summary!AV82,0)</f>
        <v>3.0782588038258365</v>
      </c>
      <c r="AD84" s="14">
        <f>IFERROR(XS_Designer_Summary!AK82,0)</f>
        <v>-5.7122625000000307</v>
      </c>
      <c r="AE84" s="14">
        <f>IFERROR(XS_Designer_Summary!AW82,0)</f>
        <v>1.8604331565699108</v>
      </c>
      <c r="AF84" s="14">
        <f>IFERROR(XS_Designer_Summary!AK82,0)</f>
        <v>-5.7122625000000307</v>
      </c>
      <c r="AG84" s="14">
        <f>IFERROR(XS_Designer_Summary!BF82,0)</f>
        <v>5.8683055655407212</v>
      </c>
    </row>
    <row r="85" spans="2:33">
      <c r="B85" s="22" t="str">
        <f>IF(ISERROR(XS_Designer_Calculations!B85),"",XS_Designer_Calculations!B85)</f>
        <v/>
      </c>
      <c r="C85" s="22" t="str">
        <f>IF(ISERROR(XS_Designer_Calculations!C85),"",XS_Designer_Calculations!C85)</f>
        <v/>
      </c>
      <c r="D85" s="3" t="str">
        <f>IF(OR(ISERROR(Data!D82), Data!D82=0),"",Data!D82)</f>
        <v/>
      </c>
      <c r="E85" s="3" t="str">
        <f>IF(F85&lt;&gt;"",IF(ISERROR(XS_Designer_Calculations!AH85),"",XS_Designer_Calculations!AH85),"")</f>
        <v/>
      </c>
      <c r="F85" s="3" t="str">
        <f>IF(IF(ISERROR(XS_Designer_Calculations!AF85),"",XS_Designer_Calculations!AF85)&lt;&gt;MAX($F$4:$F84),IF(ISERROR(XS_Designer_Calculations!AF85),"",XS_Designer_Calculations!AF85),"")</f>
        <v/>
      </c>
      <c r="G85" s="4" t="str">
        <f>IF(F85&lt;&gt;"",IF(ISERROR(XS_Designer_Calculations!W85),"",XS_Designer_Calculations!W85),"")</f>
        <v/>
      </c>
      <c r="H85" s="3" t="str">
        <f>IF(ISERROR(XS_Designer_Calculations!AE85),"",XS_Designer_Calculations!AE85)</f>
        <v/>
      </c>
      <c r="I85" s="4" t="str">
        <f>IF(ISERROR(XS_Designer_Calculations!W85),"",XS_Designer_Calculations!W85)</f>
        <v/>
      </c>
      <c r="J85" s="4" t="str">
        <f>IF(K85&lt;&gt;"",IF(ISERROR(XS_Designer_Calculations!AL85:AL185),"",XS_Designer_Calculations!AL85:AL185),"")</f>
        <v/>
      </c>
      <c r="K85" s="22" t="str">
        <f>IF(IF(ISERROR(XS_Designer_Calculations!AJ85:AJ185),"",XS_Designer_Calculations!AJ85:AJ185)&lt;&gt;MAX($K$4:$K84),IF(ISERROR(XS_Designer_Calculations!AJ85:AJ185),"",XS_Designer_Calculations!AJ85:AJ185),"")</f>
        <v/>
      </c>
      <c r="L85" s="142" t="str">
        <f>IF(K85&lt;&gt;"",IF(ISERROR(XS_Designer_Calculations!X85:X185),"",XS_Designer_Calculations!X85:X185),"")</f>
        <v/>
      </c>
      <c r="M85" s="22" t="str">
        <f>IF(ISERROR(XS_Designer_Calculations!AI85:AI185),"",XS_Designer_Calculations!AI85:AI185)</f>
        <v/>
      </c>
      <c r="N85" s="22" t="str">
        <f>IF(ISERROR(XS_Designer_Calculations!X85:X185),"",XS_Designer_Calculations!X85:X185)</f>
        <v/>
      </c>
      <c r="X85" s="46" t="str">
        <f>IF(OR(ISERROR(XS_Designer_Calculations!BG84),B85="",ISERROR(XS_Designer_Calculations!BN84)),"",XS_Designer_Calculations!BN84)</f>
        <v/>
      </c>
      <c r="Y85" s="46" t="str">
        <f>IF(OR(ISERROR(XS_Designer_Calculations!BG84),X85=""),"",XS_Designer_Calculations!BH84)</f>
        <v/>
      </c>
      <c r="Z85" s="46" t="str">
        <f>IF(OR(ISERROR(XS_Designer_Calculations!BG84),X85=""),"",XS_Designer_Calculations!$O$18)</f>
        <v/>
      </c>
      <c r="AB85" s="14">
        <f>IFERROR(XS_Designer_Summary!AK83,0)</f>
        <v>-5.4402500000000309</v>
      </c>
      <c r="AC85" s="14">
        <f>IFERROR(XS_Designer_Summary!AV83,0)</f>
        <v>3.0820014988846833</v>
      </c>
      <c r="AD85" s="14">
        <f>IFERROR(XS_Designer_Summary!AK83,0)</f>
        <v>-5.4402500000000309</v>
      </c>
      <c r="AE85" s="14">
        <f>IFERROR(XS_Designer_Summary!AW83,0)</f>
        <v>1.8638271938303257</v>
      </c>
      <c r="AF85" s="14">
        <f>IFERROR(XS_Designer_Summary!AK83,0)</f>
        <v>-5.4402500000000309</v>
      </c>
      <c r="AG85" s="14">
        <f>IFERROR(XS_Designer_Summary!BF83,0)</f>
        <v>5.8794511698249092</v>
      </c>
    </row>
    <row r="86" spans="2:33">
      <c r="B86" s="22" t="str">
        <f>IF(ISERROR(XS_Designer_Calculations!B86),"",XS_Designer_Calculations!B86)</f>
        <v/>
      </c>
      <c r="C86" s="22" t="str">
        <f>IF(ISERROR(XS_Designer_Calculations!C86),"",XS_Designer_Calculations!C86)</f>
        <v/>
      </c>
      <c r="D86" s="3" t="str">
        <f>IF(OR(ISERROR(Data!D83), Data!D83=0),"",Data!D83)</f>
        <v/>
      </c>
      <c r="E86" s="3" t="str">
        <f>IF(F86&lt;&gt;"",IF(ISERROR(XS_Designer_Calculations!AH86),"",XS_Designer_Calculations!AH86),"")</f>
        <v/>
      </c>
      <c r="F86" s="3" t="str">
        <f>IF(IF(ISERROR(XS_Designer_Calculations!AF86),"",XS_Designer_Calculations!AF86)&lt;&gt;MAX($F$4:$F85),IF(ISERROR(XS_Designer_Calculations!AF86),"",XS_Designer_Calculations!AF86),"")</f>
        <v/>
      </c>
      <c r="G86" s="4" t="str">
        <f>IF(F86&lt;&gt;"",IF(ISERROR(XS_Designer_Calculations!W86),"",XS_Designer_Calculations!W86),"")</f>
        <v/>
      </c>
      <c r="H86" s="3" t="str">
        <f>IF(ISERROR(XS_Designer_Calculations!AE86),"",XS_Designer_Calculations!AE86)</f>
        <v/>
      </c>
      <c r="I86" s="4" t="str">
        <f>IF(ISERROR(XS_Designer_Calculations!W86),"",XS_Designer_Calculations!W86)</f>
        <v/>
      </c>
      <c r="J86" s="4" t="str">
        <f>IF(K86&lt;&gt;"",IF(ISERROR(XS_Designer_Calculations!AL86:AL186),"",XS_Designer_Calculations!AL86:AL186),"")</f>
        <v/>
      </c>
      <c r="K86" s="22" t="str">
        <f>IF(IF(ISERROR(XS_Designer_Calculations!AJ86:AJ186),"",XS_Designer_Calculations!AJ86:AJ186)&lt;&gt;MAX($K$4:$K85),IF(ISERROR(XS_Designer_Calculations!AJ86:AJ186),"",XS_Designer_Calculations!AJ86:AJ186),"")</f>
        <v/>
      </c>
      <c r="L86" s="142" t="str">
        <f>IF(K86&lt;&gt;"",IF(ISERROR(XS_Designer_Calculations!X86:X186),"",XS_Designer_Calculations!X86:X186),"")</f>
        <v/>
      </c>
      <c r="M86" s="22" t="str">
        <f>IF(ISERROR(XS_Designer_Calculations!AI86:AI186),"",XS_Designer_Calculations!AI86:AI186)</f>
        <v/>
      </c>
      <c r="N86" s="22" t="str">
        <f>IF(ISERROR(XS_Designer_Calculations!X86:X186),"",XS_Designer_Calculations!X86:X186)</f>
        <v/>
      </c>
      <c r="X86" s="46" t="str">
        <f>IF(OR(ISERROR(XS_Designer_Calculations!BG85),B86="",ISERROR(XS_Designer_Calculations!BN85)),"",XS_Designer_Calculations!BN85)</f>
        <v/>
      </c>
      <c r="Y86" s="46" t="str">
        <f>IF(OR(ISERROR(XS_Designer_Calculations!BG85),X86=""),"",XS_Designer_Calculations!BH85)</f>
        <v/>
      </c>
      <c r="Z86" s="46" t="str">
        <f>IF(OR(ISERROR(XS_Designer_Calculations!BG85),X86=""),"",XS_Designer_Calculations!$O$18)</f>
        <v/>
      </c>
      <c r="AB86" s="14">
        <f>IFERROR(XS_Designer_Summary!AK84,0)</f>
        <v>-5.1682375000000311</v>
      </c>
      <c r="AC86" s="14">
        <f>IFERROR(XS_Designer_Summary!AV84,0)</f>
        <v>3.0857419228102105</v>
      </c>
      <c r="AD86" s="14">
        <f>IFERROR(XS_Designer_Summary!AK84,0)</f>
        <v>-5.1682375000000311</v>
      </c>
      <c r="AE86" s="14">
        <f>IFERROR(XS_Designer_Summary!AW84,0)</f>
        <v>1.867221231090741</v>
      </c>
      <c r="AF86" s="14">
        <f>IFERROR(XS_Designer_Summary!AK84,0)</f>
        <v>-5.1682375000000311</v>
      </c>
      <c r="AG86" s="14">
        <f>IFERROR(XS_Designer_Summary!BF84,0)</f>
        <v>5.8905976258067563</v>
      </c>
    </row>
    <row r="87" spans="2:33">
      <c r="B87" s="22" t="str">
        <f>IF(ISERROR(XS_Designer_Calculations!B87),"",XS_Designer_Calculations!B87)</f>
        <v/>
      </c>
      <c r="C87" s="22" t="str">
        <f>IF(ISERROR(XS_Designer_Calculations!C87),"",XS_Designer_Calculations!C87)</f>
        <v/>
      </c>
      <c r="D87" s="3" t="str">
        <f>IF(OR(ISERROR(Data!D84), Data!D84=0),"",Data!D84)</f>
        <v/>
      </c>
      <c r="E87" s="3" t="str">
        <f>IF(F87&lt;&gt;"",IF(ISERROR(XS_Designer_Calculations!AH87),"",XS_Designer_Calculations!AH87),"")</f>
        <v/>
      </c>
      <c r="F87" s="3" t="str">
        <f>IF(IF(ISERROR(XS_Designer_Calculations!AF87),"",XS_Designer_Calculations!AF87)&lt;&gt;MAX($F$4:$F86),IF(ISERROR(XS_Designer_Calculations!AF87),"",XS_Designer_Calculations!AF87),"")</f>
        <v/>
      </c>
      <c r="G87" s="4" t="str">
        <f>IF(F87&lt;&gt;"",IF(ISERROR(XS_Designer_Calculations!W87),"",XS_Designer_Calculations!W87),"")</f>
        <v/>
      </c>
      <c r="H87" s="3" t="str">
        <f>IF(ISERROR(XS_Designer_Calculations!AE87),"",XS_Designer_Calculations!AE87)</f>
        <v/>
      </c>
      <c r="I87" s="4" t="str">
        <f>IF(ISERROR(XS_Designer_Calculations!W87),"",XS_Designer_Calculations!W87)</f>
        <v/>
      </c>
      <c r="J87" s="4" t="str">
        <f>IF(K87&lt;&gt;"",IF(ISERROR(XS_Designer_Calculations!AL87:AL187),"",XS_Designer_Calculations!AL87:AL187),"")</f>
        <v/>
      </c>
      <c r="K87" s="22" t="str">
        <f>IF(IF(ISERROR(XS_Designer_Calculations!AJ87:AJ187),"",XS_Designer_Calculations!AJ87:AJ187)&lt;&gt;MAX($K$4:$K86),IF(ISERROR(XS_Designer_Calculations!AJ87:AJ187),"",XS_Designer_Calculations!AJ87:AJ187),"")</f>
        <v/>
      </c>
      <c r="L87" s="142" t="str">
        <f>IF(K87&lt;&gt;"",IF(ISERROR(XS_Designer_Calculations!X87:X187),"",XS_Designer_Calculations!X87:X187),"")</f>
        <v/>
      </c>
      <c r="M87" s="22" t="str">
        <f>IF(ISERROR(XS_Designer_Calculations!AI87:AI187),"",XS_Designer_Calculations!AI87:AI187)</f>
        <v/>
      </c>
      <c r="N87" s="22" t="str">
        <f>IF(ISERROR(XS_Designer_Calculations!X87:X187),"",XS_Designer_Calculations!X87:X187)</f>
        <v/>
      </c>
      <c r="X87" s="46" t="str">
        <f>IF(OR(ISERROR(XS_Designer_Calculations!BG86),B87="",ISERROR(XS_Designer_Calculations!BN86)),"",XS_Designer_Calculations!BN86)</f>
        <v/>
      </c>
      <c r="Y87" s="46" t="str">
        <f>IF(OR(ISERROR(XS_Designer_Calculations!BG86),X87=""),"",XS_Designer_Calculations!BH86)</f>
        <v/>
      </c>
      <c r="Z87" s="46" t="str">
        <f>IF(OR(ISERROR(XS_Designer_Calculations!BG86),X87=""),"",XS_Designer_Calculations!$O$18)</f>
        <v/>
      </c>
      <c r="AB87" s="14">
        <f>IFERROR(XS_Designer_Summary!AK85,0)</f>
        <v>-4.8962250000000314</v>
      </c>
      <c r="AC87" s="14">
        <f>IFERROR(XS_Designer_Summary!AV85,0)</f>
        <v>7.6617662316710309</v>
      </c>
      <c r="AD87" s="14">
        <f>IFERROR(XS_Designer_Summary!AK85,0)</f>
        <v>-4.8962250000000314</v>
      </c>
      <c r="AE87" s="14">
        <f>IFERROR(XS_Designer_Summary!AW85,0)</f>
        <v>1.8481606027870936</v>
      </c>
      <c r="AF87" s="14">
        <f>IFERROR(XS_Designer_Summary!AK85,0)</f>
        <v>-4.8962250000000314</v>
      </c>
      <c r="AG87" s="14">
        <f>IFERROR(XS_Designer_Summary!BF85,0)</f>
        <v>6.005081468346666</v>
      </c>
    </row>
    <row r="88" spans="2:33">
      <c r="B88" s="22" t="str">
        <f>IF(ISERROR(XS_Designer_Calculations!B88),"",XS_Designer_Calculations!B88)</f>
        <v/>
      </c>
      <c r="C88" s="22" t="str">
        <f>IF(ISERROR(XS_Designer_Calculations!C88),"",XS_Designer_Calculations!C88)</f>
        <v/>
      </c>
      <c r="D88" s="3" t="str">
        <f>IF(OR(ISERROR(Data!D85), Data!D85=0),"",Data!D85)</f>
        <v/>
      </c>
      <c r="E88" s="3" t="str">
        <f>IF(F88&lt;&gt;"",IF(ISERROR(XS_Designer_Calculations!AH88),"",XS_Designer_Calculations!AH88),"")</f>
        <v/>
      </c>
      <c r="F88" s="3" t="str">
        <f>IF(IF(ISERROR(XS_Designer_Calculations!AF88),"",XS_Designer_Calculations!AF88)&lt;&gt;MAX($F$4:$F87),IF(ISERROR(XS_Designer_Calculations!AF88),"",XS_Designer_Calculations!AF88),"")</f>
        <v/>
      </c>
      <c r="G88" s="4" t="str">
        <f>IF(F88&lt;&gt;"",IF(ISERROR(XS_Designer_Calculations!W88),"",XS_Designer_Calculations!W88),"")</f>
        <v/>
      </c>
      <c r="H88" s="3" t="str">
        <f>IF(ISERROR(XS_Designer_Calculations!AE88),"",XS_Designer_Calculations!AE88)</f>
        <v/>
      </c>
      <c r="I88" s="4" t="str">
        <f>IF(ISERROR(XS_Designer_Calculations!W88),"",XS_Designer_Calculations!W88)</f>
        <v/>
      </c>
      <c r="J88" s="4" t="str">
        <f>IF(K88&lt;&gt;"",IF(ISERROR(XS_Designer_Calculations!AL88:AL188),"",XS_Designer_Calculations!AL88:AL188),"")</f>
        <v/>
      </c>
      <c r="K88" s="22" t="str">
        <f>IF(IF(ISERROR(XS_Designer_Calculations!AJ88:AJ188),"",XS_Designer_Calculations!AJ88:AJ188)&lt;&gt;MAX($K$4:$K87),IF(ISERROR(XS_Designer_Calculations!AJ88:AJ188),"",XS_Designer_Calculations!AJ88:AJ188),"")</f>
        <v/>
      </c>
      <c r="L88" s="142" t="str">
        <f>IF(K88&lt;&gt;"",IF(ISERROR(XS_Designer_Calculations!X88:X188),"",XS_Designer_Calculations!X88:X188),"")</f>
        <v/>
      </c>
      <c r="M88" s="22" t="str">
        <f>IF(ISERROR(XS_Designer_Calculations!AI88:AI188),"",XS_Designer_Calculations!AI88:AI188)</f>
        <v/>
      </c>
      <c r="N88" s="22" t="str">
        <f>IF(ISERROR(XS_Designer_Calculations!X88:X188),"",XS_Designer_Calculations!X88:X188)</f>
        <v/>
      </c>
      <c r="X88" s="46" t="str">
        <f>IF(OR(ISERROR(XS_Designer_Calculations!BG87),B88="",ISERROR(XS_Designer_Calculations!BN87)),"",XS_Designer_Calculations!BN87)</f>
        <v/>
      </c>
      <c r="Y88" s="46" t="str">
        <f>IF(OR(ISERROR(XS_Designer_Calculations!BG87),X88=""),"",XS_Designer_Calculations!BH87)</f>
        <v/>
      </c>
      <c r="Z88" s="46" t="str">
        <f>IF(OR(ISERROR(XS_Designer_Calculations!BG87),X88=""),"",XS_Designer_Calculations!$O$18)</f>
        <v/>
      </c>
      <c r="AB88" s="14">
        <f>IFERROR(XS_Designer_Summary!AK86,0)</f>
        <v>-4.6242125000000316</v>
      </c>
      <c r="AC88" s="14">
        <f>IFERROR(XS_Designer_Summary!AV86,0)</f>
        <v>7.3628664628451252</v>
      </c>
      <c r="AD88" s="14">
        <f>IFERROR(XS_Designer_Summary!AK86,0)</f>
        <v>-4.6242125000000316</v>
      </c>
      <c r="AE88" s="14">
        <f>IFERROR(XS_Designer_Summary!AW86,0)</f>
        <v>1.7410720689954289</v>
      </c>
      <c r="AF88" s="14">
        <f>IFERROR(XS_Designer_Summary!AK86,0)</f>
        <v>-4.6242125000000316</v>
      </c>
      <c r="AG88" s="14">
        <f>IFERROR(XS_Designer_Summary!BF86,0)</f>
        <v>6.2842271899670079</v>
      </c>
    </row>
    <row r="89" spans="2:33">
      <c r="B89" s="22" t="str">
        <f>IF(ISERROR(XS_Designer_Calculations!B89),"",XS_Designer_Calculations!B89)</f>
        <v/>
      </c>
      <c r="C89" s="22" t="str">
        <f>IF(ISERROR(XS_Designer_Calculations!C89),"",XS_Designer_Calculations!C89)</f>
        <v/>
      </c>
      <c r="D89" s="3" t="str">
        <f>IF(OR(ISERROR(Data!D86), Data!D86=0),"",Data!D86)</f>
        <v/>
      </c>
      <c r="E89" s="3" t="str">
        <f>IF(F89&lt;&gt;"",IF(ISERROR(XS_Designer_Calculations!AH89),"",XS_Designer_Calculations!AH89),"")</f>
        <v/>
      </c>
      <c r="F89" s="3" t="str">
        <f>IF(IF(ISERROR(XS_Designer_Calculations!AF89),"",XS_Designer_Calculations!AF89)&lt;&gt;MAX($F$4:$F88),IF(ISERROR(XS_Designer_Calculations!AF89),"",XS_Designer_Calculations!AF89),"")</f>
        <v/>
      </c>
      <c r="G89" s="4" t="str">
        <f>IF(F89&lt;&gt;"",IF(ISERROR(XS_Designer_Calculations!W89),"",XS_Designer_Calculations!W89),"")</f>
        <v/>
      </c>
      <c r="H89" s="3" t="str">
        <f>IF(ISERROR(XS_Designer_Calculations!AE89),"",XS_Designer_Calculations!AE89)</f>
        <v/>
      </c>
      <c r="I89" s="4" t="str">
        <f>IF(ISERROR(XS_Designer_Calculations!W89),"",XS_Designer_Calculations!W89)</f>
        <v/>
      </c>
      <c r="J89" s="4" t="str">
        <f>IF(K89&lt;&gt;"",IF(ISERROR(XS_Designer_Calculations!AL89:AL189),"",XS_Designer_Calculations!AL89:AL189),"")</f>
        <v/>
      </c>
      <c r="K89" s="22" t="str">
        <f>IF(IF(ISERROR(XS_Designer_Calculations!AJ89:AJ189),"",XS_Designer_Calculations!AJ89:AJ189)&lt;&gt;MAX($K$4:$K88),IF(ISERROR(XS_Designer_Calculations!AJ89:AJ189),"",XS_Designer_Calculations!AJ89:AJ189),"")</f>
        <v/>
      </c>
      <c r="L89" s="142" t="str">
        <f>IF(K89&lt;&gt;"",IF(ISERROR(XS_Designer_Calculations!X89:X189),"",XS_Designer_Calculations!X89:X189),"")</f>
        <v/>
      </c>
      <c r="M89" s="22" t="str">
        <f>IF(ISERROR(XS_Designer_Calculations!AI89:AI189),"",XS_Designer_Calculations!AI89:AI189)</f>
        <v/>
      </c>
      <c r="N89" s="22" t="str">
        <f>IF(ISERROR(XS_Designer_Calculations!X89:X189),"",XS_Designer_Calculations!X89:X189)</f>
        <v/>
      </c>
      <c r="X89" s="46" t="str">
        <f>IF(OR(ISERROR(XS_Designer_Calculations!BG88),B89="",ISERROR(XS_Designer_Calculations!BN88)),"",XS_Designer_Calculations!BN88)</f>
        <v/>
      </c>
      <c r="Y89" s="46" t="str">
        <f>IF(OR(ISERROR(XS_Designer_Calculations!BG88),X89=""),"",XS_Designer_Calculations!BH88)</f>
        <v/>
      </c>
      <c r="Z89" s="46" t="str">
        <f>IF(OR(ISERROR(XS_Designer_Calculations!BG88),X89=""),"",XS_Designer_Calculations!$O$18)</f>
        <v/>
      </c>
      <c r="AB89" s="14">
        <f>IFERROR(XS_Designer_Summary!AK87,0)</f>
        <v>-4.3522000000000318</v>
      </c>
      <c r="AC89" s="14">
        <f>IFERROR(XS_Designer_Summary!AV87,0)</f>
        <v>7.5753474862209176</v>
      </c>
      <c r="AD89" s="14">
        <f>IFERROR(XS_Designer_Summary!AK87,0)</f>
        <v>-4.3522000000000318</v>
      </c>
      <c r="AE89" s="14">
        <f>IFERROR(XS_Designer_Summary!AW87,0)</f>
        <v>1.8169802263984909</v>
      </c>
      <c r="AF89" s="14">
        <f>IFERROR(XS_Designer_Summary!AK87,0)</f>
        <v>-4.3522000000000318</v>
      </c>
      <c r="AG89" s="14">
        <f>IFERROR(XS_Designer_Summary!BF87,0)</f>
        <v>6.5638737582524609</v>
      </c>
    </row>
    <row r="90" spans="2:33">
      <c r="B90" s="22" t="str">
        <f>IF(ISERROR(XS_Designer_Calculations!B90),"",XS_Designer_Calculations!B90)</f>
        <v/>
      </c>
      <c r="C90" s="22" t="str">
        <f>IF(ISERROR(XS_Designer_Calculations!C90),"",XS_Designer_Calculations!C90)</f>
        <v/>
      </c>
      <c r="D90" s="3" t="str">
        <f>IF(OR(ISERROR(Data!D87), Data!D87=0),"",Data!D87)</f>
        <v/>
      </c>
      <c r="E90" s="3" t="str">
        <f>IF(F90&lt;&gt;"",IF(ISERROR(XS_Designer_Calculations!AH90),"",XS_Designer_Calculations!AH90),"")</f>
        <v/>
      </c>
      <c r="F90" s="3" t="str">
        <f>IF(IF(ISERROR(XS_Designer_Calculations!AF90),"",XS_Designer_Calculations!AF90)&lt;&gt;MAX($F$4:$F89),IF(ISERROR(XS_Designer_Calculations!AF90),"",XS_Designer_Calculations!AF90),"")</f>
        <v/>
      </c>
      <c r="G90" s="4" t="str">
        <f>IF(F90&lt;&gt;"",IF(ISERROR(XS_Designer_Calculations!W90),"",XS_Designer_Calculations!W90),"")</f>
        <v/>
      </c>
      <c r="H90" s="3" t="str">
        <f>IF(ISERROR(XS_Designer_Calculations!AE90),"",XS_Designer_Calculations!AE90)</f>
        <v/>
      </c>
      <c r="I90" s="4" t="str">
        <f>IF(ISERROR(XS_Designer_Calculations!W90),"",XS_Designer_Calculations!W90)</f>
        <v/>
      </c>
      <c r="J90" s="4" t="str">
        <f>IF(K90&lt;&gt;"",IF(ISERROR(XS_Designer_Calculations!AL90:AL190),"",XS_Designer_Calculations!AL90:AL190),"")</f>
        <v/>
      </c>
      <c r="K90" s="22" t="str">
        <f>IF(IF(ISERROR(XS_Designer_Calculations!AJ90:AJ190),"",XS_Designer_Calculations!AJ90:AJ190)&lt;&gt;MAX($K$4:$K89),IF(ISERROR(XS_Designer_Calculations!AJ90:AJ190),"",XS_Designer_Calculations!AJ90:AJ190),"")</f>
        <v/>
      </c>
      <c r="L90" s="142" t="str">
        <f>IF(K90&lt;&gt;"",IF(ISERROR(XS_Designer_Calculations!X90:X190),"",XS_Designer_Calculations!X90:X190),"")</f>
        <v/>
      </c>
      <c r="M90" s="22" t="str">
        <f>IF(ISERROR(XS_Designer_Calculations!AI90:AI190),"",XS_Designer_Calculations!AI90:AI190)</f>
        <v/>
      </c>
      <c r="N90" s="22" t="str">
        <f>IF(ISERROR(XS_Designer_Calculations!X90:X190),"",XS_Designer_Calculations!X90:X190)</f>
        <v/>
      </c>
      <c r="X90" s="46" t="str">
        <f>IF(OR(ISERROR(XS_Designer_Calculations!BG89),B90="",ISERROR(XS_Designer_Calculations!BN89)),"",XS_Designer_Calculations!BN89)</f>
        <v/>
      </c>
      <c r="Y90" s="46" t="str">
        <f>IF(OR(ISERROR(XS_Designer_Calculations!BG89),X90=""),"",XS_Designer_Calculations!BH89)</f>
        <v/>
      </c>
      <c r="Z90" s="46" t="str">
        <f>IF(OR(ISERROR(XS_Designer_Calculations!BG89),X90=""),"",XS_Designer_Calculations!$O$18)</f>
        <v/>
      </c>
      <c r="AB90" s="14">
        <f>IFERROR(XS_Designer_Summary!AK88,0)</f>
        <v>-4.0801875000000321</v>
      </c>
      <c r="AC90" s="14">
        <f>IFERROR(XS_Designer_Summary!AV88,0)</f>
        <v>7.7848890792224328</v>
      </c>
      <c r="AD90" s="14">
        <f>IFERROR(XS_Designer_Summary!AK88,0)</f>
        <v>-4.0801875000000321</v>
      </c>
      <c r="AE90" s="14">
        <f>IFERROR(XS_Designer_Summary!AW88,0)</f>
        <v>1.8928883838015522</v>
      </c>
      <c r="AF90" s="14">
        <f>IFERROR(XS_Designer_Summary!AK88,0)</f>
        <v>-4.0801875000000321</v>
      </c>
      <c r="AG90" s="14">
        <f>IFERROR(XS_Designer_Summary!BF88,0)</f>
        <v>6.8440015101254232</v>
      </c>
    </row>
    <row r="91" spans="2:33">
      <c r="B91" s="22" t="str">
        <f>IF(ISERROR(XS_Designer_Calculations!B91),"",XS_Designer_Calculations!B91)</f>
        <v/>
      </c>
      <c r="C91" s="22" t="str">
        <f>IF(ISERROR(XS_Designer_Calculations!C91),"",XS_Designer_Calculations!C91)</f>
        <v/>
      </c>
      <c r="D91" s="3" t="str">
        <f>IF(OR(ISERROR(Data!D88), Data!D88=0),"",Data!D88)</f>
        <v/>
      </c>
      <c r="E91" s="3" t="str">
        <f>IF(F91&lt;&gt;"",IF(ISERROR(XS_Designer_Calculations!AH91),"",XS_Designer_Calculations!AH91),"")</f>
        <v/>
      </c>
      <c r="F91" s="3" t="str">
        <f>IF(IF(ISERROR(XS_Designer_Calculations!AF91),"",XS_Designer_Calculations!AF91)&lt;&gt;MAX($F$4:$F90),IF(ISERROR(XS_Designer_Calculations!AF91),"",XS_Designer_Calculations!AF91),"")</f>
        <v/>
      </c>
      <c r="G91" s="4" t="str">
        <f>IF(F91&lt;&gt;"",IF(ISERROR(XS_Designer_Calculations!W91),"",XS_Designer_Calculations!W91),"")</f>
        <v/>
      </c>
      <c r="H91" s="3" t="str">
        <f>IF(ISERROR(XS_Designer_Calculations!AE91),"",XS_Designer_Calculations!AE91)</f>
        <v/>
      </c>
      <c r="I91" s="4" t="str">
        <f>IF(ISERROR(XS_Designer_Calculations!W91),"",XS_Designer_Calculations!W91)</f>
        <v/>
      </c>
      <c r="J91" s="4" t="str">
        <f>IF(K91&lt;&gt;"",IF(ISERROR(XS_Designer_Calculations!AL91:AL191),"",XS_Designer_Calculations!AL91:AL191),"")</f>
        <v/>
      </c>
      <c r="K91" s="22" t="str">
        <f>IF(IF(ISERROR(XS_Designer_Calculations!AJ91:AJ191),"",XS_Designer_Calculations!AJ91:AJ191)&lt;&gt;MAX($K$4:$K90),IF(ISERROR(XS_Designer_Calculations!AJ91:AJ191),"",XS_Designer_Calculations!AJ91:AJ191),"")</f>
        <v/>
      </c>
      <c r="L91" s="142" t="str">
        <f>IF(K91&lt;&gt;"",IF(ISERROR(XS_Designer_Calculations!X91:X191),"",XS_Designer_Calculations!X91:X191),"")</f>
        <v/>
      </c>
      <c r="M91" s="22" t="str">
        <f>IF(ISERROR(XS_Designer_Calculations!AI91:AI191),"",XS_Designer_Calculations!AI91:AI191)</f>
        <v/>
      </c>
      <c r="N91" s="22" t="str">
        <f>IF(ISERROR(XS_Designer_Calculations!X91:X191),"",XS_Designer_Calculations!X91:X191)</f>
        <v/>
      </c>
      <c r="X91" s="46" t="str">
        <f>IF(OR(ISERROR(XS_Designer_Calculations!BG90),B91="",ISERROR(XS_Designer_Calculations!BN90)),"",XS_Designer_Calculations!BN90)</f>
        <v/>
      </c>
      <c r="Y91" s="46" t="str">
        <f>IF(OR(ISERROR(XS_Designer_Calculations!BG90),X91=""),"",XS_Designer_Calculations!BH90)</f>
        <v/>
      </c>
      <c r="Z91" s="46" t="str">
        <f>IF(OR(ISERROR(XS_Designer_Calculations!BG90),X91=""),"",XS_Designer_Calculations!$O$18)</f>
        <v/>
      </c>
      <c r="AB91" s="14">
        <f>IFERROR(XS_Designer_Summary!AK89,0)</f>
        <v>-3.8081750000000323</v>
      </c>
      <c r="AC91" s="14">
        <f>IFERROR(XS_Designer_Summary!AV89,0)</f>
        <v>7.9916474494195064</v>
      </c>
      <c r="AD91" s="14">
        <f>IFERROR(XS_Designer_Summary!AK89,0)</f>
        <v>-3.8081750000000323</v>
      </c>
      <c r="AE91" s="14">
        <f>IFERROR(XS_Designer_Summary!AW89,0)</f>
        <v>1.9687965412046147</v>
      </c>
      <c r="AF91" s="14">
        <f>IFERROR(XS_Designer_Summary!AK89,0)</f>
        <v>-3.8081750000000323</v>
      </c>
      <c r="AG91" s="14">
        <f>IFERROR(XS_Designer_Summary!BF89,0)</f>
        <v>7.1245922985711001</v>
      </c>
    </row>
    <row r="92" spans="2:33">
      <c r="B92" s="22" t="str">
        <f>IF(ISERROR(XS_Designer_Calculations!B92),"",XS_Designer_Calculations!B92)</f>
        <v/>
      </c>
      <c r="C92" s="22" t="str">
        <f>IF(ISERROR(XS_Designer_Calculations!C92),"",XS_Designer_Calculations!C92)</f>
        <v/>
      </c>
      <c r="D92" s="3" t="str">
        <f>IF(OR(ISERROR(Data!D89), Data!D89=0),"",Data!D89)</f>
        <v/>
      </c>
      <c r="E92" s="3" t="str">
        <f>IF(F92&lt;&gt;"",IF(ISERROR(XS_Designer_Calculations!AH92),"",XS_Designer_Calculations!AH92),"")</f>
        <v/>
      </c>
      <c r="F92" s="3" t="str">
        <f>IF(IF(ISERROR(XS_Designer_Calculations!AF92),"",XS_Designer_Calculations!AF92)&lt;&gt;MAX($F$4:$F91),IF(ISERROR(XS_Designer_Calculations!AF92),"",XS_Designer_Calculations!AF92),"")</f>
        <v/>
      </c>
      <c r="G92" s="4" t="str">
        <f>IF(F92&lt;&gt;"",IF(ISERROR(XS_Designer_Calculations!W92),"",XS_Designer_Calculations!W92),"")</f>
        <v/>
      </c>
      <c r="H92" s="3" t="str">
        <f>IF(ISERROR(XS_Designer_Calculations!AE92),"",XS_Designer_Calculations!AE92)</f>
        <v/>
      </c>
      <c r="I92" s="4" t="str">
        <f>IF(ISERROR(XS_Designer_Calculations!W92),"",XS_Designer_Calculations!W92)</f>
        <v/>
      </c>
      <c r="J92" s="4" t="str">
        <f>IF(K92&lt;&gt;"",IF(ISERROR(XS_Designer_Calculations!AL92:AL192),"",XS_Designer_Calculations!AL92:AL192),"")</f>
        <v/>
      </c>
      <c r="K92" s="22" t="str">
        <f>IF(IF(ISERROR(XS_Designer_Calculations!AJ92:AJ192),"",XS_Designer_Calculations!AJ92:AJ192)&lt;&gt;MAX($K$4:$K91),IF(ISERROR(XS_Designer_Calculations!AJ92:AJ192),"",XS_Designer_Calculations!AJ92:AJ192),"")</f>
        <v/>
      </c>
      <c r="L92" s="142" t="str">
        <f>IF(K92&lt;&gt;"",IF(ISERROR(XS_Designer_Calculations!X92:X192),"",XS_Designer_Calculations!X92:X192),"")</f>
        <v/>
      </c>
      <c r="M92" s="22" t="str">
        <f>IF(ISERROR(XS_Designer_Calculations!AI92:AI192),"",XS_Designer_Calculations!AI92:AI192)</f>
        <v/>
      </c>
      <c r="N92" s="22" t="str">
        <f>IF(ISERROR(XS_Designer_Calculations!X92:X192),"",XS_Designer_Calculations!X92:X192)</f>
        <v/>
      </c>
      <c r="X92" s="46" t="str">
        <f>IF(OR(ISERROR(XS_Designer_Calculations!BG91),B92="",ISERROR(XS_Designer_Calculations!BN91)),"",XS_Designer_Calculations!BN91)</f>
        <v/>
      </c>
      <c r="Y92" s="46" t="str">
        <f>IF(OR(ISERROR(XS_Designer_Calculations!BG91),X92=""),"",XS_Designer_Calculations!BH91)</f>
        <v/>
      </c>
      <c r="Z92" s="46" t="str">
        <f>IF(OR(ISERROR(XS_Designer_Calculations!BG91),X92=""),"",XS_Designer_Calculations!$O$18)</f>
        <v/>
      </c>
      <c r="AB92" s="14">
        <f>IFERROR(XS_Designer_Summary!AK90,0)</f>
        <v>-3.5361625000000325</v>
      </c>
      <c r="AC92" s="14">
        <f>IFERROR(XS_Designer_Summary!AV90,0)</f>
        <v>8.195764831236561</v>
      </c>
      <c r="AD92" s="14">
        <f>IFERROR(XS_Designer_Summary!AK90,0)</f>
        <v>-3.5361625000000325</v>
      </c>
      <c r="AE92" s="14">
        <f>IFERROR(XS_Designer_Summary!AW90,0)</f>
        <v>2.0447046986076756</v>
      </c>
      <c r="AF92" s="14">
        <f>IFERROR(XS_Designer_Summary!AK90,0)</f>
        <v>-3.5361625000000325</v>
      </c>
      <c r="AG92" s="14">
        <f>IFERROR(XS_Designer_Summary!BF90,0)</f>
        <v>7.4056293226954164</v>
      </c>
    </row>
    <row r="93" spans="2:33">
      <c r="B93" s="22" t="str">
        <f>IF(ISERROR(XS_Designer_Calculations!B93),"",XS_Designer_Calculations!B93)</f>
        <v/>
      </c>
      <c r="C93" s="22" t="str">
        <f>IF(ISERROR(XS_Designer_Calculations!C93),"",XS_Designer_Calculations!C93)</f>
        <v/>
      </c>
      <c r="D93" s="3" t="str">
        <f>IF(OR(ISERROR(Data!D90), Data!D90=0),"",Data!D90)</f>
        <v/>
      </c>
      <c r="E93" s="3" t="str">
        <f>IF(F93&lt;&gt;"",IF(ISERROR(XS_Designer_Calculations!AH93),"",XS_Designer_Calculations!AH93),"")</f>
        <v/>
      </c>
      <c r="F93" s="3" t="str">
        <f>IF(IF(ISERROR(XS_Designer_Calculations!AF93),"",XS_Designer_Calculations!AF93)&lt;&gt;MAX($F$4:$F92),IF(ISERROR(XS_Designer_Calculations!AF93),"",XS_Designer_Calculations!AF93),"")</f>
        <v/>
      </c>
      <c r="G93" s="4" t="str">
        <f>IF(F93&lt;&gt;"",IF(ISERROR(XS_Designer_Calculations!W93),"",XS_Designer_Calculations!W93),"")</f>
        <v/>
      </c>
      <c r="H93" s="3" t="str">
        <f>IF(ISERROR(XS_Designer_Calculations!AE93),"",XS_Designer_Calculations!AE93)</f>
        <v/>
      </c>
      <c r="I93" s="4" t="str">
        <f>IF(ISERROR(XS_Designer_Calculations!W93),"",XS_Designer_Calculations!W93)</f>
        <v/>
      </c>
      <c r="J93" s="4" t="str">
        <f>IF(K93&lt;&gt;"",IF(ISERROR(XS_Designer_Calculations!AL93:AL193),"",XS_Designer_Calculations!AL93:AL193),"")</f>
        <v/>
      </c>
      <c r="K93" s="22" t="str">
        <f>IF(IF(ISERROR(XS_Designer_Calculations!AJ93:AJ193),"",XS_Designer_Calculations!AJ93:AJ193)&lt;&gt;MAX($K$4:$K92),IF(ISERROR(XS_Designer_Calculations!AJ93:AJ193),"",XS_Designer_Calculations!AJ93:AJ193),"")</f>
        <v/>
      </c>
      <c r="L93" s="142" t="str">
        <f>IF(K93&lt;&gt;"",IF(ISERROR(XS_Designer_Calculations!X93:X193),"",XS_Designer_Calculations!X93:X193),"")</f>
        <v/>
      </c>
      <c r="M93" s="22" t="str">
        <f>IF(ISERROR(XS_Designer_Calculations!AI93:AI193),"",XS_Designer_Calculations!AI93:AI193)</f>
        <v/>
      </c>
      <c r="N93" s="22" t="str">
        <f>IF(ISERROR(XS_Designer_Calculations!X93:X193),"",XS_Designer_Calculations!X93:X193)</f>
        <v/>
      </c>
      <c r="X93" s="46" t="str">
        <f>IF(OR(ISERROR(XS_Designer_Calculations!BG92),B93="",ISERROR(XS_Designer_Calculations!BN92)),"",XS_Designer_Calculations!BN92)</f>
        <v/>
      </c>
      <c r="Y93" s="46" t="str">
        <f>IF(OR(ISERROR(XS_Designer_Calculations!BG92),X93=""),"",XS_Designer_Calculations!BH92)</f>
        <v/>
      </c>
      <c r="Z93" s="46" t="str">
        <f>IF(OR(ISERROR(XS_Designer_Calculations!BG92),X93=""),"",XS_Designer_Calculations!$O$18)</f>
        <v/>
      </c>
      <c r="AB93" s="14">
        <f>IFERROR(XS_Designer_Summary!AK91,0)</f>
        <v>-3.2641500000000327</v>
      </c>
      <c r="AC93" s="14">
        <f>IFERROR(XS_Designer_Summary!AV91,0)</f>
        <v>8.3973712059674561</v>
      </c>
      <c r="AD93" s="14">
        <f>IFERROR(XS_Designer_Summary!AK91,0)</f>
        <v>-3.2641500000000327</v>
      </c>
      <c r="AE93" s="14">
        <f>IFERROR(XS_Designer_Summary!AW91,0)</f>
        <v>2.1206128560107378</v>
      </c>
      <c r="AF93" s="14">
        <f>IFERROR(XS_Designer_Summary!AK91,0)</f>
        <v>-3.2641500000000327</v>
      </c>
      <c r="AG93" s="14">
        <f>IFERROR(XS_Designer_Summary!BF91,0)</f>
        <v>7.6870969823473878</v>
      </c>
    </row>
    <row r="94" spans="2:33">
      <c r="B94" s="22" t="str">
        <f>IF(ISERROR(XS_Designer_Calculations!B94),"",XS_Designer_Calculations!B94)</f>
        <v/>
      </c>
      <c r="C94" s="22" t="str">
        <f>IF(ISERROR(XS_Designer_Calculations!C94),"",XS_Designer_Calculations!C94)</f>
        <v/>
      </c>
      <c r="D94" s="3" t="str">
        <f>IF(OR(ISERROR(Data!D91), Data!D91=0),"",Data!D91)</f>
        <v/>
      </c>
      <c r="E94" s="3" t="str">
        <f>IF(F94&lt;&gt;"",IF(ISERROR(XS_Designer_Calculations!AH94),"",XS_Designer_Calculations!AH94),"")</f>
        <v/>
      </c>
      <c r="F94" s="3" t="str">
        <f>IF(IF(ISERROR(XS_Designer_Calculations!AF94),"",XS_Designer_Calculations!AF94)&lt;&gt;MAX($F$4:$F93),IF(ISERROR(XS_Designer_Calculations!AF94),"",XS_Designer_Calculations!AF94),"")</f>
        <v/>
      </c>
      <c r="G94" s="4" t="str">
        <f>IF(F94&lt;&gt;"",IF(ISERROR(XS_Designer_Calculations!W94),"",XS_Designer_Calculations!W94),"")</f>
        <v/>
      </c>
      <c r="H94" s="3" t="str">
        <f>IF(ISERROR(XS_Designer_Calculations!AE94),"",XS_Designer_Calculations!AE94)</f>
        <v/>
      </c>
      <c r="I94" s="4" t="str">
        <f>IF(ISERROR(XS_Designer_Calculations!W94),"",XS_Designer_Calculations!W94)</f>
        <v/>
      </c>
      <c r="J94" s="4" t="str">
        <f>IF(K94&lt;&gt;"",IF(ISERROR(XS_Designer_Calculations!AL94:AL194),"",XS_Designer_Calculations!AL94:AL194),"")</f>
        <v/>
      </c>
      <c r="K94" s="22" t="str">
        <f>IF(IF(ISERROR(XS_Designer_Calculations!AJ94:AJ194),"",XS_Designer_Calculations!AJ94:AJ194)&lt;&gt;MAX($K$4:$K93),IF(ISERROR(XS_Designer_Calculations!AJ94:AJ194),"",XS_Designer_Calculations!AJ94:AJ194),"")</f>
        <v/>
      </c>
      <c r="L94" s="142" t="str">
        <f>IF(K94&lt;&gt;"",IF(ISERROR(XS_Designer_Calculations!X94:X194),"",XS_Designer_Calculations!X94:X194),"")</f>
        <v/>
      </c>
      <c r="M94" s="22" t="str">
        <f>IF(ISERROR(XS_Designer_Calculations!AI94:AI194),"",XS_Designer_Calculations!AI94:AI194)</f>
        <v/>
      </c>
      <c r="N94" s="22" t="str">
        <f>IF(ISERROR(XS_Designer_Calculations!X94:X194),"",XS_Designer_Calculations!X94:X194)</f>
        <v/>
      </c>
      <c r="X94" s="46" t="str">
        <f>IF(OR(ISERROR(XS_Designer_Calculations!BG93),B94="",ISERROR(XS_Designer_Calculations!BN93)),"",XS_Designer_Calculations!BN93)</f>
        <v/>
      </c>
      <c r="Y94" s="46" t="str">
        <f>IF(OR(ISERROR(XS_Designer_Calculations!BG93),X94=""),"",XS_Designer_Calculations!BH93)</f>
        <v/>
      </c>
      <c r="Z94" s="46" t="str">
        <f>IF(OR(ISERROR(XS_Designer_Calculations!BG93),X94=""),"",XS_Designer_Calculations!$O$18)</f>
        <v/>
      </c>
      <c r="AB94" s="14">
        <f>IFERROR(XS_Designer_Summary!AK92,0)</f>
        <v>-2.992137500000033</v>
      </c>
      <c r="AC94" s="14">
        <f>IFERROR(XS_Designer_Summary!AV92,0)</f>
        <v>8.5965857563045418</v>
      </c>
      <c r="AD94" s="14">
        <f>IFERROR(XS_Designer_Summary!AK92,0)</f>
        <v>-2.992137500000033</v>
      </c>
      <c r="AE94" s="14">
        <f>IFERROR(XS_Designer_Summary!AW92,0)</f>
        <v>2.1965210134138009</v>
      </c>
      <c r="AF94" s="14">
        <f>IFERROR(XS_Designer_Summary!AK92,0)</f>
        <v>-2.992137500000033</v>
      </c>
      <c r="AG94" s="14">
        <f>IFERROR(XS_Designer_Summary!BF92,0)</f>
        <v>7.9689807530139749</v>
      </c>
    </row>
    <row r="95" spans="2:33">
      <c r="B95" s="22" t="str">
        <f>IF(ISERROR(XS_Designer_Calculations!B95),"",XS_Designer_Calculations!B95)</f>
        <v/>
      </c>
      <c r="C95" s="22" t="str">
        <f>IF(ISERROR(XS_Designer_Calculations!C95),"",XS_Designer_Calculations!C95)</f>
        <v/>
      </c>
      <c r="D95" s="3" t="str">
        <f>IF(OR(ISERROR(Data!D92), Data!D92=0),"",Data!D92)</f>
        <v/>
      </c>
      <c r="E95" s="3" t="str">
        <f>IF(F95&lt;&gt;"",IF(ISERROR(XS_Designer_Calculations!AH95),"",XS_Designer_Calculations!AH95),"")</f>
        <v/>
      </c>
      <c r="F95" s="3" t="str">
        <f>IF(IF(ISERROR(XS_Designer_Calculations!AF95),"",XS_Designer_Calculations!AF95)&lt;&gt;MAX($F$4:$F94),IF(ISERROR(XS_Designer_Calculations!AF95),"",XS_Designer_Calculations!AF95),"")</f>
        <v/>
      </c>
      <c r="G95" s="4" t="str">
        <f>IF(F95&lt;&gt;"",IF(ISERROR(XS_Designer_Calculations!W95),"",XS_Designer_Calculations!W95),"")</f>
        <v/>
      </c>
      <c r="H95" s="3" t="str">
        <f>IF(ISERROR(XS_Designer_Calculations!AE95),"",XS_Designer_Calculations!AE95)</f>
        <v/>
      </c>
      <c r="I95" s="4" t="str">
        <f>IF(ISERROR(XS_Designer_Calculations!W95),"",XS_Designer_Calculations!W95)</f>
        <v/>
      </c>
      <c r="J95" s="4" t="str">
        <f>IF(K95&lt;&gt;"",IF(ISERROR(XS_Designer_Calculations!AL95:AL195),"",XS_Designer_Calculations!AL95:AL195),"")</f>
        <v/>
      </c>
      <c r="K95" s="22" t="str">
        <f>IF(IF(ISERROR(XS_Designer_Calculations!AJ95:AJ195),"",XS_Designer_Calculations!AJ95:AJ195)&lt;&gt;MAX($K$4:$K94),IF(ISERROR(XS_Designer_Calculations!AJ95:AJ195),"",XS_Designer_Calculations!AJ95:AJ195),"")</f>
        <v/>
      </c>
      <c r="L95" s="142" t="str">
        <f>IF(K95&lt;&gt;"",IF(ISERROR(XS_Designer_Calculations!X95:X195),"",XS_Designer_Calculations!X95:X195),"")</f>
        <v/>
      </c>
      <c r="M95" s="22" t="str">
        <f>IF(ISERROR(XS_Designer_Calculations!AI95:AI195),"",XS_Designer_Calculations!AI95:AI195)</f>
        <v/>
      </c>
      <c r="N95" s="22" t="str">
        <f>IF(ISERROR(XS_Designer_Calculations!X95:X195),"",XS_Designer_Calculations!X95:X195)</f>
        <v/>
      </c>
      <c r="X95" s="46" t="str">
        <f>IF(OR(ISERROR(XS_Designer_Calculations!BG94),B95="",ISERROR(XS_Designer_Calculations!BN94)),"",XS_Designer_Calculations!BN94)</f>
        <v/>
      </c>
      <c r="Y95" s="46" t="str">
        <f>IF(OR(ISERROR(XS_Designer_Calculations!BG94),X95=""),"",XS_Designer_Calculations!BH94)</f>
        <v/>
      </c>
      <c r="Z95" s="46" t="str">
        <f>IF(OR(ISERROR(XS_Designer_Calculations!BG94),X95=""),"",XS_Designer_Calculations!$O$18)</f>
        <v/>
      </c>
      <c r="AB95" s="14">
        <f>IFERROR(XS_Designer_Summary!AK93,0)</f>
        <v>-2.7201250000000332</v>
      </c>
      <c r="AC95" s="14">
        <f>IFERROR(XS_Designer_Summary!AV93,0)</f>
        <v>8.7935181040896797</v>
      </c>
      <c r="AD95" s="14">
        <f>IFERROR(XS_Designer_Summary!AK93,0)</f>
        <v>-2.7201250000000332</v>
      </c>
      <c r="AE95" s="14">
        <f>IFERROR(XS_Designer_Summary!AW93,0)</f>
        <v>2.2724291708168605</v>
      </c>
      <c r="AF95" s="14">
        <f>IFERROR(XS_Designer_Summary!AK93,0)</f>
        <v>-2.7201250000000332</v>
      </c>
      <c r="AG95" s="14">
        <f>IFERROR(XS_Designer_Summary!BF93,0)</f>
        <v>8.2512670775660908</v>
      </c>
    </row>
    <row r="96" spans="2:33">
      <c r="B96" s="22" t="str">
        <f>IF(ISERROR(XS_Designer_Calculations!B96),"",XS_Designer_Calculations!B96)</f>
        <v/>
      </c>
      <c r="C96" s="22" t="str">
        <f>IF(ISERROR(XS_Designer_Calculations!C96),"",XS_Designer_Calculations!C96)</f>
        <v/>
      </c>
      <c r="D96" s="3" t="str">
        <f>IF(OR(ISERROR(Data!D93), Data!D93=0),"",Data!D93)</f>
        <v/>
      </c>
      <c r="E96" s="3" t="str">
        <f>IF(F96&lt;&gt;"",IF(ISERROR(XS_Designer_Calculations!AH96),"",XS_Designer_Calculations!AH96),"")</f>
        <v/>
      </c>
      <c r="F96" s="3" t="str">
        <f>IF(IF(ISERROR(XS_Designer_Calculations!AF96),"",XS_Designer_Calculations!AF96)&lt;&gt;MAX($F$4:$F95),IF(ISERROR(XS_Designer_Calculations!AF96),"",XS_Designer_Calculations!AF96),"")</f>
        <v/>
      </c>
      <c r="G96" s="4" t="str">
        <f>IF(F96&lt;&gt;"",IF(ISERROR(XS_Designer_Calculations!W96),"",XS_Designer_Calculations!W96),"")</f>
        <v/>
      </c>
      <c r="H96" s="3" t="str">
        <f>IF(ISERROR(XS_Designer_Calculations!AE96),"",XS_Designer_Calculations!AE96)</f>
        <v/>
      </c>
      <c r="I96" s="4" t="str">
        <f>IF(ISERROR(XS_Designer_Calculations!W96),"",XS_Designer_Calculations!W96)</f>
        <v/>
      </c>
      <c r="J96" s="4" t="str">
        <f>IF(K96&lt;&gt;"",IF(ISERROR(XS_Designer_Calculations!AL96:AL196),"",XS_Designer_Calculations!AL96:AL196),"")</f>
        <v/>
      </c>
      <c r="K96" s="22" t="str">
        <f>IF(IF(ISERROR(XS_Designer_Calculations!AJ96:AJ196),"",XS_Designer_Calculations!AJ96:AJ196)&lt;&gt;MAX($K$4:$K95),IF(ISERROR(XS_Designer_Calculations!AJ96:AJ196),"",XS_Designer_Calculations!AJ96:AJ196),"")</f>
        <v/>
      </c>
      <c r="L96" s="142" t="str">
        <f>IF(K96&lt;&gt;"",IF(ISERROR(XS_Designer_Calculations!X96:X196),"",XS_Designer_Calculations!X96:X196),"")</f>
        <v/>
      </c>
      <c r="M96" s="22" t="str">
        <f>IF(ISERROR(XS_Designer_Calculations!AI96:AI196),"",XS_Designer_Calculations!AI96:AI196)</f>
        <v/>
      </c>
      <c r="N96" s="22" t="str">
        <f>IF(ISERROR(XS_Designer_Calculations!X96:X196),"",XS_Designer_Calculations!X96:X196)</f>
        <v/>
      </c>
      <c r="X96" s="46" t="str">
        <f>IF(OR(ISERROR(XS_Designer_Calculations!BG95),B96="",ISERROR(XS_Designer_Calculations!BN95)),"",XS_Designer_Calculations!BN95)</f>
        <v/>
      </c>
      <c r="Y96" s="46" t="str">
        <f>IF(OR(ISERROR(XS_Designer_Calculations!BG95),X96=""),"",XS_Designer_Calculations!BH95)</f>
        <v/>
      </c>
      <c r="Z96" s="46" t="str">
        <f>IF(OR(ISERROR(XS_Designer_Calculations!BG95),X96=""),"",XS_Designer_Calculations!$O$18)</f>
        <v/>
      </c>
      <c r="AB96" s="14">
        <f>IFERROR(XS_Designer_Summary!AK94,0)</f>
        <v>-2.4481125000000334</v>
      </c>
      <c r="AC96" s="14">
        <f>IFERROR(XS_Designer_Summary!AV94,0)</f>
        <v>8.9882693697345832</v>
      </c>
      <c r="AD96" s="14">
        <f>IFERROR(XS_Designer_Summary!AK94,0)</f>
        <v>-2.4481125000000334</v>
      </c>
      <c r="AE96" s="14">
        <f>IFERROR(XS_Designer_Summary!AW94,0)</f>
        <v>2.3483373282199218</v>
      </c>
      <c r="AF96" s="14">
        <f>IFERROR(XS_Designer_Summary!AK94,0)</f>
        <v>-2.4481125000000334</v>
      </c>
      <c r="AG96" s="14">
        <f>IFERROR(XS_Designer_Summary!BF94,0)</f>
        <v>8.5339432721055424</v>
      </c>
    </row>
    <row r="97" spans="2:33">
      <c r="B97" s="22" t="str">
        <f>IF(ISERROR(XS_Designer_Calculations!B97),"",XS_Designer_Calculations!B97)</f>
        <v/>
      </c>
      <c r="C97" s="22" t="str">
        <f>IF(ISERROR(XS_Designer_Calculations!C97),"",XS_Designer_Calculations!C97)</f>
        <v/>
      </c>
      <c r="D97" s="3" t="str">
        <f>IF(OR(ISERROR(Data!D94), Data!D94=0),"",Data!D94)</f>
        <v/>
      </c>
      <c r="E97" s="3" t="str">
        <f>IF(F97&lt;&gt;"",IF(ISERROR(XS_Designer_Calculations!AH97),"",XS_Designer_Calculations!AH97),"")</f>
        <v/>
      </c>
      <c r="F97" s="3" t="str">
        <f>IF(IF(ISERROR(XS_Designer_Calculations!AF97),"",XS_Designer_Calculations!AF97)&lt;&gt;MAX($F$4:$F96),IF(ISERROR(XS_Designer_Calculations!AF97),"",XS_Designer_Calculations!AF97),"")</f>
        <v/>
      </c>
      <c r="G97" s="4" t="str">
        <f>IF(F97&lt;&gt;"",IF(ISERROR(XS_Designer_Calculations!W97),"",XS_Designer_Calculations!W97),"")</f>
        <v/>
      </c>
      <c r="H97" s="3" t="str">
        <f>IF(ISERROR(XS_Designer_Calculations!AE97),"",XS_Designer_Calculations!AE97)</f>
        <v/>
      </c>
      <c r="I97" s="4" t="str">
        <f>IF(ISERROR(XS_Designer_Calculations!W97),"",XS_Designer_Calculations!W97)</f>
        <v/>
      </c>
      <c r="J97" s="4" t="str">
        <f>IF(K97&lt;&gt;"",IF(ISERROR(XS_Designer_Calculations!AL97:AL197),"",XS_Designer_Calculations!AL97:AL197),"")</f>
        <v/>
      </c>
      <c r="K97" s="22" t="str">
        <f>IF(IF(ISERROR(XS_Designer_Calculations!AJ97:AJ197),"",XS_Designer_Calculations!AJ97:AJ197)&lt;&gt;MAX($K$4:$K96),IF(ISERROR(XS_Designer_Calculations!AJ97:AJ197),"",XS_Designer_Calculations!AJ97:AJ197),"")</f>
        <v/>
      </c>
      <c r="L97" s="142" t="str">
        <f>IF(K97&lt;&gt;"",IF(ISERROR(XS_Designer_Calculations!X97:X197),"",XS_Designer_Calculations!X97:X197),"")</f>
        <v/>
      </c>
      <c r="M97" s="22" t="str">
        <f>IF(ISERROR(XS_Designer_Calculations!AI97:AI197),"",XS_Designer_Calculations!AI97:AI197)</f>
        <v/>
      </c>
      <c r="N97" s="22" t="str">
        <f>IF(ISERROR(XS_Designer_Calculations!X97:X197),"",XS_Designer_Calculations!X97:X197)</f>
        <v/>
      </c>
      <c r="X97" s="46" t="str">
        <f>IF(OR(ISERROR(XS_Designer_Calculations!BG96),B97="",ISERROR(XS_Designer_Calculations!BN96)),"",XS_Designer_Calculations!BN96)</f>
        <v/>
      </c>
      <c r="Y97" s="46" t="str">
        <f>IF(OR(ISERROR(XS_Designer_Calculations!BG96),X97=""),"",XS_Designer_Calculations!BH96)</f>
        <v/>
      </c>
      <c r="Z97" s="46" t="str">
        <f>IF(OR(ISERROR(XS_Designer_Calculations!BG96),X97=""),"",XS_Designer_Calculations!$O$18)</f>
        <v/>
      </c>
      <c r="AB97" s="14">
        <f>IFERROR(XS_Designer_Summary!AK95,0)</f>
        <v>-2.1761000000000337</v>
      </c>
      <c r="AC97" s="14">
        <f>IFERROR(XS_Designer_Summary!AV95,0)</f>
        <v>9.1809330839196281</v>
      </c>
      <c r="AD97" s="14">
        <f>IFERROR(XS_Designer_Summary!AK95,0)</f>
        <v>-2.1761000000000337</v>
      </c>
      <c r="AE97" s="14">
        <f>IFERROR(XS_Designer_Summary!AW95,0)</f>
        <v>2.4242454856229871</v>
      </c>
      <c r="AF97" s="14">
        <f>IFERROR(XS_Designer_Summary!AK95,0)</f>
        <v>-2.1761000000000337</v>
      </c>
      <c r="AG97" s="14">
        <f>IFERROR(XS_Designer_Summary!BF95,0)</f>
        <v>8.8169974436850733</v>
      </c>
    </row>
    <row r="98" spans="2:33">
      <c r="B98" s="22" t="str">
        <f>IF(ISERROR(XS_Designer_Calculations!B98),"",XS_Designer_Calculations!B98)</f>
        <v/>
      </c>
      <c r="C98" s="22" t="str">
        <f>IF(ISERROR(XS_Designer_Calculations!C98),"",XS_Designer_Calculations!C98)</f>
        <v/>
      </c>
      <c r="D98" s="3" t="str">
        <f>IF(OR(ISERROR(Data!D95), Data!D95=0),"",Data!D95)</f>
        <v/>
      </c>
      <c r="E98" s="3" t="str">
        <f>IF(F98&lt;&gt;"",IF(ISERROR(XS_Designer_Calculations!AH98),"",XS_Designer_Calculations!AH98),"")</f>
        <v/>
      </c>
      <c r="F98" s="3" t="str">
        <f>IF(IF(ISERROR(XS_Designer_Calculations!AF98),"",XS_Designer_Calculations!AF98)&lt;&gt;MAX($F$4:$F97),IF(ISERROR(XS_Designer_Calculations!AF98),"",XS_Designer_Calculations!AF98),"")</f>
        <v/>
      </c>
      <c r="G98" s="4" t="str">
        <f>IF(F98&lt;&gt;"",IF(ISERROR(XS_Designer_Calculations!W98),"",XS_Designer_Calculations!W98),"")</f>
        <v/>
      </c>
      <c r="H98" s="3" t="str">
        <f>IF(ISERROR(XS_Designer_Calculations!AE98),"",XS_Designer_Calculations!AE98)</f>
        <v/>
      </c>
      <c r="I98" s="4" t="str">
        <f>IF(ISERROR(XS_Designer_Calculations!W98),"",XS_Designer_Calculations!W98)</f>
        <v/>
      </c>
      <c r="J98" s="4" t="str">
        <f>IF(K98&lt;&gt;"",IF(ISERROR(XS_Designer_Calculations!AL98:AL198),"",XS_Designer_Calculations!AL98:AL198),"")</f>
        <v/>
      </c>
      <c r="K98" s="22" t="str">
        <f>IF(IF(ISERROR(XS_Designer_Calculations!AJ98:AJ198),"",XS_Designer_Calculations!AJ98:AJ198)&lt;&gt;MAX($K$4:$K97),IF(ISERROR(XS_Designer_Calculations!AJ98:AJ198),"",XS_Designer_Calculations!AJ98:AJ198),"")</f>
        <v/>
      </c>
      <c r="L98" s="142" t="str">
        <f>IF(K98&lt;&gt;"",IF(ISERROR(XS_Designer_Calculations!X98:X198),"",XS_Designer_Calculations!X98:X198),"")</f>
        <v/>
      </c>
      <c r="M98" s="22" t="str">
        <f>IF(ISERROR(XS_Designer_Calculations!AI98:AI198),"",XS_Designer_Calculations!AI98:AI198)</f>
        <v/>
      </c>
      <c r="N98" s="22" t="str">
        <f>IF(ISERROR(XS_Designer_Calculations!X98:X198),"",XS_Designer_Calculations!X98:X198)</f>
        <v/>
      </c>
      <c r="X98" s="46" t="str">
        <f>IF(OR(ISERROR(XS_Designer_Calculations!BG97),B98="",ISERROR(XS_Designer_Calculations!BN97)),"",XS_Designer_Calculations!BN97)</f>
        <v/>
      </c>
      <c r="Y98" s="46" t="str">
        <f>IF(OR(ISERROR(XS_Designer_Calculations!BG97),X98=""),"",XS_Designer_Calculations!BH97)</f>
        <v/>
      </c>
      <c r="Z98" s="46" t="str">
        <f>IF(OR(ISERROR(XS_Designer_Calculations!BG97),X98=""),"",XS_Designer_Calculations!$O$18)</f>
        <v/>
      </c>
      <c r="AB98" s="14">
        <f>IFERROR(XS_Designer_Summary!AK96,0)</f>
        <v>-1.9040875000000337</v>
      </c>
      <c r="AC98" s="14">
        <f>IFERROR(XS_Designer_Summary!AV96,0)</f>
        <v>9.5667909127193944</v>
      </c>
      <c r="AD98" s="14">
        <f>IFERROR(XS_Designer_Summary!AK96,0)</f>
        <v>-1.9040875000000337</v>
      </c>
      <c r="AE98" s="14">
        <f>IFERROR(XS_Designer_Summary!AW96,0)</f>
        <v>2.5786701085647343</v>
      </c>
      <c r="AF98" s="14">
        <f>IFERROR(XS_Designer_Summary!AK96,0)</f>
        <v>-1.9040875000000337</v>
      </c>
      <c r="AG98" s="14">
        <f>IFERROR(XS_Designer_Summary!BF96,0)</f>
        <v>9.0497731935462493</v>
      </c>
    </row>
    <row r="99" spans="2:33">
      <c r="B99" s="22" t="str">
        <f>IF(ISERROR(XS_Designer_Calculations!B99),"",XS_Designer_Calculations!B99)</f>
        <v/>
      </c>
      <c r="C99" s="22" t="str">
        <f>IF(ISERROR(XS_Designer_Calculations!C99),"",XS_Designer_Calculations!C99)</f>
        <v/>
      </c>
      <c r="D99" s="3" t="str">
        <f>IF(OR(ISERROR(Data!D96), Data!D96=0),"",Data!D96)</f>
        <v/>
      </c>
      <c r="E99" s="3" t="str">
        <f>IF(F99&lt;&gt;"",IF(ISERROR(XS_Designer_Calculations!AH99),"",XS_Designer_Calculations!AH99),"")</f>
        <v/>
      </c>
      <c r="F99" s="3" t="str">
        <f>IF(IF(ISERROR(XS_Designer_Calculations!AF99),"",XS_Designer_Calculations!AF99)&lt;&gt;MAX($F$4:$F98),IF(ISERROR(XS_Designer_Calculations!AF99),"",XS_Designer_Calculations!AF99),"")</f>
        <v/>
      </c>
      <c r="G99" s="4" t="str">
        <f>IF(F99&lt;&gt;"",IF(ISERROR(XS_Designer_Calculations!W99),"",XS_Designer_Calculations!W99),"")</f>
        <v/>
      </c>
      <c r="H99" s="3" t="str">
        <f>IF(ISERROR(XS_Designer_Calculations!AE99),"",XS_Designer_Calculations!AE99)</f>
        <v/>
      </c>
      <c r="I99" s="4" t="str">
        <f>IF(ISERROR(XS_Designer_Calculations!W99),"",XS_Designer_Calculations!W99)</f>
        <v/>
      </c>
      <c r="J99" s="4" t="str">
        <f>IF(K99&lt;&gt;"",IF(ISERROR(XS_Designer_Calculations!AL99:AL199),"",XS_Designer_Calculations!AL99:AL199),"")</f>
        <v/>
      </c>
      <c r="K99" s="22" t="str">
        <f>IF(IF(ISERROR(XS_Designer_Calculations!AJ99:AJ199),"",XS_Designer_Calculations!AJ99:AJ199)&lt;&gt;MAX($K$4:$K98),IF(ISERROR(XS_Designer_Calculations!AJ99:AJ199),"",XS_Designer_Calculations!AJ99:AJ199),"")</f>
        <v/>
      </c>
      <c r="L99" s="142" t="str">
        <f>IF(K99&lt;&gt;"",IF(ISERROR(XS_Designer_Calculations!X99:X199),"",XS_Designer_Calculations!X99:X199),"")</f>
        <v/>
      </c>
      <c r="M99" s="22" t="str">
        <f>IF(ISERROR(XS_Designer_Calculations!AI99:AI199),"",XS_Designer_Calculations!AI99:AI199)</f>
        <v/>
      </c>
      <c r="N99" s="22" t="str">
        <f>IF(ISERROR(XS_Designer_Calculations!X99:X199),"",XS_Designer_Calculations!X99:X199)</f>
        <v/>
      </c>
      <c r="X99" s="46" t="str">
        <f>IF(OR(ISERROR(XS_Designer_Calculations!BG98),B99="",ISERROR(XS_Designer_Calculations!BN98)),"",XS_Designer_Calculations!BN98)</f>
        <v/>
      </c>
      <c r="Y99" s="46" t="str">
        <f>IF(OR(ISERROR(XS_Designer_Calculations!BG98),X99=""),"",XS_Designer_Calculations!BH98)</f>
        <v/>
      </c>
      <c r="Z99" s="46" t="str">
        <f>IF(OR(ISERROR(XS_Designer_Calculations!BG98),X99=""),"",XS_Designer_Calculations!$O$18)</f>
        <v/>
      </c>
      <c r="AB99" s="14">
        <f>IFERROR(XS_Designer_Summary!AK97,0)</f>
        <v>-1.6320750000000337</v>
      </c>
      <c r="AC99" s="14">
        <f>IFERROR(XS_Designer_Summary!AV97,0)</f>
        <v>10.007380692196982</v>
      </c>
      <c r="AD99" s="14">
        <f>IFERROR(XS_Designer_Summary!AK97,0)</f>
        <v>-1.6320750000000337</v>
      </c>
      <c r="AE99" s="14">
        <f>IFERROR(XS_Designer_Summary!AW97,0)</f>
        <v>2.7588430500845949</v>
      </c>
      <c r="AF99" s="14">
        <f>IFERROR(XS_Designer_Summary!AK97,0)</f>
        <v>-1.6320750000000337</v>
      </c>
      <c r="AG99" s="14">
        <f>IFERROR(XS_Designer_Summary!BF97,0)</f>
        <v>9.1915862541659319</v>
      </c>
    </row>
    <row r="100" spans="2:33">
      <c r="B100" s="22" t="str">
        <f>IF(ISERROR(XS_Designer_Calculations!B100),"",XS_Designer_Calculations!B100)</f>
        <v/>
      </c>
      <c r="C100" s="22" t="str">
        <f>IF(ISERROR(XS_Designer_Calculations!C100),"",XS_Designer_Calculations!C100)</f>
        <v/>
      </c>
      <c r="D100" s="3" t="str">
        <f>IF(OR(ISERROR(Data!D97), Data!D97=0),"",Data!D97)</f>
        <v/>
      </c>
      <c r="E100" s="3" t="str">
        <f>IF(F100&lt;&gt;"",IF(ISERROR(XS_Designer_Calculations!AH100),"",XS_Designer_Calculations!AH100),"")</f>
        <v/>
      </c>
      <c r="F100" s="3" t="str">
        <f>IF(IF(ISERROR(XS_Designer_Calculations!AF100),"",XS_Designer_Calculations!AF100)&lt;&gt;MAX($F$4:$F99),IF(ISERROR(XS_Designer_Calculations!AF100),"",XS_Designer_Calculations!AF100),"")</f>
        <v/>
      </c>
      <c r="G100" s="4" t="str">
        <f>IF(F100&lt;&gt;"",IF(ISERROR(XS_Designer_Calculations!W100),"",XS_Designer_Calculations!W100),"")</f>
        <v/>
      </c>
      <c r="H100" s="3" t="str">
        <f>IF(ISERROR(XS_Designer_Calculations!AE100),"",XS_Designer_Calculations!AE100)</f>
        <v/>
      </c>
      <c r="I100" s="4" t="str">
        <f>IF(ISERROR(XS_Designer_Calculations!W100),"",XS_Designer_Calculations!W100)</f>
        <v/>
      </c>
      <c r="J100" s="4" t="str">
        <f>IF(K100&lt;&gt;"",IF(ISERROR(XS_Designer_Calculations!AL100:AL200),"",XS_Designer_Calculations!AL100:AL200),"")</f>
        <v/>
      </c>
      <c r="K100" s="22" t="str">
        <f>IF(IF(ISERROR(XS_Designer_Calculations!AJ100:AJ200),"",XS_Designer_Calculations!AJ100:AJ200)&lt;&gt;MAX($K$4:$K99),IF(ISERROR(XS_Designer_Calculations!AJ100:AJ200),"",XS_Designer_Calculations!AJ100:AJ200),"")</f>
        <v/>
      </c>
      <c r="L100" s="142" t="str">
        <f>IF(K100&lt;&gt;"",IF(ISERROR(XS_Designer_Calculations!X100:X200),"",XS_Designer_Calculations!X100:X200),"")</f>
        <v/>
      </c>
      <c r="M100" s="22" t="str">
        <f>IF(ISERROR(XS_Designer_Calculations!AI100:AI200),"",XS_Designer_Calculations!AI100:AI200)</f>
        <v/>
      </c>
      <c r="N100" s="22" t="str">
        <f>IF(ISERROR(XS_Designer_Calculations!X100:X200),"",XS_Designer_Calculations!X100:X200)</f>
        <v/>
      </c>
      <c r="X100" s="46" t="str">
        <f>IF(OR(ISERROR(XS_Designer_Calculations!BG99),B100="",ISERROR(XS_Designer_Calculations!BN99)),"",XS_Designer_Calculations!BN99)</f>
        <v/>
      </c>
      <c r="Y100" s="46" t="str">
        <f>IF(OR(ISERROR(XS_Designer_Calculations!BG99),X100=""),"",XS_Designer_Calculations!BH99)</f>
        <v/>
      </c>
      <c r="Z100" s="46" t="str">
        <f>IF(OR(ISERROR(XS_Designer_Calculations!BG99),X100=""),"",XS_Designer_Calculations!$O$18)</f>
        <v/>
      </c>
      <c r="AB100" s="14">
        <f>IFERROR(XS_Designer_Summary!AK98,0)</f>
        <v>-1.3600625000000337</v>
      </c>
      <c r="AC100" s="14">
        <f>IFERROR(XS_Designer_Summary!AV98,0)</f>
        <v>10.106687004430841</v>
      </c>
      <c r="AD100" s="14">
        <f>IFERROR(XS_Designer_Summary!AK98,0)</f>
        <v>-1.3600625000000337</v>
      </c>
      <c r="AE100" s="14">
        <f>IFERROR(XS_Designer_Summary!AW98,0)</f>
        <v>2.8000100284286358</v>
      </c>
      <c r="AF100" s="14">
        <f>IFERROR(XS_Designer_Summary!AK98,0)</f>
        <v>-1.3600625000000337</v>
      </c>
      <c r="AG100" s="14">
        <f>IFERROR(XS_Designer_Summary!BF98,0)</f>
        <v>9.3334875638179042</v>
      </c>
    </row>
    <row r="101" spans="2:33">
      <c r="B101" s="22" t="str">
        <f>IF(ISERROR(XS_Designer_Calculations!B101),"",XS_Designer_Calculations!B101)</f>
        <v/>
      </c>
      <c r="C101" s="22" t="str">
        <f>IF(ISERROR(XS_Designer_Calculations!C101),"",XS_Designer_Calculations!C101)</f>
        <v/>
      </c>
      <c r="D101" s="3" t="str">
        <f>IF(OR(ISERROR(Data!D98), Data!D98=0),"",Data!D98)</f>
        <v/>
      </c>
      <c r="E101" s="3" t="str">
        <f>IF(F101&lt;&gt;"",IF(ISERROR(XS_Designer_Calculations!AH101),"",XS_Designer_Calculations!AH101),"")</f>
        <v/>
      </c>
      <c r="F101" s="3" t="str">
        <f>IF(IF(ISERROR(XS_Designer_Calculations!AF101),"",XS_Designer_Calculations!AF101)&lt;&gt;MAX($F$4:$F100),IF(ISERROR(XS_Designer_Calculations!AF101),"",XS_Designer_Calculations!AF101),"")</f>
        <v/>
      </c>
      <c r="G101" s="4" t="str">
        <f>IF(F101&lt;&gt;"",IF(ISERROR(XS_Designer_Calculations!W101),"",XS_Designer_Calculations!W101),"")</f>
        <v/>
      </c>
      <c r="H101" s="3" t="str">
        <f>IF(ISERROR(XS_Designer_Calculations!AE101),"",XS_Designer_Calculations!AE101)</f>
        <v/>
      </c>
      <c r="I101" s="4" t="str">
        <f>IF(ISERROR(XS_Designer_Calculations!W101),"",XS_Designer_Calculations!W101)</f>
        <v/>
      </c>
      <c r="J101" s="4" t="str">
        <f>IF(K101&lt;&gt;"",IF(ISERROR(XS_Designer_Calculations!AL101:AL201),"",XS_Designer_Calculations!AL101:AL201),"")</f>
        <v/>
      </c>
      <c r="K101" s="22" t="str">
        <f>IF(IF(ISERROR(XS_Designer_Calculations!AJ101:AJ201),"",XS_Designer_Calculations!AJ101:AJ201)&lt;&gt;MAX($K$4:$K100),IF(ISERROR(XS_Designer_Calculations!AJ101:AJ201),"",XS_Designer_Calculations!AJ101:AJ201),"")</f>
        <v/>
      </c>
      <c r="L101" s="142" t="str">
        <f>IF(K101&lt;&gt;"",IF(ISERROR(XS_Designer_Calculations!X101:X201),"",XS_Designer_Calculations!X101:X201),"")</f>
        <v/>
      </c>
      <c r="M101" s="22" t="str">
        <f>IF(ISERROR(XS_Designer_Calculations!AI101:AI201),"",XS_Designer_Calculations!AI101:AI201)</f>
        <v/>
      </c>
      <c r="N101" s="22" t="str">
        <f>IF(ISERROR(XS_Designer_Calculations!X101:X201),"",XS_Designer_Calculations!X101:X201)</f>
        <v/>
      </c>
      <c r="X101" s="46" t="str">
        <f>IF(OR(ISERROR(XS_Designer_Calculations!BG100),B101="",ISERROR(XS_Designer_Calculations!BN100)),"",XS_Designer_Calculations!BN100)</f>
        <v/>
      </c>
      <c r="Y101" s="46" t="str">
        <f>IF(OR(ISERROR(XS_Designer_Calculations!BG100),X101=""),"",XS_Designer_Calculations!BH100)</f>
        <v/>
      </c>
      <c r="Z101" s="46" t="str">
        <f>IF(OR(ISERROR(XS_Designer_Calculations!BG100),X101=""),"",XS_Designer_Calculations!$O$18)</f>
        <v/>
      </c>
      <c r="AB101" s="14">
        <f>IFERROR(XS_Designer_Summary!AK99,0)</f>
        <v>-1.0880500000000337</v>
      </c>
      <c r="AC101" s="14">
        <f>IFERROR(XS_Designer_Summary!AV99,0)</f>
        <v>10.205507805242922</v>
      </c>
      <c r="AD101" s="14">
        <f>IFERROR(XS_Designer_Summary!AK99,0)</f>
        <v>-1.0880500000000337</v>
      </c>
      <c r="AE101" s="14">
        <f>IFERROR(XS_Designer_Summary!AW99,0)</f>
        <v>2.8411770067726798</v>
      </c>
      <c r="AF101" s="14">
        <f>IFERROR(XS_Designer_Summary!AK99,0)</f>
        <v>-1.0880500000000337</v>
      </c>
      <c r="AG101" s="14">
        <f>IFERROR(XS_Designer_Summary!BF99,0)</f>
        <v>9.4754758881242385</v>
      </c>
    </row>
    <row r="102" spans="2:33">
      <c r="B102" s="22" t="str">
        <f>IF(ISERROR(XS_Designer_Calculations!B102),"",XS_Designer_Calculations!B102)</f>
        <v/>
      </c>
      <c r="C102" s="22" t="str">
        <f>IF(ISERROR(XS_Designer_Calculations!C102),"",XS_Designer_Calculations!C102)</f>
        <v/>
      </c>
      <c r="D102" s="3" t="str">
        <f>IF(OR(ISERROR(Data!D99), Data!D99=0),"",Data!D99)</f>
        <v/>
      </c>
      <c r="E102" s="3" t="str">
        <f>IF(F102&lt;&gt;"",IF(ISERROR(XS_Designer_Calculations!AH102),"",XS_Designer_Calculations!AH102),"")</f>
        <v/>
      </c>
      <c r="F102" s="3" t="str">
        <f>IF(IF(ISERROR(XS_Designer_Calculations!AF102),"",XS_Designer_Calculations!AF102)&lt;&gt;MAX($F$4:$F101),IF(ISERROR(XS_Designer_Calculations!AF102),"",XS_Designer_Calculations!AF102),"")</f>
        <v/>
      </c>
      <c r="G102" s="4" t="str">
        <f>IF(F102&lt;&gt;"",IF(ISERROR(XS_Designer_Calculations!W102),"",XS_Designer_Calculations!W102),"")</f>
        <v/>
      </c>
      <c r="H102" s="3" t="str">
        <f>IF(ISERROR(XS_Designer_Calculations!AE102),"",XS_Designer_Calculations!AE102)</f>
        <v/>
      </c>
      <c r="I102" s="4" t="str">
        <f>IF(ISERROR(XS_Designer_Calculations!W102),"",XS_Designer_Calculations!W102)</f>
        <v/>
      </c>
      <c r="J102" s="4" t="str">
        <f>IF(K102&lt;&gt;"",IF(ISERROR(XS_Designer_Calculations!AL102:AL202),"",XS_Designer_Calculations!AL102:AL202),"")</f>
        <v/>
      </c>
      <c r="K102" s="22" t="str">
        <f>IF(IF(ISERROR(XS_Designer_Calculations!AJ102:AJ202),"",XS_Designer_Calculations!AJ102:AJ202)&lt;&gt;MAX($K$4:$K101),IF(ISERROR(XS_Designer_Calculations!AJ102:AJ202),"",XS_Designer_Calculations!AJ102:AJ202),"")</f>
        <v/>
      </c>
      <c r="L102" s="142" t="str">
        <f>IF(K102&lt;&gt;"",IF(ISERROR(XS_Designer_Calculations!X102:X202),"",XS_Designer_Calculations!X102:X202),"")</f>
        <v/>
      </c>
      <c r="M102" s="22" t="str">
        <f>IF(ISERROR(XS_Designer_Calculations!AI102:AI202),"",XS_Designer_Calculations!AI102:AI202)</f>
        <v/>
      </c>
      <c r="N102" s="22" t="str">
        <f>IF(ISERROR(XS_Designer_Calculations!X102:X202),"",XS_Designer_Calculations!X102:X202)</f>
        <v/>
      </c>
      <c r="X102" s="46" t="str">
        <f>IF(OR(ISERROR(XS_Designer_Calculations!BG101),B102="",ISERROR(XS_Designer_Calculations!BN101)),"",XS_Designer_Calculations!BN101)</f>
        <v/>
      </c>
      <c r="Y102" s="46" t="str">
        <f>IF(OR(ISERROR(XS_Designer_Calculations!BG101),X102=""),"",XS_Designer_Calculations!BH101)</f>
        <v/>
      </c>
      <c r="Z102" s="46" t="str">
        <f>IF(OR(ISERROR(XS_Designer_Calculations!BG101),X102=""),"",XS_Designer_Calculations!$O$18)</f>
        <v/>
      </c>
      <c r="AB102" s="14">
        <f>IFERROR(XS_Designer_Summary!AK100,0)</f>
        <v>-0.81603750000003372</v>
      </c>
      <c r="AC102" s="14">
        <f>IFERROR(XS_Designer_Summary!AV100,0)</f>
        <v>10.303852452375267</v>
      </c>
      <c r="AD102" s="14">
        <f>IFERROR(XS_Designer_Summary!AK100,0)</f>
        <v>-0.81603750000003372</v>
      </c>
      <c r="AE102" s="14">
        <f>IFERROR(XS_Designer_Summary!AW100,0)</f>
        <v>2.8823439851167212</v>
      </c>
      <c r="AF102" s="14">
        <f>IFERROR(XS_Designer_Summary!AK100,0)</f>
        <v>-0.81603750000003372</v>
      </c>
      <c r="AG102" s="14">
        <f>IFERROR(XS_Designer_Summary!BF100,0)</f>
        <v>9.6175500274889529</v>
      </c>
    </row>
    <row r="103" spans="2:33">
      <c r="B103" s="22" t="str">
        <f>IF(ISERROR(XS_Designer_Calculations!B103),"",XS_Designer_Calculations!B103)</f>
        <v/>
      </c>
      <c r="C103" s="22" t="str">
        <f>IF(ISERROR(XS_Designer_Calculations!C103),"",XS_Designer_Calculations!C103)</f>
        <v/>
      </c>
      <c r="D103" s="3" t="str">
        <f>IF(OR(ISERROR(Data!D100), Data!D100=0),"",Data!D100)</f>
        <v/>
      </c>
      <c r="E103" s="3" t="str">
        <f>IF(F103&lt;&gt;"",IF(ISERROR(XS_Designer_Calculations!AH103),"",XS_Designer_Calculations!AH103),"")</f>
        <v/>
      </c>
      <c r="F103" s="3" t="str">
        <f>IF(IF(ISERROR(XS_Designer_Calculations!AF103),"",XS_Designer_Calculations!AF103)&lt;&gt;MAX($F$4:$F102),IF(ISERROR(XS_Designer_Calculations!AF103),"",XS_Designer_Calculations!AF103),"")</f>
        <v/>
      </c>
      <c r="G103" s="4" t="str">
        <f>IF(F103&lt;&gt;"",IF(ISERROR(XS_Designer_Calculations!W103),"",XS_Designer_Calculations!W103),"")</f>
        <v/>
      </c>
      <c r="H103" s="3" t="str">
        <f>IF(ISERROR(XS_Designer_Calculations!AE103),"",XS_Designer_Calculations!AE103)</f>
        <v/>
      </c>
      <c r="I103" s="4" t="str">
        <f>IF(ISERROR(XS_Designer_Calculations!W103),"",XS_Designer_Calculations!W103)</f>
        <v/>
      </c>
      <c r="J103" s="4" t="str">
        <f>IF(K103&lt;&gt;"",IF(ISERROR(XS_Designer_Calculations!AL103:AL203),"",XS_Designer_Calculations!AL103:AL203),"")</f>
        <v/>
      </c>
      <c r="K103" s="22" t="str">
        <f>IF(IF(ISERROR(XS_Designer_Calculations!AJ103:AJ203),"",XS_Designer_Calculations!AJ103:AJ203)&lt;&gt;MAX($K$4:$K102),IF(ISERROR(XS_Designer_Calculations!AJ103:AJ203),"",XS_Designer_Calculations!AJ103:AJ203),"")</f>
        <v/>
      </c>
      <c r="L103" s="142" t="str">
        <f>IF(K103&lt;&gt;"",IF(ISERROR(XS_Designer_Calculations!X103:X203),"",XS_Designer_Calculations!X103:X203),"")</f>
        <v/>
      </c>
      <c r="M103" s="22" t="str">
        <f>IF(ISERROR(XS_Designer_Calculations!AI103:AI203),"",XS_Designer_Calculations!AI103:AI203)</f>
        <v/>
      </c>
      <c r="N103" s="22" t="str">
        <f>IF(ISERROR(XS_Designer_Calculations!X103:X203),"",XS_Designer_Calculations!X103:X203)</f>
        <v/>
      </c>
      <c r="X103" s="46" t="str">
        <f>IF(OR(ISERROR(XS_Designer_Calculations!BG102),B103="",ISERROR(XS_Designer_Calculations!BN102)),"",XS_Designer_Calculations!BN102)</f>
        <v/>
      </c>
      <c r="Y103" s="46" t="str">
        <f>IF(OR(ISERROR(XS_Designer_Calculations!BG102),X103=""),"",XS_Designer_Calculations!BH102)</f>
        <v/>
      </c>
      <c r="Z103" s="46" t="str">
        <f>IF(OR(ISERROR(XS_Designer_Calculations!BG102),X103=""),"",XS_Designer_Calculations!$O$18)</f>
        <v/>
      </c>
      <c r="AB103" s="14">
        <f>IFERROR(XS_Designer_Summary!AK101,0)</f>
        <v>-0.54402500000003373</v>
      </c>
      <c r="AC103" s="14">
        <f>IFERROR(XS_Designer_Summary!AV101,0)</f>
        <v>10.401729992426985</v>
      </c>
      <c r="AD103" s="14">
        <f>IFERROR(XS_Designer_Summary!AK101,0)</f>
        <v>-0.54402500000003373</v>
      </c>
      <c r="AE103" s="14">
        <f>IFERROR(XS_Designer_Summary!AW101,0)</f>
        <v>2.9235109634607612</v>
      </c>
      <c r="AF103" s="14">
        <f>IFERROR(XS_Designer_Summary!AK101,0)</f>
        <v>-0.54402500000003373</v>
      </c>
      <c r="AG103" s="14">
        <f>IFERROR(XS_Designer_Summary!BF101,0)</f>
        <v>9.7597088156383247</v>
      </c>
    </row>
    <row r="104" spans="2:33">
      <c r="B104" s="22" t="str">
        <f>IF(ISERROR(XS_Designer_Calculations!B104),"",XS_Designer_Calculations!B104)</f>
        <v/>
      </c>
      <c r="C104" s="22" t="str">
        <f>IF(ISERROR(XS_Designer_Calculations!C104),"",XS_Designer_Calculations!C104)</f>
        <v/>
      </c>
      <c r="D104" s="3" t="str">
        <f>IF(OR(ISERROR(Data!D101), Data!D101=0),"",Data!D101)</f>
        <v/>
      </c>
      <c r="E104" s="3" t="str">
        <f>IF(F104&lt;&gt;"",IF(ISERROR(XS_Designer_Calculations!AH104),"",XS_Designer_Calculations!AH104),"")</f>
        <v/>
      </c>
      <c r="F104" s="3" t="str">
        <f>IF(IF(ISERROR(XS_Designer_Calculations!AF104),"",XS_Designer_Calculations!AF104)&lt;&gt;MAX($F$4:$F103),IF(ISERROR(XS_Designer_Calculations!AF104),"",XS_Designer_Calculations!AF104),"")</f>
        <v/>
      </c>
      <c r="G104" s="4" t="str">
        <f>IF(F104&lt;&gt;"",IF(ISERROR(XS_Designer_Calculations!W104),"",XS_Designer_Calculations!W104),"")</f>
        <v/>
      </c>
      <c r="H104" s="3" t="str">
        <f>IF(ISERROR(XS_Designer_Calculations!AE104),"",XS_Designer_Calculations!AE104)</f>
        <v/>
      </c>
      <c r="I104" s="4" t="str">
        <f>IF(ISERROR(XS_Designer_Calculations!W104),"",XS_Designer_Calculations!W104)</f>
        <v/>
      </c>
      <c r="J104" s="4" t="str">
        <f>IF(K104&lt;&gt;"",IF(ISERROR(XS_Designer_Calculations!AL104:AL204),"",XS_Designer_Calculations!AL104:AL204),"")</f>
        <v/>
      </c>
      <c r="K104" s="22" t="str">
        <f>IF(IF(ISERROR(XS_Designer_Calculations!AJ104:AJ204),"",XS_Designer_Calculations!AJ104:AJ204)&lt;&gt;MAX($K$4:$K103),IF(ISERROR(XS_Designer_Calculations!AJ104:AJ204),"",XS_Designer_Calculations!AJ104:AJ204),"")</f>
        <v/>
      </c>
      <c r="L104" s="142" t="str">
        <f>IF(K104&lt;&gt;"",IF(ISERROR(XS_Designer_Calculations!X104:X204),"",XS_Designer_Calculations!X104:X204),"")</f>
        <v/>
      </c>
      <c r="M104" s="22" t="str">
        <f>IF(ISERROR(XS_Designer_Calculations!AI104:AI204),"",XS_Designer_Calculations!AI104:AI204)</f>
        <v/>
      </c>
      <c r="N104" s="22" t="str">
        <f>IF(ISERROR(XS_Designer_Calculations!X104:X204),"",XS_Designer_Calculations!X104:X204)</f>
        <v/>
      </c>
      <c r="X104" s="46" t="str">
        <f>IF(OR(ISERROR(XS_Designer_Calculations!BG103),B104="",ISERROR(XS_Designer_Calculations!BN103)),"",XS_Designer_Calculations!BN103)</f>
        <v/>
      </c>
      <c r="Y104" s="46" t="str">
        <f>IF(OR(ISERROR(XS_Designer_Calculations!BG103),X104=""),"",XS_Designer_Calculations!BH103)</f>
        <v/>
      </c>
      <c r="Z104" s="46" t="str">
        <f>IF(OR(ISERROR(XS_Designer_Calculations!BG103),X104=""),"",XS_Designer_Calculations!$O$18)</f>
        <v/>
      </c>
      <c r="AB104" s="14">
        <f>IFERROR(XS_Designer_Summary!AK102,0)</f>
        <v>-0.27201250000003374</v>
      </c>
      <c r="AC104" s="14">
        <f>IFERROR(XS_Designer_Summary!AV102,0)</f>
        <v>10.499302083103112</v>
      </c>
      <c r="AD104" s="14">
        <f>IFERROR(XS_Designer_Summary!AK102,0)</f>
        <v>-0.27201250000003374</v>
      </c>
      <c r="AE104" s="14">
        <f>IFERROR(XS_Designer_Summary!AW102,0)</f>
        <v>2.9647427075767627</v>
      </c>
      <c r="AF104" s="14">
        <f>IFERROR(XS_Designer_Summary!AK102,0)</f>
        <v>-0.27201250000003374</v>
      </c>
      <c r="AG104" s="14">
        <f>IFERROR(XS_Designer_Summary!BF102,0)</f>
        <v>9.9018911936925083</v>
      </c>
    </row>
    <row r="105" spans="2:33">
      <c r="AB105" s="14">
        <f>IFERROR(XS_Designer_Summary!AK103,0)</f>
        <v>-3.3750779948604759E-14</v>
      </c>
      <c r="AC105" s="14">
        <f>IFERROR(XS_Designer_Summary!AV103,0)</f>
        <v>10.592191565599071</v>
      </c>
      <c r="AD105" s="14">
        <f>IFERROR(XS_Designer_Summary!AK103,0)</f>
        <v>-3.3750779948604759E-14</v>
      </c>
      <c r="AE105" s="14">
        <f>IFERROR(XS_Designer_Summary!AW103,0)</f>
        <v>3.0041741336838292</v>
      </c>
      <c r="AF105" s="14">
        <f>IFERROR(XS_Designer_Summary!AK103,0)</f>
        <v>-3.3750779948604759E-14</v>
      </c>
      <c r="AG105" s="14">
        <f>IFERROR(XS_Designer_Summary!BF103,0)</f>
        <v>10.045715127288284</v>
      </c>
    </row>
    <row r="106" spans="2:33">
      <c r="AB106" s="14">
        <f>IFERROR(XS_Designer_Summary!AK104,0)</f>
        <v>0.27201249999996624</v>
      </c>
      <c r="AC106" s="14">
        <f>IFERROR(XS_Designer_Summary!AV104,0)</f>
        <v>10.499302083103142</v>
      </c>
      <c r="AD106" s="14">
        <f>IFERROR(XS_Designer_Summary!AK104,0)</f>
        <v>0.27201249999996624</v>
      </c>
      <c r="AE106" s="14">
        <f>IFERROR(XS_Designer_Summary!AW104,0)</f>
        <v>2.9647427075767743</v>
      </c>
      <c r="AF106" s="14">
        <f>IFERROR(XS_Designer_Summary!AK104,0)</f>
        <v>0.27201249999996624</v>
      </c>
      <c r="AG106" s="14">
        <f>IFERROR(XS_Designer_Summary!BF104,0)</f>
        <v>9.9018911936925438</v>
      </c>
    </row>
    <row r="107" spans="2:33">
      <c r="AB107" s="14">
        <f>IFERROR(XS_Designer_Summary!AK105,0)</f>
        <v>0.54402499999996623</v>
      </c>
      <c r="AC107" s="14">
        <f>IFERROR(XS_Designer_Summary!AV105,0)</f>
        <v>10.401729992427009</v>
      </c>
      <c r="AD107" s="14">
        <f>IFERROR(XS_Designer_Summary!AK105,0)</f>
        <v>0.54402499999996623</v>
      </c>
      <c r="AE107" s="14">
        <f>IFERROR(XS_Designer_Summary!AW105,0)</f>
        <v>2.9235109634607723</v>
      </c>
      <c r="AF107" s="14">
        <f>IFERROR(XS_Designer_Summary!AK105,0)</f>
        <v>0.54402499999996623</v>
      </c>
      <c r="AG107" s="14">
        <f>IFERROR(XS_Designer_Summary!BF105,0)</f>
        <v>9.7597088156383585</v>
      </c>
    </row>
    <row r="108" spans="2:33">
      <c r="AB108" s="14">
        <f>IFERROR(XS_Designer_Summary!AK106,0)</f>
        <v>0.81603749999996622</v>
      </c>
      <c r="AC108" s="14">
        <f>IFERROR(XS_Designer_Summary!AV106,0)</f>
        <v>10.303852452375294</v>
      </c>
      <c r="AD108" s="14">
        <f>IFERROR(XS_Designer_Summary!AK106,0)</f>
        <v>0.81603749999996622</v>
      </c>
      <c r="AE108" s="14">
        <f>IFERROR(XS_Designer_Summary!AW106,0)</f>
        <v>2.8823439851167318</v>
      </c>
      <c r="AF108" s="14">
        <f>IFERROR(XS_Designer_Summary!AK106,0)</f>
        <v>0.81603749999996622</v>
      </c>
      <c r="AG108" s="14">
        <f>IFERROR(XS_Designer_Summary!BF106,0)</f>
        <v>9.6175500274889902</v>
      </c>
    </row>
    <row r="109" spans="2:33">
      <c r="AB109" s="14">
        <f>IFERROR(XS_Designer_Summary!AK107,0)</f>
        <v>1.0880499999999662</v>
      </c>
      <c r="AC109" s="14">
        <f>IFERROR(XS_Designer_Summary!AV107,0)</f>
        <v>10.205507805242947</v>
      </c>
      <c r="AD109" s="14">
        <f>IFERROR(XS_Designer_Summary!AK107,0)</f>
        <v>1.0880499999999662</v>
      </c>
      <c r="AE109" s="14">
        <f>IFERROR(XS_Designer_Summary!AW107,0)</f>
        <v>2.8411770067726896</v>
      </c>
      <c r="AF109" s="14">
        <f>IFERROR(XS_Designer_Summary!AK107,0)</f>
        <v>1.0880499999999662</v>
      </c>
      <c r="AG109" s="14">
        <f>IFERROR(XS_Designer_Summary!BF107,0)</f>
        <v>9.4754758881242722</v>
      </c>
    </row>
    <row r="110" spans="2:33">
      <c r="AB110" s="14">
        <f>IFERROR(XS_Designer_Summary!AK108,0)</f>
        <v>1.3600624999999662</v>
      </c>
      <c r="AC110" s="14">
        <f>IFERROR(XS_Designer_Summary!AV108,0)</f>
        <v>10.106687004430869</v>
      </c>
      <c r="AD110" s="14">
        <f>IFERROR(XS_Designer_Summary!AK108,0)</f>
        <v>1.3600624999999662</v>
      </c>
      <c r="AE110" s="14">
        <f>IFERROR(XS_Designer_Summary!AW108,0)</f>
        <v>2.800010028428646</v>
      </c>
      <c r="AF110" s="14">
        <f>IFERROR(XS_Designer_Summary!AK108,0)</f>
        <v>1.3600624999999662</v>
      </c>
      <c r="AG110" s="14">
        <f>IFERROR(XS_Designer_Summary!BF108,0)</f>
        <v>9.3334875638179398</v>
      </c>
    </row>
    <row r="111" spans="2:33">
      <c r="AB111" s="14">
        <f>IFERROR(XS_Designer_Summary!AK109,0)</f>
        <v>1.6320749999999662</v>
      </c>
      <c r="AC111" s="14">
        <f>IFERROR(XS_Designer_Summary!AV109,0)</f>
        <v>10.007380692197009</v>
      </c>
      <c r="AD111" s="14">
        <f>IFERROR(XS_Designer_Summary!AK109,0)</f>
        <v>1.6320749999999662</v>
      </c>
      <c r="AE111" s="14">
        <f>IFERROR(XS_Designer_Summary!AW109,0)</f>
        <v>2.7588430500846055</v>
      </c>
      <c r="AF111" s="14">
        <f>IFERROR(XS_Designer_Summary!AK109,0)</f>
        <v>1.6320749999999662</v>
      </c>
      <c r="AG111" s="14">
        <f>IFERROR(XS_Designer_Summary!BF109,0)</f>
        <v>9.1915862541659674</v>
      </c>
    </row>
    <row r="112" spans="2:33">
      <c r="AB112" s="14">
        <f>IFERROR(XS_Designer_Summary!AK110,0)</f>
        <v>1.9040874999999662</v>
      </c>
      <c r="AC112" s="14">
        <f>IFERROR(XS_Designer_Summary!AV110,0)</f>
        <v>9.5667909127195685</v>
      </c>
      <c r="AD112" s="14">
        <f>IFERROR(XS_Designer_Summary!AK110,0)</f>
        <v>1.9040874999999662</v>
      </c>
      <c r="AE112" s="14">
        <f>IFERROR(XS_Designer_Summary!AW110,0)</f>
        <v>2.5786701085648041</v>
      </c>
      <c r="AF112" s="14">
        <f>IFERROR(XS_Designer_Summary!AK110,0)</f>
        <v>1.9040874999999662</v>
      </c>
      <c r="AG112" s="14">
        <f>IFERROR(XS_Designer_Summary!BF110,0)</f>
        <v>9.0497731935462866</v>
      </c>
    </row>
    <row r="113" spans="28:33">
      <c r="AB113" s="14">
        <f>IFERROR(XS_Designer_Summary!AK111,0)</f>
        <v>2.1760999999999662</v>
      </c>
      <c r="AC113" s="14">
        <f>IFERROR(XS_Designer_Summary!AV111,0)</f>
        <v>9.1809330839196654</v>
      </c>
      <c r="AD113" s="14">
        <f>IFERROR(XS_Designer_Summary!AK111,0)</f>
        <v>2.1760999999999662</v>
      </c>
      <c r="AE113" s="14">
        <f>IFERROR(XS_Designer_Summary!AW111,0)</f>
        <v>2.4242454856230018</v>
      </c>
      <c r="AF113" s="14">
        <f>IFERROR(XS_Designer_Summary!AK111,0)</f>
        <v>2.1760999999999662</v>
      </c>
      <c r="AG113" s="14">
        <f>IFERROR(XS_Designer_Summary!BF111,0)</f>
        <v>8.8169974436851444</v>
      </c>
    </row>
    <row r="114" spans="28:33">
      <c r="AB114" s="14">
        <f>IFERROR(XS_Designer_Summary!AK112,0)</f>
        <v>2.4481124999999659</v>
      </c>
      <c r="AC114" s="14">
        <f>IFERROR(XS_Designer_Summary!AV112,0)</f>
        <v>8.9882693697346401</v>
      </c>
      <c r="AD114" s="14">
        <f>IFERROR(XS_Designer_Summary!AK112,0)</f>
        <v>2.4481124999999659</v>
      </c>
      <c r="AE114" s="14">
        <f>IFERROR(XS_Designer_Summary!AW112,0)</f>
        <v>2.3483373282199436</v>
      </c>
      <c r="AF114" s="14">
        <f>IFERROR(XS_Designer_Summary!AK112,0)</f>
        <v>2.4481124999999659</v>
      </c>
      <c r="AG114" s="14">
        <f>IFERROR(XS_Designer_Summary!BF112,0)</f>
        <v>8.5339432721056099</v>
      </c>
    </row>
    <row r="115" spans="28:33">
      <c r="AB115" s="14">
        <f>IFERROR(XS_Designer_Summary!AK113,0)</f>
        <v>2.7201249999999657</v>
      </c>
      <c r="AC115" s="14">
        <f>IFERROR(XS_Designer_Summary!AV113,0)</f>
        <v>8.7935181040897294</v>
      </c>
      <c r="AD115" s="14">
        <f>IFERROR(XS_Designer_Summary!AK113,0)</f>
        <v>2.7201249999999657</v>
      </c>
      <c r="AE115" s="14">
        <f>IFERROR(XS_Designer_Summary!AW113,0)</f>
        <v>2.2724291708168791</v>
      </c>
      <c r="AF115" s="14">
        <f>IFERROR(XS_Designer_Summary!AK113,0)</f>
        <v>2.7201249999999657</v>
      </c>
      <c r="AG115" s="14">
        <f>IFERROR(XS_Designer_Summary!BF113,0)</f>
        <v>8.2512670775661601</v>
      </c>
    </row>
    <row r="116" spans="28:33">
      <c r="AB116" s="14">
        <f>IFERROR(XS_Designer_Summary!AK114,0)</f>
        <v>2.9921374999999655</v>
      </c>
      <c r="AC116" s="14">
        <f>IFERROR(XS_Designer_Summary!AV114,0)</f>
        <v>8.5965857563045898</v>
      </c>
      <c r="AD116" s="14">
        <f>IFERROR(XS_Designer_Summary!AK114,0)</f>
        <v>2.9921374999999655</v>
      </c>
      <c r="AE116" s="14">
        <f>IFERROR(XS_Designer_Summary!AW114,0)</f>
        <v>2.19652101341382</v>
      </c>
      <c r="AF116" s="14">
        <f>IFERROR(XS_Designer_Summary!AK114,0)</f>
        <v>2.9921374999999655</v>
      </c>
      <c r="AG116" s="14">
        <f>IFERROR(XS_Designer_Summary!BF114,0)</f>
        <v>7.9689807530140468</v>
      </c>
    </row>
    <row r="117" spans="28:33">
      <c r="AB117" s="14">
        <f>IFERROR(XS_Designer_Summary!AK115,0)</f>
        <v>3.2641499999999652</v>
      </c>
      <c r="AC117" s="14">
        <f>IFERROR(XS_Designer_Summary!AV115,0)</f>
        <v>8.3973712059675059</v>
      </c>
      <c r="AD117" s="14">
        <f>IFERROR(XS_Designer_Summary!AK115,0)</f>
        <v>3.2641499999999652</v>
      </c>
      <c r="AE117" s="14">
        <f>IFERROR(XS_Designer_Summary!AW115,0)</f>
        <v>2.1206128560107569</v>
      </c>
      <c r="AF117" s="14">
        <f>IFERROR(XS_Designer_Summary!AK115,0)</f>
        <v>3.2641499999999652</v>
      </c>
      <c r="AG117" s="14">
        <f>IFERROR(XS_Designer_Summary!BF115,0)</f>
        <v>7.6870969823474553</v>
      </c>
    </row>
    <row r="118" spans="28:33">
      <c r="AB118" s="14">
        <f>IFERROR(XS_Designer_Summary!AK116,0)</f>
        <v>3.536162499999965</v>
      </c>
      <c r="AC118" s="14">
        <f>IFERROR(XS_Designer_Summary!AV116,0)</f>
        <v>8.1957648312366107</v>
      </c>
      <c r="AD118" s="14">
        <f>IFERROR(XS_Designer_Summary!AK116,0)</f>
        <v>3.536162499999965</v>
      </c>
      <c r="AE118" s="14">
        <f>IFERROR(XS_Designer_Summary!AW116,0)</f>
        <v>2.0447046986076951</v>
      </c>
      <c r="AF118" s="14">
        <f>IFERROR(XS_Designer_Summary!AK116,0)</f>
        <v>3.536162499999965</v>
      </c>
      <c r="AG118" s="14">
        <f>IFERROR(XS_Designer_Summary!BF116,0)</f>
        <v>7.4056293226954848</v>
      </c>
    </row>
    <row r="119" spans="28:33">
      <c r="AB119" s="14">
        <f>IFERROR(XS_Designer_Summary!AK117,0)</f>
        <v>3.8081749999999648</v>
      </c>
      <c r="AC119" s="14">
        <f>IFERROR(XS_Designer_Summary!AV117,0)</f>
        <v>7.9916474494195562</v>
      </c>
      <c r="AD119" s="14">
        <f>IFERROR(XS_Designer_Summary!AK117,0)</f>
        <v>3.8081749999999648</v>
      </c>
      <c r="AE119" s="14">
        <f>IFERROR(XS_Designer_Summary!AW117,0)</f>
        <v>1.9687965412046333</v>
      </c>
      <c r="AF119" s="14">
        <f>IFERROR(XS_Designer_Summary!AK117,0)</f>
        <v>3.8081749999999648</v>
      </c>
      <c r="AG119" s="14">
        <f>IFERROR(XS_Designer_Summary!BF117,0)</f>
        <v>7.124592298571172</v>
      </c>
    </row>
    <row r="120" spans="28:33">
      <c r="AB120" s="14">
        <f>IFERROR(XS_Designer_Summary!AK118,0)</f>
        <v>4.0801874999999646</v>
      </c>
      <c r="AC120" s="14">
        <f>IFERROR(XS_Designer_Summary!AV118,0)</f>
        <v>7.7848890792224843</v>
      </c>
      <c r="AD120" s="14">
        <f>IFERROR(XS_Designer_Summary!AK118,0)</f>
        <v>4.0801874999999646</v>
      </c>
      <c r="AE120" s="14">
        <f>IFERROR(XS_Designer_Summary!AW118,0)</f>
        <v>1.8928883838015713</v>
      </c>
      <c r="AF120" s="14">
        <f>IFERROR(XS_Designer_Summary!AK118,0)</f>
        <v>4.0801874999999646</v>
      </c>
      <c r="AG120" s="14">
        <f>IFERROR(XS_Designer_Summary!BF118,0)</f>
        <v>6.8440015101254943</v>
      </c>
    </row>
    <row r="121" spans="28:33">
      <c r="AB121" s="14">
        <f>IFERROR(XS_Designer_Summary!AK119,0)</f>
        <v>4.3521999999999643</v>
      </c>
      <c r="AC121" s="14">
        <f>IFERROR(XS_Designer_Summary!AV119,0)</f>
        <v>7.5753474862209709</v>
      </c>
      <c r="AD121" s="14">
        <f>IFERROR(XS_Designer_Summary!AK119,0)</f>
        <v>4.3521999999999643</v>
      </c>
      <c r="AE121" s="14">
        <f>IFERROR(XS_Designer_Summary!AW119,0)</f>
        <v>1.81698022639851</v>
      </c>
      <c r="AF121" s="14">
        <f>IFERROR(XS_Designer_Summary!AK119,0)</f>
        <v>4.3521999999999643</v>
      </c>
      <c r="AG121" s="14">
        <f>IFERROR(XS_Designer_Summary!BF119,0)</f>
        <v>6.5638737582525311</v>
      </c>
    </row>
    <row r="122" spans="28:33">
      <c r="AB122" s="14">
        <f>IFERROR(XS_Designer_Summary!AK120,0)</f>
        <v>4.6242124999999641</v>
      </c>
      <c r="AC122" s="14">
        <f>IFERROR(XS_Designer_Summary!AV120,0)</f>
        <v>7.3628664628451759</v>
      </c>
      <c r="AD122" s="14">
        <f>IFERROR(XS_Designer_Summary!AK120,0)</f>
        <v>4.6242124999999641</v>
      </c>
      <c r="AE122" s="14">
        <f>IFERROR(XS_Designer_Summary!AW120,0)</f>
        <v>1.7410720689954469</v>
      </c>
      <c r="AF122" s="14">
        <f>IFERROR(XS_Designer_Summary!AK120,0)</f>
        <v>4.6242124999999641</v>
      </c>
      <c r="AG122" s="14">
        <f>IFERROR(XS_Designer_Summary!BF120,0)</f>
        <v>6.2842271899670772</v>
      </c>
    </row>
    <row r="123" spans="28:33">
      <c r="AB123" s="14">
        <f>IFERROR(XS_Designer_Summary!AK121,0)</f>
        <v>4.8962249999999639</v>
      </c>
      <c r="AC123" s="14">
        <f>IFERROR(XS_Designer_Summary!AV121,0)</f>
        <v>7.661766231670943</v>
      </c>
      <c r="AD123" s="14">
        <f>IFERROR(XS_Designer_Summary!AK121,0)</f>
        <v>4.8962249999999639</v>
      </c>
      <c r="AE123" s="14">
        <f>IFERROR(XS_Designer_Summary!AW121,0)</f>
        <v>1.8481606027870614</v>
      </c>
      <c r="AF123" s="14">
        <f>IFERROR(XS_Designer_Summary!AK121,0)</f>
        <v>4.8962249999999639</v>
      </c>
      <c r="AG123" s="14">
        <f>IFERROR(XS_Designer_Summary!BF121,0)</f>
        <v>6.0050814683467353</v>
      </c>
    </row>
    <row r="124" spans="28:33">
      <c r="AB124" s="14">
        <f>IFERROR(XS_Designer_Summary!AK122,0)</f>
        <v>5.1682374999999636</v>
      </c>
      <c r="AC124" s="14">
        <f>IFERROR(XS_Designer_Summary!AV122,0)</f>
        <v>3.085741922810211</v>
      </c>
      <c r="AD124" s="14">
        <f>IFERROR(XS_Designer_Summary!AK122,0)</f>
        <v>5.1682374999999636</v>
      </c>
      <c r="AE124" s="14">
        <f>IFERROR(XS_Designer_Summary!AW122,0)</f>
        <v>1.8672212310907415</v>
      </c>
      <c r="AF124" s="14">
        <f>IFERROR(XS_Designer_Summary!AK122,0)</f>
        <v>5.1682374999999636</v>
      </c>
      <c r="AG124" s="14">
        <f>IFERROR(XS_Designer_Summary!BF122,0)</f>
        <v>5.8905976258067598</v>
      </c>
    </row>
    <row r="125" spans="28:33">
      <c r="AB125" s="14">
        <f>IFERROR(XS_Designer_Summary!AK123,0)</f>
        <v>5.4402499999999634</v>
      </c>
      <c r="AC125" s="14">
        <f>IFERROR(XS_Designer_Summary!AV123,0)</f>
        <v>3.0820014988846838</v>
      </c>
      <c r="AD125" s="14">
        <f>IFERROR(XS_Designer_Summary!AK123,0)</f>
        <v>5.4402499999999634</v>
      </c>
      <c r="AE125" s="14">
        <f>IFERROR(XS_Designer_Summary!AW123,0)</f>
        <v>1.8638271938303268</v>
      </c>
      <c r="AF125" s="14">
        <f>IFERROR(XS_Designer_Summary!AK123,0)</f>
        <v>5.4402499999999634</v>
      </c>
      <c r="AG125" s="14">
        <f>IFERROR(XS_Designer_Summary!BF123,0)</f>
        <v>5.8794511698249128</v>
      </c>
    </row>
    <row r="126" spans="28:33">
      <c r="AB126" s="14">
        <f>IFERROR(XS_Designer_Summary!AK124,0)</f>
        <v>5.7122624999999632</v>
      </c>
      <c r="AC126" s="14">
        <f>IFERROR(XS_Designer_Summary!AV124,0)</f>
        <v>3.0782588038258374</v>
      </c>
      <c r="AD126" s="14">
        <f>IFERROR(XS_Designer_Summary!AK124,0)</f>
        <v>5.7122624999999632</v>
      </c>
      <c r="AE126" s="14">
        <f>IFERROR(XS_Designer_Summary!AW124,0)</f>
        <v>1.8604331565699113</v>
      </c>
      <c r="AF126" s="14">
        <f>IFERROR(XS_Designer_Summary!AK124,0)</f>
        <v>5.7122624999999632</v>
      </c>
      <c r="AG126" s="14">
        <f>IFERROR(XS_Designer_Summary!BF124,0)</f>
        <v>5.8683055655407248</v>
      </c>
    </row>
    <row r="127" spans="28:33">
      <c r="AB127" s="14">
        <f>IFERROR(XS_Designer_Summary!AK125,0)</f>
        <v>5.9842749999999629</v>
      </c>
      <c r="AC127" s="14">
        <f>IFERROR(XS_Designer_Summary!AV125,0)</f>
        <v>3.0745138321075998</v>
      </c>
      <c r="AD127" s="14">
        <f>IFERROR(XS_Designer_Summary!AK125,0)</f>
        <v>5.9842749999999629</v>
      </c>
      <c r="AE127" s="14">
        <f>IFERROR(XS_Designer_Summary!AW125,0)</f>
        <v>1.8570391193094966</v>
      </c>
      <c r="AF127" s="14">
        <f>IFERROR(XS_Designer_Summary!AK125,0)</f>
        <v>5.9842749999999629</v>
      </c>
      <c r="AG127" s="14">
        <f>IFERROR(XS_Designer_Summary!BF125,0)</f>
        <v>5.8571608144412997</v>
      </c>
    </row>
    <row r="128" spans="28:33">
      <c r="AB128" s="14">
        <f>IFERROR(XS_Designer_Summary!AK126,0)</f>
        <v>6.2562874999999627</v>
      </c>
      <c r="AC128" s="14">
        <f>IFERROR(XS_Designer_Summary!AV126,0)</f>
        <v>3.0707665781803275</v>
      </c>
      <c r="AD128" s="14">
        <f>IFERROR(XS_Designer_Summary!AK126,0)</f>
        <v>6.2562874999999627</v>
      </c>
      <c r="AE128" s="14">
        <f>IFERROR(XS_Designer_Summary!AW126,0)</f>
        <v>1.8536450820490813</v>
      </c>
      <c r="AF128" s="14">
        <f>IFERROR(XS_Designer_Summary!AK126,0)</f>
        <v>6.2562874999999627</v>
      </c>
      <c r="AG128" s="14">
        <f>IFERROR(XS_Designer_Summary!BF126,0)</f>
        <v>5.8460169180190578</v>
      </c>
    </row>
    <row r="129" spans="28:33">
      <c r="AB129" s="14">
        <f>IFERROR(XS_Designer_Summary!AK127,0)</f>
        <v>6.5282999999999625</v>
      </c>
      <c r="AC129" s="14">
        <f>IFERROR(XS_Designer_Summary!AV127,0)</f>
        <v>3.0670170364706602</v>
      </c>
      <c r="AD129" s="14">
        <f>IFERROR(XS_Designer_Summary!AK127,0)</f>
        <v>6.5282999999999625</v>
      </c>
      <c r="AE129" s="14">
        <f>IFERROR(XS_Designer_Summary!AW127,0)</f>
        <v>1.8502510447886662</v>
      </c>
      <c r="AF129" s="14">
        <f>IFERROR(XS_Designer_Summary!AK127,0)</f>
        <v>6.5282999999999625</v>
      </c>
      <c r="AG129" s="14">
        <f>IFERROR(XS_Designer_Summary!BF127,0)</f>
        <v>5.8348738777717637</v>
      </c>
    </row>
    <row r="130" spans="28:33">
      <c r="AB130" s="14">
        <f>IFERROR(XS_Designer_Summary!AK128,0)</f>
        <v>6.8003124999999622</v>
      </c>
      <c r="AC130" s="14">
        <f>IFERROR(XS_Designer_Summary!AV128,0)</f>
        <v>3.0632652013813728</v>
      </c>
      <c r="AD130" s="14">
        <f>IFERROR(XS_Designer_Summary!AK128,0)</f>
        <v>6.8003124999999622</v>
      </c>
      <c r="AE130" s="14">
        <f>IFERROR(XS_Designer_Summary!AW128,0)</f>
        <v>1.8468570075282511</v>
      </c>
      <c r="AF130" s="14">
        <f>IFERROR(XS_Designer_Summary!AK128,0)</f>
        <v>6.8003124999999622</v>
      </c>
      <c r="AG130" s="14">
        <f>IFERROR(XS_Designer_Summary!BF128,0)</f>
        <v>5.8237316952025617</v>
      </c>
    </row>
    <row r="131" spans="28:33">
      <c r="AB131" s="14">
        <f>IFERROR(XS_Designer_Summary!AK129,0)</f>
        <v>7.072324999999962</v>
      </c>
      <c r="AC131" s="14">
        <f>IFERROR(XS_Designer_Summary!AV129,0)</f>
        <v>3.0595110672912322</v>
      </c>
      <c r="AD131" s="14">
        <f>IFERROR(XS_Designer_Summary!AK129,0)</f>
        <v>7.072324999999962</v>
      </c>
      <c r="AE131" s="14">
        <f>IFERROR(XS_Designer_Summary!AW129,0)</f>
        <v>1.8434629702678356</v>
      </c>
      <c r="AF131" s="14">
        <f>IFERROR(XS_Designer_Summary!AK129,0)</f>
        <v>7.072324999999962</v>
      </c>
      <c r="AG131" s="14">
        <f>IFERROR(XS_Designer_Summary!BF129,0)</f>
        <v>5.8125903718199936</v>
      </c>
    </row>
    <row r="132" spans="28:33">
      <c r="AB132" s="14">
        <f>IFERROR(XS_Designer_Summary!AK130,0)</f>
        <v>7.3443374999999618</v>
      </c>
      <c r="AC132" s="14">
        <f>IFERROR(XS_Designer_Summary!AV130,0)</f>
        <v>3.0557546285548525</v>
      </c>
      <c r="AD132" s="14">
        <f>IFERROR(XS_Designer_Summary!AK130,0)</f>
        <v>7.3443374999999618</v>
      </c>
      <c r="AE132" s="14">
        <f>IFERROR(XS_Designer_Summary!AW130,0)</f>
        <v>1.8400689330074209</v>
      </c>
      <c r="AF132" s="14">
        <f>IFERROR(XS_Designer_Summary!AK130,0)</f>
        <v>7.3443374999999618</v>
      </c>
      <c r="AG132" s="14">
        <f>IFERROR(XS_Designer_Summary!BF130,0)</f>
        <v>5.8014499091380394</v>
      </c>
    </row>
    <row r="133" spans="28:33">
      <c r="AB133" s="14">
        <f>IFERROR(XS_Designer_Summary!AK131,0)</f>
        <v>7.6163499999999615</v>
      </c>
      <c r="AC133" s="14">
        <f>IFERROR(XS_Designer_Summary!AV131,0)</f>
        <v>3.0519958795025399</v>
      </c>
      <c r="AD133" s="14">
        <f>IFERROR(XS_Designer_Summary!AK131,0)</f>
        <v>7.6163499999999615</v>
      </c>
      <c r="AE133" s="14">
        <f>IFERROR(XS_Designer_Summary!AW131,0)</f>
        <v>1.8366748957470058</v>
      </c>
      <c r="AF133" s="14">
        <f>IFERROR(XS_Designer_Summary!AK131,0)</f>
        <v>7.6163499999999615</v>
      </c>
      <c r="AG133" s="14">
        <f>IFERROR(XS_Designer_Summary!BF131,0)</f>
        <v>5.7903103086761334</v>
      </c>
    </row>
    <row r="134" spans="28:33">
      <c r="AB134" s="14">
        <f>IFERROR(XS_Designer_Summary!AK132,0)</f>
        <v>7.8883624999999613</v>
      </c>
      <c r="AC134" s="14">
        <f>IFERROR(XS_Designer_Summary!AV132,0)</f>
        <v>3.0482348144401463</v>
      </c>
      <c r="AD134" s="14">
        <f>IFERROR(XS_Designer_Summary!AK132,0)</f>
        <v>7.8883624999999613</v>
      </c>
      <c r="AE134" s="14">
        <f>IFERROR(XS_Designer_Summary!AW132,0)</f>
        <v>1.8332808584865905</v>
      </c>
      <c r="AF134" s="14">
        <f>IFERROR(XS_Designer_Summary!AK132,0)</f>
        <v>7.8883624999999613</v>
      </c>
      <c r="AG134" s="14">
        <f>IFERROR(XS_Designer_Summary!BF132,0)</f>
        <v>5.7791715719592105</v>
      </c>
    </row>
    <row r="135" spans="28:33">
      <c r="AB135" s="14">
        <f>IFERROR(XS_Designer_Summary!AK133,0)</f>
        <v>8.1603749999999611</v>
      </c>
      <c r="AC135" s="14">
        <f>IFERROR(XS_Designer_Summary!AV133,0)</f>
        <v>3.0444714276489133</v>
      </c>
      <c r="AD135" s="14">
        <f>IFERROR(XS_Designer_Summary!AK133,0)</f>
        <v>8.1603749999999611</v>
      </c>
      <c r="AE135" s="14">
        <f>IFERROR(XS_Designer_Summary!AW133,0)</f>
        <v>1.8298868212261699</v>
      </c>
      <c r="AF135" s="14">
        <f>IFERROR(XS_Designer_Summary!AK133,0)</f>
        <v>8.1603749999999611</v>
      </c>
      <c r="AG135" s="14">
        <f>IFERROR(XS_Designer_Summary!BF133,0)</f>
        <v>5.7680337005177265</v>
      </c>
    </row>
    <row r="136" spans="28:33">
      <c r="AB136" s="14">
        <f>IFERROR(XS_Designer_Summary!AK134,0)</f>
        <v>8.4323874999999617</v>
      </c>
      <c r="AC136" s="14">
        <f>IFERROR(XS_Designer_Summary!AV134,0)</f>
        <v>3.040705713385345</v>
      </c>
      <c r="AD136" s="14">
        <f>IFERROR(XS_Designer_Summary!AK134,0)</f>
        <v>8.4323874999999617</v>
      </c>
      <c r="AE136" s="14">
        <f>IFERROR(XS_Designer_Summary!AW134,0)</f>
        <v>1.8264927839657543</v>
      </c>
      <c r="AF136" s="14">
        <f>IFERROR(XS_Designer_Summary!AK134,0)</f>
        <v>8.4323874999999617</v>
      </c>
      <c r="AG136" s="14">
        <f>IFERROR(XS_Designer_Summary!BF134,0)</f>
        <v>5.7568966958876882</v>
      </c>
    </row>
    <row r="137" spans="28:33">
      <c r="AB137" s="14">
        <f>IFERROR(XS_Designer_Summary!AK135,0)</f>
        <v>8.7043999999999624</v>
      </c>
      <c r="AC137" s="14">
        <f>IFERROR(XS_Designer_Summary!AV135,0)</f>
        <v>3.0369376658810134</v>
      </c>
      <c r="AD137" s="14">
        <f>IFERROR(XS_Designer_Summary!AK135,0)</f>
        <v>8.7043999999999624</v>
      </c>
      <c r="AE137" s="14">
        <f>IFERROR(XS_Designer_Summary!AW135,0)</f>
        <v>1.8230987467053397</v>
      </c>
      <c r="AF137" s="14">
        <f>IFERROR(XS_Designer_Summary!AK135,0)</f>
        <v>8.7043999999999624</v>
      </c>
      <c r="AG137" s="14">
        <f>IFERROR(XS_Designer_Summary!BF135,0)</f>
        <v>5.7457605596106855</v>
      </c>
    </row>
    <row r="138" spans="28:33">
      <c r="AB138" s="14">
        <f>IFERROR(XS_Designer_Summary!AK136,0)</f>
        <v>8.976412499999963</v>
      </c>
      <c r="AC138" s="14">
        <f>IFERROR(XS_Designer_Summary!AV136,0)</f>
        <v>3.0331672793424325</v>
      </c>
      <c r="AD138" s="14">
        <f>IFERROR(XS_Designer_Summary!AK136,0)</f>
        <v>8.976412499999963</v>
      </c>
      <c r="AE138" s="14">
        <f>IFERROR(XS_Designer_Summary!AW136,0)</f>
        <v>1.8197047094449244</v>
      </c>
      <c r="AF138" s="14">
        <f>IFERROR(XS_Designer_Summary!AK136,0)</f>
        <v>8.976412499999963</v>
      </c>
      <c r="AG138" s="14">
        <f>IFERROR(XS_Designer_Summary!BF136,0)</f>
        <v>5.7346252932339237</v>
      </c>
    </row>
    <row r="139" spans="28:33">
      <c r="AB139" s="14">
        <f>IFERROR(XS_Designer_Summary!AK137,0)</f>
        <v>9.2484249999999637</v>
      </c>
      <c r="AC139" s="14">
        <f>IFERROR(XS_Designer_Summary!AV137,0)</f>
        <v>3.0293945479508948</v>
      </c>
      <c r="AD139" s="14">
        <f>IFERROR(XS_Designer_Summary!AK137,0)</f>
        <v>9.2484249999999637</v>
      </c>
      <c r="AE139" s="14">
        <f>IFERROR(XS_Designer_Summary!AW137,0)</f>
        <v>1.816310672184509</v>
      </c>
      <c r="AF139" s="14">
        <f>IFERROR(XS_Designer_Summary!AK137,0)</f>
        <v>9.2484249999999637</v>
      </c>
      <c r="AG139" s="14">
        <f>IFERROR(XS_Designer_Summary!BF137,0)</f>
        <v>5.7234908983102493</v>
      </c>
    </row>
    <row r="140" spans="28:33">
      <c r="AB140" s="14">
        <f>IFERROR(XS_Designer_Summary!AK138,0)</f>
        <v>9.5204374999999644</v>
      </c>
      <c r="AC140" s="14">
        <f>IFERROR(XS_Designer_Summary!AV138,0)</f>
        <v>3.0256194658623152</v>
      </c>
      <c r="AD140" s="14">
        <f>IFERROR(XS_Designer_Summary!AK138,0)</f>
        <v>9.5204374999999644</v>
      </c>
      <c r="AE140" s="14">
        <f>IFERROR(XS_Designer_Summary!AW138,0)</f>
        <v>1.8129166349240942</v>
      </c>
      <c r="AF140" s="14">
        <f>IFERROR(XS_Designer_Summary!AK138,0)</f>
        <v>9.5204374999999644</v>
      </c>
      <c r="AG140" s="14">
        <f>IFERROR(XS_Designer_Summary!BF138,0)</f>
        <v>5.7123573763981907</v>
      </c>
    </row>
    <row r="141" spans="28:33">
      <c r="AB141" s="14">
        <f>IFERROR(XS_Designer_Summary!AK139,0)</f>
        <v>9.792449999999965</v>
      </c>
      <c r="AC141" s="14">
        <f>IFERROR(XS_Designer_Summary!AV139,0)</f>
        <v>3.0218420272070703</v>
      </c>
      <c r="AD141" s="14">
        <f>IFERROR(XS_Designer_Summary!AK139,0)</f>
        <v>9.792449999999965</v>
      </c>
      <c r="AE141" s="14">
        <f>IFERROR(XS_Designer_Summary!AW139,0)</f>
        <v>1.8095225976636788</v>
      </c>
      <c r="AF141" s="14">
        <f>IFERROR(XS_Designer_Summary!AK139,0)</f>
        <v>9.792449999999965</v>
      </c>
      <c r="AG141" s="14">
        <f>IFERROR(XS_Designer_Summary!BF139,0)</f>
        <v>5.7012247290619813</v>
      </c>
    </row>
    <row r="142" spans="28:33">
      <c r="AB142" s="14">
        <f>IFERROR(XS_Designer_Summary!AK140,0)</f>
        <v>10.064462499999966</v>
      </c>
      <c r="AC142" s="14">
        <f>IFERROR(XS_Designer_Summary!AV140,0)</f>
        <v>3.0180622260898402</v>
      </c>
      <c r="AD142" s="14">
        <f>IFERROR(XS_Designer_Summary!AK140,0)</f>
        <v>10.064462499999966</v>
      </c>
      <c r="AE142" s="14">
        <f>IFERROR(XS_Designer_Summary!AW140,0)</f>
        <v>1.8061285604032642</v>
      </c>
      <c r="AF142" s="14">
        <f>IFERROR(XS_Designer_Summary!AK140,0)</f>
        <v>10.064462499999966</v>
      </c>
      <c r="AG142" s="14">
        <f>IFERROR(XS_Designer_Summary!BF140,0)</f>
        <v>5.69009295787159</v>
      </c>
    </row>
    <row r="143" spans="28:33">
      <c r="AB143" s="14">
        <f>IFERROR(XS_Designer_Summary!AK141,0)</f>
        <v>10.336474999999966</v>
      </c>
      <c r="AC143" s="14">
        <f>IFERROR(XS_Designer_Summary!AV141,0)</f>
        <v>3.0142800565894499</v>
      </c>
      <c r="AD143" s="14">
        <f>IFERROR(XS_Designer_Summary!AK141,0)</f>
        <v>10.336474999999966</v>
      </c>
      <c r="AE143" s="14">
        <f>IFERROR(XS_Designer_Summary!AW141,0)</f>
        <v>1.8027345231428491</v>
      </c>
      <c r="AF143" s="14">
        <f>IFERROR(XS_Designer_Summary!AK141,0)</f>
        <v>10.336474999999966</v>
      </c>
      <c r="AG143" s="14">
        <f>IFERROR(XS_Designer_Summary!BF141,0)</f>
        <v>5.6789620644027625</v>
      </c>
    </row>
    <row r="144" spans="28:33">
      <c r="AB144" s="14">
        <f>IFERROR(XS_Designer_Summary!AK142,0)</f>
        <v>10.608487499999967</v>
      </c>
      <c r="AC144" s="14">
        <f>IFERROR(XS_Designer_Summary!AV142,0)</f>
        <v>3.0104955127586992</v>
      </c>
      <c r="AD144" s="14">
        <f>IFERROR(XS_Designer_Summary!AK142,0)</f>
        <v>10.608487499999967</v>
      </c>
      <c r="AE144" s="14">
        <f>IFERROR(XS_Designer_Summary!AW142,0)</f>
        <v>1.799340485882434</v>
      </c>
      <c r="AF144" s="14">
        <f>IFERROR(XS_Designer_Summary!AK142,0)</f>
        <v>10.608487499999967</v>
      </c>
      <c r="AG144" s="14">
        <f>IFERROR(XS_Designer_Summary!BF142,0)</f>
        <v>5.6678320502370445</v>
      </c>
    </row>
    <row r="145" spans="28:33">
      <c r="AB145" s="14">
        <f>IFERROR(XS_Designer_Summary!AK143,0)</f>
        <v>10.880499999999968</v>
      </c>
      <c r="AC145" s="14">
        <f>IFERROR(XS_Designer_Summary!AV143,0)</f>
        <v>3.0067085886242091</v>
      </c>
      <c r="AD145" s="14">
        <f>IFERROR(XS_Designer_Summary!AK143,0)</f>
        <v>10.880499999999968</v>
      </c>
      <c r="AE145" s="14">
        <f>IFERROR(XS_Designer_Summary!AW143,0)</f>
        <v>1.7959464486220187</v>
      </c>
      <c r="AF145" s="14">
        <f>IFERROR(XS_Designer_Summary!AK143,0)</f>
        <v>10.880499999999968</v>
      </c>
      <c r="AG145" s="14">
        <f>IFERROR(XS_Designer_Summary!BF143,0)</f>
        <v>5.656702916961815</v>
      </c>
    </row>
    <row r="146" spans="28:33">
      <c r="AB146" s="14">
        <f>IFERROR(XS_Designer_Summary!AK144,0)</f>
        <v>11.152512499999968</v>
      </c>
      <c r="AC146" s="14">
        <f>IFERROR(XS_Designer_Summary!AV144,0)</f>
        <v>3.0029192781862508</v>
      </c>
      <c r="AD146" s="14">
        <f>IFERROR(XS_Designer_Summary!AK144,0)</f>
        <v>11.152512499999968</v>
      </c>
      <c r="AE146" s="14">
        <f>IFERROR(XS_Designer_Summary!AW144,0)</f>
        <v>1.7925524113616031</v>
      </c>
      <c r="AF146" s="14">
        <f>IFERROR(XS_Designer_Summary!AK144,0)</f>
        <v>11.152512499999968</v>
      </c>
      <c r="AG146" s="14">
        <f>IFERROR(XS_Designer_Summary!BF144,0)</f>
        <v>5.6455746661703259</v>
      </c>
    </row>
    <row r="147" spans="28:33">
      <c r="AB147" s="14">
        <f>IFERROR(XS_Designer_Summary!AK145,0)</f>
        <v>11.424524999999969</v>
      </c>
      <c r="AC147" s="14">
        <f>IFERROR(XS_Designer_Summary!AV145,0)</f>
        <v>2.99912757541858</v>
      </c>
      <c r="AD147" s="14">
        <f>IFERROR(XS_Designer_Summary!AK145,0)</f>
        <v>11.424524999999969</v>
      </c>
      <c r="AE147" s="14">
        <f>IFERROR(XS_Designer_Summary!AW145,0)</f>
        <v>1.7891583741011885</v>
      </c>
      <c r="AF147" s="14">
        <f>IFERROR(XS_Designer_Summary!AK145,0)</f>
        <v>11.424524999999969</v>
      </c>
      <c r="AG147" s="14">
        <f>IFERROR(XS_Designer_Summary!BF145,0)</f>
        <v>5.6344472994617272</v>
      </c>
    </row>
    <row r="148" spans="28:33">
      <c r="AB148" s="14">
        <f>IFERROR(XS_Designer_Summary!AK146,0)</f>
        <v>11.69653749999997</v>
      </c>
      <c r="AC148" s="14">
        <f>IFERROR(XS_Designer_Summary!AV146,0)</f>
        <v>2.9953334742682691</v>
      </c>
      <c r="AD148" s="14">
        <f>IFERROR(XS_Designer_Summary!AK146,0)</f>
        <v>11.69653749999997</v>
      </c>
      <c r="AE148" s="14">
        <f>IFERROR(XS_Designer_Summary!AW146,0)</f>
        <v>1.7857643368407734</v>
      </c>
      <c r="AF148" s="14">
        <f>IFERROR(XS_Designer_Summary!AK146,0)</f>
        <v>11.69653749999997</v>
      </c>
      <c r="AG148" s="14">
        <f>IFERROR(XS_Designer_Summary!BF146,0)</f>
        <v>5.6233208184411021</v>
      </c>
    </row>
    <row r="149" spans="28:33">
      <c r="AB149" s="14">
        <f>IFERROR(XS_Designer_Summary!AK147,0)</f>
        <v>11.96854999999997</v>
      </c>
      <c r="AC149" s="14">
        <f>IFERROR(XS_Designer_Summary!AV147,0)</f>
        <v>2.9915369686555398</v>
      </c>
      <c r="AD149" s="14">
        <f>IFERROR(XS_Designer_Summary!AK147,0)</f>
        <v>11.96854999999997</v>
      </c>
      <c r="AE149" s="14">
        <f>IFERROR(XS_Designer_Summary!AW147,0)</f>
        <v>1.7823702995803581</v>
      </c>
      <c r="AF149" s="14">
        <f>IFERROR(XS_Designer_Summary!AK147,0)</f>
        <v>11.96854999999997</v>
      </c>
      <c r="AG149" s="14">
        <f>IFERROR(XS_Designer_Summary!BF147,0)</f>
        <v>5.6121952247195033</v>
      </c>
    </row>
    <row r="150" spans="28:33">
      <c r="AB150" s="14">
        <f>IFERROR(XS_Designer_Summary!AK148,0)</f>
        <v>12.240562499999971</v>
      </c>
      <c r="AC150" s="14">
        <f>IFERROR(XS_Designer_Summary!AV148,0)</f>
        <v>2.9877380524735915</v>
      </c>
      <c r="AD150" s="14">
        <f>IFERROR(XS_Designer_Summary!AK148,0)</f>
        <v>12.240562499999971</v>
      </c>
      <c r="AE150" s="14">
        <f>IFERROR(XS_Designer_Summary!AW148,0)</f>
        <v>1.7789762623199434</v>
      </c>
      <c r="AF150" s="14">
        <f>IFERROR(XS_Designer_Summary!AK148,0)</f>
        <v>12.240562499999971</v>
      </c>
      <c r="AG150" s="14">
        <f>IFERROR(XS_Designer_Summary!BF148,0)</f>
        <v>5.6010705199139803</v>
      </c>
    </row>
    <row r="151" spans="28:33">
      <c r="AB151" s="14">
        <f>IFERROR(XS_Designer_Summary!AK149,0)</f>
        <v>12.512574999999972</v>
      </c>
      <c r="AC151" s="14">
        <f>IFERROR(XS_Designer_Summary!AV149,0)</f>
        <v>2.9839367195884279</v>
      </c>
      <c r="AD151" s="14">
        <f>IFERROR(XS_Designer_Summary!AK149,0)</f>
        <v>12.512574999999972</v>
      </c>
      <c r="AE151" s="14">
        <f>IFERROR(XS_Designer_Summary!AW149,0)</f>
        <v>1.7755822250595281</v>
      </c>
      <c r="AF151" s="14">
        <f>IFERROR(XS_Designer_Summary!AK149,0)</f>
        <v>12.512574999999972</v>
      </c>
      <c r="AG151" s="14">
        <f>IFERROR(XS_Designer_Summary!BF149,0)</f>
        <v>5.5899467056476251</v>
      </c>
    </row>
    <row r="152" spans="28:33">
      <c r="AB152" s="14">
        <f>IFERROR(XS_Designer_Summary!AK150,0)</f>
        <v>12.784587499999972</v>
      </c>
      <c r="AC152" s="14">
        <f>IFERROR(XS_Designer_Summary!AV150,0)</f>
        <v>2.9801329638386878</v>
      </c>
      <c r="AD152" s="14">
        <f>IFERROR(XS_Designer_Summary!AK150,0)</f>
        <v>12.784587499999972</v>
      </c>
      <c r="AE152" s="14">
        <f>IFERROR(XS_Designer_Summary!AW150,0)</f>
        <v>1.7721881877991135</v>
      </c>
      <c r="AF152" s="14">
        <f>IFERROR(XS_Designer_Summary!AK150,0)</f>
        <v>12.784587499999972</v>
      </c>
      <c r="AG152" s="14">
        <f>IFERROR(XS_Designer_Summary!BF150,0)</f>
        <v>5.5788237835495886</v>
      </c>
    </row>
    <row r="153" spans="28:33">
      <c r="AB153" s="14">
        <f>IFERROR(XS_Designer_Summary!AK151,0)</f>
        <v>13.056599999999973</v>
      </c>
      <c r="AC153" s="14">
        <f>IFERROR(XS_Designer_Summary!AV151,0)</f>
        <v>2.9763267790354662</v>
      </c>
      <c r="AD153" s="14">
        <f>IFERROR(XS_Designer_Summary!AK151,0)</f>
        <v>13.056599999999973</v>
      </c>
      <c r="AE153" s="14">
        <f>IFERROR(XS_Designer_Summary!AW151,0)</f>
        <v>1.7687941505386979</v>
      </c>
      <c r="AF153" s="14">
        <f>IFERROR(XS_Designer_Summary!AK151,0)</f>
        <v>13.056599999999973</v>
      </c>
      <c r="AG153" s="14">
        <f>IFERROR(XS_Designer_Summary!BF151,0)</f>
        <v>5.5677017552551309</v>
      </c>
    </row>
    <row r="154" spans="28:33">
      <c r="AB154" s="14">
        <f>IFERROR(XS_Designer_Summary!AK152,0)</f>
        <v>13.328612499999974</v>
      </c>
      <c r="AC154" s="14">
        <f>IFERROR(XS_Designer_Summary!AV152,0)</f>
        <v>2.9725181589621372</v>
      </c>
      <c r="AD154" s="14">
        <f>IFERROR(XS_Designer_Summary!AK152,0)</f>
        <v>13.328612499999974</v>
      </c>
      <c r="AE154" s="14">
        <f>IFERROR(XS_Designer_Summary!AW152,0)</f>
        <v>1.7654001132782824</v>
      </c>
      <c r="AF154" s="14">
        <f>IFERROR(XS_Designer_Summary!AK152,0)</f>
        <v>13.328612499999974</v>
      </c>
      <c r="AG154" s="14">
        <f>IFERROR(XS_Designer_Summary!BF152,0)</f>
        <v>5.5565806224056482</v>
      </c>
    </row>
    <row r="155" spans="28:33">
      <c r="AB155" s="14">
        <f>IFERROR(XS_Designer_Summary!AK153,0)</f>
        <v>13.600624999999974</v>
      </c>
      <c r="AC155" s="14">
        <f>IFERROR(XS_Designer_Summary!AV153,0)</f>
        <v>2.9687070973741854</v>
      </c>
      <c r="AD155" s="14">
        <f>IFERROR(XS_Designer_Summary!AK153,0)</f>
        <v>13.600624999999974</v>
      </c>
      <c r="AE155" s="14">
        <f>IFERROR(XS_Designer_Summary!AW153,0)</f>
        <v>1.7620060760178677</v>
      </c>
      <c r="AF155" s="14">
        <f>IFERROR(XS_Designer_Summary!AK153,0)</f>
        <v>13.600624999999974</v>
      </c>
      <c r="AG155" s="14">
        <f>IFERROR(XS_Designer_Summary!BF153,0)</f>
        <v>5.5454603866487115</v>
      </c>
    </row>
    <row r="156" spans="28:33">
      <c r="AB156" s="14">
        <f>IFERROR(XS_Designer_Summary!AK154,0)</f>
        <v>13.872637499999975</v>
      </c>
      <c r="AC156" s="14">
        <f>IFERROR(XS_Designer_Summary!AV154,0)</f>
        <v>2.9648935879990121</v>
      </c>
      <c r="AD156" s="14">
        <f>IFERROR(XS_Designer_Summary!AK154,0)</f>
        <v>13.872637499999975</v>
      </c>
      <c r="AE156" s="14">
        <f>IFERROR(XS_Designer_Summary!AW154,0)</f>
        <v>1.7586120387574524</v>
      </c>
      <c r="AF156" s="14">
        <f>IFERROR(XS_Designer_Summary!AK154,0)</f>
        <v>13.872637499999975</v>
      </c>
      <c r="AG156" s="14">
        <f>IFERROR(XS_Designer_Summary!BF154,0)</f>
        <v>5.5343410496380958</v>
      </c>
    </row>
    <row r="157" spans="28:33">
      <c r="AB157" s="14">
        <f>IFERROR(XS_Designer_Summary!AK155,0)</f>
        <v>14.144649999999976</v>
      </c>
      <c r="AC157" s="14">
        <f>IFERROR(XS_Designer_Summary!AV155,0)</f>
        <v>2.9610776245357697</v>
      </c>
      <c r="AD157" s="14">
        <f>IFERROR(XS_Designer_Summary!AK155,0)</f>
        <v>14.144649999999976</v>
      </c>
      <c r="AE157" s="14">
        <f>IFERROR(XS_Designer_Summary!AW155,0)</f>
        <v>1.7552180014970375</v>
      </c>
      <c r="AF157" s="14">
        <f>IFERROR(XS_Designer_Summary!AK155,0)</f>
        <v>14.144649999999976</v>
      </c>
      <c r="AG157" s="14">
        <f>IFERROR(XS_Designer_Summary!BF155,0)</f>
        <v>5.5232226130338207</v>
      </c>
    </row>
    <row r="158" spans="28:33">
      <c r="AB158" s="14">
        <f>IFERROR(XS_Designer_Summary!AK156,0)</f>
        <v>14.416662499999976</v>
      </c>
      <c r="AC158" s="14">
        <f>IFERROR(XS_Designer_Summary!AV156,0)</f>
        <v>2.9572592006551668</v>
      </c>
      <c r="AD158" s="14">
        <f>IFERROR(XS_Designer_Summary!AK156,0)</f>
        <v>14.416662499999976</v>
      </c>
      <c r="AE158" s="14">
        <f>IFERROR(XS_Designer_Summary!AW156,0)</f>
        <v>1.7518239642366227</v>
      </c>
      <c r="AF158" s="14">
        <f>IFERROR(XS_Designer_Summary!AK156,0)</f>
        <v>14.416662499999976</v>
      </c>
      <c r="AG158" s="14">
        <f>IFERROR(XS_Designer_Summary!BF156,0)</f>
        <v>5.5121050785021861</v>
      </c>
    </row>
    <row r="159" spans="28:33">
      <c r="AB159" s="14">
        <f>IFERROR(XS_Designer_Summary!AK157,0)</f>
        <v>14.688674999999977</v>
      </c>
      <c r="AC159" s="14">
        <f>IFERROR(XS_Designer_Summary!AV157,0)</f>
        <v>2.9534383099992931</v>
      </c>
      <c r="AD159" s="14">
        <f>IFERROR(XS_Designer_Summary!AK157,0)</f>
        <v>14.688674999999977</v>
      </c>
      <c r="AE159" s="14">
        <f>IFERROR(XS_Designer_Summary!AW157,0)</f>
        <v>1.7484299269762074</v>
      </c>
      <c r="AF159" s="14">
        <f>IFERROR(XS_Designer_Summary!AK157,0)</f>
        <v>14.688674999999977</v>
      </c>
      <c r="AG159" s="14">
        <f>IFERROR(XS_Designer_Summary!BF157,0)</f>
        <v>5.5009884477158035</v>
      </c>
    </row>
    <row r="160" spans="28:33">
      <c r="AB160" s="14">
        <f>IFERROR(XS_Designer_Summary!AK158,0)</f>
        <v>14.960687499999977</v>
      </c>
      <c r="AC160" s="14">
        <f>IFERROR(XS_Designer_Summary!AV158,0)</f>
        <v>2.7518231050915616</v>
      </c>
      <c r="AD160" s="14">
        <f>IFERROR(XS_Designer_Summary!AK158,0)</f>
        <v>14.960687499999977</v>
      </c>
      <c r="AE160" s="14">
        <f>IFERROR(XS_Designer_Summary!AW158,0)</f>
        <v>1.5724872932284228</v>
      </c>
      <c r="AF160" s="14">
        <f>IFERROR(XS_Designer_Summary!AK158,0)</f>
        <v>14.960687499999977</v>
      </c>
      <c r="AG160" s="14">
        <f>IFERROR(XS_Designer_Summary!BF158,0)</f>
        <v>5.4898727223536401</v>
      </c>
    </row>
    <row r="161" spans="28:33">
      <c r="AB161" s="14">
        <f>IFERROR(XS_Designer_Summary!AK159,0)</f>
        <v>15.232699999999978</v>
      </c>
      <c r="AC161" s="14">
        <f>IFERROR(XS_Designer_Summary!AV159,0)</f>
        <v>2.6185449535509551</v>
      </c>
      <c r="AD161" s="14">
        <f>IFERROR(XS_Designer_Summary!AK159,0)</f>
        <v>15.232699999999978</v>
      </c>
      <c r="AE161" s="14">
        <f>IFERROR(XS_Designer_Summary!AW159,0)</f>
        <v>1.4596422527589779</v>
      </c>
      <c r="AF161" s="14">
        <f>IFERROR(XS_Designer_Summary!AK159,0)</f>
        <v>15.232699999999978</v>
      </c>
      <c r="AG161" s="14">
        <f>IFERROR(XS_Designer_Summary!BF159,0)</f>
        <v>5.2519820852348706</v>
      </c>
    </row>
    <row r="162" spans="28:33">
      <c r="AB162" s="14">
        <f>IFERROR(XS_Designer_Summary!AK160,0)</f>
        <v>15.504712499999979</v>
      </c>
      <c r="AC162" s="14">
        <f>IFERROR(XS_Designer_Summary!AV160,0)</f>
        <v>2.5269550173585547</v>
      </c>
      <c r="AD162" s="14">
        <f>IFERROR(XS_Designer_Summary!AK160,0)</f>
        <v>15.504712499999979</v>
      </c>
      <c r="AE162" s="14">
        <f>IFERROR(XS_Designer_Summary!AW160,0)</f>
        <v>1.3837340953559161</v>
      </c>
      <c r="AF162" s="14">
        <f>IFERROR(XS_Designer_Summary!AK160,0)</f>
        <v>15.504712499999979</v>
      </c>
      <c r="AG162" s="14">
        <f>IFERROR(XS_Designer_Summary!BF160,0)</f>
        <v>4.9748961784855963</v>
      </c>
    </row>
    <row r="163" spans="28:33">
      <c r="AB163" s="14">
        <f>IFERROR(XS_Designer_Summary!AK161,0)</f>
        <v>15.776724999999979</v>
      </c>
      <c r="AC163" s="14">
        <f>IFERROR(XS_Designer_Summary!AV161,0)</f>
        <v>2.4336738779033782</v>
      </c>
      <c r="AD163" s="14">
        <f>IFERROR(XS_Designer_Summary!AK161,0)</f>
        <v>15.776724999999979</v>
      </c>
      <c r="AE163" s="14">
        <f>IFERROR(XS_Designer_Summary!AW161,0)</f>
        <v>1.3078259379528552</v>
      </c>
      <c r="AF163" s="14">
        <f>IFERROR(XS_Designer_Summary!AK161,0)</f>
        <v>15.776724999999979</v>
      </c>
      <c r="AG163" s="14">
        <f>IFERROR(XS_Designer_Summary!BF161,0)</f>
        <v>4.6984312307440028</v>
      </c>
    </row>
    <row r="164" spans="28:33">
      <c r="AB164" s="14">
        <f>IFERROR(XS_Designer_Summary!AK162,0)</f>
        <v>16.04873749999998</v>
      </c>
      <c r="AC164" s="14">
        <f>IFERROR(XS_Designer_Summary!AV162,0)</f>
        <v>2.3385692348086295</v>
      </c>
      <c r="AD164" s="14">
        <f>IFERROR(XS_Designer_Summary!AK162,0)</f>
        <v>16.04873749999998</v>
      </c>
      <c r="AE164" s="14">
        <f>IFERROR(XS_Designer_Summary!AW162,0)</f>
        <v>1.2319177805498012</v>
      </c>
      <c r="AF164" s="14">
        <f>IFERROR(XS_Designer_Summary!AK162,0)</f>
        <v>16.04873749999998</v>
      </c>
      <c r="AG164" s="14">
        <f>IFERROR(XS_Designer_Summary!BF162,0)</f>
        <v>4.422620790800865</v>
      </c>
    </row>
    <row r="165" spans="28:33">
      <c r="AB165" s="14">
        <f>IFERROR(XS_Designer_Summary!AK163,0)</f>
        <v>16.320749999999979</v>
      </c>
      <c r="AC165" s="14">
        <f>IFERROR(XS_Designer_Summary!AV163,0)</f>
        <v>2.2414895365125864</v>
      </c>
      <c r="AD165" s="14">
        <f>IFERROR(XS_Designer_Summary!AK163,0)</f>
        <v>16.320749999999979</v>
      </c>
      <c r="AE165" s="14">
        <f>IFERROR(XS_Designer_Summary!AW163,0)</f>
        <v>1.1560096231467394</v>
      </c>
      <c r="AF165" s="14">
        <f>IFERROR(XS_Designer_Summary!AK163,0)</f>
        <v>16.320749999999979</v>
      </c>
      <c r="AG165" s="14">
        <f>IFERROR(XS_Designer_Summary!BF163,0)</f>
        <v>4.1475023358168865</v>
      </c>
    </row>
    <row r="166" spans="28:33">
      <c r="AB166" s="14">
        <f>IFERROR(XS_Designer_Summary!AK164,0)</f>
        <v>16.592762499999978</v>
      </c>
      <c r="AC166" s="14">
        <f>IFERROR(XS_Designer_Summary!AV164,0)</f>
        <v>2.3567271693259224</v>
      </c>
      <c r="AD166" s="14">
        <f>IFERROR(XS_Designer_Summary!AK164,0)</f>
        <v>16.592762499999978</v>
      </c>
      <c r="AE166" s="14">
        <f>IFERROR(XS_Designer_Summary!AW164,0)</f>
        <v>1.2462935241571882</v>
      </c>
      <c r="AF166" s="14">
        <f>IFERROR(XS_Designer_Summary!AK164,0)</f>
        <v>16.592762499999978</v>
      </c>
      <c r="AG166" s="14">
        <f>IFERROR(XS_Designer_Summary!BF164,0)</f>
        <v>3.8731180109509564</v>
      </c>
    </row>
    <row r="167" spans="28:33">
      <c r="AB167" s="14">
        <f>IFERROR(XS_Designer_Summary!AK165,0)</f>
        <v>16.864774999999977</v>
      </c>
      <c r="AC167" s="14">
        <f>IFERROR(XS_Designer_Summary!AV165,0)</f>
        <v>2.3514899036029613</v>
      </c>
      <c r="AD167" s="14">
        <f>IFERROR(XS_Designer_Summary!AK165,0)</f>
        <v>16.864774999999977</v>
      </c>
      <c r="AE167" s="14">
        <f>IFERROR(XS_Designer_Summary!AW165,0)</f>
        <v>1.2421414465485572</v>
      </c>
      <c r="AF167" s="14">
        <f>IFERROR(XS_Designer_Summary!AK165,0)</f>
        <v>16.864774999999977</v>
      </c>
      <c r="AG167" s="14">
        <f>IFERROR(XS_Designer_Summary!BF165,0)</f>
        <v>3.8539522605642129</v>
      </c>
    </row>
    <row r="168" spans="28:33">
      <c r="AB168" s="14">
        <f>IFERROR(XS_Designer_Summary!AK166,0)</f>
        <v>17.136787499999976</v>
      </c>
      <c r="AC168" s="14">
        <f>IFERROR(XS_Designer_Summary!AV166,0)</f>
        <v>2.3472044639311891</v>
      </c>
      <c r="AD168" s="14">
        <f>IFERROR(XS_Designer_Summary!AK166,0)</f>
        <v>17.136787499999976</v>
      </c>
      <c r="AE168" s="14">
        <f>IFERROR(XS_Designer_Summary!AW166,0)</f>
        <v>1.2387474092881421</v>
      </c>
      <c r="AF168" s="14">
        <f>IFERROR(XS_Designer_Summary!AK166,0)</f>
        <v>17.136787499999976</v>
      </c>
      <c r="AG168" s="14">
        <f>IFERROR(XS_Designer_Summary!BF166,0)</f>
        <v>3.8429950056878099</v>
      </c>
    </row>
    <row r="169" spans="28:33">
      <c r="AB169" s="14">
        <f>IFERROR(XS_Designer_Summary!AK167,0)</f>
        <v>17.408799999999975</v>
      </c>
      <c r="AC169" s="14">
        <f>IFERROR(XS_Designer_Summary!AV167,0)</f>
        <v>2.342915108581634</v>
      </c>
      <c r="AD169" s="14">
        <f>IFERROR(XS_Designer_Summary!AK167,0)</f>
        <v>17.408799999999975</v>
      </c>
      <c r="AE169" s="14">
        <f>IFERROR(XS_Designer_Summary!AW167,0)</f>
        <v>1.2353533720277272</v>
      </c>
      <c r="AF169" s="14">
        <f>IFERROR(XS_Designer_Summary!AK167,0)</f>
        <v>17.408799999999975</v>
      </c>
      <c r="AG169" s="14">
        <f>IFERROR(XS_Designer_Summary!BF167,0)</f>
        <v>3.8320390099279318</v>
      </c>
    </row>
    <row r="170" spans="28:33">
      <c r="AB170" s="14">
        <f>IFERROR(XS_Designer_Summary!AK168,0)</f>
        <v>17.680812499999973</v>
      </c>
      <c r="AC170" s="14">
        <f>IFERROR(XS_Designer_Summary!AV168,0)</f>
        <v>2.3386218232036611</v>
      </c>
      <c r="AD170" s="14">
        <f>IFERROR(XS_Designer_Summary!AK168,0)</f>
        <v>17.680812499999973</v>
      </c>
      <c r="AE170" s="14">
        <f>IFERROR(XS_Designer_Summary!AW168,0)</f>
        <v>1.2319593347673117</v>
      </c>
      <c r="AF170" s="14">
        <f>IFERROR(XS_Designer_Summary!AK168,0)</f>
        <v>17.680812499999973</v>
      </c>
      <c r="AG170" s="14">
        <f>IFERROR(XS_Designer_Summary!BF168,0)</f>
        <v>3.8210842765938842</v>
      </c>
    </row>
    <row r="171" spans="28:33">
      <c r="AB171" s="14">
        <f>IFERROR(XS_Designer_Summary!AK169,0)</f>
        <v>17.952824999999972</v>
      </c>
      <c r="AC171" s="14">
        <f>IFERROR(XS_Designer_Summary!AV169,0)</f>
        <v>2.3343245933543457</v>
      </c>
      <c r="AD171" s="14">
        <f>IFERROR(XS_Designer_Summary!AK169,0)</f>
        <v>17.952824999999972</v>
      </c>
      <c r="AE171" s="14">
        <f>IFERROR(XS_Designer_Summary!AW169,0)</f>
        <v>1.2285652975068968</v>
      </c>
      <c r="AF171" s="14">
        <f>IFERROR(XS_Designer_Summary!AK169,0)</f>
        <v>17.952824999999972</v>
      </c>
      <c r="AG171" s="14">
        <f>IFERROR(XS_Designer_Summary!BF169,0)</f>
        <v>3.8101308090127959</v>
      </c>
    </row>
    <row r="172" spans="28:33">
      <c r="AB172" s="14">
        <f>IFERROR(XS_Designer_Summary!AK170,0)</f>
        <v>18.224837499999971</v>
      </c>
      <c r="AC172" s="14">
        <f>IFERROR(XS_Designer_Summary!AV170,0)</f>
        <v>2.3300234044976182</v>
      </c>
      <c r="AD172" s="14">
        <f>IFERROR(XS_Designer_Summary!AK170,0)</f>
        <v>18.224837499999971</v>
      </c>
      <c r="AE172" s="14">
        <f>IFERROR(XS_Designer_Summary!AW170,0)</f>
        <v>1.2251712602464815</v>
      </c>
      <c r="AF172" s="14">
        <f>IFERROR(XS_Designer_Summary!AK170,0)</f>
        <v>18.224837499999971</v>
      </c>
      <c r="AG172" s="14">
        <f>IFERROR(XS_Designer_Summary!BF170,0)</f>
        <v>3.7991786105297702</v>
      </c>
    </row>
    <row r="173" spans="28:33">
      <c r="AB173" s="14">
        <f>IFERROR(XS_Designer_Summary!AK171,0)</f>
        <v>18.49684999999997</v>
      </c>
      <c r="AC173" s="14">
        <f>IFERROR(XS_Designer_Summary!AV171,0)</f>
        <v>2.3257182420034055</v>
      </c>
      <c r="AD173" s="14">
        <f>IFERROR(XS_Designer_Summary!AK171,0)</f>
        <v>18.49684999999997</v>
      </c>
      <c r="AE173" s="14">
        <f>IFERROR(XS_Designer_Summary!AW171,0)</f>
        <v>1.2217772229860664</v>
      </c>
      <c r="AF173" s="14">
        <f>IFERROR(XS_Designer_Summary!AK171,0)</f>
        <v>18.49684999999997</v>
      </c>
      <c r="AG173" s="14">
        <f>IFERROR(XS_Designer_Summary!BF171,0)</f>
        <v>3.7882276845080263</v>
      </c>
    </row>
    <row r="174" spans="28:33">
      <c r="AB174" s="14">
        <f>IFERROR(XS_Designer_Summary!AK172,0)</f>
        <v>18.768862499999969</v>
      </c>
      <c r="AC174" s="14">
        <f>IFERROR(XS_Designer_Summary!AV172,0)</f>
        <v>2.3214090911467595</v>
      </c>
      <c r="AD174" s="14">
        <f>IFERROR(XS_Designer_Summary!AK172,0)</f>
        <v>18.768862499999969</v>
      </c>
      <c r="AE174" s="14">
        <f>IFERROR(XS_Designer_Summary!AW172,0)</f>
        <v>1.2183831857256513</v>
      </c>
      <c r="AF174" s="14">
        <f>IFERROR(XS_Designer_Summary!AK172,0)</f>
        <v>18.768862499999969</v>
      </c>
      <c r="AG174" s="14">
        <f>IFERROR(XS_Designer_Summary!BF172,0)</f>
        <v>3.7772780343290497</v>
      </c>
    </row>
    <row r="175" spans="28:33">
      <c r="AB175" s="14">
        <f>IFERROR(XS_Designer_Summary!AK173,0)</f>
        <v>19.040874999999968</v>
      </c>
      <c r="AC175" s="14">
        <f>IFERROR(XS_Designer_Summary!AV173,0)</f>
        <v>2.3170959371069761</v>
      </c>
      <c r="AD175" s="14">
        <f>IFERROR(XS_Designer_Summary!AK173,0)</f>
        <v>19.040874999999968</v>
      </c>
      <c r="AE175" s="14">
        <f>IFERROR(XS_Designer_Summary!AW173,0)</f>
        <v>1.2149891484652364</v>
      </c>
      <c r="AF175" s="14">
        <f>IFERROR(XS_Designer_Summary!AK173,0)</f>
        <v>19.040874999999968</v>
      </c>
      <c r="AG175" s="14">
        <f>IFERROR(XS_Designer_Summary!BF173,0)</f>
        <v>3.766329663392745</v>
      </c>
    </row>
    <row r="176" spans="28:33">
      <c r="AB176" s="14">
        <f>IFERROR(XS_Designer_Summary!AK174,0)</f>
        <v>19.312887499999967</v>
      </c>
      <c r="AC176" s="14">
        <f>IFERROR(XS_Designer_Summary!AV174,0)</f>
        <v>2.3127787649667031</v>
      </c>
      <c r="AD176" s="14">
        <f>IFERROR(XS_Designer_Summary!AK174,0)</f>
        <v>19.312887499999967</v>
      </c>
      <c r="AE176" s="14">
        <f>IFERROR(XS_Designer_Summary!AW174,0)</f>
        <v>1.2115951112048213</v>
      </c>
      <c r="AF176" s="14">
        <f>IFERROR(XS_Designer_Summary!AK174,0)</f>
        <v>19.312887499999967</v>
      </c>
      <c r="AG176" s="14">
        <f>IFERROR(XS_Designer_Summary!BF174,0)</f>
        <v>3.7553825751175856</v>
      </c>
    </row>
    <row r="177" spans="28:33">
      <c r="AB177" s="14">
        <f>IFERROR(XS_Designer_Summary!AK175,0)</f>
        <v>19.584899999999966</v>
      </c>
      <c r="AC177" s="14">
        <f>IFERROR(XS_Designer_Summary!AV175,0)</f>
        <v>2.3084575597110373</v>
      </c>
      <c r="AD177" s="14">
        <f>IFERROR(XS_Designer_Summary!AK175,0)</f>
        <v>19.584899999999966</v>
      </c>
      <c r="AE177" s="14">
        <f>IFERROR(XS_Designer_Summary!AW175,0)</f>
        <v>1.2082010739444062</v>
      </c>
      <c r="AF177" s="14">
        <f>IFERROR(XS_Designer_Summary!AK175,0)</f>
        <v>19.584899999999966</v>
      </c>
      <c r="AG177" s="14">
        <f>IFERROR(XS_Designer_Summary!BF175,0)</f>
        <v>3.7444367729407659</v>
      </c>
    </row>
    <row r="178" spans="28:33">
      <c r="AB178" s="14">
        <f>IFERROR(XS_Designer_Summary!AK176,0)</f>
        <v>19.856912499999964</v>
      </c>
      <c r="AC178" s="14">
        <f>IFERROR(XS_Designer_Summary!AV176,0)</f>
        <v>2.3041323062266099</v>
      </c>
      <c r="AD178" s="14">
        <f>IFERROR(XS_Designer_Summary!AK176,0)</f>
        <v>19.856912499999964</v>
      </c>
      <c r="AE178" s="14">
        <f>IFERROR(XS_Designer_Summary!AW176,0)</f>
        <v>1.2048070366839911</v>
      </c>
      <c r="AF178" s="14">
        <f>IFERROR(XS_Designer_Summary!AK176,0)</f>
        <v>19.856912499999964</v>
      </c>
      <c r="AG178" s="14">
        <f>IFERROR(XS_Designer_Summary!BF176,0)</f>
        <v>3.733492260318362</v>
      </c>
    </row>
    <row r="179" spans="28:33">
      <c r="AB179" s="14">
        <f>IFERROR(XS_Designer_Summary!AK177,0)</f>
        <v>20.128924999999963</v>
      </c>
      <c r="AC179" s="14">
        <f>IFERROR(XS_Designer_Summary!AV177,0)</f>
        <v>2.2998029893006637</v>
      </c>
      <c r="AD179" s="14">
        <f>IFERROR(XS_Designer_Summary!AK177,0)</f>
        <v>20.128924999999963</v>
      </c>
      <c r="AE179" s="14">
        <f>IFERROR(XS_Designer_Summary!AW177,0)</f>
        <v>1.201412999423576</v>
      </c>
      <c r="AF179" s="14">
        <f>IFERROR(XS_Designer_Summary!AK177,0)</f>
        <v>20.128924999999963</v>
      </c>
      <c r="AG179" s="14">
        <f>IFERROR(XS_Designer_Summary!BF177,0)</f>
        <v>3.7225490407254824</v>
      </c>
    </row>
    <row r="180" spans="28:33">
      <c r="AB180" s="14">
        <f>IFERROR(XS_Designer_Summary!AK178,0)</f>
        <v>20.400937499999962</v>
      </c>
      <c r="AC180" s="14">
        <f>IFERROR(XS_Designer_Summary!AV178,0)</f>
        <v>2.2954695936201133</v>
      </c>
      <c r="AD180" s="14">
        <f>IFERROR(XS_Designer_Summary!AK178,0)</f>
        <v>20.400937499999962</v>
      </c>
      <c r="AE180" s="14">
        <f>IFERROR(XS_Designer_Summary!AW178,0)</f>
        <v>1.1980189621631609</v>
      </c>
      <c r="AF180" s="14">
        <f>IFERROR(XS_Designer_Summary!AK178,0)</f>
        <v>20.400937499999962</v>
      </c>
      <c r="AG180" s="14">
        <f>IFERROR(XS_Designer_Summary!BF178,0)</f>
        <v>3.7116071176564316</v>
      </c>
    </row>
    <row r="181" spans="28:33">
      <c r="AB181" s="14">
        <f>IFERROR(XS_Designer_Summary!AK179,0)</f>
        <v>20.672949999999961</v>
      </c>
      <c r="AC181" s="14">
        <f>IFERROR(XS_Designer_Summary!AV179,0)</f>
        <v>2.2911321037706003</v>
      </c>
      <c r="AD181" s="14">
        <f>IFERROR(XS_Designer_Summary!AK179,0)</f>
        <v>20.672949999999961</v>
      </c>
      <c r="AE181" s="14">
        <f>IFERROR(XS_Designer_Summary!AW179,0)</f>
        <v>1.1946249249027456</v>
      </c>
      <c r="AF181" s="14">
        <f>IFERROR(XS_Designer_Summary!AK179,0)</f>
        <v>20.672949999999961</v>
      </c>
      <c r="AG181" s="14">
        <f>IFERROR(XS_Designer_Summary!BF179,0)</f>
        <v>3.7006664946248669</v>
      </c>
    </row>
    <row r="182" spans="28:33">
      <c r="AB182" s="14">
        <f>IFERROR(XS_Designer_Summary!AK180,0)</f>
        <v>20.94496249999996</v>
      </c>
      <c r="AC182" s="14">
        <f>IFERROR(XS_Designer_Summary!AV180,0)</f>
        <v>2.2867905042355305</v>
      </c>
      <c r="AD182" s="14">
        <f>IFERROR(XS_Designer_Summary!AK180,0)</f>
        <v>20.94496249999996</v>
      </c>
      <c r="AE182" s="14">
        <f>IFERROR(XS_Designer_Summary!AW180,0)</f>
        <v>1.1912308876423305</v>
      </c>
      <c r="AF182" s="14">
        <f>IFERROR(XS_Designer_Summary!AK180,0)</f>
        <v>20.94496249999996</v>
      </c>
      <c r="AG182" s="14">
        <f>IFERROR(XS_Designer_Summary!BF180,0)</f>
        <v>3.6897271751639646</v>
      </c>
    </row>
    <row r="183" spans="28:33">
      <c r="AB183" s="14">
        <f>IFERROR(XS_Designer_Summary!AK181,0)</f>
        <v>21.216974999999959</v>
      </c>
      <c r="AC183" s="14">
        <f>IFERROR(XS_Designer_Summary!AV181,0)</f>
        <v>2.2824447793951079</v>
      </c>
      <c r="AD183" s="14">
        <f>IFERROR(XS_Designer_Summary!AK181,0)</f>
        <v>21.216974999999959</v>
      </c>
      <c r="AE183" s="14">
        <f>IFERROR(XS_Designer_Summary!AW181,0)</f>
        <v>1.1878368503819157</v>
      </c>
      <c r="AF183" s="14">
        <f>IFERROR(XS_Designer_Summary!AK181,0)</f>
        <v>21.216974999999959</v>
      </c>
      <c r="AG183" s="14">
        <f>IFERROR(XS_Designer_Summary!BF181,0)</f>
        <v>3.6787891628265812</v>
      </c>
    </row>
    <row r="184" spans="28:33">
      <c r="AB184" s="14">
        <f>IFERROR(XS_Designer_Summary!AK182,0)</f>
        <v>21.488987499999958</v>
      </c>
      <c r="AC184" s="14">
        <f>IFERROR(XS_Designer_Summary!AV182,0)</f>
        <v>2.278094913525345</v>
      </c>
      <c r="AD184" s="14">
        <f>IFERROR(XS_Designer_Summary!AK182,0)</f>
        <v>21.488987499999958</v>
      </c>
      <c r="AE184" s="14">
        <f>IFERROR(XS_Designer_Summary!AW182,0)</f>
        <v>1.1844428131215006</v>
      </c>
      <c r="AF184" s="14">
        <f>IFERROR(XS_Designer_Summary!AK182,0)</f>
        <v>21.488987499999958</v>
      </c>
      <c r="AG184" s="14">
        <f>IFERROR(XS_Designer_Summary!BF182,0)</f>
        <v>3.6678524611854195</v>
      </c>
    </row>
    <row r="185" spans="28:33">
      <c r="AB185" s="14">
        <f>IFERROR(XS_Designer_Summary!AK183,0)</f>
        <v>21.760999999999957</v>
      </c>
      <c r="AC185" s="14">
        <f>IFERROR(XS_Designer_Summary!AV183,0)</f>
        <v>2.2737408907970709</v>
      </c>
      <c r="AD185" s="14">
        <f>IFERROR(XS_Designer_Summary!AK183,0)</f>
        <v>21.760999999999957</v>
      </c>
      <c r="AE185" s="14">
        <f>IFERROR(XS_Designer_Summary!AW183,0)</f>
        <v>1.1810487758610853</v>
      </c>
      <c r="AF185" s="14">
        <f>IFERROR(XS_Designer_Summary!AK183,0)</f>
        <v>21.760999999999957</v>
      </c>
      <c r="AG185" s="14">
        <f>IFERROR(XS_Designer_Summary!BF183,0)</f>
        <v>3.6569170738332026</v>
      </c>
    </row>
    <row r="186" spans="28:33">
      <c r="AB186" s="14">
        <f>IFERROR(XS_Designer_Summary!AK184,0)</f>
        <v>22.033012499999955</v>
      </c>
      <c r="AC186" s="14">
        <f>IFERROR(XS_Designer_Summary!AV184,0)</f>
        <v>2.2693826952749223</v>
      </c>
      <c r="AD186" s="14">
        <f>IFERROR(XS_Designer_Summary!AK184,0)</f>
        <v>22.033012499999955</v>
      </c>
      <c r="AE186" s="14">
        <f>IFERROR(XS_Designer_Summary!AW184,0)</f>
        <v>1.1776547386006702</v>
      </c>
      <c r="AF186" s="14">
        <f>IFERROR(XS_Designer_Summary!AK184,0)</f>
        <v>22.033012499999955</v>
      </c>
      <c r="AG186" s="14">
        <f>IFERROR(XS_Designer_Summary!BF184,0)</f>
        <v>3.6459830043828325</v>
      </c>
    </row>
    <row r="187" spans="28:33">
      <c r="AB187" s="14">
        <f>IFERROR(XS_Designer_Summary!AK185,0)</f>
        <v>22.305024999999954</v>
      </c>
      <c r="AC187" s="14">
        <f>IFERROR(XS_Designer_Summary!AV185,0)</f>
        <v>2.2650203109163227</v>
      </c>
      <c r="AD187" s="14">
        <f>IFERROR(XS_Designer_Summary!AK185,0)</f>
        <v>22.305024999999954</v>
      </c>
      <c r="AE187" s="14">
        <f>IFERROR(XS_Designer_Summary!AW185,0)</f>
        <v>1.1742607013402553</v>
      </c>
      <c r="AF187" s="14">
        <f>IFERROR(XS_Designer_Summary!AK185,0)</f>
        <v>22.305024999999954</v>
      </c>
      <c r="AG187" s="14">
        <f>IFERROR(XS_Designer_Summary!BF185,0)</f>
        <v>3.635050256467574</v>
      </c>
    </row>
    <row r="188" spans="28:33">
      <c r="AB188" s="14">
        <f>IFERROR(XS_Designer_Summary!AK186,0)</f>
        <v>22.577037499999953</v>
      </c>
      <c r="AC188" s="14">
        <f>IFERROR(XS_Designer_Summary!AV186,0)</f>
        <v>2.2606537215704487</v>
      </c>
      <c r="AD188" s="14">
        <f>IFERROR(XS_Designer_Summary!AK186,0)</f>
        <v>22.577037499999953</v>
      </c>
      <c r="AE188" s="14">
        <f>IFERROR(XS_Designer_Summary!AW186,0)</f>
        <v>1.1708666640798402</v>
      </c>
      <c r="AF188" s="14">
        <f>IFERROR(XS_Designer_Summary!AK186,0)</f>
        <v>22.577037499999953</v>
      </c>
      <c r="AG188" s="14">
        <f>IFERROR(XS_Designer_Summary!BF186,0)</f>
        <v>3.6241188337412211</v>
      </c>
    </row>
    <row r="189" spans="28:33">
      <c r="AB189" s="14">
        <f>IFERROR(XS_Designer_Summary!AK187,0)</f>
        <v>22.849049999999952</v>
      </c>
      <c r="AC189" s="14">
        <f>IFERROR(XS_Designer_Summary!AV187,0)</f>
        <v>2.2562829109771854</v>
      </c>
      <c r="AD189" s="14">
        <f>IFERROR(XS_Designer_Summary!AK187,0)</f>
        <v>22.849049999999952</v>
      </c>
      <c r="AE189" s="14">
        <f>IFERROR(XS_Designer_Summary!AW187,0)</f>
        <v>1.1674726268194251</v>
      </c>
      <c r="AF189" s="14">
        <f>IFERROR(XS_Designer_Summary!AK187,0)</f>
        <v>22.849049999999952</v>
      </c>
      <c r="AG189" s="14">
        <f>IFERROR(XS_Designer_Summary!BF187,0)</f>
        <v>3.6131887398782725</v>
      </c>
    </row>
    <row r="190" spans="28:33">
      <c r="AB190" s="14">
        <f>IFERROR(XS_Designer_Summary!AK188,0)</f>
        <v>23.121062499999951</v>
      </c>
      <c r="AC190" s="14">
        <f>IFERROR(XS_Designer_Summary!AV188,0)</f>
        <v>2.2519078627660631</v>
      </c>
      <c r="AD190" s="14">
        <f>IFERROR(XS_Designer_Summary!AK188,0)</f>
        <v>23.121062499999951</v>
      </c>
      <c r="AE190" s="14">
        <f>IFERROR(XS_Designer_Summary!AW188,0)</f>
        <v>1.16407858955901</v>
      </c>
      <c r="AF190" s="14">
        <f>IFERROR(XS_Designer_Summary!AK188,0)</f>
        <v>23.121062499999951</v>
      </c>
      <c r="AG190" s="14">
        <f>IFERROR(XS_Designer_Summary!BF188,0)</f>
        <v>3.6022599785741121</v>
      </c>
    </row>
    <row r="191" spans="28:33">
      <c r="AB191" s="14">
        <f>IFERROR(XS_Designer_Summary!AK189,0)</f>
        <v>23.39307499999995</v>
      </c>
      <c r="AC191" s="14">
        <f>IFERROR(XS_Designer_Summary!AV189,0)</f>
        <v>2.2475285604551893</v>
      </c>
      <c r="AD191" s="14">
        <f>IFERROR(XS_Designer_Summary!AK189,0)</f>
        <v>23.39307499999995</v>
      </c>
      <c r="AE191" s="14">
        <f>IFERROR(XS_Designer_Summary!AW189,0)</f>
        <v>1.1606845522985949</v>
      </c>
      <c r="AF191" s="14">
        <f>IFERROR(XS_Designer_Summary!AK189,0)</f>
        <v>23.39307499999995</v>
      </c>
      <c r="AG191" s="14">
        <f>IFERROR(XS_Designer_Summary!BF189,0)</f>
        <v>3.5913325535451919</v>
      </c>
    </row>
    <row r="192" spans="28:33">
      <c r="AB192" s="14">
        <f>IFERROR(XS_Designer_Summary!AK190,0)</f>
        <v>23.665087499999949</v>
      </c>
      <c r="AC192" s="14">
        <f>IFERROR(XS_Designer_Summary!AV190,0)</f>
        <v>2.2431449874501568</v>
      </c>
      <c r="AD192" s="14">
        <f>IFERROR(XS_Designer_Summary!AK190,0)</f>
        <v>23.665087499999949</v>
      </c>
      <c r="AE192" s="14">
        <f>IFERROR(XS_Designer_Summary!AW190,0)</f>
        <v>1.1572905150381798</v>
      </c>
      <c r="AF192" s="14">
        <f>IFERROR(XS_Designer_Summary!AK190,0)</f>
        <v>23.665087499999949</v>
      </c>
      <c r="AG192" s="14">
        <f>IFERROR(XS_Designer_Summary!BF190,0)</f>
        <v>3.5804064685292043</v>
      </c>
    </row>
    <row r="193" spans="28:33">
      <c r="AB193" s="14">
        <f>IFERROR(XS_Designer_Summary!AK191,0)</f>
        <v>23.937099999999948</v>
      </c>
      <c r="AC193" s="14">
        <f>IFERROR(XS_Designer_Summary!AV191,0)</f>
        <v>2.2387571270429465</v>
      </c>
      <c r="AD193" s="14">
        <f>IFERROR(XS_Designer_Summary!AK191,0)</f>
        <v>23.937099999999948</v>
      </c>
      <c r="AE193" s="14">
        <f>IFERROR(XS_Designer_Summary!AW191,0)</f>
        <v>1.1538964777777649</v>
      </c>
      <c r="AF193" s="14">
        <f>IFERROR(XS_Designer_Summary!AK191,0)</f>
        <v>23.937099999999948</v>
      </c>
      <c r="AG193" s="14">
        <f>IFERROR(XS_Designer_Summary!BF191,0)</f>
        <v>3.5694817272852788</v>
      </c>
    </row>
    <row r="194" spans="28:33">
      <c r="AB194" s="14">
        <f>IFERROR(XS_Designer_Summary!AK192,0)</f>
        <v>24.209112499999947</v>
      </c>
      <c r="AC194" s="14">
        <f>IFERROR(XS_Designer_Summary!AV192,0)</f>
        <v>2.2343649624108113</v>
      </c>
      <c r="AD194" s="14">
        <f>IFERROR(XS_Designer_Summary!AK192,0)</f>
        <v>24.209112499999947</v>
      </c>
      <c r="AE194" s="14">
        <f>IFERROR(XS_Designer_Summary!AW192,0)</f>
        <v>1.1505024405173496</v>
      </c>
      <c r="AF194" s="14">
        <f>IFERROR(XS_Designer_Summary!AK192,0)</f>
        <v>24.209112499999947</v>
      </c>
      <c r="AG194" s="14">
        <f>IFERROR(XS_Designer_Summary!BF192,0)</f>
        <v>3.5585583335941533</v>
      </c>
    </row>
    <row r="195" spans="28:33">
      <c r="AB195" s="14">
        <f>IFERROR(XS_Designer_Summary!AK193,0)</f>
        <v>24.481124999999945</v>
      </c>
      <c r="AC195" s="14">
        <f>IFERROR(XS_Designer_Summary!AV193,0)</f>
        <v>2.2299684766151509</v>
      </c>
      <c r="AD195" s="14">
        <f>IFERROR(XS_Designer_Summary!AK193,0)</f>
        <v>24.481124999999945</v>
      </c>
      <c r="AE195" s="14">
        <f>IFERROR(XS_Designer_Summary!AW193,0)</f>
        <v>1.1471084032569345</v>
      </c>
      <c r="AF195" s="14">
        <f>IFERROR(XS_Designer_Summary!AK193,0)</f>
        <v>24.481124999999945</v>
      </c>
      <c r="AG195" s="14">
        <f>IFERROR(XS_Designer_Summary!BF193,0)</f>
        <v>3.547636291258379</v>
      </c>
    </row>
    <row r="196" spans="28:33">
      <c r="AB196" s="14">
        <f>IFERROR(XS_Designer_Summary!AK194,0)</f>
        <v>24.753137499999944</v>
      </c>
      <c r="AC196" s="14">
        <f>IFERROR(XS_Designer_Summary!AV194,0)</f>
        <v>2.2255676526003634</v>
      </c>
      <c r="AD196" s="14">
        <f>IFERROR(XS_Designer_Summary!AK194,0)</f>
        <v>24.753137499999944</v>
      </c>
      <c r="AE196" s="14">
        <f>IFERROR(XS_Designer_Summary!AW194,0)</f>
        <v>1.1437143659965192</v>
      </c>
      <c r="AF196" s="14">
        <f>IFERROR(XS_Designer_Summary!AK194,0)</f>
        <v>24.753137499999944</v>
      </c>
      <c r="AG196" s="14">
        <f>IFERROR(XS_Designer_Summary!BF194,0)</f>
        <v>3.5367156041024974</v>
      </c>
    </row>
    <row r="197" spans="28:33">
      <c r="AB197" s="14">
        <f>IFERROR(XS_Designer_Summary!AK195,0)</f>
        <v>25.025149999999943</v>
      </c>
      <c r="AC197" s="14">
        <f>IFERROR(XS_Designer_Summary!AV195,0)</f>
        <v>2.2211624731926913</v>
      </c>
      <c r="AD197" s="14">
        <f>IFERROR(XS_Designer_Summary!AK195,0)</f>
        <v>25.025149999999943</v>
      </c>
      <c r="AE197" s="14">
        <f>IFERROR(XS_Designer_Summary!AW195,0)</f>
        <v>1.1403203287361043</v>
      </c>
      <c r="AF197" s="14">
        <f>IFERROR(XS_Designer_Summary!AK195,0)</f>
        <v>25.025149999999943</v>
      </c>
      <c r="AG197" s="14">
        <f>IFERROR(XS_Designer_Summary!BF195,0)</f>
        <v>3.52579627597324</v>
      </c>
    </row>
    <row r="198" spans="28:33">
      <c r="AB198" s="14">
        <f>IFERROR(XS_Designer_Summary!AK196,0)</f>
        <v>25.297162499999942</v>
      </c>
      <c r="AC198" s="14">
        <f>IFERROR(XS_Designer_Summary!AV196,0)</f>
        <v>2.2167529210990464</v>
      </c>
      <c r="AD198" s="14">
        <f>IFERROR(XS_Designer_Summary!AK196,0)</f>
        <v>25.297162499999942</v>
      </c>
      <c r="AE198" s="14">
        <f>IFERROR(XS_Designer_Summary!AW196,0)</f>
        <v>1.1369262914756892</v>
      </c>
      <c r="AF198" s="14">
        <f>IFERROR(XS_Designer_Summary!AK196,0)</f>
        <v>25.297162499999942</v>
      </c>
      <c r="AG198" s="14">
        <f>IFERROR(XS_Designer_Summary!BF196,0)</f>
        <v>3.5148783107397192</v>
      </c>
    </row>
    <row r="199" spans="28:33">
      <c r="AB199" s="14">
        <f>IFERROR(XS_Designer_Summary!AK197,0)</f>
        <v>25.569174999999941</v>
      </c>
      <c r="AC199" s="14">
        <f>IFERROR(XS_Designer_Summary!AV197,0)</f>
        <v>2.2123389789058225</v>
      </c>
      <c r="AD199" s="14">
        <f>IFERROR(XS_Designer_Summary!AK197,0)</f>
        <v>25.569174999999941</v>
      </c>
      <c r="AE199" s="14">
        <f>IFERROR(XS_Designer_Summary!AW197,0)</f>
        <v>1.1335322542152744</v>
      </c>
      <c r="AF199" s="14">
        <f>IFERROR(XS_Designer_Summary!AK197,0)</f>
        <v>25.569174999999941</v>
      </c>
      <c r="AG199" s="14">
        <f>IFERROR(XS_Designer_Summary!BF197,0)</f>
        <v>3.5039617122936324</v>
      </c>
    </row>
    <row r="200" spans="28:33">
      <c r="AB200" s="14">
        <f>IFERROR(XS_Designer_Summary!AK198,0)</f>
        <v>25.84118749999994</v>
      </c>
      <c r="AC200" s="14">
        <f>IFERROR(XS_Designer_Summary!AV198,0)</f>
        <v>2.2079206290776923</v>
      </c>
      <c r="AD200" s="14">
        <f>IFERROR(XS_Designer_Summary!AK198,0)</f>
        <v>25.84118749999994</v>
      </c>
      <c r="AE200" s="14">
        <f>IFERROR(XS_Designer_Summary!AW198,0)</f>
        <v>1.1301382169548591</v>
      </c>
      <c r="AF200" s="14">
        <f>IFERROR(XS_Designer_Summary!AK198,0)</f>
        <v>25.84118749999994</v>
      </c>
      <c r="AG200" s="14">
        <f>IFERROR(XS_Designer_Summary!BF198,0)</f>
        <v>3.4930464845494522</v>
      </c>
    </row>
    <row r="201" spans="28:33">
      <c r="AB201" s="14">
        <f>IFERROR(XS_Designer_Summary!AK199,0)</f>
        <v>26.113199999999939</v>
      </c>
      <c r="AC201" s="14">
        <f>IFERROR(XS_Designer_Summary!AV199,0)</f>
        <v>2.2034978539563879</v>
      </c>
      <c r="AD201" s="14">
        <f>IFERROR(XS_Designer_Summary!AK199,0)</f>
        <v>26.113199999999939</v>
      </c>
      <c r="AE201" s="14">
        <f>IFERROR(XS_Designer_Summary!AW199,0)</f>
        <v>1.1267441796944437</v>
      </c>
      <c r="AF201" s="14">
        <f>IFERROR(XS_Designer_Summary!AK199,0)</f>
        <v>26.113199999999939</v>
      </c>
      <c r="AG201" s="14">
        <f>IFERROR(XS_Designer_Summary!BF199,0)</f>
        <v>3.482132631444637</v>
      </c>
    </row>
    <row r="202" spans="28:33">
      <c r="AB202" s="14">
        <f>IFERROR(XS_Designer_Summary!AK200,0)</f>
        <v>26.385212499999938</v>
      </c>
      <c r="AC202" s="14">
        <f>IFERROR(XS_Designer_Summary!AV200,0)</f>
        <v>2.1782155082770975</v>
      </c>
      <c r="AD202" s="14">
        <f>IFERROR(XS_Designer_Summary!AK200,0)</f>
        <v>26.385212499999938</v>
      </c>
      <c r="AE202" s="14">
        <f>IFERROR(XS_Designer_Summary!AW200,0)</f>
        <v>1.1074079684796199</v>
      </c>
      <c r="AF202" s="14">
        <f>IFERROR(XS_Designer_Summary!AK200,0)</f>
        <v>26.385212499999938</v>
      </c>
      <c r="AG202" s="14">
        <f>IFERROR(XS_Designer_Summary!BF200,0)</f>
        <v>3.471220156939832</v>
      </c>
    </row>
    <row r="203" spans="28:33">
      <c r="AB203" s="14">
        <f>IFERROR(XS_Designer_Summary!AK201,0)</f>
        <v>26.657224999999936</v>
      </c>
      <c r="AC203" s="14">
        <f>IFERROR(XS_Designer_Summary!AV201,0)</f>
        <v>1.967252764373022</v>
      </c>
      <c r="AD203" s="14">
        <f>IFERROR(XS_Designer_Summary!AK201,0)</f>
        <v>26.657224999999936</v>
      </c>
      <c r="AE203" s="14">
        <f>IFERROR(XS_Designer_Summary!AW201,0)</f>
        <v>0.95048796431335236</v>
      </c>
      <c r="AF203" s="14">
        <f>IFERROR(XS_Designer_Summary!AK201,0)</f>
        <v>26.657224999999936</v>
      </c>
      <c r="AG203" s="14">
        <f>IFERROR(XS_Designer_Summary!BF201,0)</f>
        <v>3.4064423916477988</v>
      </c>
    </row>
    <row r="204" spans="28:33">
      <c r="AB204" s="14">
        <f>IFERROR(XS_Designer_Summary!AK202,0)</f>
        <v>26.929237499999935</v>
      </c>
      <c r="AC204" s="14">
        <f>IFERROR(XS_Designer_Summary!AV202,0)</f>
        <v>1.8610671646083532</v>
      </c>
      <c r="AD204" s="14">
        <f>IFERROR(XS_Designer_Summary!AK202,0)</f>
        <v>26.929237499999935</v>
      </c>
      <c r="AE204" s="14">
        <f>IFERROR(XS_Designer_Summary!AW202,0)</f>
        <v>0</v>
      </c>
      <c r="AF204" s="14">
        <f>IFERROR(XS_Designer_Summary!AK202,0)</f>
        <v>26.929237499999935</v>
      </c>
      <c r="AG204" s="14">
        <f>IFERROR(XS_Designer_Summary!BF202,0)</f>
        <v>3.1343056573473524</v>
      </c>
    </row>
    <row r="205" spans="28:33">
      <c r="AB205" s="14">
        <f>IFERROR(XS_Designer_Summary!AK203,0)</f>
        <v>27.201249999999934</v>
      </c>
      <c r="AC205" s="14">
        <f>IFERROR(XS_Designer_Summary!AV203,0)</f>
        <v>0</v>
      </c>
      <c r="AD205" s="14">
        <f>IFERROR(XS_Designer_Summary!AK203,0)</f>
        <v>27.201249999999934</v>
      </c>
      <c r="AE205" s="14">
        <f>IFERROR(XS_Designer_Summary!AW203,0)</f>
        <v>0</v>
      </c>
      <c r="AF205" s="14">
        <f>IFERROR(XS_Designer_Summary!AK203,0)</f>
        <v>27.201249999999934</v>
      </c>
      <c r="AG205" s="14">
        <f>IFERROR(XS_Designer_Summary!BF203,0)</f>
        <v>2.863119107707365</v>
      </c>
    </row>
    <row r="206" spans="28:33">
      <c r="AB206" s="14">
        <f>IFERROR(XS_Designer_Summary!AK204,0)</f>
        <v>27.201250000000002</v>
      </c>
      <c r="AC206" s="14">
        <f>IFERROR(XS_Designer_Summary!AV204,0)</f>
        <v>0</v>
      </c>
      <c r="AD206" s="14">
        <f>IFERROR(XS_Designer_Summary!AK204,0)</f>
        <v>27.201250000000002</v>
      </c>
      <c r="AE206" s="14">
        <f>IFERROR(XS_Designer_Summary!AW204,0)</f>
        <v>0</v>
      </c>
      <c r="AF206" s="14">
        <f>IFERROR(XS_Designer_Summary!AK204,0)</f>
        <v>27.201250000000002</v>
      </c>
      <c r="AG206" s="14">
        <f>IFERROR(XS_Designer_Summary!BF204,0)</f>
        <v>0</v>
      </c>
    </row>
    <row r="207" spans="28:33">
      <c r="AB207" s="54"/>
      <c r="AC207" s="54"/>
      <c r="AD207" s="54"/>
      <c r="AE207" s="54"/>
      <c r="AF207" s="54"/>
      <c r="AG207" s="54"/>
    </row>
  </sheetData>
  <mergeCells count="19">
    <mergeCell ref="E1:G1"/>
    <mergeCell ref="H1:I1"/>
    <mergeCell ref="J1:L1"/>
    <mergeCell ref="M1:N1"/>
    <mergeCell ref="E2:G2"/>
    <mergeCell ref="H2:I2"/>
    <mergeCell ref="J2:L2"/>
    <mergeCell ref="M2:N2"/>
    <mergeCell ref="P2:R2"/>
    <mergeCell ref="AB2:AG2"/>
    <mergeCell ref="B3:D3"/>
    <mergeCell ref="T3:U3"/>
    <mergeCell ref="V3:W3"/>
    <mergeCell ref="X3:Z3"/>
    <mergeCell ref="AB3:AC3"/>
    <mergeCell ref="AD3:AE3"/>
    <mergeCell ref="AF3:AG3"/>
    <mergeCell ref="T2:W2"/>
    <mergeCell ref="X2:Z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Hydraulics_Output</vt:lpstr>
      <vt:lpstr>Sediment_Threshold_Output</vt:lpstr>
      <vt:lpstr>Data</vt:lpstr>
      <vt:lpstr>XS_Designer</vt:lpstr>
      <vt:lpstr>XS_Designer_Bed_Mix</vt:lpstr>
      <vt:lpstr>XS_Designer_Summary</vt:lpstr>
      <vt:lpstr>XS_Designer_Calculations</vt:lpstr>
      <vt:lpstr>Permissible_Velocities</vt:lpstr>
      <vt:lpstr>Overlay</vt:lpstr>
      <vt:lpstr>Permissible_Shear</vt:lpstr>
      <vt:lpstr>Meander_Bends_(Max Shear)</vt:lpstr>
      <vt:lpstr>XS_Designer_Graph</vt:lpstr>
      <vt:lpstr>hydraulics_data</vt:lpstr>
      <vt:lpstr>limit_data</vt:lpstr>
      <vt:lpstr>n_label_data</vt:lpstr>
      <vt:lpstr>n_line_data</vt:lpstr>
      <vt:lpstr>stage_label_data</vt:lpstr>
      <vt:lpstr>stage_line_data</vt:lpstr>
      <vt:lpstr>stage_points_data</vt:lpstr>
      <vt:lpstr>summaryXS_newest</vt:lpstr>
      <vt:lpstr>wse_data</vt:lpstr>
      <vt:lpstr>xs_data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gtm8w</dc:creator>
  <cp:lastModifiedBy>Garrett Menichino</cp:lastModifiedBy>
  <dcterms:created xsi:type="dcterms:W3CDTF">2018-07-25T16:51:22Z</dcterms:created>
  <dcterms:modified xsi:type="dcterms:W3CDTF">2023-11-29T18:06:39Z</dcterms:modified>
</cp:coreProperties>
</file>